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2会计部Accountant\01报表Report\001Budget File\2025 Budget\P&amp;L Budget\DMH Budget Format\"/>
    </mc:Choice>
  </mc:AlternateContent>
  <bookViews>
    <workbookView xWindow="0" yWindow="0" windowWidth="28800" windowHeight="11580"/>
  </bookViews>
  <sheets>
    <sheet name="2025 Summay" sheetId="1" r:id="rId1"/>
    <sheet name="Rooms+Summary" sheetId="5" r:id="rId2"/>
    <sheet name="Front office" sheetId="6" r:id="rId3"/>
    <sheet name="HSKP" sheetId="7" r:id="rId4"/>
    <sheet name="Reservation" sheetId="8" r:id="rId5"/>
    <sheet name="Rooms Admin" sheetId="9" r:id="rId6"/>
    <sheet name="F&amp;B+Summary" sheetId="10" r:id="rId7"/>
    <sheet name="Hai Tang" sheetId="11" r:id="rId8"/>
    <sheet name="Silk" sheetId="12" r:id="rId9"/>
    <sheet name="Pin Ju" sheetId="13" r:id="rId10"/>
    <sheet name="Neera" sheetId="14" r:id="rId11"/>
    <sheet name="Poolside" sheetId="15" r:id="rId12"/>
    <sheet name="Cafe to Go" sheetId="16" r:id="rId13"/>
    <sheet name="Lobby Lounge" sheetId="17" r:id="rId14"/>
    <sheet name="Wet Republic" sheetId="18" r:id="rId15"/>
    <sheet name="AOC" sheetId="19" r:id="rId16"/>
    <sheet name="Bubble Bar" sheetId="20" r:id="rId17"/>
    <sheet name="Banquet" sheetId="21" r:id="rId18"/>
    <sheet name="Papillon" sheetId="22" r:id="rId19"/>
    <sheet name="Room Service" sheetId="23" r:id="rId20"/>
    <sheet name="F&amp;B Admin" sheetId="24" r:id="rId21"/>
    <sheet name="Stewarding" sheetId="25" r:id="rId22"/>
    <sheet name="Main Kichen" sheetId="26" r:id="rId23"/>
    <sheet name="Minbar" sheetId="27" r:id="rId24"/>
    <sheet name="OOD " sheetId="28" r:id="rId25"/>
    <sheet name="Recreation" sheetId="31" r:id="rId26"/>
    <sheet name="Pool" sheetId="32" r:id="rId27"/>
    <sheet name="Kids" sheetId="33" r:id="rId28"/>
    <sheet name="SPA" sheetId="34" r:id="rId29"/>
    <sheet name="Telephone" sheetId="35" r:id="rId30"/>
    <sheet name="Transportation" sheetId="36" r:id="rId31"/>
    <sheet name="Garage" sheetId="37" r:id="rId32"/>
    <sheet name="Laundry" sheetId="38" r:id="rId33"/>
    <sheet name="Guest Laundry" sheetId="39" r:id="rId34"/>
    <sheet name="Other Income" sheetId="40" r:id="rId35"/>
    <sheet name="A&amp;G" sheetId="41" r:id="rId36"/>
    <sheet name="Executive Office" sheetId="42" r:id="rId37"/>
    <sheet name="Finance" sheetId="43" r:id="rId38"/>
    <sheet name="Human Resources" sheetId="44" r:id="rId39"/>
    <sheet name="Security" sheetId="45" r:id="rId40"/>
    <sheet name="IT" sheetId="46" r:id="rId41"/>
    <sheet name="S&amp;M" sheetId="47" r:id="rId42"/>
    <sheet name="Advertising" sheetId="48" r:id="rId43"/>
    <sheet name="Public" sheetId="49" r:id="rId44"/>
    <sheet name="Sales" sheetId="50" r:id="rId45"/>
    <sheet name="R&amp;M" sheetId="51" r:id="rId46"/>
    <sheet name="Utilities" sheetId="52" r:id="rId47"/>
    <sheet name="Dormitory+&amp;+Shuttle+Bus" sheetId="53" r:id="rId48"/>
    <sheet name="Staff+Canteen" sheetId="54" r:id="rId49"/>
    <sheet name="Fixed+Charge" sheetId="55" r:id="rId50"/>
  </sheets>
  <externalReferences>
    <externalReference r:id="rId51"/>
  </externalReferences>
  <definedNames>
    <definedName name="\P">#REF!</definedName>
    <definedName name="_002">#REF!</definedName>
    <definedName name="_xlnm._FilterDatabase" localSheetId="0" hidden="1">'2025 Summay'!$L$1:$M$77</definedName>
    <definedName name="_Order1" hidden="1">255</definedName>
    <definedName name="_Order2" hidden="1">255</definedName>
    <definedName name="a">#REF!</definedName>
    <definedName name="AccessDatabase" hidden="1">"C:\ncux\bud\rms_inv.mdb"</definedName>
    <definedName name="AllowanceCats">#REF!</definedName>
    <definedName name="anscount" hidden="1">2</definedName>
    <definedName name="BPDetail_Import_Date">#REF!</definedName>
    <definedName name="bpmonth">#REF!</definedName>
    <definedName name="bpmonthf">#REF!</definedName>
    <definedName name="bpyear">#REF!</definedName>
    <definedName name="BUCODE" localSheetId="35">#REF!</definedName>
    <definedName name="BUCODE" localSheetId="36">#REF!</definedName>
    <definedName name="BUCODE" localSheetId="37">#REF!</definedName>
    <definedName name="BUCODE" localSheetId="38">#REF!</definedName>
    <definedName name="BUCODE" localSheetId="40">#REF!</definedName>
    <definedName name="BUCODE" localSheetId="39">#REF!</definedName>
    <definedName name="BUCODE_2">#REF!</definedName>
    <definedName name="Budget_Year">#REF!</definedName>
    <definedName name="BudgetYear">#REF!</definedName>
    <definedName name="Calendar">#REF!</definedName>
    <definedName name="Category">#REF!</definedName>
    <definedName name="ccc">#REF!</definedName>
    <definedName name="Copy_1_1">#REF!</definedName>
    <definedName name="Copy_1_2">#REF!</definedName>
    <definedName name="Copy_2_1">#REF!</definedName>
    <definedName name="Copy_3_1">#REF!</definedName>
    <definedName name="Copy_4_1">#REF!</definedName>
    <definedName name="Copy_5_1">#REF!</definedName>
    <definedName name="Copy_6_1">#REF!</definedName>
    <definedName name="Copy_7_1">#REF!</definedName>
    <definedName name="Copy_7_2">#REF!</definedName>
    <definedName name="Copy_8_1">#REF!</definedName>
    <definedName name="Copy_9_1">#REF!</definedName>
    <definedName name="Copy_9_2">#REF!</definedName>
    <definedName name="COVER">#REF!</definedName>
    <definedName name="CP" localSheetId="35">#REF!</definedName>
    <definedName name="CP" localSheetId="36">#REF!</definedName>
    <definedName name="CP" localSheetId="37">#REF!</definedName>
    <definedName name="CP" localSheetId="38">#REF!</definedName>
    <definedName name="CP" localSheetId="40">#REF!</definedName>
    <definedName name="CP" localSheetId="39">#REF!</definedName>
    <definedName name="CP">[1]Parameter!$C$7</definedName>
    <definedName name="Currency">#REF!</definedName>
    <definedName name="currentyear">#REF!</definedName>
    <definedName name="CurrentYr">#REF!</definedName>
    <definedName name="d">#REF!</definedName>
    <definedName name="_xlnm.Database">#REF!</definedName>
    <definedName name="df">#REF!</definedName>
    <definedName name="er">#REF!</definedName>
    <definedName name="F0R_INT">#REF!</definedName>
    <definedName name="FB">#REF!</definedName>
    <definedName name="FOR_INT">#REF!</definedName>
    <definedName name="FOR90_E2">#REF!</definedName>
    <definedName name="FOR90_I2">#REF!</definedName>
    <definedName name="FOR9O_E">#REF!</definedName>
    <definedName name="FRSname">#REF!</definedName>
    <definedName name="FRSnum">#REF!</definedName>
    <definedName name="FX_Rate_BY">#REF!</definedName>
    <definedName name="gh">#REF!</definedName>
    <definedName name="hotel">#REF!</definedName>
    <definedName name="hotel_name_long">#REF!</definedName>
    <definedName name="Hotelname">#REF!</definedName>
    <definedName name="inflation">#REF!</definedName>
    <definedName name="inputfxrate">#REF!</definedName>
    <definedName name="jk">#REF!</definedName>
    <definedName name="k">#REF!</definedName>
    <definedName name="kl">#REF!</definedName>
    <definedName name="KMDM">#REF!</definedName>
    <definedName name="l">#REF!</definedName>
    <definedName name="LastYr">#REF!</definedName>
    <definedName name="LEDGER" localSheetId="35">#REF!</definedName>
    <definedName name="LEDGER" localSheetId="36">#REF!</definedName>
    <definedName name="LEDGER" localSheetId="37">#REF!</definedName>
    <definedName name="LEDGER" localSheetId="38">#REF!</definedName>
    <definedName name="LEDGER" localSheetId="40">#REF!</definedName>
    <definedName name="LEDGER" localSheetId="39">#REF!</definedName>
    <definedName name="limcount" hidden="1">3</definedName>
    <definedName name="list_hotel_name">#REF!</definedName>
    <definedName name="list_hotel_type">#REF!</definedName>
    <definedName name="lyear">#REF!</definedName>
    <definedName name="m_cwfy">#REF!</definedName>
    <definedName name="m_df">#REF!</definedName>
    <definedName name="m_glfy">#REF!</definedName>
    <definedName name="m_jf">#REF!</definedName>
    <definedName name="m_nbys">#REF!</definedName>
    <definedName name="m_qtyf">#REF!</definedName>
    <definedName name="m_qtys">#REF!</definedName>
    <definedName name="m_xj">#REF!</definedName>
    <definedName name="m_xsfy">#REF!</definedName>
    <definedName name="m_yfzk">#REF!</definedName>
    <definedName name="m_yhck">#REF!</definedName>
    <definedName name="m_yszk">#REF!</definedName>
    <definedName name="m_ytfy">#REF!</definedName>
    <definedName name="MEperiod">#REF!</definedName>
    <definedName name="mgm">#REF!</definedName>
    <definedName name="mgma">#REF!</definedName>
    <definedName name="mgmb">#REF!</definedName>
    <definedName name="Model">#REF!</definedName>
    <definedName name="multiple">#REF!</definedName>
    <definedName name="Nom">#REF!</definedName>
    <definedName name="non">#REF!</definedName>
    <definedName name="Owner">#REF!</definedName>
    <definedName name="Page1">#REF!</definedName>
    <definedName name="Page2">#REF!</definedName>
    <definedName name="Page3">#REF!</definedName>
    <definedName name="Page4">#REF!</definedName>
    <definedName name="PER">#REF!</definedName>
    <definedName name="Plan">#REF!</definedName>
    <definedName name="_xlnm.Print_Area" localSheetId="0">'2025 Summay'!$D$4:$AJ$78</definedName>
    <definedName name="_xlnm.Print_Area" localSheetId="35">'A&amp;G'!$C$1:$AG$85</definedName>
    <definedName name="_xlnm.Print_Area" localSheetId="42">Advertising!$A$1:$AG$80</definedName>
    <definedName name="_xlnm.Print_Area" localSheetId="15">AOC!$A$1:$AG$136</definedName>
    <definedName name="_xlnm.Print_Area" localSheetId="17">Banquet!$A$1:$AG$136</definedName>
    <definedName name="_xlnm.Print_Area" localSheetId="16">'Bubble Bar'!$A$1:$AG$136</definedName>
    <definedName name="_xlnm.Print_Area" localSheetId="12">'Cafe to Go'!$A$1:$AG$136</definedName>
    <definedName name="_xlnm.Print_Area" localSheetId="47">'Dormitory+&amp;+Shuttle+Bus'!$A$1:$AG$59</definedName>
    <definedName name="_xlnm.Print_Area" localSheetId="36">'Executive Office'!$A$1:$AG$85</definedName>
    <definedName name="_xlnm.Print_Area" localSheetId="20">'F&amp;B Admin'!$A$1:$AG$136</definedName>
    <definedName name="_xlnm.Print_Area" localSheetId="6">'F&amp;B+Summary'!$C$1:$AG$228</definedName>
    <definedName name="_xlnm.Print_Area" localSheetId="37">Finance!$A$1:$AG$85</definedName>
    <definedName name="_xlnm.Print_Area" localSheetId="49">'Fixed+Charge'!$C$1:$AG$29</definedName>
    <definedName name="_xlnm.Print_Area" localSheetId="2">'Front office'!$D$1:$AH$101</definedName>
    <definedName name="_xlnm.Print_Area" localSheetId="31">Garage!$A$1:$AH$61</definedName>
    <definedName name="_xlnm.Print_Area" localSheetId="33">'Guest Laundry'!$A$1:$AH$19</definedName>
    <definedName name="_xlnm.Print_Area" localSheetId="7">'Hai Tang'!$A$1:$AG$136</definedName>
    <definedName name="_xlnm.Print_Area" localSheetId="3">HSKP!$D$1:$AH$101</definedName>
    <definedName name="_xlnm.Print_Area" localSheetId="38">'Human Resources'!$A$1:$AG$85</definedName>
    <definedName name="_xlnm.Print_Area" localSheetId="40">IT!$A$1:$AG$85</definedName>
    <definedName name="_xlnm.Print_Area" localSheetId="27">Kids!$A$1:$AH$69</definedName>
    <definedName name="_xlnm.Print_Area" localSheetId="32">Laundry!$A$1:$AH$62</definedName>
    <definedName name="_xlnm.Print_Area" localSheetId="13">'Lobby Lounge'!$A$1:$AG$136</definedName>
    <definedName name="_xlnm.Print_Area" localSheetId="22">'Main Kichen'!$A$1:$AG$136</definedName>
    <definedName name="_xlnm.Print_Area" localSheetId="10">Neera!$A$1:$AG$136</definedName>
    <definedName name="_xlnm.Print_Area" localSheetId="24">'OOD '!$C$1:$AG$79</definedName>
    <definedName name="_xlnm.Print_Area" localSheetId="34">'Other Income'!$A$1:$AH$18</definedName>
    <definedName name="_xlnm.Print_Area" localSheetId="18">Papillon!$A$1:$AG$136</definedName>
    <definedName name="_xlnm.Print_Area" localSheetId="9">'Pin Ju'!$A$1:$AG$136</definedName>
    <definedName name="_xlnm.Print_Area" localSheetId="26">Pool!$A$1:$AH$70</definedName>
    <definedName name="_xlnm.Print_Area" localSheetId="11">Poolside!$A$1:$AG$136</definedName>
    <definedName name="_xlnm.Print_Area" localSheetId="43">Public!$A$1:$AG$80</definedName>
    <definedName name="_xlnm.Print_Area" localSheetId="45">'R&amp;M'!$C$1:$AG$101</definedName>
    <definedName name="_xlnm.Print_Area" localSheetId="25">Recreation!$A$1:$AG$67</definedName>
    <definedName name="_xlnm.Print_Area" localSheetId="4">Reservation!$A$1:$AH$101</definedName>
    <definedName name="_xlnm.Print_Area" localSheetId="19">'Room Service'!$A$1:$AG$136</definedName>
    <definedName name="_xlnm.Print_Area" localSheetId="5">'Rooms Admin'!$D$1:$AH$101</definedName>
    <definedName name="_xlnm.Print_Area" localSheetId="1">'Rooms+Summary'!$D$1:$AH$130</definedName>
    <definedName name="_xlnm.Print_Area" localSheetId="41">'S&amp;M'!$C$1:$AG$80</definedName>
    <definedName name="_xlnm.Print_Area" localSheetId="44">Sales!$A$1:$AG$80</definedName>
    <definedName name="_xlnm.Print_Area" localSheetId="39">Security!$A$1:$AG$85</definedName>
    <definedName name="_xlnm.Print_Area" localSheetId="8">Silk!$A$1:$AG$136</definedName>
    <definedName name="_xlnm.Print_Area" localSheetId="28">SPA!$A$1:$AH$82</definedName>
    <definedName name="_xlnm.Print_Area" localSheetId="48">'Staff+Canteen'!$A$1:$AG$61</definedName>
    <definedName name="_xlnm.Print_Area" localSheetId="21">Stewarding!$A$1:$AG$136</definedName>
    <definedName name="_xlnm.Print_Area" localSheetId="29">Telephone!$A$1:$AH$77</definedName>
    <definedName name="_xlnm.Print_Area" localSheetId="30">Transportation!$A$1:$AH$64</definedName>
    <definedName name="_xlnm.Print_Area" localSheetId="46">Utilities!$C$1:$AG$22</definedName>
    <definedName name="_xlnm.Print_Area" localSheetId="14">'Wet Republic'!$A$1:$AG$136</definedName>
    <definedName name="_xlnm.Print_Area">#REF!</definedName>
    <definedName name="_xlnm.Print_Titles" localSheetId="0">'2025 Summay'!$4:$10</definedName>
    <definedName name="_xlnm.Print_Titles" localSheetId="35">'A&amp;G'!$1:$7</definedName>
    <definedName name="_xlnm.Print_Titles" localSheetId="15">AOC!$1:$7</definedName>
    <definedName name="_xlnm.Print_Titles" localSheetId="17">Banquet!$1:$7</definedName>
    <definedName name="_xlnm.Print_Titles" localSheetId="16">'Bubble Bar'!$1:$7</definedName>
    <definedName name="_xlnm.Print_Titles" localSheetId="12">'Cafe to Go'!$1:$7</definedName>
    <definedName name="_xlnm.Print_Titles" localSheetId="36">'Executive Office'!$1:$7</definedName>
    <definedName name="_xlnm.Print_Titles" localSheetId="20">'F&amp;B Admin'!$1:$7</definedName>
    <definedName name="_xlnm.Print_Titles" localSheetId="6">'F&amp;B+Summary'!$1:$7</definedName>
    <definedName name="_xlnm.Print_Titles" localSheetId="37">Finance!$1:$7</definedName>
    <definedName name="_xlnm.Print_Titles" localSheetId="2">'Front office'!$1:$7</definedName>
    <definedName name="_xlnm.Print_Titles" localSheetId="7">'Hai Tang'!$1:$7</definedName>
    <definedName name="_xlnm.Print_Titles" localSheetId="3">HSKP!$1:$7</definedName>
    <definedName name="_xlnm.Print_Titles" localSheetId="38">'Human Resources'!$1:$7</definedName>
    <definedName name="_xlnm.Print_Titles" localSheetId="40">IT!$1:$7</definedName>
    <definedName name="_xlnm.Print_Titles" localSheetId="13">'Lobby Lounge'!$1:$7</definedName>
    <definedName name="_xlnm.Print_Titles" localSheetId="22">'Main Kichen'!$1:$7</definedName>
    <definedName name="_xlnm.Print_Titles" localSheetId="23">Minbar!$1:$7</definedName>
    <definedName name="_xlnm.Print_Titles" localSheetId="10">Neera!$1:$7</definedName>
    <definedName name="_xlnm.Print_Titles" localSheetId="18">Papillon!$1:$7</definedName>
    <definedName name="_xlnm.Print_Titles" localSheetId="9">'Pin Ju'!$1:$7</definedName>
    <definedName name="_xlnm.Print_Titles" localSheetId="11">Poolside!$1:$7</definedName>
    <definedName name="_xlnm.Print_Titles" localSheetId="45">'R&amp;M'!$1:$7</definedName>
    <definedName name="_xlnm.Print_Titles" localSheetId="4">Reservation!$1:$7</definedName>
    <definedName name="_xlnm.Print_Titles" localSheetId="19">'Room Service'!$1:$7</definedName>
    <definedName name="_xlnm.Print_Titles" localSheetId="5">'Rooms Admin'!$1:$7</definedName>
    <definedName name="_xlnm.Print_Titles" localSheetId="1">'Rooms+Summary'!$1:$7</definedName>
    <definedName name="_xlnm.Print_Titles" localSheetId="41">'S&amp;M'!$1:$7</definedName>
    <definedName name="_xlnm.Print_Titles" localSheetId="39">Security!$1:$7</definedName>
    <definedName name="_xlnm.Print_Titles" localSheetId="8">Silk!$1:$7</definedName>
    <definedName name="_xlnm.Print_Titles" localSheetId="28">SPA!$1:$7</definedName>
    <definedName name="_xlnm.Print_Titles" localSheetId="21">Stewarding!$1:$7</definedName>
    <definedName name="_xlnm.Print_Titles" localSheetId="14">'Wet Republic'!$1:$7</definedName>
    <definedName name="PRINTINFLTN">#REF!</definedName>
    <definedName name="PRINTOPPT">#REF!</definedName>
    <definedName name="ProdPosting">#REF!</definedName>
    <definedName name="PROFORMA">#REF!</definedName>
    <definedName name="q">#REF!</definedName>
    <definedName name="qq">#REF!</definedName>
    <definedName name="qw">#REF!</definedName>
    <definedName name="RENTLETTER">#REF!</definedName>
    <definedName name="RevenueGroups">#REF!</definedName>
    <definedName name="Rooms05">#REF!</definedName>
    <definedName name="sd">#REF!</definedName>
    <definedName name="Selected_Currency">#REF!</definedName>
    <definedName name="Sheet1">#REF!</definedName>
    <definedName name="Sheet10">#REF!</definedName>
    <definedName name="Sheet11">#REF!</definedName>
    <definedName name="Sheet12">#REF!</definedName>
    <definedName name="Sheet13">#REF!</definedName>
    <definedName name="Sheet14">#REF!</definedName>
    <definedName name="Sheet15">#REF!</definedName>
    <definedName name="Sheet16">#REF!</definedName>
    <definedName name="Sheet2">#REF!</definedName>
    <definedName name="Sheet3">#REF!</definedName>
    <definedName name="sheet4">#REF!</definedName>
    <definedName name="Sheet5">#REF!</definedName>
    <definedName name="Sheet6">#REF!</definedName>
    <definedName name="Sheet7">#REF!</definedName>
    <definedName name="Sheet8">#REF!</definedName>
    <definedName name="Sheet9">#REF!</definedName>
    <definedName name="SR">#REF!</definedName>
    <definedName name="TaxAreas">#REF!</definedName>
    <definedName name="TaxGroups">#REF!</definedName>
    <definedName name="UFPrn20020301093514">#REF!</definedName>
    <definedName name="UFPrn20070117080842">#REF!</definedName>
    <definedName name="UFPrn20071120091858">#REF!</definedName>
    <definedName name="UFPrn20071120091929">#REF!</definedName>
    <definedName name="UFPrn20071130091947">#REF!</definedName>
    <definedName name="UFPrn20071206092517">#REF!</definedName>
    <definedName name="UFPrn20071206093919">#REF!</definedName>
    <definedName name="UFPrn20071206102243">#REF!</definedName>
    <definedName name="UFPrn20071207163914">#REF!</definedName>
    <definedName name="UFPrn20071207172623">#REF!</definedName>
    <definedName name="UFPrn20071207172819">#REF!</definedName>
    <definedName name="UFPrn20071207172912">#REF!</definedName>
    <definedName name="UFPrn20071207172949">#REF!</definedName>
    <definedName name="UFPrn20071207173046">#REF!</definedName>
    <definedName name="UFPrn20071207173115">#REF!</definedName>
    <definedName name="UFPrn20071207173157">#REF!</definedName>
    <definedName name="UFPrn20071207173239">#REF!</definedName>
    <definedName name="UFPrn20071207173354">#REF!</definedName>
    <definedName name="UFPrn20071207173500">#REF!</definedName>
    <definedName name="UFPrn20071207173620">#REF!</definedName>
    <definedName name="UFPrn20071207173717">#REF!</definedName>
    <definedName name="UFPrn20071207173809">#REF!</definedName>
    <definedName name="UFPrn20071221094313">#REF!</definedName>
    <definedName name="UFPrn20071221095329">#REF!</definedName>
    <definedName name="UFPrn20071222094835">#REF!</definedName>
    <definedName name="UFPrn20071224161522">#REF!</definedName>
    <definedName name="UFPrn20071224161757">#REF!</definedName>
    <definedName name="UFPrn20080104081834">#REF!</definedName>
    <definedName name="UFPrn20080104081933">#REF!</definedName>
    <definedName name="UFPrn20080104082156">#REF!</definedName>
    <definedName name="UFPrn20080104082558">#REF!</definedName>
    <definedName name="UFPrn20080104084124">#REF!</definedName>
    <definedName name="UFPrn20080104084219">#REF!</definedName>
    <definedName name="UFPrn20080107095055">#REF!</definedName>
    <definedName name="UFPrn20080113103652">#REF!</definedName>
    <definedName name="UFPrn20080113104523">#REF!</definedName>
    <definedName name="UFPrn20080113105912">#REF!</definedName>
    <definedName name="UFPrn20080113110016">#REF!</definedName>
    <definedName name="UFPrn20080113110104">#REF!</definedName>
    <definedName name="UFPrn20080113110200">#REF!</definedName>
    <definedName name="UFPrn20080118100732">#REF!</definedName>
    <definedName name="UFPrn20080119103223">#REF!</definedName>
    <definedName name="UFPrn20080119103541">#REF!</definedName>
    <definedName name="uni">#REF!</definedName>
    <definedName name="UNIT">#REF!</definedName>
    <definedName name="UNITPRINT">#REF!</definedName>
    <definedName name="wrn.Internal._.Detail." hidden="1">{"IntDetail",#N/A,FALSE,"Reports";"IntSummary",#N/A,FALSE,"Reports"}</definedName>
    <definedName name="www">#REF!</definedName>
    <definedName name="x_df">#REF!</definedName>
    <definedName name="x_glfy">#REF!</definedName>
    <definedName name="x_jf">#REF!</definedName>
    <definedName name="x_kcsp">#REF!</definedName>
    <definedName name="x_km">#REF!</definedName>
    <definedName name="x_qt">#REF!</definedName>
    <definedName name="x_qtyf">#REF!</definedName>
    <definedName name="x_qtys">#REF!</definedName>
    <definedName name="x_sccb">#REF!</definedName>
    <definedName name="x_xj">#REF!</definedName>
    <definedName name="x_xsfy">#REF!</definedName>
    <definedName name="x_ycl">#REF!</definedName>
    <definedName name="x_yfzk">#REF!</definedName>
    <definedName name="x_yszk">#REF!</definedName>
    <definedName name="YEAR" localSheetId="35">#REF!</definedName>
    <definedName name="YEAR" localSheetId="36">#REF!</definedName>
    <definedName name="YEAR" localSheetId="37">#REF!</definedName>
    <definedName name="YEAR" localSheetId="38">#REF!</definedName>
    <definedName name="YEAR" localSheetId="40">#REF!</definedName>
    <definedName name="YEAR" localSheetId="39">#REF!</definedName>
    <definedName name="Year1">#REF!</definedName>
    <definedName name="Year2">#REF!</definedName>
    <definedName name="yh">#REF!</definedName>
    <definedName name="z">#REF!</definedName>
    <definedName name="Z_26D678AA_3B88_4E1D_B8B9_0058BC95718E_.wvu.FilterData" localSheetId="0" hidden="1">'2025 Summay'!$L$1:$M$77</definedName>
    <definedName name="Z_815A451E_52F7_4A55_9F4C_A74A1E5BB606_.wvu.FilterData" localSheetId="0" hidden="1">'2025 Summay'!$L$1:$M$77</definedName>
    <definedName name="Z_C0C94EF7_B519_4A7D_A84F_0F848FDCD3E9_.wvu.FilterData" localSheetId="0" hidden="1">'2025 Summay'!$L$1:$M$77</definedName>
    <definedName name="Z_CB29A42A_97A7_41DC_8D4F_8A674C15B13C_.wvu.Cols" localSheetId="0" hidden="1">'2025 Summay'!$A:$C,'2025 Summay'!#REF!</definedName>
    <definedName name="Z_CB29A42A_97A7_41DC_8D4F_8A674C15B13C_.wvu.Cols" localSheetId="35" hidden="1">'A&amp;G'!$A:$B,'A&amp;G'!#REF!</definedName>
    <definedName name="Z_CB29A42A_97A7_41DC_8D4F_8A674C15B13C_.wvu.Cols" localSheetId="42" hidden="1">Advertising!$A:$B,Advertising!#REF!</definedName>
    <definedName name="Z_CB29A42A_97A7_41DC_8D4F_8A674C15B13C_.wvu.Cols" localSheetId="15" hidden="1">AOC!$A:$B</definedName>
    <definedName name="Z_CB29A42A_97A7_41DC_8D4F_8A674C15B13C_.wvu.Cols" localSheetId="17" hidden="1">Banquet!$A:$B</definedName>
    <definedName name="Z_CB29A42A_97A7_41DC_8D4F_8A674C15B13C_.wvu.Cols" localSheetId="16" hidden="1">'Bubble Bar'!$A:$B</definedName>
    <definedName name="Z_CB29A42A_97A7_41DC_8D4F_8A674C15B13C_.wvu.Cols" localSheetId="12" hidden="1">'Cafe to Go'!$A:$B</definedName>
    <definedName name="Z_CB29A42A_97A7_41DC_8D4F_8A674C15B13C_.wvu.Cols" localSheetId="47" hidden="1">'Dormitory+&amp;+Shuttle+Bus'!$A:$B</definedName>
    <definedName name="Z_CB29A42A_97A7_41DC_8D4F_8A674C15B13C_.wvu.Cols" localSheetId="36" hidden="1">'Executive Office'!$A:$B,'Executive Office'!#REF!</definedName>
    <definedName name="Z_CB29A42A_97A7_41DC_8D4F_8A674C15B13C_.wvu.Cols" localSheetId="20" hidden="1">'F&amp;B Admin'!$A:$B</definedName>
    <definedName name="Z_CB29A42A_97A7_41DC_8D4F_8A674C15B13C_.wvu.Cols" localSheetId="6" hidden="1">'F&amp;B+Summary'!$A:$B,'F&amp;B+Summary'!#REF!</definedName>
    <definedName name="Z_CB29A42A_97A7_41DC_8D4F_8A674C15B13C_.wvu.Cols" localSheetId="37" hidden="1">Finance!$A:$B,Finance!#REF!</definedName>
    <definedName name="Z_CB29A42A_97A7_41DC_8D4F_8A674C15B13C_.wvu.Cols" localSheetId="49" hidden="1">'Fixed+Charge'!$A:$B</definedName>
    <definedName name="Z_CB29A42A_97A7_41DC_8D4F_8A674C15B13C_.wvu.Cols" localSheetId="2" hidden="1">'Front office'!$A:$C,'Front office'!$Y:$AC,'Front office'!#REF!</definedName>
    <definedName name="Z_CB29A42A_97A7_41DC_8D4F_8A674C15B13C_.wvu.Cols" localSheetId="31" hidden="1">Garage!$A:$C</definedName>
    <definedName name="Z_CB29A42A_97A7_41DC_8D4F_8A674C15B13C_.wvu.Cols" localSheetId="33" hidden="1">'Guest Laundry'!$A:$C</definedName>
    <definedName name="Z_CB29A42A_97A7_41DC_8D4F_8A674C15B13C_.wvu.Cols" localSheetId="7" hidden="1">'Hai Tang'!$A:$B</definedName>
    <definedName name="Z_CB29A42A_97A7_41DC_8D4F_8A674C15B13C_.wvu.Cols" localSheetId="3" hidden="1">HSKP!$A:$C,HSKP!$Y:$AC,HSKP!#REF!</definedName>
    <definedName name="Z_CB29A42A_97A7_41DC_8D4F_8A674C15B13C_.wvu.Cols" localSheetId="38" hidden="1">'Human Resources'!$A:$B,'Human Resources'!#REF!</definedName>
    <definedName name="Z_CB29A42A_97A7_41DC_8D4F_8A674C15B13C_.wvu.Cols" localSheetId="40" hidden="1">IT!$A:$B,IT!#REF!</definedName>
    <definedName name="Z_CB29A42A_97A7_41DC_8D4F_8A674C15B13C_.wvu.Cols" localSheetId="27" hidden="1">Kids!$A:$C</definedName>
    <definedName name="Z_CB29A42A_97A7_41DC_8D4F_8A674C15B13C_.wvu.Cols" localSheetId="32" hidden="1">Laundry!$A:$C</definedName>
    <definedName name="Z_CB29A42A_97A7_41DC_8D4F_8A674C15B13C_.wvu.Cols" localSheetId="13" hidden="1">'Lobby Lounge'!$A:$B</definedName>
    <definedName name="Z_CB29A42A_97A7_41DC_8D4F_8A674C15B13C_.wvu.Cols" localSheetId="22" hidden="1">'Main Kichen'!$A:$B</definedName>
    <definedName name="Z_CB29A42A_97A7_41DC_8D4F_8A674C15B13C_.wvu.Cols" localSheetId="23" hidden="1">Minbar!$A:$B</definedName>
    <definedName name="Z_CB29A42A_97A7_41DC_8D4F_8A674C15B13C_.wvu.Cols" localSheetId="10" hidden="1">Neera!$A:$B</definedName>
    <definedName name="Z_CB29A42A_97A7_41DC_8D4F_8A674C15B13C_.wvu.Cols" localSheetId="24" hidden="1">'OOD '!$A:$B,'OOD '!#REF!</definedName>
    <definedName name="Z_CB29A42A_97A7_41DC_8D4F_8A674C15B13C_.wvu.Cols" localSheetId="34" hidden="1">'Other Income'!$A:$C</definedName>
    <definedName name="Z_CB29A42A_97A7_41DC_8D4F_8A674C15B13C_.wvu.Cols" localSheetId="18" hidden="1">Papillon!$A:$B</definedName>
    <definedName name="Z_CB29A42A_97A7_41DC_8D4F_8A674C15B13C_.wvu.Cols" localSheetId="9" hidden="1">'Pin Ju'!$A:$B</definedName>
    <definedName name="Z_CB29A42A_97A7_41DC_8D4F_8A674C15B13C_.wvu.Cols" localSheetId="26" hidden="1">Pool!$A:$C</definedName>
    <definedName name="Z_CB29A42A_97A7_41DC_8D4F_8A674C15B13C_.wvu.Cols" localSheetId="11" hidden="1">Poolside!$A:$B</definedName>
    <definedName name="Z_CB29A42A_97A7_41DC_8D4F_8A674C15B13C_.wvu.Cols" localSheetId="43" hidden="1">Public!$A:$B,Public!$X:$AB,Public!#REF!</definedName>
    <definedName name="Z_CB29A42A_97A7_41DC_8D4F_8A674C15B13C_.wvu.Cols" localSheetId="45" hidden="1">'R&amp;M'!$A:$B,'R&amp;M'!$X:$AB,'R&amp;M'!#REF!</definedName>
    <definedName name="Z_CB29A42A_97A7_41DC_8D4F_8A674C15B13C_.wvu.Cols" localSheetId="25" hidden="1">Recreation!$A:$B</definedName>
    <definedName name="Z_CB29A42A_97A7_41DC_8D4F_8A674C15B13C_.wvu.Cols" localSheetId="4" hidden="1">Reservation!$A:$C,Reservation!$Y:$AC,Reservation!#REF!</definedName>
    <definedName name="Z_CB29A42A_97A7_41DC_8D4F_8A674C15B13C_.wvu.Cols" localSheetId="19" hidden="1">'Room Service'!$A:$B</definedName>
    <definedName name="Z_CB29A42A_97A7_41DC_8D4F_8A674C15B13C_.wvu.Cols" localSheetId="5" hidden="1">'Rooms Admin'!$A:$C,'Rooms Admin'!$Y:$AC,'Rooms Admin'!#REF!</definedName>
    <definedName name="Z_CB29A42A_97A7_41DC_8D4F_8A674C15B13C_.wvu.Cols" localSheetId="1" hidden="1">'Rooms+Summary'!$A:$C,'Rooms+Summary'!$Y:$AC,'Rooms+Summary'!#REF!</definedName>
    <definedName name="Z_CB29A42A_97A7_41DC_8D4F_8A674C15B13C_.wvu.Cols" localSheetId="41" hidden="1">'S&amp;M'!$A:$B,'S&amp;M'!$X:$AB,'S&amp;M'!#REF!</definedName>
    <definedName name="Z_CB29A42A_97A7_41DC_8D4F_8A674C15B13C_.wvu.Cols" localSheetId="44" hidden="1">Sales!$A:$B,Sales!$X:$AB,Sales!#REF!</definedName>
    <definedName name="Z_CB29A42A_97A7_41DC_8D4F_8A674C15B13C_.wvu.Cols" localSheetId="39" hidden="1">Security!$A:$B,Security!#REF!</definedName>
    <definedName name="Z_CB29A42A_97A7_41DC_8D4F_8A674C15B13C_.wvu.Cols" localSheetId="8" hidden="1">Silk!$A:$B</definedName>
    <definedName name="Z_CB29A42A_97A7_41DC_8D4F_8A674C15B13C_.wvu.Cols" localSheetId="28" hidden="1">SPA!$A:$C</definedName>
    <definedName name="Z_CB29A42A_97A7_41DC_8D4F_8A674C15B13C_.wvu.Cols" localSheetId="48" hidden="1">'Staff+Canteen'!$A:$B</definedName>
    <definedName name="Z_CB29A42A_97A7_41DC_8D4F_8A674C15B13C_.wvu.Cols" localSheetId="21" hidden="1">Stewarding!$A:$B</definedName>
    <definedName name="Z_CB29A42A_97A7_41DC_8D4F_8A674C15B13C_.wvu.Cols" localSheetId="29" hidden="1">Telephone!$A:$C</definedName>
    <definedName name="Z_CB29A42A_97A7_41DC_8D4F_8A674C15B13C_.wvu.Cols" localSheetId="30" hidden="1">Transportation!$A:$C</definedName>
    <definedName name="Z_CB29A42A_97A7_41DC_8D4F_8A674C15B13C_.wvu.Cols" localSheetId="46" hidden="1">Utilities!$A:$B,Utilities!$X:$AB</definedName>
    <definedName name="Z_CB29A42A_97A7_41DC_8D4F_8A674C15B13C_.wvu.Cols" localSheetId="14" hidden="1">'Wet Republic'!$A:$B</definedName>
    <definedName name="Z_CB29A42A_97A7_41DC_8D4F_8A674C15B13C_.wvu.FilterData" localSheetId="0" hidden="1">'2025 Summay'!$L$1:$M$77</definedName>
    <definedName name="Z_CB29A42A_97A7_41DC_8D4F_8A674C15B13C_.wvu.PrintArea" localSheetId="0" hidden="1">'2025 Summay'!$D$4:$AE$77</definedName>
    <definedName name="Z_CB29A42A_97A7_41DC_8D4F_8A674C15B13C_.wvu.PrintTitles" localSheetId="0" hidden="1">'2025 Summay'!$4:$10</definedName>
    <definedName name="Z_CB29A42A_97A7_41DC_8D4F_8A674C15B13C_.wvu.Rows" localSheetId="0" hidden="1">'2025 Summay'!$1:$3</definedName>
    <definedName name="z_df">#REF!</definedName>
    <definedName name="Z_E3FBB51B_DE5B_41CD_AC17_1A014E6FAEA8_.wvu.Cols" localSheetId="0" hidden="1">'2025 Summay'!$A:$C,'2025 Summay'!#REF!</definedName>
    <definedName name="Z_E3FBB51B_DE5B_41CD_AC17_1A014E6FAEA8_.wvu.Cols" localSheetId="35" hidden="1">'A&amp;G'!$A:$B,'A&amp;G'!#REF!</definedName>
    <definedName name="Z_E3FBB51B_DE5B_41CD_AC17_1A014E6FAEA8_.wvu.Cols" localSheetId="42" hidden="1">Advertising!$A:$B,Advertising!#REF!</definedName>
    <definedName name="Z_E3FBB51B_DE5B_41CD_AC17_1A014E6FAEA8_.wvu.Cols" localSheetId="15" hidden="1">AOC!$A:$B</definedName>
    <definedName name="Z_E3FBB51B_DE5B_41CD_AC17_1A014E6FAEA8_.wvu.Cols" localSheetId="17" hidden="1">Banquet!$A:$B</definedName>
    <definedName name="Z_E3FBB51B_DE5B_41CD_AC17_1A014E6FAEA8_.wvu.Cols" localSheetId="16" hidden="1">'Bubble Bar'!$A:$B</definedName>
    <definedName name="Z_E3FBB51B_DE5B_41CD_AC17_1A014E6FAEA8_.wvu.Cols" localSheetId="12" hidden="1">'Cafe to Go'!$A:$B</definedName>
    <definedName name="Z_E3FBB51B_DE5B_41CD_AC17_1A014E6FAEA8_.wvu.Cols" localSheetId="47" hidden="1">'Dormitory+&amp;+Shuttle+Bus'!$A:$B</definedName>
    <definedName name="Z_E3FBB51B_DE5B_41CD_AC17_1A014E6FAEA8_.wvu.Cols" localSheetId="36" hidden="1">'Executive Office'!$A:$B,'Executive Office'!#REF!</definedName>
    <definedName name="Z_E3FBB51B_DE5B_41CD_AC17_1A014E6FAEA8_.wvu.Cols" localSheetId="20" hidden="1">'F&amp;B Admin'!$A:$B</definedName>
    <definedName name="Z_E3FBB51B_DE5B_41CD_AC17_1A014E6FAEA8_.wvu.Cols" localSheetId="6" hidden="1">'F&amp;B+Summary'!$A:$B,'F&amp;B+Summary'!$X:$AB,'F&amp;B+Summary'!#REF!,'F&amp;B+Summary'!$AF:$AF</definedName>
    <definedName name="Z_E3FBB51B_DE5B_41CD_AC17_1A014E6FAEA8_.wvu.Cols" localSheetId="37" hidden="1">Finance!$A:$B,Finance!#REF!</definedName>
    <definedName name="Z_E3FBB51B_DE5B_41CD_AC17_1A014E6FAEA8_.wvu.Cols" localSheetId="49" hidden="1">'Fixed+Charge'!$A:$B</definedName>
    <definedName name="Z_E3FBB51B_DE5B_41CD_AC17_1A014E6FAEA8_.wvu.Cols" localSheetId="2" hidden="1">'Front office'!$A:$C,'Front office'!#REF!</definedName>
    <definedName name="Z_E3FBB51B_DE5B_41CD_AC17_1A014E6FAEA8_.wvu.Cols" localSheetId="31" hidden="1">Garage!$A:$C</definedName>
    <definedName name="Z_E3FBB51B_DE5B_41CD_AC17_1A014E6FAEA8_.wvu.Cols" localSheetId="33" hidden="1">'Guest Laundry'!$A:$C</definedName>
    <definedName name="Z_E3FBB51B_DE5B_41CD_AC17_1A014E6FAEA8_.wvu.Cols" localSheetId="7" hidden="1">'Hai Tang'!$A:$B</definedName>
    <definedName name="Z_E3FBB51B_DE5B_41CD_AC17_1A014E6FAEA8_.wvu.Cols" localSheetId="3" hidden="1">HSKP!$A:$C,HSKP!#REF!</definedName>
    <definedName name="Z_E3FBB51B_DE5B_41CD_AC17_1A014E6FAEA8_.wvu.Cols" localSheetId="38" hidden="1">'Human Resources'!$A:$B,'Human Resources'!#REF!</definedName>
    <definedName name="Z_E3FBB51B_DE5B_41CD_AC17_1A014E6FAEA8_.wvu.Cols" localSheetId="40" hidden="1">IT!$A:$B,IT!#REF!</definedName>
    <definedName name="Z_E3FBB51B_DE5B_41CD_AC17_1A014E6FAEA8_.wvu.Cols" localSheetId="27" hidden="1">Kids!$A:$C</definedName>
    <definedName name="Z_E3FBB51B_DE5B_41CD_AC17_1A014E6FAEA8_.wvu.Cols" localSheetId="32" hidden="1">Laundry!$A:$C</definedName>
    <definedName name="Z_E3FBB51B_DE5B_41CD_AC17_1A014E6FAEA8_.wvu.Cols" localSheetId="13" hidden="1">'Lobby Lounge'!$A:$B</definedName>
    <definedName name="Z_E3FBB51B_DE5B_41CD_AC17_1A014E6FAEA8_.wvu.Cols" localSheetId="22" hidden="1">'Main Kichen'!$A:$B</definedName>
    <definedName name="Z_E3FBB51B_DE5B_41CD_AC17_1A014E6FAEA8_.wvu.Cols" localSheetId="23" hidden="1">Minbar!$A:$B</definedName>
    <definedName name="Z_E3FBB51B_DE5B_41CD_AC17_1A014E6FAEA8_.wvu.Cols" localSheetId="10" hidden="1">Neera!$A:$B</definedName>
    <definedName name="Z_E3FBB51B_DE5B_41CD_AC17_1A014E6FAEA8_.wvu.Cols" localSheetId="24" hidden="1">'OOD '!$A:$B,'OOD '!#REF!</definedName>
    <definedName name="Z_E3FBB51B_DE5B_41CD_AC17_1A014E6FAEA8_.wvu.Cols" localSheetId="34" hidden="1">'Other Income'!$A:$C</definedName>
    <definedName name="Z_E3FBB51B_DE5B_41CD_AC17_1A014E6FAEA8_.wvu.Cols" localSheetId="18" hidden="1">Papillon!$A:$B</definedName>
    <definedName name="Z_E3FBB51B_DE5B_41CD_AC17_1A014E6FAEA8_.wvu.Cols" localSheetId="9" hidden="1">'Pin Ju'!$A:$B</definedName>
    <definedName name="Z_E3FBB51B_DE5B_41CD_AC17_1A014E6FAEA8_.wvu.Cols" localSheetId="26" hidden="1">Pool!$A:$C</definedName>
    <definedName name="Z_E3FBB51B_DE5B_41CD_AC17_1A014E6FAEA8_.wvu.Cols" localSheetId="11" hidden="1">Poolside!$A:$B</definedName>
    <definedName name="Z_E3FBB51B_DE5B_41CD_AC17_1A014E6FAEA8_.wvu.Cols" localSheetId="43" hidden="1">Public!$A:$B,Public!#REF!</definedName>
    <definedName name="Z_E3FBB51B_DE5B_41CD_AC17_1A014E6FAEA8_.wvu.Cols" localSheetId="45" hidden="1">'R&amp;M'!$A:$B,'R&amp;M'!#REF!</definedName>
    <definedName name="Z_E3FBB51B_DE5B_41CD_AC17_1A014E6FAEA8_.wvu.Cols" localSheetId="25" hidden="1">Recreation!$A:$B</definedName>
    <definedName name="Z_E3FBB51B_DE5B_41CD_AC17_1A014E6FAEA8_.wvu.Cols" localSheetId="4" hidden="1">Reservation!$A:$C,Reservation!#REF!</definedName>
    <definedName name="Z_E3FBB51B_DE5B_41CD_AC17_1A014E6FAEA8_.wvu.Cols" localSheetId="19" hidden="1">'Room Service'!$A:$B</definedName>
    <definedName name="Z_E3FBB51B_DE5B_41CD_AC17_1A014E6FAEA8_.wvu.Cols" localSheetId="5" hidden="1">'Rooms Admin'!$A:$C,'Rooms Admin'!#REF!</definedName>
    <definedName name="Z_E3FBB51B_DE5B_41CD_AC17_1A014E6FAEA8_.wvu.Cols" localSheetId="1" hidden="1">'Rooms+Summary'!$A:$C,'Rooms+Summary'!#REF!</definedName>
    <definedName name="Z_E3FBB51B_DE5B_41CD_AC17_1A014E6FAEA8_.wvu.Cols" localSheetId="41" hidden="1">'S&amp;M'!$A:$B,'S&amp;M'!#REF!</definedName>
    <definedName name="Z_E3FBB51B_DE5B_41CD_AC17_1A014E6FAEA8_.wvu.Cols" localSheetId="44" hidden="1">Sales!$A:$B,Sales!#REF!</definedName>
    <definedName name="Z_E3FBB51B_DE5B_41CD_AC17_1A014E6FAEA8_.wvu.Cols" localSheetId="39" hidden="1">Security!$A:$B,Security!#REF!</definedName>
    <definedName name="Z_E3FBB51B_DE5B_41CD_AC17_1A014E6FAEA8_.wvu.Cols" localSheetId="8" hidden="1">Silk!$A:$B</definedName>
    <definedName name="Z_E3FBB51B_DE5B_41CD_AC17_1A014E6FAEA8_.wvu.Cols" localSheetId="28" hidden="1">SPA!$A:$C</definedName>
    <definedName name="Z_E3FBB51B_DE5B_41CD_AC17_1A014E6FAEA8_.wvu.Cols" localSheetId="48" hidden="1">'Staff+Canteen'!$A:$B</definedName>
    <definedName name="Z_E3FBB51B_DE5B_41CD_AC17_1A014E6FAEA8_.wvu.Cols" localSheetId="21" hidden="1">Stewarding!$A:$B</definedName>
    <definedName name="Z_E3FBB51B_DE5B_41CD_AC17_1A014E6FAEA8_.wvu.Cols" localSheetId="29" hidden="1">Telephone!$A:$C</definedName>
    <definedName name="Z_E3FBB51B_DE5B_41CD_AC17_1A014E6FAEA8_.wvu.Cols" localSheetId="30" hidden="1">Transportation!$A:$C</definedName>
    <definedName name="Z_E3FBB51B_DE5B_41CD_AC17_1A014E6FAEA8_.wvu.Cols" localSheetId="46" hidden="1">Utilities!$A:$B</definedName>
    <definedName name="Z_E3FBB51B_DE5B_41CD_AC17_1A014E6FAEA8_.wvu.Cols" localSheetId="14" hidden="1">'Wet Republic'!$A:$B</definedName>
    <definedName name="Z_E3FBB51B_DE5B_41CD_AC17_1A014E6FAEA8_.wvu.FilterData" localSheetId="0" hidden="1">'2025 Summay'!$L$1:$M$77</definedName>
    <definedName name="Z_E3FBB51B_DE5B_41CD_AC17_1A014E6FAEA8_.wvu.PrintArea" localSheetId="0" hidden="1">'2025 Summay'!$D$4:$AE$77</definedName>
    <definedName name="Z_E3FBB51B_DE5B_41CD_AC17_1A014E6FAEA8_.wvu.PrintTitles" localSheetId="0" hidden="1">'2025 Summay'!$4:$10</definedName>
    <definedName name="Z_E3FBB51B_DE5B_41CD_AC17_1A014E6FAEA8_.wvu.Rows" localSheetId="0" hidden="1">'2025 Summay'!$1:$3</definedName>
    <definedName name="z_jf">#REF!</definedName>
    <definedName name="z_km">#REF!</definedName>
    <definedName name="半成品">#REF!</definedName>
    <definedName name="包装物">#REF!</definedName>
    <definedName name="报表">#REF!</definedName>
    <definedName name="表">#REF!</definedName>
    <definedName name="产成品">#REF!</definedName>
    <definedName name="存货93期初">#REF!</definedName>
    <definedName name="存货93期末">#REF!</definedName>
    <definedName name="存货94期初">#REF!</definedName>
    <definedName name="存货94期末">#REF!</definedName>
    <definedName name="存货95期初">#REF!</definedName>
    <definedName name="存货95期末">#REF!</definedName>
    <definedName name="低耗品">#REF!</definedName>
    <definedName name="调后合计">#REF!</definedName>
    <definedName name="短期借款">#REF!</definedName>
    <definedName name="短期借款式">#REF!</definedName>
    <definedName name="发出商品">#REF!</definedName>
    <definedName name="负债合计93期末">#REF!</definedName>
    <definedName name="负债合计94期末">#REF!</definedName>
    <definedName name="负债合计95期末">#REF!</definedName>
    <definedName name="附注">#REF!</definedName>
    <definedName name="固定资产清单">#REF!</definedName>
    <definedName name="管理费用">#REF!</definedName>
    <definedName name="管理费用明细帐">#REF!</definedName>
    <definedName name="会计分录序时簿">#REF!</definedName>
    <definedName name="净_利_润93">#REF!</definedName>
    <definedName name="净_利_润94">#REF!</definedName>
    <definedName name="净_利_润95">#REF!</definedName>
    <definedName name="净资产合计93期初">#REF!</definedName>
    <definedName name="净资产合计93期末">#REF!</definedName>
    <definedName name="净资产合计94期初">#REF!</definedName>
    <definedName name="净资产合计94期末">#REF!</definedName>
    <definedName name="净资产合计95期初">#REF!</definedName>
    <definedName name="净资产合计95期末">#REF!</definedName>
    <definedName name="劳务工资">#REF!</definedName>
    <definedName name="利_润_总_额93">#REF!</definedName>
    <definedName name="利_润_总_额94">#REF!</definedName>
    <definedName name="利_润_总_额95">#REF!</definedName>
    <definedName name="流_动_资_产93">#REF!</definedName>
    <definedName name="流_动_资_产94">#REF!</definedName>
    <definedName name="流_动_资_产95">#REF!</definedName>
    <definedName name="流动负债93期末">#REF!</definedName>
    <definedName name="流动负债94期末">#REF!</definedName>
    <definedName name="流动负债95期末">#REF!</definedName>
    <definedName name="年初合计">#REF!</definedName>
    <definedName name="年末合计">#REF!</definedName>
    <definedName name="年末合计1">#REF!</definedName>
    <definedName name="年末合计3">#REF!</definedName>
    <definedName name="年末余额4">#REF!</definedName>
    <definedName name="年末余额5">#REF!</definedName>
    <definedName name="其他应付款明细帐">#REF!</definedName>
    <definedName name="其他应收款明细帐">#REF!</definedName>
    <definedName name="生产成本明细帐">#REF!</definedName>
    <definedName name="速_动_资_产93">#REF!</definedName>
    <definedName name="速_动_资_产94">#REF!</definedName>
    <definedName name="速_动_资_产95">#REF!</definedName>
    <definedName name="委托加工">#REF!</definedName>
    <definedName name="现_金_流_量_表">#REF!</definedName>
    <definedName name="销售费用明细帐">#REF!</definedName>
    <definedName name="应收帐款93期初">#REF!</definedName>
    <definedName name="应收帐款93期末">#REF!</definedName>
    <definedName name="应收帐款94期初">#REF!</definedName>
    <definedName name="应收帐款94期末">#REF!</definedName>
    <definedName name="应收帐款95期初">#REF!</definedName>
    <definedName name="应收帐款95期末">#REF!</definedName>
    <definedName name="应收帐款明细帐">#REF!</definedName>
    <definedName name="营业费用">#REF!</definedName>
    <definedName name="预提费用明细帐">#REF!</definedName>
    <definedName name="原材料">#REF!</definedName>
    <definedName name="在途材料">#REF!</definedName>
    <definedName name="长期借款">#REF!</definedName>
    <definedName name="长期借款1">#REF!</definedName>
    <definedName name="置">#REF!</definedName>
    <definedName name="中">#REF!</definedName>
    <definedName name="资_____产">#REF!</definedName>
    <definedName name="资产合计93期初">#REF!</definedName>
    <definedName name="资产合计93期末">#REF!</definedName>
    <definedName name="资产合计94期初">#REF!</definedName>
    <definedName name="资产合计94期末">#REF!</definedName>
    <definedName name="资产合计95期初">#REF!</definedName>
    <definedName name="资产合计95期末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12" i="1" l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11" i="1"/>
  <c r="W35" i="55" l="1"/>
  <c r="AC29" i="55"/>
  <c r="P29" i="55"/>
  <c r="AG29" i="55" s="1"/>
  <c r="AC28" i="55"/>
  <c r="AD28" i="55" s="1"/>
  <c r="P28" i="55"/>
  <c r="AG28" i="55" s="1"/>
  <c r="AC27" i="55"/>
  <c r="P27" i="55"/>
  <c r="AG27" i="55" s="1"/>
  <c r="AC26" i="55"/>
  <c r="AD26" i="55" s="1"/>
  <c r="P26" i="55"/>
  <c r="AG26" i="55" s="1"/>
  <c r="AC25" i="55"/>
  <c r="P25" i="55"/>
  <c r="AG25" i="55" s="1"/>
  <c r="AC24" i="55"/>
  <c r="AD24" i="55" s="1"/>
  <c r="AE24" i="55" s="1"/>
  <c r="P24" i="55"/>
  <c r="AG24" i="55" s="1"/>
  <c r="AB22" i="55"/>
  <c r="AA22" i="55"/>
  <c r="Z22" i="55"/>
  <c r="Y22" i="55"/>
  <c r="X22" i="55"/>
  <c r="W22" i="55"/>
  <c r="V22" i="55"/>
  <c r="U22" i="55"/>
  <c r="T22" i="55"/>
  <c r="S22" i="55"/>
  <c r="R22" i="55"/>
  <c r="Q22" i="55"/>
  <c r="N22" i="55"/>
  <c r="J22" i="55"/>
  <c r="AE21" i="55"/>
  <c r="AD21" i="55"/>
  <c r="AC21" i="55"/>
  <c r="P21" i="55"/>
  <c r="AG21" i="55" s="1"/>
  <c r="AC20" i="55"/>
  <c r="P20" i="55"/>
  <c r="AG20" i="55" s="1"/>
  <c r="AC19" i="55"/>
  <c r="AD19" i="55" s="1"/>
  <c r="AE19" i="55" s="1"/>
  <c r="P19" i="55"/>
  <c r="AG19" i="55" s="1"/>
  <c r="AD18" i="55"/>
  <c r="AE18" i="55" s="1"/>
  <c r="AC18" i="55"/>
  <c r="P18" i="55"/>
  <c r="AG18" i="55" s="1"/>
  <c r="AE17" i="55"/>
  <c r="AD17" i="55"/>
  <c r="AC17" i="55"/>
  <c r="P17" i="55"/>
  <c r="AG17" i="55" s="1"/>
  <c r="AC16" i="55"/>
  <c r="P16" i="55"/>
  <c r="AG16" i="55" s="1"/>
  <c r="AC15" i="55"/>
  <c r="AD15" i="55" s="1"/>
  <c r="AE15" i="55" s="1"/>
  <c r="P15" i="55"/>
  <c r="AG15" i="55" s="1"/>
  <c r="AD14" i="55"/>
  <c r="AE14" i="55" s="1"/>
  <c r="AC14" i="55"/>
  <c r="P14" i="55"/>
  <c r="AG14" i="55" s="1"/>
  <c r="AE13" i="55"/>
  <c r="AD13" i="55"/>
  <c r="AC13" i="55"/>
  <c r="P13" i="55"/>
  <c r="AG13" i="55" s="1"/>
  <c r="AC12" i="55"/>
  <c r="O12" i="55"/>
  <c r="N12" i="55"/>
  <c r="M12" i="55"/>
  <c r="L12" i="55"/>
  <c r="K12" i="55"/>
  <c r="J12" i="55"/>
  <c r="I12" i="55"/>
  <c r="H12" i="55"/>
  <c r="G12" i="55"/>
  <c r="F12" i="55"/>
  <c r="E12" i="55"/>
  <c r="D12" i="55"/>
  <c r="P12" i="55" s="1"/>
  <c r="AC11" i="55"/>
  <c r="O11" i="55"/>
  <c r="N11" i="55"/>
  <c r="M11" i="55"/>
  <c r="L11" i="55"/>
  <c r="K11" i="55"/>
  <c r="J11" i="55"/>
  <c r="I11" i="55"/>
  <c r="H11" i="55"/>
  <c r="G11" i="55"/>
  <c r="F11" i="55"/>
  <c r="E11" i="55"/>
  <c r="D11" i="55"/>
  <c r="AC10" i="55"/>
  <c r="AC22" i="55" s="1"/>
  <c r="O10" i="55"/>
  <c r="O22" i="55" s="1"/>
  <c r="N10" i="55"/>
  <c r="M10" i="55"/>
  <c r="L10" i="55"/>
  <c r="K10" i="55"/>
  <c r="K22" i="55" s="1"/>
  <c r="J10" i="55"/>
  <c r="I10" i="55"/>
  <c r="H10" i="55"/>
  <c r="G10" i="55"/>
  <c r="G22" i="55" s="1"/>
  <c r="F10" i="55"/>
  <c r="F22" i="55" s="1"/>
  <c r="E10" i="55"/>
  <c r="D10" i="55"/>
  <c r="AC7" i="55"/>
  <c r="AB7" i="55"/>
  <c r="AA7" i="55"/>
  <c r="Z7" i="55"/>
  <c r="Y7" i="55"/>
  <c r="X7" i="55"/>
  <c r="W7" i="55"/>
  <c r="V7" i="55"/>
  <c r="U7" i="55"/>
  <c r="T7" i="55"/>
  <c r="S7" i="55"/>
  <c r="R7" i="55"/>
  <c r="Q7" i="55"/>
  <c r="P7" i="55"/>
  <c r="O7" i="55"/>
  <c r="N7" i="55"/>
  <c r="M7" i="55"/>
  <c r="L7" i="55"/>
  <c r="K7" i="55"/>
  <c r="J7" i="55"/>
  <c r="I7" i="55"/>
  <c r="H7" i="55"/>
  <c r="G7" i="55"/>
  <c r="F7" i="55"/>
  <c r="E7" i="55"/>
  <c r="D7" i="55"/>
  <c r="AC6" i="55"/>
  <c r="AB6" i="55"/>
  <c r="AA6" i="55"/>
  <c r="Z6" i="55"/>
  <c r="Y6" i="55"/>
  <c r="X6" i="55"/>
  <c r="W6" i="55"/>
  <c r="V6" i="55"/>
  <c r="U6" i="55"/>
  <c r="T6" i="55"/>
  <c r="S6" i="55"/>
  <c r="R6" i="55"/>
  <c r="Q6" i="55"/>
  <c r="P6" i="55"/>
  <c r="O6" i="55"/>
  <c r="N6" i="55"/>
  <c r="M6" i="55"/>
  <c r="L6" i="55"/>
  <c r="K6" i="55"/>
  <c r="J6" i="55"/>
  <c r="I6" i="55"/>
  <c r="H6" i="55"/>
  <c r="G6" i="55"/>
  <c r="F6" i="55"/>
  <c r="E6" i="55"/>
  <c r="D6" i="55"/>
  <c r="C4" i="55"/>
  <c r="O2" i="55"/>
  <c r="N2" i="55"/>
  <c r="M2" i="55"/>
  <c r="L2" i="55"/>
  <c r="K2" i="55"/>
  <c r="J2" i="55"/>
  <c r="I2" i="55"/>
  <c r="H2" i="55"/>
  <c r="G2" i="55"/>
  <c r="F2" i="55"/>
  <c r="E2" i="55"/>
  <c r="D2" i="55"/>
  <c r="O1" i="55"/>
  <c r="N1" i="55"/>
  <c r="M1" i="55"/>
  <c r="L1" i="55"/>
  <c r="K1" i="55"/>
  <c r="J1" i="55"/>
  <c r="I1" i="55"/>
  <c r="H1" i="55"/>
  <c r="G1" i="55"/>
  <c r="F1" i="55"/>
  <c r="E1" i="55"/>
  <c r="D1" i="55"/>
  <c r="P380" i="54"/>
  <c r="P379" i="54"/>
  <c r="P381" i="54" s="1"/>
  <c r="P374" i="54"/>
  <c r="P375" i="54" s="1"/>
  <c r="D256" i="54"/>
  <c r="P255" i="54"/>
  <c r="F254" i="54"/>
  <c r="E251" i="54"/>
  <c r="P248" i="54"/>
  <c r="P247" i="54"/>
  <c r="P246" i="54"/>
  <c r="P245" i="54"/>
  <c r="P243" i="54"/>
  <c r="P242" i="54"/>
  <c r="P241" i="54"/>
  <c r="P240" i="54"/>
  <c r="P238" i="54"/>
  <c r="P236" i="54"/>
  <c r="P234" i="54"/>
  <c r="P233" i="54"/>
  <c r="P232" i="54"/>
  <c r="P231" i="54"/>
  <c r="P230" i="54"/>
  <c r="P229" i="54"/>
  <c r="P228" i="54"/>
  <c r="P227" i="54"/>
  <c r="P226" i="54"/>
  <c r="P225" i="54"/>
  <c r="P224" i="54"/>
  <c r="P223" i="54"/>
  <c r="P222" i="54"/>
  <c r="P221" i="54"/>
  <c r="P220" i="54"/>
  <c r="P219" i="54"/>
  <c r="P218" i="54"/>
  <c r="P217" i="54"/>
  <c r="P216" i="54"/>
  <c r="P215" i="54"/>
  <c r="P214" i="54"/>
  <c r="P213" i="54"/>
  <c r="P212" i="54"/>
  <c r="P211" i="54"/>
  <c r="P209" i="54"/>
  <c r="D204" i="54"/>
  <c r="E203" i="54"/>
  <c r="D257" i="54" s="1"/>
  <c r="F202" i="54"/>
  <c r="E256" i="54" s="1"/>
  <c r="E202" i="54"/>
  <c r="G201" i="54"/>
  <c r="H201" i="54" s="1"/>
  <c r="F201" i="54"/>
  <c r="E254" i="54" s="1"/>
  <c r="E201" i="54"/>
  <c r="D254" i="54" s="1"/>
  <c r="E200" i="54"/>
  <c r="E199" i="54"/>
  <c r="G198" i="54"/>
  <c r="F198" i="54"/>
  <c r="E198" i="54"/>
  <c r="D251" i="54" s="1"/>
  <c r="G197" i="54"/>
  <c r="F197" i="54"/>
  <c r="E250" i="54" s="1"/>
  <c r="E197" i="54"/>
  <c r="D250" i="54" s="1"/>
  <c r="E196" i="54"/>
  <c r="D249" i="54" s="1"/>
  <c r="E195" i="54"/>
  <c r="E194" i="54"/>
  <c r="D239" i="54" s="1"/>
  <c r="G193" i="54"/>
  <c r="F193" i="54"/>
  <c r="E237" i="54" s="1"/>
  <c r="E193" i="54"/>
  <c r="D237" i="54" s="1"/>
  <c r="E192" i="54"/>
  <c r="D235" i="54" s="1"/>
  <c r="E191" i="54"/>
  <c r="E190" i="54"/>
  <c r="D208" i="54" s="1"/>
  <c r="G189" i="54"/>
  <c r="F189" i="54"/>
  <c r="E207" i="54" s="1"/>
  <c r="E189" i="54"/>
  <c r="D207" i="54" s="1"/>
  <c r="E188" i="54"/>
  <c r="F123" i="54"/>
  <c r="G123" i="54" s="1"/>
  <c r="D123" i="54"/>
  <c r="E123" i="54" s="1"/>
  <c r="H122" i="54"/>
  <c r="I122" i="54" s="1"/>
  <c r="G122" i="54"/>
  <c r="E122" i="54"/>
  <c r="H121" i="54"/>
  <c r="I121" i="54" s="1"/>
  <c r="G121" i="54"/>
  <c r="E121" i="54"/>
  <c r="H120" i="54"/>
  <c r="I120" i="54" s="1"/>
  <c r="E120" i="54"/>
  <c r="H119" i="54"/>
  <c r="I119" i="54" s="1"/>
  <c r="G119" i="54"/>
  <c r="E119" i="54"/>
  <c r="H118" i="54"/>
  <c r="I118" i="54" s="1"/>
  <c r="G118" i="54"/>
  <c r="E118" i="54"/>
  <c r="H117" i="54"/>
  <c r="I117" i="54" s="1"/>
  <c r="G117" i="54"/>
  <c r="E117" i="54"/>
  <c r="H116" i="54"/>
  <c r="I116" i="54" s="1"/>
  <c r="G116" i="54"/>
  <c r="E116" i="54"/>
  <c r="H115" i="54"/>
  <c r="I115" i="54" s="1"/>
  <c r="G115" i="54"/>
  <c r="E115" i="54"/>
  <c r="H114" i="54"/>
  <c r="I114" i="54" s="1"/>
  <c r="G114" i="54"/>
  <c r="E114" i="54"/>
  <c r="H113" i="54"/>
  <c r="I113" i="54" s="1"/>
  <c r="G113" i="54"/>
  <c r="E113" i="54"/>
  <c r="H112" i="54"/>
  <c r="I112" i="54" s="1"/>
  <c r="E112" i="54"/>
  <c r="H111" i="54"/>
  <c r="I111" i="54" s="1"/>
  <c r="E111" i="54"/>
  <c r="I110" i="54"/>
  <c r="H110" i="54"/>
  <c r="G110" i="54"/>
  <c r="E110" i="54"/>
  <c r="I109" i="54"/>
  <c r="H109" i="54"/>
  <c r="G109" i="54"/>
  <c r="E109" i="54"/>
  <c r="I108" i="54"/>
  <c r="H108" i="54"/>
  <c r="G108" i="54"/>
  <c r="E108" i="54"/>
  <c r="I107" i="54"/>
  <c r="H107" i="54"/>
  <c r="G107" i="54"/>
  <c r="E107" i="54"/>
  <c r="I106" i="54"/>
  <c r="H106" i="54"/>
  <c r="E106" i="54"/>
  <c r="H105" i="54"/>
  <c r="I105" i="54" s="1"/>
  <c r="E105" i="54"/>
  <c r="H104" i="54"/>
  <c r="I104" i="54" s="1"/>
  <c r="E104" i="54"/>
  <c r="I103" i="54"/>
  <c r="H103" i="54"/>
  <c r="E103" i="54"/>
  <c r="I102" i="54"/>
  <c r="H102" i="54"/>
  <c r="G102" i="54"/>
  <c r="E102" i="54"/>
  <c r="I101" i="54"/>
  <c r="H101" i="54"/>
  <c r="G101" i="54"/>
  <c r="E101" i="54"/>
  <c r="I100" i="54"/>
  <c r="H100" i="54"/>
  <c r="G100" i="54"/>
  <c r="E100" i="54"/>
  <c r="I99" i="54"/>
  <c r="H99" i="54"/>
  <c r="E99" i="54"/>
  <c r="H98" i="54"/>
  <c r="I98" i="54" s="1"/>
  <c r="G98" i="54"/>
  <c r="E98" i="54"/>
  <c r="H97" i="54"/>
  <c r="I97" i="54" s="1"/>
  <c r="G97" i="54"/>
  <c r="E97" i="54"/>
  <c r="H96" i="54"/>
  <c r="I96" i="54" s="1"/>
  <c r="E96" i="54"/>
  <c r="H95" i="54"/>
  <c r="I95" i="54" s="1"/>
  <c r="E95" i="54"/>
  <c r="I94" i="54"/>
  <c r="H94" i="54"/>
  <c r="G94" i="54"/>
  <c r="E94" i="54"/>
  <c r="I93" i="54"/>
  <c r="H93" i="54"/>
  <c r="E93" i="54"/>
  <c r="I92" i="54"/>
  <c r="H92" i="54"/>
  <c r="E92" i="54"/>
  <c r="H91" i="54"/>
  <c r="I91" i="54" s="1"/>
  <c r="G91" i="54"/>
  <c r="E91" i="54"/>
  <c r="H90" i="54"/>
  <c r="I90" i="54" s="1"/>
  <c r="E90" i="54"/>
  <c r="H89" i="54"/>
  <c r="I89" i="54" s="1"/>
  <c r="E89" i="54"/>
  <c r="I88" i="54"/>
  <c r="H88" i="54"/>
  <c r="E88" i="54"/>
  <c r="I87" i="54"/>
  <c r="H87" i="54"/>
  <c r="E87" i="54"/>
  <c r="H86" i="54"/>
  <c r="I86" i="54" s="1"/>
  <c r="G86" i="54"/>
  <c r="E86" i="54"/>
  <c r="H85" i="54"/>
  <c r="I85" i="54" s="1"/>
  <c r="E85" i="54"/>
  <c r="H84" i="54"/>
  <c r="I84" i="54" s="1"/>
  <c r="G84" i="54"/>
  <c r="E84" i="54"/>
  <c r="H83" i="54"/>
  <c r="I83" i="54" s="1"/>
  <c r="E83" i="54"/>
  <c r="I82" i="54"/>
  <c r="H82" i="54"/>
  <c r="G82" i="54"/>
  <c r="E82" i="54"/>
  <c r="I81" i="54"/>
  <c r="H81" i="54"/>
  <c r="E81" i="54"/>
  <c r="I80" i="54"/>
  <c r="H80" i="54"/>
  <c r="G80" i="54"/>
  <c r="E80" i="54"/>
  <c r="I79" i="54"/>
  <c r="H79" i="54"/>
  <c r="E79" i="54"/>
  <c r="H78" i="54"/>
  <c r="I78" i="54" s="1"/>
  <c r="G78" i="54"/>
  <c r="E78" i="54"/>
  <c r="H77" i="54"/>
  <c r="I77" i="54" s="1"/>
  <c r="E77" i="54"/>
  <c r="H76" i="54"/>
  <c r="I76" i="54" s="1"/>
  <c r="G76" i="54"/>
  <c r="E76" i="54"/>
  <c r="H75" i="54"/>
  <c r="I75" i="54" s="1"/>
  <c r="G75" i="54"/>
  <c r="E75" i="54"/>
  <c r="H74" i="54"/>
  <c r="I74" i="54" s="1"/>
  <c r="E74" i="54"/>
  <c r="I73" i="54"/>
  <c r="H73" i="54"/>
  <c r="G73" i="54"/>
  <c r="E73" i="54"/>
  <c r="I72" i="54"/>
  <c r="H72" i="54"/>
  <c r="G72" i="54"/>
  <c r="E72" i="54"/>
  <c r="I71" i="54"/>
  <c r="H71" i="54"/>
  <c r="G71" i="54"/>
  <c r="E71" i="54"/>
  <c r="O67" i="54"/>
  <c r="N67" i="54"/>
  <c r="M67" i="54"/>
  <c r="L67" i="54"/>
  <c r="K67" i="54"/>
  <c r="J67" i="54"/>
  <c r="I67" i="54"/>
  <c r="H67" i="54"/>
  <c r="G67" i="54"/>
  <c r="F67" i="54"/>
  <c r="E67" i="54"/>
  <c r="D67" i="54"/>
  <c r="P66" i="54"/>
  <c r="P65" i="54"/>
  <c r="P64" i="54"/>
  <c r="P67" i="54" s="1"/>
  <c r="AC61" i="54"/>
  <c r="AD61" i="54" s="1"/>
  <c r="AE61" i="54" s="1"/>
  <c r="P61" i="54"/>
  <c r="AG61" i="54" s="1"/>
  <c r="AG60" i="54"/>
  <c r="W59" i="54"/>
  <c r="W9" i="54" s="1"/>
  <c r="G59" i="54"/>
  <c r="AB58" i="54"/>
  <c r="AA58" i="54"/>
  <c r="Z58" i="54"/>
  <c r="Y58" i="54"/>
  <c r="X58" i="54"/>
  <c r="W58" i="54"/>
  <c r="V58" i="54"/>
  <c r="U58" i="54"/>
  <c r="T58" i="54"/>
  <c r="S58" i="54"/>
  <c r="R58" i="54"/>
  <c r="Q58" i="54"/>
  <c r="O58" i="54"/>
  <c r="N58" i="54"/>
  <c r="M58" i="54"/>
  <c r="L58" i="54"/>
  <c r="K58" i="54"/>
  <c r="J58" i="54"/>
  <c r="I58" i="54"/>
  <c r="H58" i="54"/>
  <c r="G58" i="54"/>
  <c r="F58" i="54"/>
  <c r="E58" i="54"/>
  <c r="D58" i="54"/>
  <c r="AC57" i="54"/>
  <c r="AD57" i="54" s="1"/>
  <c r="AE57" i="54" s="1"/>
  <c r="P57" i="54"/>
  <c r="AG57" i="54" s="1"/>
  <c r="AD56" i="54"/>
  <c r="AE56" i="54" s="1"/>
  <c r="AC56" i="54"/>
  <c r="P56" i="54"/>
  <c r="AG56" i="54" s="1"/>
  <c r="AE55" i="54"/>
  <c r="AC55" i="54"/>
  <c r="P55" i="54"/>
  <c r="AD55" i="54" s="1"/>
  <c r="AC54" i="54"/>
  <c r="AD54" i="54" s="1"/>
  <c r="AE54" i="54" s="1"/>
  <c r="P54" i="54"/>
  <c r="AG54" i="54" s="1"/>
  <c r="AC53" i="54"/>
  <c r="AD53" i="54" s="1"/>
  <c r="AE53" i="54" s="1"/>
  <c r="P53" i="54"/>
  <c r="AG53" i="54" s="1"/>
  <c r="AD52" i="54"/>
  <c r="AE52" i="54" s="1"/>
  <c r="AC52" i="54"/>
  <c r="P52" i="54"/>
  <c r="AG52" i="54" s="1"/>
  <c r="AC51" i="54"/>
  <c r="P51" i="54"/>
  <c r="AD51" i="54" s="1"/>
  <c r="AE51" i="54" s="1"/>
  <c r="AC50" i="54"/>
  <c r="P50" i="54"/>
  <c r="AG49" i="54"/>
  <c r="AB48" i="54"/>
  <c r="AA48" i="54"/>
  <c r="Z48" i="54"/>
  <c r="Y48" i="54"/>
  <c r="X48" i="54"/>
  <c r="W48" i="54"/>
  <c r="V48" i="54"/>
  <c r="U48" i="54"/>
  <c r="T48" i="54"/>
  <c r="S48" i="54"/>
  <c r="R48" i="54"/>
  <c r="Q48" i="54"/>
  <c r="O48" i="54"/>
  <c r="N48" i="54"/>
  <c r="M48" i="54"/>
  <c r="L48" i="54"/>
  <c r="K48" i="54"/>
  <c r="J48" i="54"/>
  <c r="I48" i="54"/>
  <c r="H48" i="54"/>
  <c r="G48" i="54"/>
  <c r="F48" i="54"/>
  <c r="E48" i="54"/>
  <c r="D48" i="54"/>
  <c r="AC47" i="54"/>
  <c r="AD47" i="54" s="1"/>
  <c r="AE47" i="54" s="1"/>
  <c r="P47" i="54"/>
  <c r="AG47" i="54" s="1"/>
  <c r="AC46" i="54"/>
  <c r="P46" i="54"/>
  <c r="AG46" i="54" s="1"/>
  <c r="AC45" i="54"/>
  <c r="AD45" i="54" s="1"/>
  <c r="AE45" i="54" s="1"/>
  <c r="P45" i="54"/>
  <c r="AG45" i="54" s="1"/>
  <c r="AD44" i="54"/>
  <c r="AE44" i="54" s="1"/>
  <c r="AC44" i="54"/>
  <c r="P44" i="54"/>
  <c r="AG44" i="54" s="1"/>
  <c r="AC43" i="54"/>
  <c r="AD43" i="54" s="1"/>
  <c r="AE43" i="54" s="1"/>
  <c r="P43" i="54"/>
  <c r="AG43" i="54" s="1"/>
  <c r="AG42" i="54"/>
  <c r="AC42" i="54"/>
  <c r="P42" i="54"/>
  <c r="AC41" i="54"/>
  <c r="AD41" i="54" s="1"/>
  <c r="AE41" i="54" s="1"/>
  <c r="P41" i="54"/>
  <c r="AG41" i="54" s="1"/>
  <c r="AD40" i="54"/>
  <c r="AE40" i="54" s="1"/>
  <c r="AC40" i="54"/>
  <c r="P40" i="54"/>
  <c r="P48" i="54" s="1"/>
  <c r="AG48" i="54" s="1"/>
  <c r="AG39" i="54"/>
  <c r="AB38" i="54"/>
  <c r="AA38" i="54"/>
  <c r="Z38" i="54"/>
  <c r="Y38" i="54"/>
  <c r="X38" i="54"/>
  <c r="W38" i="54"/>
  <c r="V38" i="54"/>
  <c r="U38" i="54"/>
  <c r="T38" i="54"/>
  <c r="S38" i="54"/>
  <c r="R38" i="54"/>
  <c r="Q38" i="54"/>
  <c r="O38" i="54"/>
  <c r="N38" i="54"/>
  <c r="M38" i="54"/>
  <c r="L38" i="54"/>
  <c r="K38" i="54"/>
  <c r="J38" i="54"/>
  <c r="I38" i="54"/>
  <c r="H38" i="54"/>
  <c r="G38" i="54"/>
  <c r="F38" i="54"/>
  <c r="E38" i="54"/>
  <c r="D38" i="54"/>
  <c r="AC37" i="54"/>
  <c r="AD37" i="54" s="1"/>
  <c r="AE37" i="54" s="1"/>
  <c r="P37" i="54"/>
  <c r="AG37" i="54" s="1"/>
  <c r="AD36" i="54"/>
  <c r="AE36" i="54" s="1"/>
  <c r="AC36" i="54"/>
  <c r="P36" i="54"/>
  <c r="AG36" i="54" s="1"/>
  <c r="AE35" i="54"/>
  <c r="AC35" i="54"/>
  <c r="P35" i="54"/>
  <c r="AD35" i="54" s="1"/>
  <c r="AG34" i="54"/>
  <c r="AC34" i="54"/>
  <c r="AD34" i="54" s="1"/>
  <c r="AE34" i="54" s="1"/>
  <c r="P34" i="54"/>
  <c r="P38" i="54" s="1"/>
  <c r="AG38" i="54" s="1"/>
  <c r="AC33" i="54"/>
  <c r="P33" i="54"/>
  <c r="AG33" i="54" s="1"/>
  <c r="AG32" i="54"/>
  <c r="AB31" i="54"/>
  <c r="AB59" i="54" s="1"/>
  <c r="AB9" i="54" s="1"/>
  <c r="AA31" i="54"/>
  <c r="AA59" i="54" s="1"/>
  <c r="AA9" i="54" s="1"/>
  <c r="Z31" i="54"/>
  <c r="Z59" i="54" s="1"/>
  <c r="Z9" i="54" s="1"/>
  <c r="Y31" i="54"/>
  <c r="Y59" i="54" s="1"/>
  <c r="X31" i="54"/>
  <c r="X59" i="54" s="1"/>
  <c r="X9" i="54" s="1"/>
  <c r="W31" i="54"/>
  <c r="V31" i="54"/>
  <c r="V59" i="54" s="1"/>
  <c r="V9" i="54" s="1"/>
  <c r="U31" i="54"/>
  <c r="U59" i="54" s="1"/>
  <c r="T31" i="54"/>
  <c r="T59" i="54" s="1"/>
  <c r="T9" i="54" s="1"/>
  <c r="S31" i="54"/>
  <c r="S59" i="54" s="1"/>
  <c r="S9" i="54" s="1"/>
  <c r="R31" i="54"/>
  <c r="R59" i="54" s="1"/>
  <c r="R9" i="54" s="1"/>
  <c r="Q31" i="54"/>
  <c r="Q59" i="54" s="1"/>
  <c r="O31" i="54"/>
  <c r="O59" i="54" s="1"/>
  <c r="N31" i="54"/>
  <c r="N59" i="54" s="1"/>
  <c r="M31" i="54"/>
  <c r="M59" i="54" s="1"/>
  <c r="L31" i="54"/>
  <c r="L59" i="54" s="1"/>
  <c r="K31" i="54"/>
  <c r="K59" i="54" s="1"/>
  <c r="J31" i="54"/>
  <c r="J59" i="54" s="1"/>
  <c r="I31" i="54"/>
  <c r="I59" i="54" s="1"/>
  <c r="H31" i="54"/>
  <c r="H59" i="54" s="1"/>
  <c r="G31" i="54"/>
  <c r="F31" i="54"/>
  <c r="F59" i="54" s="1"/>
  <c r="E31" i="54"/>
  <c r="E59" i="54" s="1"/>
  <c r="D31" i="54"/>
  <c r="D59" i="54" s="1"/>
  <c r="AC30" i="54"/>
  <c r="AD30" i="54" s="1"/>
  <c r="AE30" i="54" s="1"/>
  <c r="P30" i="54"/>
  <c r="AC29" i="54"/>
  <c r="P29" i="54"/>
  <c r="AG29" i="54" s="1"/>
  <c r="AG28" i="54"/>
  <c r="AG27" i="54"/>
  <c r="AG26" i="54"/>
  <c r="AG25" i="54"/>
  <c r="AC24" i="54"/>
  <c r="AB23" i="54"/>
  <c r="AA23" i="54"/>
  <c r="Z23" i="54"/>
  <c r="Y23" i="54"/>
  <c r="X23" i="54"/>
  <c r="W23" i="54"/>
  <c r="V23" i="54"/>
  <c r="U23" i="54"/>
  <c r="T23" i="54"/>
  <c r="S23" i="54"/>
  <c r="R23" i="54"/>
  <c r="Q23" i="54"/>
  <c r="O23" i="54"/>
  <c r="L23" i="54"/>
  <c r="K23" i="54"/>
  <c r="H23" i="54"/>
  <c r="G23" i="54"/>
  <c r="D23" i="54"/>
  <c r="AG22" i="54"/>
  <c r="AC22" i="54"/>
  <c r="AD22" i="54" s="1"/>
  <c r="AE22" i="54" s="1"/>
  <c r="P22" i="54"/>
  <c r="AC21" i="54"/>
  <c r="AD21" i="54" s="1"/>
  <c r="AE21" i="54" s="1"/>
  <c r="P21" i="54"/>
  <c r="AG21" i="54" s="1"/>
  <c r="AD20" i="54"/>
  <c r="AE20" i="54" s="1"/>
  <c r="AC20" i="54"/>
  <c r="P20" i="54"/>
  <c r="AG20" i="54" s="1"/>
  <c r="AE19" i="54"/>
  <c r="AC19" i="54"/>
  <c r="AD19" i="54" s="1"/>
  <c r="P19" i="54"/>
  <c r="AG19" i="54" s="1"/>
  <c r="AC18" i="54"/>
  <c r="P18" i="54"/>
  <c r="AG18" i="54" s="1"/>
  <c r="AC17" i="54"/>
  <c r="AD17" i="54" s="1"/>
  <c r="AE17" i="54" s="1"/>
  <c r="P17" i="54"/>
  <c r="AG17" i="54" s="1"/>
  <c r="AD16" i="54"/>
  <c r="AE16" i="54" s="1"/>
  <c r="AC16" i="54"/>
  <c r="P16" i="54"/>
  <c r="AG16" i="54" s="1"/>
  <c r="AC15" i="54"/>
  <c r="P15" i="54"/>
  <c r="AD15" i="54" s="1"/>
  <c r="AE15" i="54" s="1"/>
  <c r="AC14" i="54"/>
  <c r="P14" i="54"/>
  <c r="AG14" i="54" s="1"/>
  <c r="AC13" i="54"/>
  <c r="AD13" i="54" s="1"/>
  <c r="AE13" i="54" s="1"/>
  <c r="P13" i="54"/>
  <c r="AG13" i="54" s="1"/>
  <c r="AC12" i="54"/>
  <c r="AC23" i="54" s="1"/>
  <c r="O12" i="54"/>
  <c r="N12" i="54"/>
  <c r="N23" i="54" s="1"/>
  <c r="M12" i="54"/>
  <c r="M23" i="54" s="1"/>
  <c r="L12" i="54"/>
  <c r="K12" i="54"/>
  <c r="J12" i="54"/>
  <c r="J23" i="54" s="1"/>
  <c r="I12" i="54"/>
  <c r="I23" i="54" s="1"/>
  <c r="H12" i="54"/>
  <c r="G12" i="54"/>
  <c r="F12" i="54"/>
  <c r="F23" i="54" s="1"/>
  <c r="E12" i="54"/>
  <c r="E23" i="54" s="1"/>
  <c r="D12" i="54"/>
  <c r="P12" i="54" s="1"/>
  <c r="AG11" i="54"/>
  <c r="AG10" i="54"/>
  <c r="Y9" i="54"/>
  <c r="U9" i="54"/>
  <c r="Q9" i="54"/>
  <c r="AC7" i="54"/>
  <c r="AB7" i="54"/>
  <c r="AA7" i="54"/>
  <c r="Z7" i="54"/>
  <c r="Y7" i="54"/>
  <c r="X7" i="54"/>
  <c r="W7" i="54"/>
  <c r="V7" i="54"/>
  <c r="U7" i="54"/>
  <c r="T7" i="54"/>
  <c r="S7" i="54"/>
  <c r="R7" i="54"/>
  <c r="Q7" i="54"/>
  <c r="P7" i="54"/>
  <c r="O7" i="54"/>
  <c r="N7" i="54"/>
  <c r="M7" i="54"/>
  <c r="L7" i="54"/>
  <c r="K7" i="54"/>
  <c r="J7" i="54"/>
  <c r="I7" i="54"/>
  <c r="H7" i="54"/>
  <c r="G7" i="54"/>
  <c r="F7" i="54"/>
  <c r="E7" i="54"/>
  <c r="D7" i="54"/>
  <c r="AC6" i="54"/>
  <c r="AB6" i="54"/>
  <c r="AA6" i="54"/>
  <c r="Z6" i="54"/>
  <c r="Y6" i="54"/>
  <c r="X6" i="54"/>
  <c r="W6" i="54"/>
  <c r="V6" i="54"/>
  <c r="U6" i="54"/>
  <c r="T6" i="54"/>
  <c r="S6" i="54"/>
  <c r="R6" i="54"/>
  <c r="Q6" i="54"/>
  <c r="P6" i="54"/>
  <c r="O6" i="54"/>
  <c r="N6" i="54"/>
  <c r="M6" i="54"/>
  <c r="L6" i="54"/>
  <c r="K6" i="54"/>
  <c r="J6" i="54"/>
  <c r="I6" i="54"/>
  <c r="H6" i="54"/>
  <c r="G6" i="54"/>
  <c r="F6" i="54"/>
  <c r="E6" i="54"/>
  <c r="D6" i="54"/>
  <c r="C4" i="54"/>
  <c r="O2" i="54"/>
  <c r="N2" i="54"/>
  <c r="M2" i="54"/>
  <c r="L2" i="54"/>
  <c r="K2" i="54"/>
  <c r="J2" i="54"/>
  <c r="I2" i="54"/>
  <c r="H2" i="54"/>
  <c r="G2" i="54"/>
  <c r="F2" i="54"/>
  <c r="E2" i="54"/>
  <c r="D2" i="54"/>
  <c r="O1" i="54"/>
  <c r="N1" i="54"/>
  <c r="M1" i="54"/>
  <c r="L1" i="54"/>
  <c r="K1" i="54"/>
  <c r="J1" i="54"/>
  <c r="I1" i="54"/>
  <c r="H1" i="54"/>
  <c r="G1" i="54"/>
  <c r="F1" i="54"/>
  <c r="E1" i="54"/>
  <c r="D1" i="54"/>
  <c r="P136" i="53"/>
  <c r="P132" i="53"/>
  <c r="P131" i="53"/>
  <c r="P130" i="53"/>
  <c r="P129" i="53"/>
  <c r="P128" i="53"/>
  <c r="P127" i="53"/>
  <c r="R117" i="53"/>
  <c r="O117" i="53"/>
  <c r="N117" i="53"/>
  <c r="M117" i="53"/>
  <c r="L117" i="53"/>
  <c r="K117" i="53"/>
  <c r="J117" i="53"/>
  <c r="I117" i="53"/>
  <c r="H117" i="53"/>
  <c r="G117" i="53"/>
  <c r="F117" i="53"/>
  <c r="E117" i="53"/>
  <c r="D117" i="53"/>
  <c r="AD114" i="53"/>
  <c r="P114" i="53"/>
  <c r="S114" i="53" s="1"/>
  <c r="AD113" i="53"/>
  <c r="P113" i="53"/>
  <c r="S113" i="53" s="1"/>
  <c r="P112" i="53"/>
  <c r="P111" i="53"/>
  <c r="S111" i="53" s="1"/>
  <c r="AD110" i="53"/>
  <c r="P110" i="53"/>
  <c r="S110" i="53" s="1"/>
  <c r="P109" i="53"/>
  <c r="S108" i="53"/>
  <c r="P108" i="53"/>
  <c r="AD107" i="53"/>
  <c r="P107" i="53"/>
  <c r="AD106" i="53"/>
  <c r="S106" i="53"/>
  <c r="P106" i="53"/>
  <c r="P105" i="53"/>
  <c r="AD104" i="53"/>
  <c r="P104" i="53"/>
  <c r="AD103" i="53"/>
  <c r="P103" i="53"/>
  <c r="S102" i="53"/>
  <c r="P102" i="53"/>
  <c r="AD102" i="53" s="1"/>
  <c r="P101" i="53"/>
  <c r="P100" i="53"/>
  <c r="AD100" i="53" s="1"/>
  <c r="P99" i="53"/>
  <c r="AD99" i="53" s="1"/>
  <c r="AD98" i="53"/>
  <c r="P98" i="53"/>
  <c r="AD97" i="53"/>
  <c r="P97" i="53"/>
  <c r="AD96" i="53"/>
  <c r="S96" i="53"/>
  <c r="P96" i="53"/>
  <c r="P95" i="53"/>
  <c r="AD94" i="53"/>
  <c r="P94" i="53"/>
  <c r="AD93" i="53"/>
  <c r="P93" i="53"/>
  <c r="P92" i="53"/>
  <c r="AD92" i="53" s="1"/>
  <c r="P91" i="53"/>
  <c r="AD91" i="53" s="1"/>
  <c r="AD90" i="53"/>
  <c r="P90" i="53"/>
  <c r="AD89" i="53"/>
  <c r="P89" i="53"/>
  <c r="AD88" i="53"/>
  <c r="S88" i="53"/>
  <c r="P88" i="53"/>
  <c r="AD87" i="53"/>
  <c r="S87" i="53"/>
  <c r="P87" i="53"/>
  <c r="AD86" i="53"/>
  <c r="S86" i="53"/>
  <c r="P86" i="53"/>
  <c r="AD85" i="53"/>
  <c r="S85" i="53"/>
  <c r="P85" i="53"/>
  <c r="AD84" i="53"/>
  <c r="S84" i="53"/>
  <c r="P84" i="53"/>
  <c r="AD83" i="53"/>
  <c r="S83" i="53"/>
  <c r="P83" i="53"/>
  <c r="AD82" i="53"/>
  <c r="S82" i="53"/>
  <c r="P82" i="53"/>
  <c r="AD81" i="53"/>
  <c r="S81" i="53"/>
  <c r="P81" i="53"/>
  <c r="AD80" i="53"/>
  <c r="S80" i="53"/>
  <c r="P80" i="53"/>
  <c r="AD79" i="53"/>
  <c r="S79" i="53"/>
  <c r="P79" i="53"/>
  <c r="AD78" i="53"/>
  <c r="S78" i="53"/>
  <c r="P78" i="53"/>
  <c r="AD77" i="53"/>
  <c r="P77" i="53"/>
  <c r="S76" i="53"/>
  <c r="P76" i="53"/>
  <c r="AD76" i="53" s="1"/>
  <c r="P75" i="53"/>
  <c r="AD75" i="53" s="1"/>
  <c r="P74" i="53"/>
  <c r="P73" i="53"/>
  <c r="AD73" i="53" s="1"/>
  <c r="P72" i="53"/>
  <c r="S72" i="53" s="1"/>
  <c r="P71" i="53"/>
  <c r="AD70" i="53"/>
  <c r="P70" i="53"/>
  <c r="S70" i="53" s="1"/>
  <c r="P65" i="53"/>
  <c r="O65" i="53"/>
  <c r="N65" i="53"/>
  <c r="M65" i="53"/>
  <c r="L65" i="53"/>
  <c r="K65" i="53"/>
  <c r="J65" i="53"/>
  <c r="I65" i="53"/>
  <c r="H65" i="53"/>
  <c r="G65" i="53"/>
  <c r="F65" i="53"/>
  <c r="E65" i="53"/>
  <c r="D65" i="53"/>
  <c r="P64" i="53"/>
  <c r="P63" i="53"/>
  <c r="P62" i="53"/>
  <c r="AC59" i="53"/>
  <c r="P59" i="53"/>
  <c r="AD59" i="53" s="1"/>
  <c r="AE59" i="53" s="1"/>
  <c r="AG58" i="53"/>
  <c r="R57" i="53"/>
  <c r="R9" i="53" s="1"/>
  <c r="AB56" i="53"/>
  <c r="AA56" i="53"/>
  <c r="Z56" i="53"/>
  <c r="Y56" i="53"/>
  <c r="X56" i="53"/>
  <c r="W56" i="53"/>
  <c r="V56" i="53"/>
  <c r="U56" i="53"/>
  <c r="T56" i="53"/>
  <c r="S56" i="53"/>
  <c r="R56" i="53"/>
  <c r="Q56" i="53"/>
  <c r="O56" i="53"/>
  <c r="N56" i="53"/>
  <c r="M56" i="53"/>
  <c r="L56" i="53"/>
  <c r="K56" i="53"/>
  <c r="J56" i="53"/>
  <c r="I56" i="53"/>
  <c r="H56" i="53"/>
  <c r="G56" i="53"/>
  <c r="F56" i="53"/>
  <c r="E56" i="53"/>
  <c r="D56" i="53"/>
  <c r="AC55" i="53"/>
  <c r="P55" i="53"/>
  <c r="AD55" i="53" s="1"/>
  <c r="AE55" i="53" s="1"/>
  <c r="AC54" i="53"/>
  <c r="AD54" i="53" s="1"/>
  <c r="AE54" i="53" s="1"/>
  <c r="P54" i="53"/>
  <c r="AG54" i="53" s="1"/>
  <c r="AD53" i="53"/>
  <c r="AE53" i="53" s="1"/>
  <c r="AC53" i="53"/>
  <c r="P53" i="53"/>
  <c r="AG53" i="53" s="1"/>
  <c r="AE52" i="53"/>
  <c r="AC52" i="53"/>
  <c r="AD52" i="53" s="1"/>
  <c r="P52" i="53"/>
  <c r="AG52" i="53" s="1"/>
  <c r="AG51" i="53"/>
  <c r="AC51" i="53"/>
  <c r="P51" i="53"/>
  <c r="AD51" i="53" s="1"/>
  <c r="AE51" i="53" s="1"/>
  <c r="AC50" i="53"/>
  <c r="AD50" i="53" s="1"/>
  <c r="AE50" i="53" s="1"/>
  <c r="P50" i="53"/>
  <c r="AG50" i="53" s="1"/>
  <c r="AD49" i="53"/>
  <c r="AE49" i="53" s="1"/>
  <c r="AC49" i="53"/>
  <c r="P49" i="53"/>
  <c r="AG49" i="53" s="1"/>
  <c r="AE48" i="53"/>
  <c r="AC48" i="53"/>
  <c r="AD48" i="53" s="1"/>
  <c r="P48" i="53"/>
  <c r="AG47" i="53"/>
  <c r="AC46" i="53"/>
  <c r="AB46" i="53"/>
  <c r="AA46" i="53"/>
  <c r="Z46" i="53"/>
  <c r="Y46" i="53"/>
  <c r="X46" i="53"/>
  <c r="W46" i="53"/>
  <c r="V46" i="53"/>
  <c r="U46" i="53"/>
  <c r="T46" i="53"/>
  <c r="S46" i="53"/>
  <c r="R46" i="53"/>
  <c r="Q46" i="53"/>
  <c r="O46" i="53"/>
  <c r="N46" i="53"/>
  <c r="M46" i="53"/>
  <c r="L46" i="53"/>
  <c r="K46" i="53"/>
  <c r="J46" i="53"/>
  <c r="I46" i="53"/>
  <c r="H46" i="53"/>
  <c r="G46" i="53"/>
  <c r="F46" i="53"/>
  <c r="E46" i="53"/>
  <c r="D46" i="53"/>
  <c r="AD45" i="53"/>
  <c r="AE45" i="53" s="1"/>
  <c r="AC45" i="53"/>
  <c r="P45" i="53"/>
  <c r="AG45" i="53" s="1"/>
  <c r="AE44" i="53"/>
  <c r="AC44" i="53"/>
  <c r="AD44" i="53" s="1"/>
  <c r="P44" i="53"/>
  <c r="AG44" i="53" s="1"/>
  <c r="AG43" i="53"/>
  <c r="AC43" i="53"/>
  <c r="P43" i="53"/>
  <c r="AD43" i="53" s="1"/>
  <c r="AE43" i="53" s="1"/>
  <c r="AC42" i="53"/>
  <c r="AD42" i="53" s="1"/>
  <c r="AE42" i="53" s="1"/>
  <c r="P42" i="53"/>
  <c r="AG42" i="53" s="1"/>
  <c r="AD41" i="53"/>
  <c r="AE41" i="53" s="1"/>
  <c r="AC41" i="53"/>
  <c r="P41" i="53"/>
  <c r="AG41" i="53" s="1"/>
  <c r="AC40" i="53"/>
  <c r="AD40" i="53" s="1"/>
  <c r="AE40" i="53" s="1"/>
  <c r="P40" i="53"/>
  <c r="AG40" i="53" s="1"/>
  <c r="AC39" i="53"/>
  <c r="P39" i="53"/>
  <c r="AC38" i="53"/>
  <c r="AD38" i="53" s="1"/>
  <c r="AE38" i="53" s="1"/>
  <c r="P38" i="53"/>
  <c r="AG37" i="53"/>
  <c r="AB36" i="53"/>
  <c r="AA36" i="53"/>
  <c r="Z36" i="53"/>
  <c r="Y36" i="53"/>
  <c r="X36" i="53"/>
  <c r="W36" i="53"/>
  <c r="V36" i="53"/>
  <c r="U36" i="53"/>
  <c r="T36" i="53"/>
  <c r="S36" i="53"/>
  <c r="R36" i="53"/>
  <c r="Q36" i="53"/>
  <c r="O36" i="53"/>
  <c r="N36" i="53"/>
  <c r="M36" i="53"/>
  <c r="L36" i="53"/>
  <c r="K36" i="53"/>
  <c r="J36" i="53"/>
  <c r="I36" i="53"/>
  <c r="H36" i="53"/>
  <c r="G36" i="53"/>
  <c r="F36" i="53"/>
  <c r="E36" i="53"/>
  <c r="D36" i="53"/>
  <c r="AC35" i="53"/>
  <c r="P35" i="53"/>
  <c r="AG35" i="53" s="1"/>
  <c r="AC34" i="53"/>
  <c r="AD34" i="53" s="1"/>
  <c r="AE34" i="53" s="1"/>
  <c r="P34" i="53"/>
  <c r="AG34" i="53" s="1"/>
  <c r="AD33" i="53"/>
  <c r="AE33" i="53" s="1"/>
  <c r="AC33" i="53"/>
  <c r="P33" i="53"/>
  <c r="AG33" i="53" s="1"/>
  <c r="AE32" i="53"/>
  <c r="AD32" i="53"/>
  <c r="AC32" i="53"/>
  <c r="P32" i="53"/>
  <c r="AG32" i="53" s="1"/>
  <c r="AC31" i="53"/>
  <c r="P31" i="53"/>
  <c r="P36" i="53" s="1"/>
  <c r="AG36" i="53" s="1"/>
  <c r="AG30" i="53"/>
  <c r="AB29" i="53"/>
  <c r="AB57" i="53" s="1"/>
  <c r="AB9" i="53" s="1"/>
  <c r="AA29" i="53"/>
  <c r="AA57" i="53" s="1"/>
  <c r="Z29" i="53"/>
  <c r="Z57" i="53" s="1"/>
  <c r="Z9" i="53" s="1"/>
  <c r="Y29" i="53"/>
  <c r="X29" i="53"/>
  <c r="X57" i="53" s="1"/>
  <c r="X9" i="53" s="1"/>
  <c r="W29" i="53"/>
  <c r="W57" i="53" s="1"/>
  <c r="V29" i="53"/>
  <c r="V57" i="53" s="1"/>
  <c r="V9" i="53" s="1"/>
  <c r="U29" i="53"/>
  <c r="T29" i="53"/>
  <c r="T57" i="53" s="1"/>
  <c r="T9" i="53" s="1"/>
  <c r="S29" i="53"/>
  <c r="S57" i="53" s="1"/>
  <c r="S9" i="53" s="1"/>
  <c r="R29" i="53"/>
  <c r="Q29" i="53"/>
  <c r="O29" i="53"/>
  <c r="N29" i="53"/>
  <c r="N57" i="53" s="1"/>
  <c r="N9" i="53" s="1"/>
  <c r="M29" i="53"/>
  <c r="M57" i="53" s="1"/>
  <c r="M9" i="53" s="1"/>
  <c r="L29" i="53"/>
  <c r="L57" i="53" s="1"/>
  <c r="L9" i="53" s="1"/>
  <c r="K29" i="53"/>
  <c r="J29" i="53"/>
  <c r="J57" i="53" s="1"/>
  <c r="J9" i="53" s="1"/>
  <c r="I29" i="53"/>
  <c r="I57" i="53" s="1"/>
  <c r="I9" i="53" s="1"/>
  <c r="H29" i="53"/>
  <c r="H57" i="53" s="1"/>
  <c r="H9" i="53" s="1"/>
  <c r="G29" i="53"/>
  <c r="F29" i="53"/>
  <c r="F57" i="53" s="1"/>
  <c r="F9" i="53" s="1"/>
  <c r="E29" i="53"/>
  <c r="E57" i="53" s="1"/>
  <c r="E9" i="53" s="1"/>
  <c r="D29" i="53"/>
  <c r="D57" i="53" s="1"/>
  <c r="D9" i="53" s="1"/>
  <c r="AC28" i="53"/>
  <c r="AD28" i="53" s="1"/>
  <c r="AE28" i="53" s="1"/>
  <c r="P28" i="53"/>
  <c r="AG28" i="53" s="1"/>
  <c r="AC27" i="53"/>
  <c r="AC29" i="53" s="1"/>
  <c r="P27" i="53"/>
  <c r="P29" i="53" s="1"/>
  <c r="AG26" i="53"/>
  <c r="AG25" i="53"/>
  <c r="AG24" i="53"/>
  <c r="AG23" i="53"/>
  <c r="AC22" i="53"/>
  <c r="AB21" i="53"/>
  <c r="AA21" i="53"/>
  <c r="Z21" i="53"/>
  <c r="Y21" i="53"/>
  <c r="X21" i="53"/>
  <c r="W21" i="53"/>
  <c r="V21" i="53"/>
  <c r="U21" i="53"/>
  <c r="T21" i="53"/>
  <c r="S21" i="53"/>
  <c r="R21" i="53"/>
  <c r="Q21" i="53"/>
  <c r="AC20" i="53"/>
  <c r="P20" i="53"/>
  <c r="AG20" i="53" s="1"/>
  <c r="AC19" i="53"/>
  <c r="AD19" i="53" s="1"/>
  <c r="AE19" i="53" s="1"/>
  <c r="P19" i="53"/>
  <c r="AG19" i="53" s="1"/>
  <c r="AD18" i="53"/>
  <c r="AE18" i="53" s="1"/>
  <c r="AC18" i="53"/>
  <c r="P18" i="53"/>
  <c r="AG18" i="53" s="1"/>
  <c r="AC17" i="53"/>
  <c r="AC16" i="53"/>
  <c r="P16" i="53"/>
  <c r="AG16" i="53" s="1"/>
  <c r="AC15" i="53"/>
  <c r="AD15" i="53" s="1"/>
  <c r="AE15" i="53" s="1"/>
  <c r="P15" i="53"/>
  <c r="AG15" i="53" s="1"/>
  <c r="AD14" i="53"/>
  <c r="AE14" i="53" s="1"/>
  <c r="AC14" i="53"/>
  <c r="P14" i="53"/>
  <c r="AG14" i="53" s="1"/>
  <c r="AE13" i="53"/>
  <c r="AD13" i="53"/>
  <c r="AC13" i="53"/>
  <c r="P13" i="53"/>
  <c r="AG13" i="53" s="1"/>
  <c r="AC12" i="53"/>
  <c r="O12" i="53"/>
  <c r="N12" i="53"/>
  <c r="M12" i="53"/>
  <c r="L12" i="53"/>
  <c r="K12" i="53"/>
  <c r="J12" i="53"/>
  <c r="I12" i="53"/>
  <c r="H12" i="53"/>
  <c r="G12" i="53"/>
  <c r="F12" i="53"/>
  <c r="E12" i="53"/>
  <c r="D12" i="53"/>
  <c r="AG11" i="53"/>
  <c r="AG10" i="53"/>
  <c r="AA9" i="53"/>
  <c r="W9" i="53"/>
  <c r="AC7" i="53"/>
  <c r="AB7" i="53"/>
  <c r="AA7" i="53"/>
  <c r="Z7" i="53"/>
  <c r="Y7" i="53"/>
  <c r="X7" i="53"/>
  <c r="W7" i="53"/>
  <c r="V7" i="53"/>
  <c r="U7" i="53"/>
  <c r="T7" i="53"/>
  <c r="S7" i="53"/>
  <c r="R7" i="53"/>
  <c r="Q7" i="53"/>
  <c r="P7" i="53"/>
  <c r="O7" i="53"/>
  <c r="N7" i="53"/>
  <c r="M7" i="53"/>
  <c r="L7" i="53"/>
  <c r="K7" i="53"/>
  <c r="J7" i="53"/>
  <c r="I7" i="53"/>
  <c r="H7" i="53"/>
  <c r="G7" i="53"/>
  <c r="F7" i="53"/>
  <c r="E7" i="53"/>
  <c r="D7" i="53"/>
  <c r="AC6" i="53"/>
  <c r="AB6" i="53"/>
  <c r="AA6" i="53"/>
  <c r="Z6" i="53"/>
  <c r="Y6" i="53"/>
  <c r="X6" i="53"/>
  <c r="W6" i="53"/>
  <c r="V6" i="53"/>
  <c r="U6" i="53"/>
  <c r="T6" i="53"/>
  <c r="S6" i="53"/>
  <c r="R6" i="53"/>
  <c r="Q6" i="53"/>
  <c r="P6" i="53"/>
  <c r="O6" i="53"/>
  <c r="N6" i="53"/>
  <c r="M6" i="53"/>
  <c r="L6" i="53"/>
  <c r="K6" i="53"/>
  <c r="J6" i="53"/>
  <c r="I6" i="53"/>
  <c r="H6" i="53"/>
  <c r="G6" i="53"/>
  <c r="F6" i="53"/>
  <c r="E6" i="53"/>
  <c r="D6" i="53"/>
  <c r="C4" i="53"/>
  <c r="O2" i="53"/>
  <c r="N2" i="53"/>
  <c r="M2" i="53"/>
  <c r="L2" i="53"/>
  <c r="K2" i="53"/>
  <c r="J2" i="53"/>
  <c r="I2" i="53"/>
  <c r="H2" i="53"/>
  <c r="G2" i="53"/>
  <c r="F2" i="53"/>
  <c r="E2" i="53"/>
  <c r="D2" i="53"/>
  <c r="O1" i="53"/>
  <c r="N1" i="53"/>
  <c r="M1" i="53"/>
  <c r="L1" i="53"/>
  <c r="K1" i="53"/>
  <c r="J1" i="53"/>
  <c r="I1" i="53"/>
  <c r="H1" i="53"/>
  <c r="G1" i="53"/>
  <c r="F1" i="53"/>
  <c r="E1" i="53"/>
  <c r="D1" i="53"/>
  <c r="P32" i="52"/>
  <c r="AF27" i="52"/>
  <c r="AF26" i="52"/>
  <c r="C26" i="52"/>
  <c r="P22" i="52"/>
  <c r="P21" i="52"/>
  <c r="P20" i="52"/>
  <c r="P19" i="52"/>
  <c r="AF18" i="52"/>
  <c r="P18" i="52"/>
  <c r="P17" i="52"/>
  <c r="AB15" i="52"/>
  <c r="AA15" i="52"/>
  <c r="Z15" i="52"/>
  <c r="Y15" i="52"/>
  <c r="X15" i="52"/>
  <c r="W15" i="52"/>
  <c r="V15" i="52"/>
  <c r="U15" i="52"/>
  <c r="T15" i="52"/>
  <c r="S15" i="52"/>
  <c r="R15" i="52"/>
  <c r="Q15" i="52"/>
  <c r="AC15" i="52" s="1"/>
  <c r="O15" i="52"/>
  <c r="N15" i="52"/>
  <c r="M15" i="52"/>
  <c r="L15" i="52"/>
  <c r="K15" i="52"/>
  <c r="J15" i="52"/>
  <c r="I15" i="52"/>
  <c r="H15" i="52"/>
  <c r="G15" i="52"/>
  <c r="F15" i="52"/>
  <c r="E15" i="52"/>
  <c r="D15" i="52"/>
  <c r="AD14" i="52"/>
  <c r="AE14" i="52" s="1"/>
  <c r="AC14" i="52"/>
  <c r="P14" i="52"/>
  <c r="AG14" i="52" s="1"/>
  <c r="AE13" i="52"/>
  <c r="AC13" i="52"/>
  <c r="P13" i="52"/>
  <c r="AD13" i="52" s="1"/>
  <c r="AC12" i="52"/>
  <c r="AD12" i="52" s="1"/>
  <c r="AE12" i="52" s="1"/>
  <c r="P12" i="52"/>
  <c r="AG12" i="52" s="1"/>
  <c r="AC11" i="52"/>
  <c r="AD11" i="52" s="1"/>
  <c r="AE11" i="52" s="1"/>
  <c r="P11" i="52"/>
  <c r="AD10" i="52"/>
  <c r="AE10" i="52" s="1"/>
  <c r="AC10" i="52"/>
  <c r="P10" i="52"/>
  <c r="AG10" i="52" s="1"/>
  <c r="AC7" i="52"/>
  <c r="AB7" i="52"/>
  <c r="AA7" i="52"/>
  <c r="Z7" i="52"/>
  <c r="Y7" i="52"/>
  <c r="X7" i="52"/>
  <c r="W7" i="52"/>
  <c r="V7" i="52"/>
  <c r="U7" i="52"/>
  <c r="T7" i="52"/>
  <c r="S7" i="52"/>
  <c r="R7" i="52"/>
  <c r="Q7" i="52"/>
  <c r="P7" i="52"/>
  <c r="O7" i="52"/>
  <c r="N7" i="52"/>
  <c r="M7" i="52"/>
  <c r="L7" i="52"/>
  <c r="K7" i="52"/>
  <c r="J7" i="52"/>
  <c r="I7" i="52"/>
  <c r="H7" i="52"/>
  <c r="G7" i="52"/>
  <c r="F7" i="52"/>
  <c r="E7" i="52"/>
  <c r="D7" i="52"/>
  <c r="AC6" i="52"/>
  <c r="AB6" i="52"/>
  <c r="AA6" i="52"/>
  <c r="Z6" i="52"/>
  <c r="Y6" i="52"/>
  <c r="X6" i="52"/>
  <c r="W6" i="52"/>
  <c r="V6" i="52"/>
  <c r="U6" i="52"/>
  <c r="T6" i="52"/>
  <c r="S6" i="52"/>
  <c r="R6" i="52"/>
  <c r="Q6" i="52"/>
  <c r="P6" i="52"/>
  <c r="O6" i="52"/>
  <c r="N6" i="52"/>
  <c r="M6" i="52"/>
  <c r="L6" i="52"/>
  <c r="K6" i="52"/>
  <c r="J6" i="52"/>
  <c r="I6" i="52"/>
  <c r="H6" i="52"/>
  <c r="G6" i="52"/>
  <c r="F6" i="52"/>
  <c r="E6" i="52"/>
  <c r="D6" i="52"/>
  <c r="C4" i="52"/>
  <c r="O2" i="52"/>
  <c r="N2" i="52"/>
  <c r="M2" i="52"/>
  <c r="L2" i="52"/>
  <c r="K2" i="52"/>
  <c r="J2" i="52"/>
  <c r="I2" i="52"/>
  <c r="H2" i="52"/>
  <c r="G2" i="52"/>
  <c r="F2" i="52"/>
  <c r="E2" i="52"/>
  <c r="D2" i="52"/>
  <c r="O1" i="52"/>
  <c r="N1" i="52"/>
  <c r="M1" i="52"/>
  <c r="L1" i="52"/>
  <c r="K1" i="52"/>
  <c r="J1" i="52"/>
  <c r="I1" i="52"/>
  <c r="H1" i="52"/>
  <c r="G1" i="52"/>
  <c r="F1" i="52"/>
  <c r="E1" i="52"/>
  <c r="D1" i="52"/>
  <c r="P109" i="51"/>
  <c r="O109" i="51"/>
  <c r="N109" i="51"/>
  <c r="M109" i="51"/>
  <c r="L109" i="51"/>
  <c r="K109" i="51"/>
  <c r="J109" i="51"/>
  <c r="I109" i="51"/>
  <c r="H109" i="51"/>
  <c r="G109" i="51"/>
  <c r="F109" i="51"/>
  <c r="E109" i="51"/>
  <c r="D109" i="51"/>
  <c r="P108" i="51"/>
  <c r="P107" i="51"/>
  <c r="P106" i="51"/>
  <c r="AD101" i="51"/>
  <c r="AE101" i="51" s="1"/>
  <c r="AC101" i="51"/>
  <c r="P101" i="51"/>
  <c r="AG101" i="51" s="1"/>
  <c r="AG100" i="51"/>
  <c r="AB99" i="51"/>
  <c r="AB9" i="51" s="1"/>
  <c r="X99" i="51"/>
  <c r="X9" i="51" s="1"/>
  <c r="T99" i="51"/>
  <c r="T9" i="51" s="1"/>
  <c r="L99" i="51"/>
  <c r="L9" i="51" s="1"/>
  <c r="H99" i="51"/>
  <c r="H9" i="51" s="1"/>
  <c r="D99" i="51"/>
  <c r="D9" i="51" s="1"/>
  <c r="AB98" i="51"/>
  <c r="AA98" i="51"/>
  <c r="Z98" i="51"/>
  <c r="Z99" i="51" s="1"/>
  <c r="Y98" i="51"/>
  <c r="X98" i="51"/>
  <c r="W98" i="51"/>
  <c r="V98" i="51"/>
  <c r="V99" i="51" s="1"/>
  <c r="U98" i="51"/>
  <c r="T98" i="51"/>
  <c r="S98" i="51"/>
  <c r="R98" i="51"/>
  <c r="R99" i="51" s="1"/>
  <c r="Q98" i="51"/>
  <c r="O98" i="51"/>
  <c r="N98" i="51"/>
  <c r="M98" i="51"/>
  <c r="M99" i="51" s="1"/>
  <c r="M9" i="51" s="1"/>
  <c r="L98" i="51"/>
  <c r="K98" i="51"/>
  <c r="J98" i="51"/>
  <c r="I98" i="51"/>
  <c r="I99" i="51" s="1"/>
  <c r="H98" i="51"/>
  <c r="G98" i="51"/>
  <c r="F98" i="51"/>
  <c r="E98" i="51"/>
  <c r="E99" i="51" s="1"/>
  <c r="E9" i="51" s="1"/>
  <c r="D98" i="51"/>
  <c r="AC97" i="51"/>
  <c r="P97" i="51"/>
  <c r="AG97" i="51" s="1"/>
  <c r="AC96" i="51"/>
  <c r="P96" i="51"/>
  <c r="AG96" i="51" s="1"/>
  <c r="AC95" i="51"/>
  <c r="P95" i="51"/>
  <c r="AG95" i="51" s="1"/>
  <c r="AC94" i="51"/>
  <c r="AD94" i="51" s="1"/>
  <c r="AE94" i="51" s="1"/>
  <c r="P94" i="51"/>
  <c r="AG94" i="51" s="1"/>
  <c r="AD93" i="51"/>
  <c r="AE93" i="51" s="1"/>
  <c r="AC93" i="51"/>
  <c r="P93" i="51"/>
  <c r="AG93" i="51" s="1"/>
  <c r="AC92" i="51"/>
  <c r="P92" i="51"/>
  <c r="AD92" i="51" s="1"/>
  <c r="AE92" i="51" s="1"/>
  <c r="AG91" i="51"/>
  <c r="AC91" i="51"/>
  <c r="P91" i="51"/>
  <c r="AG90" i="51"/>
  <c r="AC90" i="51"/>
  <c r="AC98" i="51" s="1"/>
  <c r="P90" i="51"/>
  <c r="AC89" i="51"/>
  <c r="P89" i="51"/>
  <c r="AG88" i="51"/>
  <c r="AB87" i="51"/>
  <c r="AA87" i="51"/>
  <c r="AA99" i="51" s="1"/>
  <c r="Z87" i="51"/>
  <c r="Y87" i="51"/>
  <c r="X87" i="51"/>
  <c r="W87" i="51"/>
  <c r="W99" i="51" s="1"/>
  <c r="W9" i="51" s="1"/>
  <c r="V87" i="51"/>
  <c r="U87" i="51"/>
  <c r="T87" i="51"/>
  <c r="S87" i="51"/>
  <c r="S99" i="51" s="1"/>
  <c r="R87" i="51"/>
  <c r="Q87" i="51"/>
  <c r="O87" i="51"/>
  <c r="O99" i="51" s="1"/>
  <c r="O9" i="51" s="1"/>
  <c r="N87" i="51"/>
  <c r="M87" i="51"/>
  <c r="L87" i="51"/>
  <c r="K87" i="51"/>
  <c r="K99" i="51" s="1"/>
  <c r="K9" i="51" s="1"/>
  <c r="J87" i="51"/>
  <c r="I87" i="51"/>
  <c r="H87" i="51"/>
  <c r="G87" i="51"/>
  <c r="G99" i="51" s="1"/>
  <c r="G9" i="51" s="1"/>
  <c r="F87" i="51"/>
  <c r="E87" i="51"/>
  <c r="D87" i="51"/>
  <c r="AC86" i="51"/>
  <c r="P86" i="51"/>
  <c r="AG86" i="51" s="1"/>
  <c r="AD85" i="51"/>
  <c r="AE85" i="51" s="1"/>
  <c r="AC85" i="51"/>
  <c r="P85" i="51"/>
  <c r="AG85" i="51" s="1"/>
  <c r="AE84" i="51"/>
  <c r="AD84" i="51"/>
  <c r="AC84" i="51"/>
  <c r="P84" i="51"/>
  <c r="AG84" i="51" s="1"/>
  <c r="AG83" i="51"/>
  <c r="AC83" i="51"/>
  <c r="AD83" i="51" s="1"/>
  <c r="AE83" i="51" s="1"/>
  <c r="P83" i="51"/>
  <c r="AC82" i="51"/>
  <c r="AD82" i="51" s="1"/>
  <c r="AE82" i="51" s="1"/>
  <c r="P82" i="51"/>
  <c r="AG82" i="51" s="1"/>
  <c r="AD81" i="51"/>
  <c r="AE81" i="51" s="1"/>
  <c r="AC81" i="51"/>
  <c r="P81" i="51"/>
  <c r="AG81" i="51" s="1"/>
  <c r="AE80" i="51"/>
  <c r="AD80" i="51"/>
  <c r="AC80" i="51"/>
  <c r="P80" i="51"/>
  <c r="AG80" i="51" s="1"/>
  <c r="AG79" i="51"/>
  <c r="AC79" i="51"/>
  <c r="AD79" i="51" s="1"/>
  <c r="AE79" i="51" s="1"/>
  <c r="P79" i="51"/>
  <c r="P87" i="51" s="1"/>
  <c r="AG87" i="51" s="1"/>
  <c r="AG78" i="51"/>
  <c r="AB77" i="51"/>
  <c r="AA77" i="51"/>
  <c r="Z77" i="51"/>
  <c r="Y77" i="51"/>
  <c r="X77" i="51"/>
  <c r="W77" i="51"/>
  <c r="V77" i="51"/>
  <c r="U77" i="51"/>
  <c r="T77" i="51"/>
  <c r="S77" i="51"/>
  <c r="R77" i="51"/>
  <c r="Q77" i="51"/>
  <c r="O77" i="51"/>
  <c r="N77" i="51"/>
  <c r="M77" i="51"/>
  <c r="L77" i="51"/>
  <c r="K77" i="51"/>
  <c r="J77" i="51"/>
  <c r="I77" i="51"/>
  <c r="H77" i="51"/>
  <c r="G77" i="51"/>
  <c r="F77" i="51"/>
  <c r="E77" i="51"/>
  <c r="D77" i="51"/>
  <c r="AE76" i="51"/>
  <c r="AD76" i="51"/>
  <c r="AC76" i="51"/>
  <c r="P76" i="51"/>
  <c r="AG76" i="51" s="1"/>
  <c r="AC75" i="51"/>
  <c r="P75" i="51"/>
  <c r="AG75" i="51" s="1"/>
  <c r="AC74" i="51"/>
  <c r="AD74" i="51" s="1"/>
  <c r="AE74" i="51" s="1"/>
  <c r="P74" i="51"/>
  <c r="AG74" i="51" s="1"/>
  <c r="AD73" i="51"/>
  <c r="AE73" i="51" s="1"/>
  <c r="AC73" i="51"/>
  <c r="P73" i="51"/>
  <c r="AG73" i="51" s="1"/>
  <c r="AE72" i="51"/>
  <c r="AD72" i="51"/>
  <c r="AC72" i="51"/>
  <c r="P72" i="51"/>
  <c r="P77" i="51" s="1"/>
  <c r="AG77" i="51" s="1"/>
  <c r="AG71" i="51"/>
  <c r="AC70" i="51"/>
  <c r="AD70" i="51" s="1"/>
  <c r="AE70" i="51" s="1"/>
  <c r="AB70" i="51"/>
  <c r="AA70" i="51"/>
  <c r="Z70" i="51"/>
  <c r="Y70" i="51"/>
  <c r="X70" i="51"/>
  <c r="W70" i="51"/>
  <c r="V70" i="51"/>
  <c r="U70" i="51"/>
  <c r="T70" i="51"/>
  <c r="S70" i="51"/>
  <c r="R70" i="51"/>
  <c r="Q70" i="51"/>
  <c r="P70" i="51"/>
  <c r="AG70" i="51" s="1"/>
  <c r="O70" i="51"/>
  <c r="N70" i="51"/>
  <c r="M70" i="51"/>
  <c r="L70" i="51"/>
  <c r="K70" i="51"/>
  <c r="J70" i="51"/>
  <c r="I70" i="51"/>
  <c r="H70" i="51"/>
  <c r="G70" i="51"/>
  <c r="F70" i="51"/>
  <c r="E70" i="51"/>
  <c r="D70" i="51"/>
  <c r="AD69" i="51"/>
  <c r="AE69" i="51" s="1"/>
  <c r="AC69" i="51"/>
  <c r="P69" i="51"/>
  <c r="AG69" i="51" s="1"/>
  <c r="AE68" i="51"/>
  <c r="AD68" i="51"/>
  <c r="AC68" i="51"/>
  <c r="P68" i="51"/>
  <c r="AG68" i="51" s="1"/>
  <c r="AG67" i="51"/>
  <c r="AG66" i="51"/>
  <c r="AG65" i="51"/>
  <c r="W64" i="51"/>
  <c r="AB63" i="51"/>
  <c r="AB64" i="51" s="1"/>
  <c r="AA63" i="51"/>
  <c r="Z63" i="51"/>
  <c r="Y63" i="51"/>
  <c r="X63" i="51"/>
  <c r="X64" i="51" s="1"/>
  <c r="W63" i="51"/>
  <c r="V63" i="51"/>
  <c r="U63" i="51"/>
  <c r="T63" i="51"/>
  <c r="S63" i="51"/>
  <c r="R63" i="51"/>
  <c r="Q63" i="51"/>
  <c r="AC62" i="51"/>
  <c r="AD62" i="51" s="1"/>
  <c r="AE62" i="51" s="1"/>
  <c r="P62" i="51"/>
  <c r="AG62" i="51" s="1"/>
  <c r="AD61" i="51"/>
  <c r="AE61" i="51" s="1"/>
  <c r="AC61" i="51"/>
  <c r="P61" i="51"/>
  <c r="AG61" i="51" s="1"/>
  <c r="AE60" i="51"/>
  <c r="AD60" i="51"/>
  <c r="AC60" i="51"/>
  <c r="P60" i="51"/>
  <c r="AG60" i="51" s="1"/>
  <c r="AG59" i="51"/>
  <c r="AD59" i="51"/>
  <c r="AC59" i="51"/>
  <c r="P59" i="51"/>
  <c r="AG58" i="51"/>
  <c r="AC58" i="51"/>
  <c r="AD58" i="51" s="1"/>
  <c r="AE58" i="51" s="1"/>
  <c r="P58" i="51"/>
  <c r="AC57" i="51"/>
  <c r="AD57" i="51" s="1"/>
  <c r="AE57" i="51" s="1"/>
  <c r="P57" i="51"/>
  <c r="AG57" i="51" s="1"/>
  <c r="AD56" i="51"/>
  <c r="AE56" i="51" s="1"/>
  <c r="AC56" i="51"/>
  <c r="P56" i="51"/>
  <c r="AG56" i="51" s="1"/>
  <c r="AE55" i="51"/>
  <c r="AD55" i="51"/>
  <c r="AC55" i="51"/>
  <c r="P55" i="51"/>
  <c r="AG55" i="51" s="1"/>
  <c r="AG54" i="51"/>
  <c r="AC54" i="51"/>
  <c r="AD54" i="51" s="1"/>
  <c r="AE54" i="51" s="1"/>
  <c r="P54" i="51"/>
  <c r="AC53" i="51"/>
  <c r="P53" i="51"/>
  <c r="AG53" i="51" s="1"/>
  <c r="AC52" i="51"/>
  <c r="AD52" i="51" s="1"/>
  <c r="AE52" i="51" s="1"/>
  <c r="P52" i="51"/>
  <c r="AG52" i="51" s="1"/>
  <c r="AD51" i="51"/>
  <c r="AE51" i="51" s="1"/>
  <c r="AC51" i="51"/>
  <c r="P51" i="51"/>
  <c r="AG51" i="51" s="1"/>
  <c r="AE50" i="51"/>
  <c r="AD50" i="51"/>
  <c r="AC50" i="51"/>
  <c r="P50" i="51"/>
  <c r="AG50" i="51" s="1"/>
  <c r="AC49" i="51"/>
  <c r="P49" i="51"/>
  <c r="AG49" i="51" s="1"/>
  <c r="AC48" i="51"/>
  <c r="AD48" i="51" s="1"/>
  <c r="P48" i="51"/>
  <c r="AG48" i="51" s="1"/>
  <c r="AC47" i="51"/>
  <c r="AD47" i="51" s="1"/>
  <c r="AE47" i="51" s="1"/>
  <c r="P47" i="51"/>
  <c r="AG47" i="51" s="1"/>
  <c r="AD46" i="51"/>
  <c r="AE46" i="51" s="1"/>
  <c r="AC46" i="51"/>
  <c r="P46" i="51"/>
  <c r="AG46" i="51" s="1"/>
  <c r="AE45" i="51"/>
  <c r="AD45" i="51"/>
  <c r="AC45" i="51"/>
  <c r="P45" i="51"/>
  <c r="AG45" i="51" s="1"/>
  <c r="AG44" i="51"/>
  <c r="AC44" i="51"/>
  <c r="AD44" i="51" s="1"/>
  <c r="AE44" i="51" s="1"/>
  <c r="P44" i="51"/>
  <c r="AC43" i="51"/>
  <c r="O43" i="51"/>
  <c r="N43" i="51"/>
  <c r="M43" i="51"/>
  <c r="L43" i="51"/>
  <c r="K43" i="51"/>
  <c r="J43" i="51"/>
  <c r="I43" i="51"/>
  <c r="H43" i="51"/>
  <c r="G43" i="51"/>
  <c r="F43" i="51"/>
  <c r="E43" i="51"/>
  <c r="D43" i="51"/>
  <c r="AD42" i="51"/>
  <c r="AE42" i="51" s="1"/>
  <c r="AC42" i="51"/>
  <c r="P42" i="51"/>
  <c r="AG42" i="51" s="1"/>
  <c r="AE41" i="51"/>
  <c r="AD41" i="51"/>
  <c r="AC41" i="51"/>
  <c r="P41" i="51"/>
  <c r="AG41" i="51" s="1"/>
  <c r="AC40" i="51"/>
  <c r="P40" i="51"/>
  <c r="AG40" i="51" s="1"/>
  <c r="AC39" i="51"/>
  <c r="AD39" i="51" s="1"/>
  <c r="AE39" i="51" s="1"/>
  <c r="P39" i="51"/>
  <c r="AG39" i="51" s="1"/>
  <c r="AD38" i="51"/>
  <c r="AE38" i="51" s="1"/>
  <c r="AC38" i="51"/>
  <c r="P38" i="51"/>
  <c r="AG38" i="51" s="1"/>
  <c r="AE37" i="51"/>
  <c r="AD37" i="51"/>
  <c r="AC37" i="51"/>
  <c r="P37" i="51"/>
  <c r="AG37" i="51" s="1"/>
  <c r="AC36" i="51"/>
  <c r="P36" i="51"/>
  <c r="AG36" i="51" s="1"/>
  <c r="AC35" i="51"/>
  <c r="AD35" i="51" s="1"/>
  <c r="AE35" i="51" s="1"/>
  <c r="P35" i="51"/>
  <c r="AG35" i="51" s="1"/>
  <c r="AD34" i="51"/>
  <c r="AE34" i="51" s="1"/>
  <c r="AC34" i="51"/>
  <c r="P34" i="51"/>
  <c r="AG34" i="51" s="1"/>
  <c r="AE33" i="51"/>
  <c r="AD33" i="51"/>
  <c r="AC33" i="51"/>
  <c r="P33" i="51"/>
  <c r="AG33" i="51" s="1"/>
  <c r="AG32" i="51"/>
  <c r="AD32" i="51"/>
  <c r="AC32" i="51"/>
  <c r="P32" i="51"/>
  <c r="AC31" i="51"/>
  <c r="P31" i="51"/>
  <c r="AG31" i="51" s="1"/>
  <c r="AC30" i="51"/>
  <c r="AD30" i="51" s="1"/>
  <c r="P30" i="51"/>
  <c r="AG30" i="51" s="1"/>
  <c r="AC29" i="51"/>
  <c r="AD29" i="51" s="1"/>
  <c r="AE29" i="51" s="1"/>
  <c r="P29" i="51"/>
  <c r="AG29" i="51" s="1"/>
  <c r="AC28" i="51"/>
  <c r="AD28" i="51" s="1"/>
  <c r="P28" i="51"/>
  <c r="AG28" i="51" s="1"/>
  <c r="AD27" i="51"/>
  <c r="AE27" i="51" s="1"/>
  <c r="AC27" i="51"/>
  <c r="P27" i="51"/>
  <c r="AG27" i="51" s="1"/>
  <c r="AE26" i="51"/>
  <c r="AD26" i="51"/>
  <c r="AC26" i="51"/>
  <c r="P26" i="51"/>
  <c r="AG26" i="51" s="1"/>
  <c r="AC25" i="51"/>
  <c r="O25" i="51"/>
  <c r="N25" i="51"/>
  <c r="M25" i="51"/>
  <c r="L25" i="51"/>
  <c r="K25" i="51"/>
  <c r="J25" i="51"/>
  <c r="I25" i="51"/>
  <c r="H25" i="51"/>
  <c r="G25" i="51"/>
  <c r="F25" i="51"/>
  <c r="E25" i="51"/>
  <c r="D25" i="51"/>
  <c r="P25" i="51" s="1"/>
  <c r="AG25" i="51" s="1"/>
  <c r="AC24" i="51"/>
  <c r="AD24" i="51" s="1"/>
  <c r="P24" i="51"/>
  <c r="AG24" i="51" s="1"/>
  <c r="AC23" i="51"/>
  <c r="AD22" i="51"/>
  <c r="AE22" i="51" s="1"/>
  <c r="AC22" i="51"/>
  <c r="P22" i="51"/>
  <c r="AG22" i="51" s="1"/>
  <c r="AE21" i="51"/>
  <c r="AD21" i="51"/>
  <c r="AC21" i="51"/>
  <c r="P21" i="51"/>
  <c r="AG21" i="51" s="1"/>
  <c r="AC20" i="51"/>
  <c r="P20" i="51"/>
  <c r="AG20" i="51" s="1"/>
  <c r="AC19" i="51"/>
  <c r="AD19" i="51" s="1"/>
  <c r="AE19" i="51" s="1"/>
  <c r="P19" i="51"/>
  <c r="AG19" i="51" s="1"/>
  <c r="AC18" i="51"/>
  <c r="AD18" i="51" s="1"/>
  <c r="P18" i="51"/>
  <c r="AG18" i="51" s="1"/>
  <c r="AC17" i="51"/>
  <c r="AD17" i="51" s="1"/>
  <c r="P17" i="51"/>
  <c r="AG17" i="51" s="1"/>
  <c r="AD16" i="51"/>
  <c r="AE16" i="51" s="1"/>
  <c r="AC16" i="51"/>
  <c r="P16" i="51"/>
  <c r="AG16" i="51" s="1"/>
  <c r="AG15" i="51"/>
  <c r="AD15" i="51"/>
  <c r="AC15" i="51"/>
  <c r="P15" i="51"/>
  <c r="AG14" i="51"/>
  <c r="AD14" i="51"/>
  <c r="AC14" i="51"/>
  <c r="P14" i="51"/>
  <c r="AC13" i="51"/>
  <c r="O13" i="51"/>
  <c r="N13" i="51"/>
  <c r="M13" i="51"/>
  <c r="L13" i="51"/>
  <c r="K13" i="51"/>
  <c r="J13" i="51"/>
  <c r="I13" i="51"/>
  <c r="H13" i="51"/>
  <c r="G13" i="51"/>
  <c r="F13" i="51"/>
  <c r="E13" i="51"/>
  <c r="D13" i="51"/>
  <c r="AG12" i="51"/>
  <c r="AC12" i="51"/>
  <c r="AD12" i="51" s="1"/>
  <c r="AE12" i="51" s="1"/>
  <c r="P12" i="51"/>
  <c r="I9" i="51"/>
  <c r="AC7" i="51"/>
  <c r="AB7" i="51"/>
  <c r="AA7" i="51"/>
  <c r="Z7" i="51"/>
  <c r="Y7" i="51"/>
  <c r="X7" i="51"/>
  <c r="W7" i="51"/>
  <c r="V7" i="51"/>
  <c r="U7" i="51"/>
  <c r="T7" i="51"/>
  <c r="S7" i="51"/>
  <c r="R7" i="51"/>
  <c r="Q7" i="51"/>
  <c r="P7" i="51"/>
  <c r="O7" i="51"/>
  <c r="N7" i="51"/>
  <c r="M7" i="51"/>
  <c r="L7" i="51"/>
  <c r="K7" i="51"/>
  <c r="J7" i="51"/>
  <c r="I7" i="51"/>
  <c r="H7" i="51"/>
  <c r="G7" i="51"/>
  <c r="F7" i="51"/>
  <c r="E7" i="51"/>
  <c r="D7" i="51"/>
  <c r="AC6" i="51"/>
  <c r="AB6" i="51"/>
  <c r="AA6" i="51"/>
  <c r="Z6" i="51"/>
  <c r="Y6" i="51"/>
  <c r="X6" i="51"/>
  <c r="W6" i="51"/>
  <c r="V6" i="51"/>
  <c r="U6" i="51"/>
  <c r="T6" i="51"/>
  <c r="S6" i="51"/>
  <c r="R6" i="51"/>
  <c r="Q6" i="51"/>
  <c r="P6" i="51"/>
  <c r="O6" i="51"/>
  <c r="N6" i="51"/>
  <c r="M6" i="51"/>
  <c r="L6" i="51"/>
  <c r="K6" i="51"/>
  <c r="J6" i="51"/>
  <c r="I6" i="51"/>
  <c r="H6" i="51"/>
  <c r="G6" i="51"/>
  <c r="F6" i="51"/>
  <c r="E6" i="51"/>
  <c r="D6" i="51"/>
  <c r="C4" i="51"/>
  <c r="O2" i="51"/>
  <c r="N2" i="51"/>
  <c r="M2" i="51"/>
  <c r="L2" i="51"/>
  <c r="K2" i="51"/>
  <c r="J2" i="51"/>
  <c r="I2" i="51"/>
  <c r="H2" i="51"/>
  <c r="G2" i="51"/>
  <c r="F2" i="51"/>
  <c r="E2" i="51"/>
  <c r="D2" i="51"/>
  <c r="O1" i="51"/>
  <c r="N1" i="51"/>
  <c r="M1" i="51"/>
  <c r="L1" i="51"/>
  <c r="K1" i="51"/>
  <c r="J1" i="51"/>
  <c r="I1" i="51"/>
  <c r="H1" i="51"/>
  <c r="G1" i="51"/>
  <c r="F1" i="51"/>
  <c r="E1" i="51"/>
  <c r="D1" i="51"/>
  <c r="O87" i="50"/>
  <c r="N87" i="50"/>
  <c r="M87" i="50"/>
  <c r="L87" i="50"/>
  <c r="K87" i="50"/>
  <c r="J87" i="50"/>
  <c r="I87" i="50"/>
  <c r="H87" i="50"/>
  <c r="G87" i="50"/>
  <c r="F87" i="50"/>
  <c r="E87" i="50"/>
  <c r="D87" i="50"/>
  <c r="P86" i="50"/>
  <c r="P85" i="50"/>
  <c r="P84" i="50"/>
  <c r="P87" i="50" s="1"/>
  <c r="AG80" i="50"/>
  <c r="AD80" i="50"/>
  <c r="AC80" i="50"/>
  <c r="P80" i="50"/>
  <c r="AG79" i="50"/>
  <c r="AB78" i="50"/>
  <c r="X78" i="50"/>
  <c r="AB77" i="50"/>
  <c r="AA77" i="50"/>
  <c r="Z77" i="50"/>
  <c r="Z78" i="50" s="1"/>
  <c r="Z9" i="50" s="1"/>
  <c r="Y77" i="50"/>
  <c r="Y78" i="50" s="1"/>
  <c r="Y9" i="50" s="1"/>
  <c r="X77" i="50"/>
  <c r="W77" i="50"/>
  <c r="V77" i="50"/>
  <c r="V78" i="50" s="1"/>
  <c r="V9" i="50" s="1"/>
  <c r="U77" i="50"/>
  <c r="U78" i="50" s="1"/>
  <c r="U9" i="50" s="1"/>
  <c r="T77" i="50"/>
  <c r="S77" i="50"/>
  <c r="R77" i="50"/>
  <c r="R78" i="50" s="1"/>
  <c r="R9" i="50" s="1"/>
  <c r="Q77" i="50"/>
  <c r="Q78" i="50" s="1"/>
  <c r="Q9" i="50" s="1"/>
  <c r="O77" i="50"/>
  <c r="N77" i="50"/>
  <c r="M77" i="50"/>
  <c r="L77" i="50"/>
  <c r="K77" i="50"/>
  <c r="J77" i="50"/>
  <c r="I77" i="50"/>
  <c r="H77" i="50"/>
  <c r="G77" i="50"/>
  <c r="F77" i="50"/>
  <c r="E77" i="50"/>
  <c r="D77" i="50"/>
  <c r="AC76" i="50"/>
  <c r="AD76" i="50" s="1"/>
  <c r="P76" i="50"/>
  <c r="AG76" i="50" s="1"/>
  <c r="AC75" i="50"/>
  <c r="AD75" i="50" s="1"/>
  <c r="P75" i="50"/>
  <c r="AG75" i="50" s="1"/>
  <c r="AD74" i="50"/>
  <c r="AE74" i="50" s="1"/>
  <c r="AC74" i="50"/>
  <c r="P74" i="50"/>
  <c r="AG74" i="50" s="1"/>
  <c r="AE73" i="50"/>
  <c r="AD73" i="50"/>
  <c r="AC73" i="50"/>
  <c r="P73" i="50"/>
  <c r="AG73" i="50" s="1"/>
  <c r="AG72" i="50"/>
  <c r="AC72" i="50"/>
  <c r="AD72" i="50" s="1"/>
  <c r="AE72" i="50" s="1"/>
  <c r="P72" i="50"/>
  <c r="AC71" i="50"/>
  <c r="AD71" i="50" s="1"/>
  <c r="AE71" i="50" s="1"/>
  <c r="P71" i="50"/>
  <c r="AG71" i="50" s="1"/>
  <c r="AC70" i="50"/>
  <c r="AD70" i="50" s="1"/>
  <c r="P70" i="50"/>
  <c r="AG70" i="50" s="1"/>
  <c r="AC69" i="50"/>
  <c r="AD69" i="50" s="1"/>
  <c r="P69" i="50"/>
  <c r="AG69" i="50" s="1"/>
  <c r="AC68" i="50"/>
  <c r="P68" i="50"/>
  <c r="P77" i="50" s="1"/>
  <c r="AG77" i="50" s="1"/>
  <c r="AG67" i="50"/>
  <c r="AB66" i="50"/>
  <c r="AA66" i="50"/>
  <c r="Z66" i="50"/>
  <c r="Y66" i="50"/>
  <c r="X66" i="50"/>
  <c r="W66" i="50"/>
  <c r="V66" i="50"/>
  <c r="U66" i="50"/>
  <c r="T66" i="50"/>
  <c r="S66" i="50"/>
  <c r="R66" i="50"/>
  <c r="Q66" i="50"/>
  <c r="O66" i="50"/>
  <c r="N66" i="50"/>
  <c r="M66" i="50"/>
  <c r="L66" i="50"/>
  <c r="K66" i="50"/>
  <c r="J66" i="50"/>
  <c r="I66" i="50"/>
  <c r="H66" i="50"/>
  <c r="G66" i="50"/>
  <c r="F66" i="50"/>
  <c r="E66" i="50"/>
  <c r="D66" i="50"/>
  <c r="AG65" i="50"/>
  <c r="AD65" i="50"/>
  <c r="AC65" i="50"/>
  <c r="P65" i="50"/>
  <c r="AG64" i="50"/>
  <c r="AC64" i="50"/>
  <c r="AD64" i="50" s="1"/>
  <c r="AE64" i="50" s="1"/>
  <c r="P64" i="50"/>
  <c r="AC63" i="50"/>
  <c r="AD63" i="50" s="1"/>
  <c r="AE63" i="50" s="1"/>
  <c r="P63" i="50"/>
  <c r="AG63" i="50" s="1"/>
  <c r="AD62" i="50"/>
  <c r="AE62" i="50" s="1"/>
  <c r="AC62" i="50"/>
  <c r="P62" i="50"/>
  <c r="AG62" i="50" s="1"/>
  <c r="AE61" i="50"/>
  <c r="AD61" i="50"/>
  <c r="AC61" i="50"/>
  <c r="P61" i="50"/>
  <c r="AG61" i="50" s="1"/>
  <c r="AG60" i="50"/>
  <c r="AC60" i="50"/>
  <c r="AD60" i="50" s="1"/>
  <c r="AE60" i="50" s="1"/>
  <c r="P60" i="50"/>
  <c r="AC59" i="50"/>
  <c r="AD59" i="50" s="1"/>
  <c r="AE59" i="50" s="1"/>
  <c r="P59" i="50"/>
  <c r="AG59" i="50" s="1"/>
  <c r="AD58" i="50"/>
  <c r="AE58" i="50" s="1"/>
  <c r="AC58" i="50"/>
  <c r="P58" i="50"/>
  <c r="AG58" i="50" s="1"/>
  <c r="AG57" i="50"/>
  <c r="AB56" i="50"/>
  <c r="AA56" i="50"/>
  <c r="Z56" i="50"/>
  <c r="Y56" i="50"/>
  <c r="X56" i="50"/>
  <c r="W56" i="50"/>
  <c r="V56" i="50"/>
  <c r="U56" i="50"/>
  <c r="T56" i="50"/>
  <c r="T78" i="50" s="1"/>
  <c r="S56" i="50"/>
  <c r="R56" i="50"/>
  <c r="Q56" i="50"/>
  <c r="AC55" i="50"/>
  <c r="AD54" i="50"/>
  <c r="AE54" i="50" s="1"/>
  <c r="AC54" i="50"/>
  <c r="P54" i="50"/>
  <c r="AG54" i="50" s="1"/>
  <c r="AE53" i="50"/>
  <c r="AD53" i="50"/>
  <c r="AC53" i="50"/>
  <c r="P53" i="50"/>
  <c r="AG53" i="50" s="1"/>
  <c r="AC52" i="50"/>
  <c r="P52" i="50"/>
  <c r="AG52" i="50" s="1"/>
  <c r="AC51" i="50"/>
  <c r="P51" i="50"/>
  <c r="AG51" i="50" s="1"/>
  <c r="AG50" i="50"/>
  <c r="AB49" i="50"/>
  <c r="AA49" i="50"/>
  <c r="Z49" i="50"/>
  <c r="Y49" i="50"/>
  <c r="X49" i="50"/>
  <c r="W49" i="50"/>
  <c r="V49" i="50"/>
  <c r="U49" i="50"/>
  <c r="T49" i="50"/>
  <c r="S49" i="50"/>
  <c r="R49" i="50"/>
  <c r="Q49" i="50"/>
  <c r="O49" i="50"/>
  <c r="N49" i="50"/>
  <c r="M49" i="50"/>
  <c r="L49" i="50"/>
  <c r="K49" i="50"/>
  <c r="J49" i="50"/>
  <c r="I49" i="50"/>
  <c r="H49" i="50"/>
  <c r="G49" i="50"/>
  <c r="F49" i="50"/>
  <c r="E49" i="50"/>
  <c r="D49" i="50"/>
  <c r="AG48" i="50"/>
  <c r="AC48" i="50"/>
  <c r="AD48" i="50" s="1"/>
  <c r="AE48" i="50" s="1"/>
  <c r="P48" i="50"/>
  <c r="AC47" i="50"/>
  <c r="P47" i="50"/>
  <c r="AG47" i="50" s="1"/>
  <c r="AG46" i="50"/>
  <c r="AG45" i="50"/>
  <c r="AG44" i="50"/>
  <c r="Q43" i="50"/>
  <c r="AB42" i="50"/>
  <c r="AA42" i="50"/>
  <c r="Z42" i="50"/>
  <c r="Z43" i="50" s="1"/>
  <c r="Y42" i="50"/>
  <c r="X42" i="50"/>
  <c r="W42" i="50"/>
  <c r="V42" i="50"/>
  <c r="V43" i="50" s="1"/>
  <c r="U42" i="50"/>
  <c r="T42" i="50"/>
  <c r="S42" i="50"/>
  <c r="R42" i="50"/>
  <c r="R43" i="50" s="1"/>
  <c r="Q42" i="50"/>
  <c r="AC41" i="50"/>
  <c r="O41" i="50"/>
  <c r="O41" i="47" s="1"/>
  <c r="M41" i="50"/>
  <c r="K41" i="50"/>
  <c r="P41" i="50" s="1"/>
  <c r="AE40" i="50"/>
  <c r="AD40" i="50"/>
  <c r="AC40" i="50"/>
  <c r="P40" i="50"/>
  <c r="AG40" i="50" s="1"/>
  <c r="AG39" i="50"/>
  <c r="AD39" i="50"/>
  <c r="AC39" i="50"/>
  <c r="P39" i="50"/>
  <c r="AG38" i="50"/>
  <c r="AD38" i="50"/>
  <c r="AC38" i="50"/>
  <c r="P38" i="50"/>
  <c r="AG37" i="50"/>
  <c r="AC37" i="50"/>
  <c r="P37" i="50"/>
  <c r="AD37" i="50" s="1"/>
  <c r="AE37" i="50" s="1"/>
  <c r="AC36" i="50"/>
  <c r="AD36" i="50" s="1"/>
  <c r="AE36" i="50" s="1"/>
  <c r="P36" i="50"/>
  <c r="AG36" i="50" s="1"/>
  <c r="AD35" i="50"/>
  <c r="AE35" i="50" s="1"/>
  <c r="AC35" i="50"/>
  <c r="P35" i="50"/>
  <c r="AG35" i="50" s="1"/>
  <c r="AD34" i="50"/>
  <c r="AC34" i="50"/>
  <c r="P34" i="50"/>
  <c r="AG34" i="50" s="1"/>
  <c r="AE33" i="50"/>
  <c r="AD33" i="50"/>
  <c r="AC33" i="50"/>
  <c r="P33" i="50"/>
  <c r="AG33" i="50" s="1"/>
  <c r="AG32" i="50"/>
  <c r="AC32" i="50"/>
  <c r="P32" i="50"/>
  <c r="AD32" i="50" s="1"/>
  <c r="AE32" i="50" s="1"/>
  <c r="AC31" i="50"/>
  <c r="P31" i="50"/>
  <c r="AC30" i="50"/>
  <c r="P30" i="50"/>
  <c r="AC29" i="50"/>
  <c r="P29" i="50"/>
  <c r="AG29" i="50" s="1"/>
  <c r="AC28" i="50"/>
  <c r="AD28" i="50" s="1"/>
  <c r="AE28" i="50" s="1"/>
  <c r="P28" i="50"/>
  <c r="AG28" i="50" s="1"/>
  <c r="AD27" i="50"/>
  <c r="AE27" i="50" s="1"/>
  <c r="AC27" i="50"/>
  <c r="P27" i="50"/>
  <c r="AG27" i="50" s="1"/>
  <c r="AE26" i="50"/>
  <c r="AD26" i="50"/>
  <c r="AC26" i="50"/>
  <c r="P26" i="50"/>
  <c r="AG26" i="50" s="1"/>
  <c r="AC25" i="50"/>
  <c r="O25" i="50"/>
  <c r="N25" i="50"/>
  <c r="M25" i="50"/>
  <c r="L25" i="50"/>
  <c r="L25" i="47" s="1"/>
  <c r="K25" i="50"/>
  <c r="J25" i="50"/>
  <c r="I25" i="50"/>
  <c r="H25" i="50"/>
  <c r="H25" i="47" s="1"/>
  <c r="G25" i="50"/>
  <c r="F25" i="50"/>
  <c r="E25" i="50"/>
  <c r="D25" i="50"/>
  <c r="D25" i="47" s="1"/>
  <c r="AC24" i="50"/>
  <c r="AD24" i="50" s="1"/>
  <c r="P24" i="50"/>
  <c r="AG24" i="50" s="1"/>
  <c r="AC23" i="50"/>
  <c r="AD22" i="50"/>
  <c r="AE22" i="50" s="1"/>
  <c r="AC22" i="50"/>
  <c r="P22" i="50"/>
  <c r="AG22" i="50" s="1"/>
  <c r="AE21" i="50"/>
  <c r="AD21" i="50"/>
  <c r="AC21" i="50"/>
  <c r="P21" i="50"/>
  <c r="AG21" i="50" s="1"/>
  <c r="AC20" i="50"/>
  <c r="P20" i="50"/>
  <c r="AG20" i="50" s="1"/>
  <c r="AC19" i="50"/>
  <c r="O19" i="50"/>
  <c r="M19" i="50"/>
  <c r="L19" i="50"/>
  <c r="L19" i="47" s="1"/>
  <c r="K19" i="50"/>
  <c r="J19" i="50"/>
  <c r="I19" i="50"/>
  <c r="E19" i="50"/>
  <c r="AC18" i="50"/>
  <c r="AD18" i="50" s="1"/>
  <c r="AE18" i="50" s="1"/>
  <c r="P18" i="50"/>
  <c r="AG18" i="50" s="1"/>
  <c r="AD17" i="50"/>
  <c r="AE17" i="50" s="1"/>
  <c r="AC17" i="50"/>
  <c r="P17" i="50"/>
  <c r="AG17" i="50" s="1"/>
  <c r="AD16" i="50"/>
  <c r="AC16" i="50"/>
  <c r="P16" i="50"/>
  <c r="AG16" i="50" s="1"/>
  <c r="AE15" i="50"/>
  <c r="AD15" i="50"/>
  <c r="AC15" i="50"/>
  <c r="P15" i="50"/>
  <c r="AG15" i="50" s="1"/>
  <c r="AG14" i="50"/>
  <c r="AD14" i="50"/>
  <c r="AC14" i="50"/>
  <c r="P14" i="50"/>
  <c r="AG13" i="50"/>
  <c r="AD13" i="50"/>
  <c r="AC13" i="50"/>
  <c r="P13" i="50"/>
  <c r="AC12" i="50"/>
  <c r="O12" i="50"/>
  <c r="N12" i="50"/>
  <c r="M12" i="50"/>
  <c r="L12" i="50"/>
  <c r="K12" i="50"/>
  <c r="J12" i="50"/>
  <c r="I12" i="50"/>
  <c r="H12" i="50"/>
  <c r="G12" i="50"/>
  <c r="F12" i="50"/>
  <c r="E12" i="50"/>
  <c r="D12" i="50"/>
  <c r="AG11" i="50"/>
  <c r="AG10" i="50"/>
  <c r="AC7" i="50"/>
  <c r="M7" i="50"/>
  <c r="W6" i="50"/>
  <c r="G6" i="50"/>
  <c r="C4" i="50"/>
  <c r="O2" i="50"/>
  <c r="N2" i="50"/>
  <c r="M2" i="50"/>
  <c r="L2" i="50"/>
  <c r="K2" i="50"/>
  <c r="J2" i="50"/>
  <c r="I2" i="50"/>
  <c r="H2" i="50"/>
  <c r="G2" i="50"/>
  <c r="F2" i="50"/>
  <c r="E2" i="50"/>
  <c r="D2" i="50"/>
  <c r="O1" i="50"/>
  <c r="N1" i="50"/>
  <c r="M1" i="50"/>
  <c r="L1" i="50"/>
  <c r="K1" i="50"/>
  <c r="J1" i="50"/>
  <c r="I1" i="50"/>
  <c r="H1" i="50"/>
  <c r="G1" i="50"/>
  <c r="F1" i="50"/>
  <c r="E1" i="50"/>
  <c r="D1" i="50"/>
  <c r="O86" i="49"/>
  <c r="N86" i="49"/>
  <c r="M86" i="49"/>
  <c r="L86" i="49"/>
  <c r="K86" i="49"/>
  <c r="J86" i="49"/>
  <c r="I86" i="49"/>
  <c r="H86" i="49"/>
  <c r="G86" i="49"/>
  <c r="F86" i="49"/>
  <c r="E86" i="49"/>
  <c r="D86" i="49"/>
  <c r="P85" i="49"/>
  <c r="P84" i="49"/>
  <c r="P83" i="49"/>
  <c r="P86" i="49" s="1"/>
  <c r="AD80" i="49"/>
  <c r="AC80" i="49"/>
  <c r="P80" i="49"/>
  <c r="AG80" i="49" s="1"/>
  <c r="AG79" i="49"/>
  <c r="T78" i="49"/>
  <c r="T9" i="49" s="1"/>
  <c r="D78" i="49"/>
  <c r="D9" i="49" s="1"/>
  <c r="AB77" i="49"/>
  <c r="AA77" i="49"/>
  <c r="Z77" i="49"/>
  <c r="Z78" i="49" s="1"/>
  <c r="Z9" i="49" s="1"/>
  <c r="Y77" i="49"/>
  <c r="Y78" i="49" s="1"/>
  <c r="X77" i="49"/>
  <c r="W77" i="49"/>
  <c r="V77" i="49"/>
  <c r="V78" i="49" s="1"/>
  <c r="V9" i="49" s="1"/>
  <c r="U77" i="49"/>
  <c r="U78" i="49" s="1"/>
  <c r="T77" i="49"/>
  <c r="S77" i="49"/>
  <c r="R77" i="49"/>
  <c r="R78" i="49" s="1"/>
  <c r="R9" i="49" s="1"/>
  <c r="Q77" i="49"/>
  <c r="Q78" i="49" s="1"/>
  <c r="O77" i="49"/>
  <c r="N77" i="49"/>
  <c r="N78" i="49" s="1"/>
  <c r="N9" i="49" s="1"/>
  <c r="M77" i="49"/>
  <c r="M78" i="49" s="1"/>
  <c r="M9" i="49" s="1"/>
  <c r="L77" i="49"/>
  <c r="K77" i="49"/>
  <c r="J77" i="49"/>
  <c r="J78" i="49" s="1"/>
  <c r="J9" i="49" s="1"/>
  <c r="I77" i="49"/>
  <c r="I78" i="49" s="1"/>
  <c r="I9" i="49" s="1"/>
  <c r="H77" i="49"/>
  <c r="G77" i="49"/>
  <c r="F77" i="49"/>
  <c r="F78" i="49" s="1"/>
  <c r="F9" i="49" s="1"/>
  <c r="E77" i="49"/>
  <c r="E78" i="49" s="1"/>
  <c r="E9" i="49" s="1"/>
  <c r="D77" i="49"/>
  <c r="AC76" i="49"/>
  <c r="AD76" i="49" s="1"/>
  <c r="P76" i="49"/>
  <c r="AG76" i="49" s="1"/>
  <c r="AC75" i="49"/>
  <c r="AD75" i="49" s="1"/>
  <c r="P75" i="49"/>
  <c r="AG75" i="49" s="1"/>
  <c r="AD74" i="49"/>
  <c r="AE74" i="49" s="1"/>
  <c r="AC74" i="49"/>
  <c r="P74" i="49"/>
  <c r="AG74" i="49" s="1"/>
  <c r="AE73" i="49"/>
  <c r="AD73" i="49"/>
  <c r="AC73" i="49"/>
  <c r="P73" i="49"/>
  <c r="AG73" i="49" s="1"/>
  <c r="AC72" i="49"/>
  <c r="P72" i="49"/>
  <c r="AG72" i="49" s="1"/>
  <c r="AC71" i="49"/>
  <c r="AD71" i="49" s="1"/>
  <c r="AE71" i="49" s="1"/>
  <c r="P71" i="49"/>
  <c r="AG71" i="49" s="1"/>
  <c r="AC70" i="49"/>
  <c r="AD70" i="49" s="1"/>
  <c r="P70" i="49"/>
  <c r="AG70" i="49" s="1"/>
  <c r="AC69" i="49"/>
  <c r="P69" i="49"/>
  <c r="AG69" i="49" s="1"/>
  <c r="AC68" i="49"/>
  <c r="AD68" i="49" s="1"/>
  <c r="P68" i="49"/>
  <c r="P77" i="49" s="1"/>
  <c r="AG77" i="49" s="1"/>
  <c r="AG67" i="49"/>
  <c r="AB66" i="49"/>
  <c r="AA66" i="49"/>
  <c r="AA78" i="49" s="1"/>
  <c r="AA9" i="49" s="1"/>
  <c r="Z66" i="49"/>
  <c r="Y66" i="49"/>
  <c r="X66" i="49"/>
  <c r="W66" i="49"/>
  <c r="W78" i="49" s="1"/>
  <c r="W9" i="49" s="1"/>
  <c r="V66" i="49"/>
  <c r="U66" i="49"/>
  <c r="T66" i="49"/>
  <c r="S66" i="49"/>
  <c r="S78" i="49" s="1"/>
  <c r="S9" i="49" s="1"/>
  <c r="R66" i="49"/>
  <c r="Q66" i="49"/>
  <c r="O66" i="49"/>
  <c r="N66" i="49"/>
  <c r="M66" i="49"/>
  <c r="L66" i="49"/>
  <c r="K66" i="49"/>
  <c r="J66" i="49"/>
  <c r="I66" i="49"/>
  <c r="H66" i="49"/>
  <c r="G66" i="49"/>
  <c r="F66" i="49"/>
  <c r="E66" i="49"/>
  <c r="D66" i="49"/>
  <c r="AG65" i="49"/>
  <c r="AD65" i="49"/>
  <c r="AC65" i="49"/>
  <c r="P65" i="49"/>
  <c r="AC64" i="49"/>
  <c r="P64" i="49"/>
  <c r="AG64" i="49" s="1"/>
  <c r="AC63" i="49"/>
  <c r="AD63" i="49" s="1"/>
  <c r="AE63" i="49" s="1"/>
  <c r="P63" i="49"/>
  <c r="AG63" i="49" s="1"/>
  <c r="AD62" i="49"/>
  <c r="AE62" i="49" s="1"/>
  <c r="AC62" i="49"/>
  <c r="P62" i="49"/>
  <c r="AG62" i="49" s="1"/>
  <c r="AE61" i="49"/>
  <c r="AD61" i="49"/>
  <c r="AC61" i="49"/>
  <c r="P61" i="49"/>
  <c r="AG61" i="49" s="1"/>
  <c r="AC60" i="49"/>
  <c r="P60" i="49"/>
  <c r="AG60" i="49" s="1"/>
  <c r="AC59" i="49"/>
  <c r="AD59" i="49" s="1"/>
  <c r="AE59" i="49" s="1"/>
  <c r="P59" i="49"/>
  <c r="AG59" i="49" s="1"/>
  <c r="AD58" i="49"/>
  <c r="AE58" i="49" s="1"/>
  <c r="AC58" i="49"/>
  <c r="AC66" i="49" s="1"/>
  <c r="P58" i="49"/>
  <c r="AG58" i="49" s="1"/>
  <c r="AG57" i="49"/>
  <c r="AB56" i="49"/>
  <c r="AB78" i="49" s="1"/>
  <c r="AB9" i="49" s="1"/>
  <c r="AA56" i="49"/>
  <c r="Z56" i="49"/>
  <c r="Y56" i="49"/>
  <c r="X56" i="49"/>
  <c r="X78" i="49" s="1"/>
  <c r="X9" i="49" s="1"/>
  <c r="W56" i="49"/>
  <c r="V56" i="49"/>
  <c r="U56" i="49"/>
  <c r="T56" i="49"/>
  <c r="S56" i="49"/>
  <c r="R56" i="49"/>
  <c r="Q56" i="49"/>
  <c r="P56" i="49"/>
  <c r="AG56" i="49" s="1"/>
  <c r="O56" i="49"/>
  <c r="N56" i="49"/>
  <c r="M56" i="49"/>
  <c r="L56" i="49"/>
  <c r="L78" i="49" s="1"/>
  <c r="L9" i="49" s="1"/>
  <c r="K56" i="49"/>
  <c r="J56" i="49"/>
  <c r="I56" i="49"/>
  <c r="H56" i="49"/>
  <c r="H78" i="49" s="1"/>
  <c r="H9" i="49" s="1"/>
  <c r="G56" i="49"/>
  <c r="F56" i="49"/>
  <c r="E56" i="49"/>
  <c r="D56" i="49"/>
  <c r="AC55" i="49"/>
  <c r="AD55" i="49" s="1"/>
  <c r="AE55" i="49" s="1"/>
  <c r="P55" i="49"/>
  <c r="AG55" i="49" s="1"/>
  <c r="AD54" i="49"/>
  <c r="AE54" i="49" s="1"/>
  <c r="AC54" i="49"/>
  <c r="P54" i="49"/>
  <c r="AG54" i="49" s="1"/>
  <c r="AC53" i="49"/>
  <c r="AD53" i="49" s="1"/>
  <c r="AE53" i="49" s="1"/>
  <c r="P53" i="49"/>
  <c r="AG53" i="49" s="1"/>
  <c r="AC52" i="49"/>
  <c r="P52" i="49"/>
  <c r="AG52" i="49" s="1"/>
  <c r="AC51" i="49"/>
  <c r="P51" i="49"/>
  <c r="AG51" i="49" s="1"/>
  <c r="AG50" i="49"/>
  <c r="AB49" i="49"/>
  <c r="AA49" i="49"/>
  <c r="Z49" i="49"/>
  <c r="Y49" i="49"/>
  <c r="X49" i="49"/>
  <c r="W49" i="49"/>
  <c r="V49" i="49"/>
  <c r="U49" i="49"/>
  <c r="T49" i="49"/>
  <c r="S49" i="49"/>
  <c r="R49" i="49"/>
  <c r="Q49" i="49"/>
  <c r="O49" i="49"/>
  <c r="N49" i="49"/>
  <c r="M49" i="49"/>
  <c r="L49" i="49"/>
  <c r="K49" i="49"/>
  <c r="J49" i="49"/>
  <c r="I49" i="49"/>
  <c r="H49" i="49"/>
  <c r="G49" i="49"/>
  <c r="F49" i="49"/>
  <c r="E49" i="49"/>
  <c r="D49" i="49"/>
  <c r="AG48" i="49"/>
  <c r="AC48" i="49"/>
  <c r="AD48" i="49" s="1"/>
  <c r="AE48" i="49" s="1"/>
  <c r="P48" i="49"/>
  <c r="AC47" i="49"/>
  <c r="P47" i="49"/>
  <c r="AG47" i="49" s="1"/>
  <c r="AG46" i="49"/>
  <c r="AG45" i="49"/>
  <c r="AG44" i="49"/>
  <c r="Y43" i="49"/>
  <c r="U43" i="49"/>
  <c r="Q43" i="49"/>
  <c r="AB42" i="49"/>
  <c r="AB43" i="49" s="1"/>
  <c r="AA42" i="49"/>
  <c r="Z42" i="49"/>
  <c r="Y42" i="49"/>
  <c r="X42" i="49"/>
  <c r="X43" i="49" s="1"/>
  <c r="W42" i="49"/>
  <c r="V42" i="49"/>
  <c r="U42" i="49"/>
  <c r="T42" i="49"/>
  <c r="S42" i="49"/>
  <c r="R42" i="49"/>
  <c r="Q42" i="49"/>
  <c r="AE41" i="49"/>
  <c r="AC41" i="49"/>
  <c r="P41" i="49"/>
  <c r="AD41" i="49" s="1"/>
  <c r="AC40" i="49"/>
  <c r="P40" i="49"/>
  <c r="AG40" i="49" s="1"/>
  <c r="AC39" i="49"/>
  <c r="AD39" i="49" s="1"/>
  <c r="P39" i="49"/>
  <c r="AG39" i="49" s="1"/>
  <c r="AC38" i="49"/>
  <c r="P38" i="49"/>
  <c r="AG38" i="49" s="1"/>
  <c r="AC37" i="49"/>
  <c r="AD37" i="49" s="1"/>
  <c r="AE37" i="49" s="1"/>
  <c r="P37" i="49"/>
  <c r="AG37" i="49" s="1"/>
  <c r="AD36" i="49"/>
  <c r="AE36" i="49" s="1"/>
  <c r="AC36" i="49"/>
  <c r="P36" i="49"/>
  <c r="AG36" i="49" s="1"/>
  <c r="AC35" i="49"/>
  <c r="P35" i="49"/>
  <c r="AD35" i="49" s="1"/>
  <c r="AE35" i="49" s="1"/>
  <c r="AG34" i="49"/>
  <c r="AC34" i="49"/>
  <c r="P34" i="49"/>
  <c r="AD34" i="49" s="1"/>
  <c r="AG33" i="49"/>
  <c r="AC33" i="49"/>
  <c r="AD33" i="49" s="1"/>
  <c r="AE33" i="49" s="1"/>
  <c r="P33" i="49"/>
  <c r="AC32" i="49"/>
  <c r="AD32" i="49" s="1"/>
  <c r="AE32" i="49" s="1"/>
  <c r="P32" i="49"/>
  <c r="AG32" i="49" s="1"/>
  <c r="AC31" i="49"/>
  <c r="AD31" i="49" s="1"/>
  <c r="P31" i="49"/>
  <c r="AG31" i="49" s="1"/>
  <c r="AC30" i="49"/>
  <c r="AD30" i="49" s="1"/>
  <c r="P30" i="49"/>
  <c r="AG30" i="49" s="1"/>
  <c r="AC29" i="49"/>
  <c r="AD29" i="49" s="1"/>
  <c r="P29" i="49"/>
  <c r="AG29" i="49" s="1"/>
  <c r="AD28" i="49"/>
  <c r="AE28" i="49" s="1"/>
  <c r="AC28" i="49"/>
  <c r="P28" i="49"/>
  <c r="AG28" i="49" s="1"/>
  <c r="AE27" i="49"/>
  <c r="AD27" i="49"/>
  <c r="AC27" i="49"/>
  <c r="P27" i="49"/>
  <c r="AG27" i="49" s="1"/>
  <c r="AC26" i="49"/>
  <c r="P26" i="49"/>
  <c r="AG26" i="49" s="1"/>
  <c r="AC25" i="49"/>
  <c r="AD25" i="49" s="1"/>
  <c r="AE25" i="49" s="1"/>
  <c r="P25" i="49"/>
  <c r="AG25" i="49" s="1"/>
  <c r="AC24" i="49"/>
  <c r="AD24" i="49" s="1"/>
  <c r="P24" i="49"/>
  <c r="AG24" i="49" s="1"/>
  <c r="AC23" i="49"/>
  <c r="AC22" i="49"/>
  <c r="AD22" i="49" s="1"/>
  <c r="AE22" i="49" s="1"/>
  <c r="P22" i="49"/>
  <c r="AG22" i="49" s="1"/>
  <c r="AC21" i="49"/>
  <c r="P21" i="49"/>
  <c r="AG21" i="49" s="1"/>
  <c r="AC20" i="49"/>
  <c r="AD20" i="49" s="1"/>
  <c r="AE20" i="49" s="1"/>
  <c r="P20" i="49"/>
  <c r="AG20" i="49" s="1"/>
  <c r="AD19" i="49"/>
  <c r="AE19" i="49" s="1"/>
  <c r="AC19" i="49"/>
  <c r="P19" i="49"/>
  <c r="AG19" i="49" s="1"/>
  <c r="AC18" i="49"/>
  <c r="P18" i="49"/>
  <c r="AD18" i="49" s="1"/>
  <c r="AE18" i="49" s="1"/>
  <c r="AG17" i="49"/>
  <c r="AC17" i="49"/>
  <c r="AD17" i="49" s="1"/>
  <c r="AE17" i="49" s="1"/>
  <c r="P17" i="49"/>
  <c r="AC16" i="49"/>
  <c r="P16" i="49"/>
  <c r="AG16" i="49" s="1"/>
  <c r="AC15" i="49"/>
  <c r="AD15" i="49" s="1"/>
  <c r="AE15" i="49" s="1"/>
  <c r="P15" i="49"/>
  <c r="AG15" i="49" s="1"/>
  <c r="AC14" i="49"/>
  <c r="AD14" i="49" s="1"/>
  <c r="P14" i="49"/>
  <c r="AG14" i="49" s="1"/>
  <c r="AC13" i="49"/>
  <c r="AD13" i="49" s="1"/>
  <c r="P13" i="49"/>
  <c r="AG13" i="49" s="1"/>
  <c r="AC12" i="49"/>
  <c r="AC42" i="49" s="1"/>
  <c r="O12" i="49"/>
  <c r="N12" i="49"/>
  <c r="N12" i="47" s="1"/>
  <c r="M12" i="49"/>
  <c r="L12" i="49"/>
  <c r="K12" i="49"/>
  <c r="J12" i="49"/>
  <c r="J12" i="47" s="1"/>
  <c r="I12" i="49"/>
  <c r="H12" i="49"/>
  <c r="G12" i="49"/>
  <c r="F12" i="49"/>
  <c r="F12" i="47" s="1"/>
  <c r="E12" i="49"/>
  <c r="D12" i="49"/>
  <c r="AG11" i="49"/>
  <c r="AG10" i="49"/>
  <c r="Y9" i="49"/>
  <c r="U9" i="49"/>
  <c r="Q9" i="49"/>
  <c r="AA7" i="49"/>
  <c r="W7" i="49"/>
  <c r="S7" i="49"/>
  <c r="O7" i="49"/>
  <c r="K7" i="49"/>
  <c r="G7" i="49"/>
  <c r="AC6" i="49"/>
  <c r="Y6" i="49"/>
  <c r="U6" i="49"/>
  <c r="Q6" i="49"/>
  <c r="M6" i="49"/>
  <c r="I6" i="49"/>
  <c r="E6" i="49"/>
  <c r="C4" i="49"/>
  <c r="O2" i="49"/>
  <c r="N2" i="49"/>
  <c r="M2" i="49"/>
  <c r="L2" i="49"/>
  <c r="K2" i="49"/>
  <c r="J2" i="49"/>
  <c r="I2" i="49"/>
  <c r="H2" i="49"/>
  <c r="G2" i="49"/>
  <c r="F2" i="49"/>
  <c r="E2" i="49"/>
  <c r="D2" i="49"/>
  <c r="O1" i="49"/>
  <c r="N1" i="49"/>
  <c r="M1" i="49"/>
  <c r="L1" i="49"/>
  <c r="K1" i="49"/>
  <c r="J1" i="49"/>
  <c r="I1" i="49"/>
  <c r="H1" i="49"/>
  <c r="G1" i="49"/>
  <c r="F1" i="49"/>
  <c r="E1" i="49"/>
  <c r="D1" i="49"/>
  <c r="AC80" i="48"/>
  <c r="AD80" i="48" s="1"/>
  <c r="P80" i="48"/>
  <c r="Y78" i="48"/>
  <c r="Y9" i="48" s="1"/>
  <c r="U78" i="48"/>
  <c r="U9" i="48" s="1"/>
  <c r="AB77" i="48"/>
  <c r="AB78" i="48" s="1"/>
  <c r="AB9" i="48" s="1"/>
  <c r="AA77" i="48"/>
  <c r="AA78" i="48" s="1"/>
  <c r="AA9" i="48" s="1"/>
  <c r="Z77" i="48"/>
  <c r="Y77" i="48"/>
  <c r="X77" i="48"/>
  <c r="X78" i="48" s="1"/>
  <c r="X9" i="48" s="1"/>
  <c r="W77" i="48"/>
  <c r="W78" i="48" s="1"/>
  <c r="W9" i="48" s="1"/>
  <c r="V77" i="48"/>
  <c r="U77" i="48"/>
  <c r="T77" i="48"/>
  <c r="T78" i="48" s="1"/>
  <c r="T9" i="48" s="1"/>
  <c r="S77" i="48"/>
  <c r="S78" i="48" s="1"/>
  <c r="S9" i="48" s="1"/>
  <c r="R77" i="48"/>
  <c r="Q77" i="48"/>
  <c r="Q78" i="48" s="1"/>
  <c r="Q9" i="48" s="1"/>
  <c r="O77" i="48"/>
  <c r="O78" i="48" s="1"/>
  <c r="O9" i="48" s="1"/>
  <c r="N77" i="48"/>
  <c r="M77" i="48"/>
  <c r="M78" i="48" s="1"/>
  <c r="M9" i="48" s="1"/>
  <c r="L77" i="48"/>
  <c r="L78" i="48" s="1"/>
  <c r="L9" i="48" s="1"/>
  <c r="K77" i="48"/>
  <c r="K78" i="48" s="1"/>
  <c r="K9" i="48" s="1"/>
  <c r="J77" i="48"/>
  <c r="I77" i="48"/>
  <c r="I78" i="48" s="1"/>
  <c r="I9" i="48" s="1"/>
  <c r="H77" i="48"/>
  <c r="H78" i="48" s="1"/>
  <c r="H9" i="48" s="1"/>
  <c r="G77" i="48"/>
  <c r="G78" i="48" s="1"/>
  <c r="G9" i="48" s="1"/>
  <c r="F77" i="48"/>
  <c r="E77" i="48"/>
  <c r="E78" i="48" s="1"/>
  <c r="E9" i="48" s="1"/>
  <c r="D77" i="48"/>
  <c r="D78" i="48" s="1"/>
  <c r="D9" i="48" s="1"/>
  <c r="AC76" i="48"/>
  <c r="P76" i="48"/>
  <c r="AC75" i="48"/>
  <c r="P75" i="48"/>
  <c r="AC74" i="48"/>
  <c r="AD74" i="48" s="1"/>
  <c r="AE74" i="48" s="1"/>
  <c r="P74" i="48"/>
  <c r="AC73" i="48"/>
  <c r="AD73" i="48" s="1"/>
  <c r="AE73" i="48" s="1"/>
  <c r="P73" i="48"/>
  <c r="AC72" i="48"/>
  <c r="AD72" i="48" s="1"/>
  <c r="AE72" i="48" s="1"/>
  <c r="P72" i="48"/>
  <c r="AC71" i="48"/>
  <c r="P71" i="48"/>
  <c r="AC70" i="48"/>
  <c r="P70" i="48"/>
  <c r="AC69" i="48"/>
  <c r="AD69" i="48" s="1"/>
  <c r="P69" i="48"/>
  <c r="AD68" i="48"/>
  <c r="AC68" i="48"/>
  <c r="P68" i="48"/>
  <c r="P77" i="48" s="1"/>
  <c r="P78" i="48" s="1"/>
  <c r="AB66" i="48"/>
  <c r="AA66" i="48"/>
  <c r="Z66" i="48"/>
  <c r="Y66" i="48"/>
  <c r="X66" i="48"/>
  <c r="W66" i="48"/>
  <c r="V66" i="48"/>
  <c r="U66" i="48"/>
  <c r="T66" i="48"/>
  <c r="S66" i="48"/>
  <c r="R66" i="48"/>
  <c r="Q66" i="48"/>
  <c r="O66" i="48"/>
  <c r="N66" i="48"/>
  <c r="M66" i="48"/>
  <c r="L66" i="48"/>
  <c r="K66" i="48"/>
  <c r="J66" i="48"/>
  <c r="I66" i="48"/>
  <c r="H66" i="48"/>
  <c r="G66" i="48"/>
  <c r="F66" i="48"/>
  <c r="E66" i="48"/>
  <c r="D66" i="48"/>
  <c r="AC65" i="48"/>
  <c r="AD65" i="48" s="1"/>
  <c r="P65" i="48"/>
  <c r="AC64" i="48"/>
  <c r="AD64" i="48" s="1"/>
  <c r="AE64" i="48" s="1"/>
  <c r="P64" i="48"/>
  <c r="AC63" i="48"/>
  <c r="AD63" i="48" s="1"/>
  <c r="AE63" i="48" s="1"/>
  <c r="P63" i="48"/>
  <c r="AC62" i="48"/>
  <c r="AD62" i="48" s="1"/>
  <c r="AE62" i="48" s="1"/>
  <c r="P62" i="48"/>
  <c r="AC61" i="48"/>
  <c r="AD61" i="48" s="1"/>
  <c r="AE61" i="48" s="1"/>
  <c r="P61" i="48"/>
  <c r="AC60" i="48"/>
  <c r="AD60" i="48" s="1"/>
  <c r="AE60" i="48" s="1"/>
  <c r="P60" i="48"/>
  <c r="AC59" i="48"/>
  <c r="AD59" i="48" s="1"/>
  <c r="AE59" i="48" s="1"/>
  <c r="P59" i="48"/>
  <c r="AC58" i="48"/>
  <c r="P58" i="48"/>
  <c r="P66" i="48" s="1"/>
  <c r="AB56" i="48"/>
  <c r="AA56" i="48"/>
  <c r="Z56" i="48"/>
  <c r="Y56" i="48"/>
  <c r="X56" i="48"/>
  <c r="W56" i="48"/>
  <c r="V56" i="48"/>
  <c r="U56" i="48"/>
  <c r="T56" i="48"/>
  <c r="S56" i="48"/>
  <c r="R56" i="48"/>
  <c r="Q56" i="48"/>
  <c r="O56" i="48"/>
  <c r="N56" i="48"/>
  <c r="M56" i="48"/>
  <c r="L56" i="48"/>
  <c r="K56" i="48"/>
  <c r="J56" i="48"/>
  <c r="I56" i="48"/>
  <c r="H56" i="48"/>
  <c r="G56" i="48"/>
  <c r="F56" i="48"/>
  <c r="E56" i="48"/>
  <c r="D56" i="48"/>
  <c r="AC55" i="48"/>
  <c r="AD55" i="48" s="1"/>
  <c r="AE55" i="48" s="1"/>
  <c r="P55" i="48"/>
  <c r="AC54" i="48"/>
  <c r="AD54" i="48" s="1"/>
  <c r="AE54" i="48" s="1"/>
  <c r="P54" i="48"/>
  <c r="AC53" i="48"/>
  <c r="AD53" i="48" s="1"/>
  <c r="AE53" i="48" s="1"/>
  <c r="P53" i="48"/>
  <c r="AC52" i="48"/>
  <c r="AD52" i="48" s="1"/>
  <c r="AE52" i="48" s="1"/>
  <c r="P52" i="48"/>
  <c r="AC51" i="48"/>
  <c r="AD51" i="48" s="1"/>
  <c r="AE51" i="48" s="1"/>
  <c r="P51" i="48"/>
  <c r="P56" i="48" s="1"/>
  <c r="AB49" i="48"/>
  <c r="AA49" i="48"/>
  <c r="Z49" i="48"/>
  <c r="Y49" i="48"/>
  <c r="X49" i="48"/>
  <c r="W49" i="48"/>
  <c r="V49" i="48"/>
  <c r="U49" i="48"/>
  <c r="T49" i="48"/>
  <c r="S49" i="48"/>
  <c r="R49" i="48"/>
  <c r="Q49" i="48"/>
  <c r="O49" i="48"/>
  <c r="N49" i="48"/>
  <c r="M49" i="48"/>
  <c r="L49" i="48"/>
  <c r="K49" i="48"/>
  <c r="J49" i="48"/>
  <c r="I49" i="48"/>
  <c r="H49" i="48"/>
  <c r="G49" i="48"/>
  <c r="F49" i="48"/>
  <c r="E49" i="48"/>
  <c r="D49" i="48"/>
  <c r="AC48" i="48"/>
  <c r="AD48" i="48" s="1"/>
  <c r="AE48" i="48" s="1"/>
  <c r="P48" i="48"/>
  <c r="AC47" i="48"/>
  <c r="P47" i="48"/>
  <c r="P49" i="48" s="1"/>
  <c r="AB42" i="48"/>
  <c r="AB43" i="48" s="1"/>
  <c r="AA42" i="48"/>
  <c r="AA43" i="48" s="1"/>
  <c r="Z42" i="48"/>
  <c r="Y42" i="48"/>
  <c r="X42" i="48"/>
  <c r="X43" i="48" s="1"/>
  <c r="W42" i="48"/>
  <c r="W43" i="48" s="1"/>
  <c r="V42" i="48"/>
  <c r="U42" i="48"/>
  <c r="T42" i="48"/>
  <c r="T43" i="48" s="1"/>
  <c r="S42" i="48"/>
  <c r="S43" i="48" s="1"/>
  <c r="R42" i="48"/>
  <c r="Q42" i="48"/>
  <c r="AC41" i="48"/>
  <c r="P41" i="48"/>
  <c r="AG41" i="48" s="1"/>
  <c r="AC40" i="48"/>
  <c r="AC39" i="48"/>
  <c r="AD39" i="48" s="1"/>
  <c r="P39" i="48"/>
  <c r="AG39" i="48" s="1"/>
  <c r="AC38" i="48"/>
  <c r="AD38" i="48" s="1"/>
  <c r="P38" i="48"/>
  <c r="AG38" i="48" s="1"/>
  <c r="AD37" i="48"/>
  <c r="AE37" i="48" s="1"/>
  <c r="AC37" i="48"/>
  <c r="P37" i="48"/>
  <c r="AG37" i="48" s="1"/>
  <c r="AC36" i="48"/>
  <c r="AD36" i="48" s="1"/>
  <c r="AE36" i="48" s="1"/>
  <c r="P36" i="48"/>
  <c r="AG36" i="48" s="1"/>
  <c r="AC35" i="48"/>
  <c r="P35" i="48"/>
  <c r="AG35" i="48" s="1"/>
  <c r="AC34" i="48"/>
  <c r="P34" i="48"/>
  <c r="AG34" i="48" s="1"/>
  <c r="AC33" i="48"/>
  <c r="AD33" i="48" s="1"/>
  <c r="AE33" i="48" s="1"/>
  <c r="P33" i="48"/>
  <c r="AG33" i="48" s="1"/>
  <c r="AD32" i="48"/>
  <c r="AE32" i="48" s="1"/>
  <c r="AC32" i="48"/>
  <c r="P32" i="48"/>
  <c r="AG32" i="48" s="1"/>
  <c r="AD31" i="48"/>
  <c r="AC31" i="48"/>
  <c r="P31" i="48"/>
  <c r="AG31" i="48" s="1"/>
  <c r="AD30" i="48"/>
  <c r="AC30" i="48"/>
  <c r="P30" i="48"/>
  <c r="AG30" i="48" s="1"/>
  <c r="AD29" i="48"/>
  <c r="AC29" i="48"/>
  <c r="P29" i="48"/>
  <c r="AG29" i="48" s="1"/>
  <c r="AC28" i="48"/>
  <c r="AD28" i="48" s="1"/>
  <c r="AE28" i="48" s="1"/>
  <c r="P28" i="48"/>
  <c r="AG28" i="48" s="1"/>
  <c r="AG27" i="48"/>
  <c r="AC27" i="48"/>
  <c r="P27" i="48"/>
  <c r="AD27" i="48" s="1"/>
  <c r="AE27" i="48" s="1"/>
  <c r="AC26" i="48"/>
  <c r="AD26" i="48" s="1"/>
  <c r="AE26" i="48" s="1"/>
  <c r="P26" i="48"/>
  <c r="AG26" i="48" s="1"/>
  <c r="AD25" i="48"/>
  <c r="AE25" i="48" s="1"/>
  <c r="AC25" i="48"/>
  <c r="P25" i="48"/>
  <c r="AG25" i="48" s="1"/>
  <c r="AD24" i="48"/>
  <c r="AC24" i="48"/>
  <c r="P24" i="48"/>
  <c r="AG24" i="48" s="1"/>
  <c r="AC23" i="48"/>
  <c r="AD23" i="48" s="1"/>
  <c r="AE23" i="48" s="1"/>
  <c r="P23" i="48"/>
  <c r="AG23" i="48" s="1"/>
  <c r="AC22" i="48"/>
  <c r="P22" i="48"/>
  <c r="AC21" i="48"/>
  <c r="AD21" i="48" s="1"/>
  <c r="AE21" i="48" s="1"/>
  <c r="P21" i="48"/>
  <c r="AG21" i="48" s="1"/>
  <c r="AD20" i="48"/>
  <c r="AE20" i="48" s="1"/>
  <c r="AC20" i="48"/>
  <c r="P20" i="48"/>
  <c r="AG20" i="48" s="1"/>
  <c r="AC19" i="48"/>
  <c r="AD19" i="48" s="1"/>
  <c r="AE19" i="48" s="1"/>
  <c r="P19" i="48"/>
  <c r="AG19" i="48" s="1"/>
  <c r="AC18" i="48"/>
  <c r="P18" i="48"/>
  <c r="AD18" i="48" s="1"/>
  <c r="AE18" i="48" s="1"/>
  <c r="AC17" i="48"/>
  <c r="AD17" i="48" s="1"/>
  <c r="AE17" i="48" s="1"/>
  <c r="P17" i="48"/>
  <c r="AG17" i="48" s="1"/>
  <c r="AC16" i="48"/>
  <c r="AD16" i="48" s="1"/>
  <c r="P16" i="48"/>
  <c r="AG16" i="48" s="1"/>
  <c r="AD15" i="48"/>
  <c r="AE15" i="48" s="1"/>
  <c r="AC15" i="48"/>
  <c r="P15" i="48"/>
  <c r="AG15" i="48" s="1"/>
  <c r="AD14" i="48"/>
  <c r="AC14" i="48"/>
  <c r="P14" i="48"/>
  <c r="AG14" i="48" s="1"/>
  <c r="AD13" i="48"/>
  <c r="AC13" i="48"/>
  <c r="P13" i="48"/>
  <c r="AG13" i="48" s="1"/>
  <c r="AC12" i="48"/>
  <c r="AD12" i="48" s="1"/>
  <c r="AE12" i="48" s="1"/>
  <c r="P12" i="48"/>
  <c r="AG11" i="48"/>
  <c r="AG10" i="48"/>
  <c r="AB7" i="48"/>
  <c r="X7" i="48"/>
  <c r="T7" i="48"/>
  <c r="P7" i="48"/>
  <c r="L7" i="48"/>
  <c r="H7" i="48"/>
  <c r="D7" i="48"/>
  <c r="Z6" i="48"/>
  <c r="V6" i="48"/>
  <c r="R6" i="48"/>
  <c r="N6" i="48"/>
  <c r="J6" i="48"/>
  <c r="F6" i="48"/>
  <c r="C4" i="48"/>
  <c r="O2" i="48"/>
  <c r="N2" i="48"/>
  <c r="M2" i="48"/>
  <c r="L2" i="48"/>
  <c r="K2" i="48"/>
  <c r="J2" i="48"/>
  <c r="I2" i="48"/>
  <c r="H2" i="48"/>
  <c r="G2" i="48"/>
  <c r="F2" i="48"/>
  <c r="E2" i="48"/>
  <c r="D2" i="48"/>
  <c r="O1" i="48"/>
  <c r="N1" i="48"/>
  <c r="M1" i="48"/>
  <c r="L1" i="48"/>
  <c r="K1" i="48"/>
  <c r="J1" i="48"/>
  <c r="I1" i="48"/>
  <c r="H1" i="48"/>
  <c r="G1" i="48"/>
  <c r="F1" i="48"/>
  <c r="E1" i="48"/>
  <c r="D1" i="48"/>
  <c r="L86" i="47"/>
  <c r="H86" i="47"/>
  <c r="D86" i="47"/>
  <c r="O85" i="47"/>
  <c r="N85" i="47"/>
  <c r="M85" i="47"/>
  <c r="L85" i="47"/>
  <c r="K85" i="47"/>
  <c r="J85" i="47"/>
  <c r="I85" i="47"/>
  <c r="H85" i="47"/>
  <c r="G85" i="47"/>
  <c r="F85" i="47"/>
  <c r="E85" i="47"/>
  <c r="D85" i="47"/>
  <c r="O84" i="47"/>
  <c r="N84" i="47"/>
  <c r="M84" i="47"/>
  <c r="L84" i="47"/>
  <c r="K84" i="47"/>
  <c r="J84" i="47"/>
  <c r="I84" i="47"/>
  <c r="H84" i="47"/>
  <c r="G84" i="47"/>
  <c r="F84" i="47"/>
  <c r="E84" i="47"/>
  <c r="D84" i="47"/>
  <c r="O83" i="47"/>
  <c r="O86" i="47" s="1"/>
  <c r="N83" i="47"/>
  <c r="N86" i="47" s="1"/>
  <c r="M83" i="47"/>
  <c r="M86" i="47" s="1"/>
  <c r="L83" i="47"/>
  <c r="K83" i="47"/>
  <c r="K86" i="47" s="1"/>
  <c r="J83" i="47"/>
  <c r="J86" i="47" s="1"/>
  <c r="I83" i="47"/>
  <c r="I86" i="47" s="1"/>
  <c r="H83" i="47"/>
  <c r="G83" i="47"/>
  <c r="G86" i="47" s="1"/>
  <c r="F83" i="47"/>
  <c r="F86" i="47" s="1"/>
  <c r="E83" i="47"/>
  <c r="E86" i="47" s="1"/>
  <c r="D83" i="47"/>
  <c r="AB80" i="47"/>
  <c r="AA80" i="47"/>
  <c r="Z80" i="47"/>
  <c r="Y80" i="47"/>
  <c r="X80" i="47"/>
  <c r="W80" i="47"/>
  <c r="V80" i="47"/>
  <c r="U80" i="47"/>
  <c r="T80" i="47"/>
  <c r="S80" i="47"/>
  <c r="R80" i="47"/>
  <c r="Q80" i="47"/>
  <c r="O80" i="47"/>
  <c r="N80" i="47"/>
  <c r="M80" i="47"/>
  <c r="L80" i="47"/>
  <c r="K80" i="47"/>
  <c r="J80" i="47"/>
  <c r="I80" i="47"/>
  <c r="H80" i="47"/>
  <c r="G80" i="47"/>
  <c r="F80" i="47"/>
  <c r="E80" i="47"/>
  <c r="D80" i="47"/>
  <c r="P80" i="47" s="1"/>
  <c r="AG80" i="47" s="1"/>
  <c r="AG79" i="47"/>
  <c r="AG76" i="47"/>
  <c r="AB76" i="47"/>
  <c r="AA76" i="47"/>
  <c r="Z76" i="47"/>
  <c r="Y76" i="47"/>
  <c r="X76" i="47"/>
  <c r="W76" i="47"/>
  <c r="V76" i="47"/>
  <c r="U76" i="47"/>
  <c r="T76" i="47"/>
  <c r="S76" i="47"/>
  <c r="R76" i="47"/>
  <c r="Q76" i="47"/>
  <c r="AC76" i="47" s="1"/>
  <c r="O76" i="47"/>
  <c r="N76" i="47"/>
  <c r="M76" i="47"/>
  <c r="L76" i="47"/>
  <c r="K76" i="47"/>
  <c r="J76" i="47"/>
  <c r="I76" i="47"/>
  <c r="H76" i="47"/>
  <c r="G76" i="47"/>
  <c r="F76" i="47"/>
  <c r="E76" i="47"/>
  <c r="D76" i="47"/>
  <c r="AG75" i="47"/>
  <c r="AB75" i="47"/>
  <c r="AA75" i="47"/>
  <c r="Z75" i="47"/>
  <c r="Y75" i="47"/>
  <c r="X75" i="47"/>
  <c r="W75" i="47"/>
  <c r="V75" i="47"/>
  <c r="U75" i="47"/>
  <c r="T75" i="47"/>
  <c r="S75" i="47"/>
  <c r="R75" i="47"/>
  <c r="Q75" i="47"/>
  <c r="AC75" i="47" s="1"/>
  <c r="O75" i="47"/>
  <c r="N75" i="47"/>
  <c r="M75" i="47"/>
  <c r="L75" i="47"/>
  <c r="K75" i="47"/>
  <c r="J75" i="47"/>
  <c r="I75" i="47"/>
  <c r="H75" i="47"/>
  <c r="G75" i="47"/>
  <c r="F75" i="47"/>
  <c r="E75" i="47"/>
  <c r="D75" i="47"/>
  <c r="AB74" i="47"/>
  <c r="AA74" i="47"/>
  <c r="Z74" i="47"/>
  <c r="Y74" i="47"/>
  <c r="X74" i="47"/>
  <c r="W74" i="47"/>
  <c r="V74" i="47"/>
  <c r="U74" i="47"/>
  <c r="T74" i="47"/>
  <c r="S74" i="47"/>
  <c r="R74" i="47"/>
  <c r="Q74" i="47"/>
  <c r="O74" i="47"/>
  <c r="N74" i="47"/>
  <c r="M74" i="47"/>
  <c r="L74" i="47"/>
  <c r="K74" i="47"/>
  <c r="J74" i="47"/>
  <c r="I74" i="47"/>
  <c r="H74" i="47"/>
  <c r="G74" i="47"/>
  <c r="F74" i="47"/>
  <c r="E74" i="47"/>
  <c r="D74" i="47"/>
  <c r="P74" i="47" s="1"/>
  <c r="AG74" i="47" s="1"/>
  <c r="AB73" i="47"/>
  <c r="AA73" i="47"/>
  <c r="Z73" i="47"/>
  <c r="Y73" i="47"/>
  <c r="X73" i="47"/>
  <c r="W73" i="47"/>
  <c r="V73" i="47"/>
  <c r="U73" i="47"/>
  <c r="T73" i="47"/>
  <c r="S73" i="47"/>
  <c r="R73" i="47"/>
  <c r="Q73" i="47"/>
  <c r="AC73" i="47" s="1"/>
  <c r="AD73" i="47" s="1"/>
  <c r="AE73" i="47" s="1"/>
  <c r="O73" i="47"/>
  <c r="N73" i="47"/>
  <c r="M73" i="47"/>
  <c r="L73" i="47"/>
  <c r="K73" i="47"/>
  <c r="J73" i="47"/>
  <c r="I73" i="47"/>
  <c r="H73" i="47"/>
  <c r="G73" i="47"/>
  <c r="F73" i="47"/>
  <c r="E73" i="47"/>
  <c r="D73" i="47"/>
  <c r="P73" i="47" s="1"/>
  <c r="AG73" i="47" s="1"/>
  <c r="AB72" i="47"/>
  <c r="AA72" i="47"/>
  <c r="Z72" i="47"/>
  <c r="Y72" i="47"/>
  <c r="X72" i="47"/>
  <c r="W72" i="47"/>
  <c r="V72" i="47"/>
  <c r="U72" i="47"/>
  <c r="T72" i="47"/>
  <c r="S72" i="47"/>
  <c r="R72" i="47"/>
  <c r="Q72" i="47"/>
  <c r="O72" i="47"/>
  <c r="N72" i="47"/>
  <c r="M72" i="47"/>
  <c r="L72" i="47"/>
  <c r="K72" i="47"/>
  <c r="J72" i="47"/>
  <c r="I72" i="47"/>
  <c r="H72" i="47"/>
  <c r="G72" i="47"/>
  <c r="F72" i="47"/>
  <c r="E72" i="47"/>
  <c r="D72" i="47"/>
  <c r="AB71" i="47"/>
  <c r="AA71" i="47"/>
  <c r="Z71" i="47"/>
  <c r="Y71" i="47"/>
  <c r="X71" i="47"/>
  <c r="W71" i="47"/>
  <c r="V71" i="47"/>
  <c r="U71" i="47"/>
  <c r="T71" i="47"/>
  <c r="S71" i="47"/>
  <c r="S77" i="47" s="1"/>
  <c r="S78" i="47" s="1"/>
  <c r="S9" i="47" s="1"/>
  <c r="R71" i="47"/>
  <c r="Q71" i="47"/>
  <c r="O71" i="47"/>
  <c r="N71" i="47"/>
  <c r="M71" i="47"/>
  <c r="L71" i="47"/>
  <c r="K71" i="47"/>
  <c r="J71" i="47"/>
  <c r="I71" i="47"/>
  <c r="H71" i="47"/>
  <c r="G71" i="47"/>
  <c r="F71" i="47"/>
  <c r="E71" i="47"/>
  <c r="D71" i="47"/>
  <c r="AB70" i="47"/>
  <c r="AA70" i="47"/>
  <c r="Z70" i="47"/>
  <c r="Y70" i="47"/>
  <c r="X70" i="47"/>
  <c r="W70" i="47"/>
  <c r="V70" i="47"/>
  <c r="U70" i="47"/>
  <c r="T70" i="47"/>
  <c r="S70" i="47"/>
  <c r="R70" i="47"/>
  <c r="Q70" i="47"/>
  <c r="AC70" i="47" s="1"/>
  <c r="O70" i="47"/>
  <c r="N70" i="47"/>
  <c r="M70" i="47"/>
  <c r="L70" i="47"/>
  <c r="K70" i="47"/>
  <c r="J70" i="47"/>
  <c r="I70" i="47"/>
  <c r="H70" i="47"/>
  <c r="G70" i="47"/>
  <c r="G77" i="47" s="1"/>
  <c r="F70" i="47"/>
  <c r="E70" i="47"/>
  <c r="D70" i="47"/>
  <c r="AB69" i="47"/>
  <c r="AA69" i="47"/>
  <c r="Z69" i="47"/>
  <c r="Y69" i="47"/>
  <c r="X69" i="47"/>
  <c r="W69" i="47"/>
  <c r="V69" i="47"/>
  <c r="U69" i="47"/>
  <c r="T69" i="47"/>
  <c r="S69" i="47"/>
  <c r="R69" i="47"/>
  <c r="Q69" i="47"/>
  <c r="AC69" i="47" s="1"/>
  <c r="O69" i="47"/>
  <c r="N69" i="47"/>
  <c r="M69" i="47"/>
  <c r="L69" i="47"/>
  <c r="K69" i="47"/>
  <c r="J69" i="47"/>
  <c r="I69" i="47"/>
  <c r="H69" i="47"/>
  <c r="G69" i="47"/>
  <c r="F69" i="47"/>
  <c r="E69" i="47"/>
  <c r="D69" i="47"/>
  <c r="P69" i="47" s="1"/>
  <c r="AG69" i="47" s="1"/>
  <c r="AB68" i="47"/>
  <c r="AA68" i="47"/>
  <c r="Z68" i="47"/>
  <c r="Y68" i="47"/>
  <c r="X68" i="47"/>
  <c r="W68" i="47"/>
  <c r="V68" i="47"/>
  <c r="U68" i="47"/>
  <c r="T68" i="47"/>
  <c r="S68" i="47"/>
  <c r="R68" i="47"/>
  <c r="Q68" i="47"/>
  <c r="O68" i="47"/>
  <c r="O77" i="47" s="1"/>
  <c r="N68" i="47"/>
  <c r="N77" i="47" s="1"/>
  <c r="M68" i="47"/>
  <c r="M77" i="47" s="1"/>
  <c r="L68" i="47"/>
  <c r="K68" i="47"/>
  <c r="K77" i="47" s="1"/>
  <c r="J68" i="47"/>
  <c r="J77" i="47" s="1"/>
  <c r="I68" i="47"/>
  <c r="I77" i="47" s="1"/>
  <c r="H68" i="47"/>
  <c r="G68" i="47"/>
  <c r="F68" i="47"/>
  <c r="F77" i="47" s="1"/>
  <c r="E68" i="47"/>
  <c r="E77" i="47" s="1"/>
  <c r="D68" i="47"/>
  <c r="AG67" i="47"/>
  <c r="Y66" i="47"/>
  <c r="M66" i="47"/>
  <c r="I66" i="47"/>
  <c r="AB65" i="47"/>
  <c r="AA65" i="47"/>
  <c r="Z65" i="47"/>
  <c r="Y65" i="47"/>
  <c r="X65" i="47"/>
  <c r="W65" i="47"/>
  <c r="V65" i="47"/>
  <c r="U65" i="47"/>
  <c r="T65" i="47"/>
  <c r="S65" i="47"/>
  <c r="R65" i="47"/>
  <c r="Q65" i="47"/>
  <c r="AC65" i="47" s="1"/>
  <c r="O65" i="47"/>
  <c r="N65" i="47"/>
  <c r="M65" i="47"/>
  <c r="L65" i="47"/>
  <c r="K65" i="47"/>
  <c r="J65" i="47"/>
  <c r="I65" i="47"/>
  <c r="H65" i="47"/>
  <c r="G65" i="47"/>
  <c r="F65" i="47"/>
  <c r="E65" i="47"/>
  <c r="D65" i="47"/>
  <c r="AB64" i="47"/>
  <c r="AA64" i="47"/>
  <c r="Z64" i="47"/>
  <c r="Y64" i="47"/>
  <c r="X64" i="47"/>
  <c r="W64" i="47"/>
  <c r="V64" i="47"/>
  <c r="U64" i="47"/>
  <c r="T64" i="47"/>
  <c r="S64" i="47"/>
  <c r="R64" i="47"/>
  <c r="Q64" i="47"/>
  <c r="AC64" i="47" s="1"/>
  <c r="AD64" i="47" s="1"/>
  <c r="AE64" i="47" s="1"/>
  <c r="O64" i="47"/>
  <c r="N64" i="47"/>
  <c r="M64" i="47"/>
  <c r="L64" i="47"/>
  <c r="K64" i="47"/>
  <c r="J64" i="47"/>
  <c r="I64" i="47"/>
  <c r="H64" i="47"/>
  <c r="G64" i="47"/>
  <c r="F64" i="47"/>
  <c r="E64" i="47"/>
  <c r="D64" i="47"/>
  <c r="P64" i="47" s="1"/>
  <c r="AG64" i="47" s="1"/>
  <c r="AB63" i="47"/>
  <c r="AA63" i="47"/>
  <c r="Z63" i="47"/>
  <c r="Y63" i="47"/>
  <c r="X63" i="47"/>
  <c r="W63" i="47"/>
  <c r="V63" i="47"/>
  <c r="U63" i="47"/>
  <c r="T63" i="47"/>
  <c r="S63" i="47"/>
  <c r="R63" i="47"/>
  <c r="Q63" i="47"/>
  <c r="AC63" i="47" s="1"/>
  <c r="O63" i="47"/>
  <c r="N63" i="47"/>
  <c r="M63" i="47"/>
  <c r="L63" i="47"/>
  <c r="K63" i="47"/>
  <c r="J63" i="47"/>
  <c r="I63" i="47"/>
  <c r="H63" i="47"/>
  <c r="G63" i="47"/>
  <c r="F63" i="47"/>
  <c r="E63" i="47"/>
  <c r="D63" i="47"/>
  <c r="P63" i="47" s="1"/>
  <c r="AG63" i="47" s="1"/>
  <c r="AB62" i="47"/>
  <c r="AA62" i="47"/>
  <c r="Z62" i="47"/>
  <c r="Y62" i="47"/>
  <c r="X62" i="47"/>
  <c r="W62" i="47"/>
  <c r="V62" i="47"/>
  <c r="U62" i="47"/>
  <c r="T62" i="47"/>
  <c r="S62" i="47"/>
  <c r="R62" i="47"/>
  <c r="Q62" i="47"/>
  <c r="O62" i="47"/>
  <c r="N62" i="47"/>
  <c r="M62" i="47"/>
  <c r="L62" i="47"/>
  <c r="K62" i="47"/>
  <c r="J62" i="47"/>
  <c r="I62" i="47"/>
  <c r="H62" i="47"/>
  <c r="G62" i="47"/>
  <c r="F62" i="47"/>
  <c r="E62" i="47"/>
  <c r="D62" i="47"/>
  <c r="P62" i="47" s="1"/>
  <c r="AG62" i="47" s="1"/>
  <c r="AB61" i="47"/>
  <c r="AA61" i="47"/>
  <c r="Z61" i="47"/>
  <c r="Y61" i="47"/>
  <c r="X61" i="47"/>
  <c r="W61" i="47"/>
  <c r="V61" i="47"/>
  <c r="U61" i="47"/>
  <c r="U66" i="47" s="1"/>
  <c r="T61" i="47"/>
  <c r="S61" i="47"/>
  <c r="R61" i="47"/>
  <c r="Q61" i="47"/>
  <c r="Q66" i="47" s="1"/>
  <c r="O61" i="47"/>
  <c r="N61" i="47"/>
  <c r="M61" i="47"/>
  <c r="L61" i="47"/>
  <c r="K61" i="47"/>
  <c r="J61" i="47"/>
  <c r="I61" i="47"/>
  <c r="H61" i="47"/>
  <c r="G61" i="47"/>
  <c r="F61" i="47"/>
  <c r="E61" i="47"/>
  <c r="E66" i="47" s="1"/>
  <c r="D61" i="47"/>
  <c r="P61" i="47" s="1"/>
  <c r="AG61" i="47" s="1"/>
  <c r="AB60" i="47"/>
  <c r="AA60" i="47"/>
  <c r="Z60" i="47"/>
  <c r="Y60" i="47"/>
  <c r="X60" i="47"/>
  <c r="W60" i="47"/>
  <c r="V60" i="47"/>
  <c r="U60" i="47"/>
  <c r="T60" i="47"/>
  <c r="S60" i="47"/>
  <c r="R60" i="47"/>
  <c r="Q60" i="47"/>
  <c r="AC60" i="47" s="1"/>
  <c r="AD60" i="47" s="1"/>
  <c r="AE60" i="47" s="1"/>
  <c r="O60" i="47"/>
  <c r="N60" i="47"/>
  <c r="M60" i="47"/>
  <c r="L60" i="47"/>
  <c r="K60" i="47"/>
  <c r="J60" i="47"/>
  <c r="I60" i="47"/>
  <c r="H60" i="47"/>
  <c r="G60" i="47"/>
  <c r="F60" i="47"/>
  <c r="E60" i="47"/>
  <c r="D60" i="47"/>
  <c r="P60" i="47" s="1"/>
  <c r="AG60" i="47" s="1"/>
  <c r="AB59" i="47"/>
  <c r="AA59" i="47"/>
  <c r="Z59" i="47"/>
  <c r="Y59" i="47"/>
  <c r="X59" i="47"/>
  <c r="W59" i="47"/>
  <c r="V59" i="47"/>
  <c r="U59" i="47"/>
  <c r="T59" i="47"/>
  <c r="S59" i="47"/>
  <c r="R59" i="47"/>
  <c r="Q59" i="47"/>
  <c r="O59" i="47"/>
  <c r="N59" i="47"/>
  <c r="M59" i="47"/>
  <c r="L59" i="47"/>
  <c r="K59" i="47"/>
  <c r="J59" i="47"/>
  <c r="I59" i="47"/>
  <c r="H59" i="47"/>
  <c r="G59" i="47"/>
  <c r="F59" i="47"/>
  <c r="E59" i="47"/>
  <c r="D59" i="47"/>
  <c r="AB58" i="47"/>
  <c r="AB66" i="47" s="1"/>
  <c r="AA58" i="47"/>
  <c r="AA66" i="47" s="1"/>
  <c r="Z58" i="47"/>
  <c r="Y58" i="47"/>
  <c r="X58" i="47"/>
  <c r="X66" i="47" s="1"/>
  <c r="W58" i="47"/>
  <c r="W66" i="47" s="1"/>
  <c r="V58" i="47"/>
  <c r="U58" i="47"/>
  <c r="T58" i="47"/>
  <c r="T66" i="47" s="1"/>
  <c r="S58" i="47"/>
  <c r="S66" i="47" s="1"/>
  <c r="R58" i="47"/>
  <c r="Q58" i="47"/>
  <c r="O58" i="47"/>
  <c r="O66" i="47" s="1"/>
  <c r="N58" i="47"/>
  <c r="M58" i="47"/>
  <c r="L58" i="47"/>
  <c r="L66" i="47" s="1"/>
  <c r="K58" i="47"/>
  <c r="K66" i="47" s="1"/>
  <c r="J58" i="47"/>
  <c r="I58" i="47"/>
  <c r="H58" i="47"/>
  <c r="H66" i="47" s="1"/>
  <c r="G58" i="47"/>
  <c r="G66" i="47" s="1"/>
  <c r="F58" i="47"/>
  <c r="E58" i="47"/>
  <c r="D58" i="47"/>
  <c r="D66" i="47" s="1"/>
  <c r="AG57" i="47"/>
  <c r="V56" i="47"/>
  <c r="R56" i="47"/>
  <c r="AB55" i="47"/>
  <c r="AA55" i="47"/>
  <c r="Z55" i="47"/>
  <c r="Y55" i="47"/>
  <c r="X55" i="47"/>
  <c r="W55" i="47"/>
  <c r="V55" i="47"/>
  <c r="U55" i="47"/>
  <c r="T55" i="47"/>
  <c r="S55" i="47"/>
  <c r="R55" i="47"/>
  <c r="Q55" i="47"/>
  <c r="AC55" i="47" s="1"/>
  <c r="AB54" i="47"/>
  <c r="AA54" i="47"/>
  <c r="Z54" i="47"/>
  <c r="Y54" i="47"/>
  <c r="X54" i="47"/>
  <c r="W54" i="47"/>
  <c r="V54" i="47"/>
  <c r="U54" i="47"/>
  <c r="T54" i="47"/>
  <c r="S54" i="47"/>
  <c r="R54" i="47"/>
  <c r="Q54" i="47"/>
  <c r="AC54" i="47" s="1"/>
  <c r="O54" i="47"/>
  <c r="N54" i="47"/>
  <c r="M54" i="47"/>
  <c r="L54" i="47"/>
  <c r="K54" i="47"/>
  <c r="J54" i="47"/>
  <c r="I54" i="47"/>
  <c r="H54" i="47"/>
  <c r="G54" i="47"/>
  <c r="F54" i="47"/>
  <c r="E54" i="47"/>
  <c r="D54" i="47"/>
  <c r="P54" i="47" s="1"/>
  <c r="AG54" i="47" s="1"/>
  <c r="AB53" i="47"/>
  <c r="AA53" i="47"/>
  <c r="Z53" i="47"/>
  <c r="Y53" i="47"/>
  <c r="X53" i="47"/>
  <c r="W53" i="47"/>
  <c r="V53" i="47"/>
  <c r="U53" i="47"/>
  <c r="T53" i="47"/>
  <c r="S53" i="47"/>
  <c r="R53" i="47"/>
  <c r="Q53" i="47"/>
  <c r="AC53" i="47" s="1"/>
  <c r="AD53" i="47" s="1"/>
  <c r="AE53" i="47" s="1"/>
  <c r="O53" i="47"/>
  <c r="N53" i="47"/>
  <c r="M53" i="47"/>
  <c r="L53" i="47"/>
  <c r="K53" i="47"/>
  <c r="J53" i="47"/>
  <c r="I53" i="47"/>
  <c r="H53" i="47"/>
  <c r="G53" i="47"/>
  <c r="F53" i="47"/>
  <c r="E53" i="47"/>
  <c r="D53" i="47"/>
  <c r="P53" i="47" s="1"/>
  <c r="AG53" i="47" s="1"/>
  <c r="AB52" i="47"/>
  <c r="AA52" i="47"/>
  <c r="Z52" i="47"/>
  <c r="Z56" i="47" s="1"/>
  <c r="Y52" i="47"/>
  <c r="X52" i="47"/>
  <c r="W52" i="47"/>
  <c r="V52" i="47"/>
  <c r="U52" i="47"/>
  <c r="T52" i="47"/>
  <c r="S52" i="47"/>
  <c r="R52" i="47"/>
  <c r="Q52" i="47"/>
  <c r="AC52" i="47" s="1"/>
  <c r="AD52" i="47" s="1"/>
  <c r="AE52" i="47" s="1"/>
  <c r="O52" i="47"/>
  <c r="N52" i="47"/>
  <c r="M52" i="47"/>
  <c r="L52" i="47"/>
  <c r="K52" i="47"/>
  <c r="J52" i="47"/>
  <c r="I52" i="47"/>
  <c r="H52" i="47"/>
  <c r="G52" i="47"/>
  <c r="F52" i="47"/>
  <c r="E52" i="47"/>
  <c r="D52" i="47"/>
  <c r="P52" i="47" s="1"/>
  <c r="AG52" i="47" s="1"/>
  <c r="AB51" i="47"/>
  <c r="AB56" i="47" s="1"/>
  <c r="AA51" i="47"/>
  <c r="AA56" i="47" s="1"/>
  <c r="Z51" i="47"/>
  <c r="Y51" i="47"/>
  <c r="Y56" i="47" s="1"/>
  <c r="X51" i="47"/>
  <c r="X56" i="47" s="1"/>
  <c r="W51" i="47"/>
  <c r="W56" i="47" s="1"/>
  <c r="V51" i="47"/>
  <c r="U51" i="47"/>
  <c r="U56" i="47" s="1"/>
  <c r="T51" i="47"/>
  <c r="T56" i="47" s="1"/>
  <c r="S51" i="47"/>
  <c r="S56" i="47" s="1"/>
  <c r="R51" i="47"/>
  <c r="Q51" i="47"/>
  <c r="Q56" i="47" s="1"/>
  <c r="O51" i="47"/>
  <c r="N51" i="47"/>
  <c r="M51" i="47"/>
  <c r="L51" i="47"/>
  <c r="K51" i="47"/>
  <c r="J51" i="47"/>
  <c r="I51" i="47"/>
  <c r="H51" i="47"/>
  <c r="G51" i="47"/>
  <c r="F51" i="47"/>
  <c r="E51" i="47"/>
  <c r="D51" i="47"/>
  <c r="AG50" i="47"/>
  <c r="Y49" i="47"/>
  <c r="U49" i="47"/>
  <c r="Q49" i="47"/>
  <c r="M49" i="47"/>
  <c r="I49" i="47"/>
  <c r="E49" i="47"/>
  <c r="AB48" i="47"/>
  <c r="AA48" i="47"/>
  <c r="Z48" i="47"/>
  <c r="Y48" i="47"/>
  <c r="X48" i="47"/>
  <c r="W48" i="47"/>
  <c r="V48" i="47"/>
  <c r="U48" i="47"/>
  <c r="T48" i="47"/>
  <c r="S48" i="47"/>
  <c r="R48" i="47"/>
  <c r="Q48" i="47"/>
  <c r="O48" i="47"/>
  <c r="N48" i="47"/>
  <c r="M48" i="47"/>
  <c r="L48" i="47"/>
  <c r="K48" i="47"/>
  <c r="J48" i="47"/>
  <c r="I48" i="47"/>
  <c r="H48" i="47"/>
  <c r="G48" i="47"/>
  <c r="F48" i="47"/>
  <c r="E48" i="47"/>
  <c r="D48" i="47"/>
  <c r="AB47" i="47"/>
  <c r="AB49" i="47" s="1"/>
  <c r="AA47" i="47"/>
  <c r="AA49" i="47" s="1"/>
  <c r="Z47" i="47"/>
  <c r="Y47" i="47"/>
  <c r="X47" i="47"/>
  <c r="X49" i="47" s="1"/>
  <c r="W47" i="47"/>
  <c r="W49" i="47" s="1"/>
  <c r="V47" i="47"/>
  <c r="U47" i="47"/>
  <c r="T47" i="47"/>
  <c r="T49" i="47" s="1"/>
  <c r="S47" i="47"/>
  <c r="S49" i="47" s="1"/>
  <c r="R47" i="47"/>
  <c r="Q47" i="47"/>
  <c r="O47" i="47"/>
  <c r="O49" i="47" s="1"/>
  <c r="N47" i="47"/>
  <c r="N49" i="47" s="1"/>
  <c r="M47" i="47"/>
  <c r="L47" i="47"/>
  <c r="L49" i="47" s="1"/>
  <c r="K47" i="47"/>
  <c r="K49" i="47" s="1"/>
  <c r="J47" i="47"/>
  <c r="J49" i="47" s="1"/>
  <c r="I47" i="47"/>
  <c r="H47" i="47"/>
  <c r="H49" i="47" s="1"/>
  <c r="G47" i="47"/>
  <c r="G49" i="47" s="1"/>
  <c r="F47" i="47"/>
  <c r="F49" i="47" s="1"/>
  <c r="E47" i="47"/>
  <c r="D47" i="47"/>
  <c r="D49" i="47" s="1"/>
  <c r="AG46" i="47"/>
  <c r="AG45" i="47"/>
  <c r="AG44" i="47"/>
  <c r="T42" i="47"/>
  <c r="AB41" i="47"/>
  <c r="AA41" i="47"/>
  <c r="Z41" i="47"/>
  <c r="Y41" i="47"/>
  <c r="X41" i="47"/>
  <c r="W41" i="47"/>
  <c r="V41" i="47"/>
  <c r="U41" i="47"/>
  <c r="T41" i="47"/>
  <c r="S41" i="47"/>
  <c r="R41" i="47"/>
  <c r="Q41" i="47"/>
  <c r="AC41" i="47" s="1"/>
  <c r="N41" i="47"/>
  <c r="M41" i="47"/>
  <c r="L41" i="47"/>
  <c r="K41" i="47"/>
  <c r="J41" i="47"/>
  <c r="I41" i="47"/>
  <c r="H41" i="47"/>
  <c r="G41" i="47"/>
  <c r="F41" i="47"/>
  <c r="E41" i="47"/>
  <c r="D41" i="47"/>
  <c r="P41" i="47" s="1"/>
  <c r="AG41" i="47" s="1"/>
  <c r="AB40" i="47"/>
  <c r="AA40" i="47"/>
  <c r="Z40" i="47"/>
  <c r="Y40" i="47"/>
  <c r="X40" i="47"/>
  <c r="W40" i="47"/>
  <c r="V40" i="47"/>
  <c r="U40" i="47"/>
  <c r="T40" i="47"/>
  <c r="S40" i="47"/>
  <c r="R40" i="47"/>
  <c r="Q40" i="47"/>
  <c r="AB39" i="47"/>
  <c r="AA39" i="47"/>
  <c r="Z39" i="47"/>
  <c r="Y39" i="47"/>
  <c r="X39" i="47"/>
  <c r="W39" i="47"/>
  <c r="V39" i="47"/>
  <c r="U39" i="47"/>
  <c r="T39" i="47"/>
  <c r="S39" i="47"/>
  <c r="R39" i="47"/>
  <c r="Q39" i="47"/>
  <c r="O39" i="47"/>
  <c r="N39" i="47"/>
  <c r="M39" i="47"/>
  <c r="L39" i="47"/>
  <c r="K39" i="47"/>
  <c r="J39" i="47"/>
  <c r="I39" i="47"/>
  <c r="H39" i="47"/>
  <c r="G39" i="47"/>
  <c r="F39" i="47"/>
  <c r="E39" i="47"/>
  <c r="D39" i="47"/>
  <c r="AB38" i="47"/>
  <c r="AA38" i="47"/>
  <c r="Z38" i="47"/>
  <c r="Y38" i="47"/>
  <c r="X38" i="47"/>
  <c r="W38" i="47"/>
  <c r="V38" i="47"/>
  <c r="U38" i="47"/>
  <c r="T38" i="47"/>
  <c r="S38" i="47"/>
  <c r="R38" i="47"/>
  <c r="Q38" i="47"/>
  <c r="O38" i="47"/>
  <c r="N38" i="47"/>
  <c r="M38" i="47"/>
  <c r="L38" i="47"/>
  <c r="K38" i="47"/>
  <c r="J38" i="47"/>
  <c r="I38" i="47"/>
  <c r="H38" i="47"/>
  <c r="G38" i="47"/>
  <c r="F38" i="47"/>
  <c r="E38" i="47"/>
  <c r="D38" i="47"/>
  <c r="AB37" i="47"/>
  <c r="AA37" i="47"/>
  <c r="Z37" i="47"/>
  <c r="Y37" i="47"/>
  <c r="X37" i="47"/>
  <c r="W37" i="47"/>
  <c r="V37" i="47"/>
  <c r="U37" i="47"/>
  <c r="T37" i="47"/>
  <c r="S37" i="47"/>
  <c r="R37" i="47"/>
  <c r="Q37" i="47"/>
  <c r="AC37" i="47" s="1"/>
  <c r="O37" i="47"/>
  <c r="N37" i="47"/>
  <c r="M37" i="47"/>
  <c r="L37" i="47"/>
  <c r="K37" i="47"/>
  <c r="J37" i="47"/>
  <c r="I37" i="47"/>
  <c r="H37" i="47"/>
  <c r="G37" i="47"/>
  <c r="F37" i="47"/>
  <c r="E37" i="47"/>
  <c r="D37" i="47"/>
  <c r="AB36" i="47"/>
  <c r="AA36" i="47"/>
  <c r="Z36" i="47"/>
  <c r="Y36" i="47"/>
  <c r="X36" i="47"/>
  <c r="W36" i="47"/>
  <c r="V36" i="47"/>
  <c r="U36" i="47"/>
  <c r="T36" i="47"/>
  <c r="S36" i="47"/>
  <c r="R36" i="47"/>
  <c r="Q36" i="47"/>
  <c r="AC36" i="47" s="1"/>
  <c r="O36" i="47"/>
  <c r="N36" i="47"/>
  <c r="M36" i="47"/>
  <c r="L36" i="47"/>
  <c r="K36" i="47"/>
  <c r="J36" i="47"/>
  <c r="I36" i="47"/>
  <c r="H36" i="47"/>
  <c r="G36" i="47"/>
  <c r="F36" i="47"/>
  <c r="E36" i="47"/>
  <c r="D36" i="47"/>
  <c r="P36" i="47" s="1"/>
  <c r="AG36" i="47" s="1"/>
  <c r="AB35" i="47"/>
  <c r="AA35" i="47"/>
  <c r="Z35" i="47"/>
  <c r="Y35" i="47"/>
  <c r="X35" i="47"/>
  <c r="W35" i="47"/>
  <c r="V35" i="47"/>
  <c r="U35" i="47"/>
  <c r="T35" i="47"/>
  <c r="S35" i="47"/>
  <c r="R35" i="47"/>
  <c r="Q35" i="47"/>
  <c r="AC35" i="47" s="1"/>
  <c r="O35" i="47"/>
  <c r="N35" i="47"/>
  <c r="M35" i="47"/>
  <c r="L35" i="47"/>
  <c r="K35" i="47"/>
  <c r="J35" i="47"/>
  <c r="I35" i="47"/>
  <c r="H35" i="47"/>
  <c r="G35" i="47"/>
  <c r="F35" i="47"/>
  <c r="E35" i="47"/>
  <c r="D35" i="47"/>
  <c r="AB34" i="47"/>
  <c r="AA34" i="47"/>
  <c r="Z34" i="47"/>
  <c r="Y34" i="47"/>
  <c r="X34" i="47"/>
  <c r="W34" i="47"/>
  <c r="V34" i="47"/>
  <c r="U34" i="47"/>
  <c r="T34" i="47"/>
  <c r="S34" i="47"/>
  <c r="R34" i="47"/>
  <c r="Q34" i="47"/>
  <c r="AC34" i="47" s="1"/>
  <c r="AD34" i="47" s="1"/>
  <c r="O34" i="47"/>
  <c r="N34" i="47"/>
  <c r="M34" i="47"/>
  <c r="L34" i="47"/>
  <c r="K34" i="47"/>
  <c r="J34" i="47"/>
  <c r="I34" i="47"/>
  <c r="H34" i="47"/>
  <c r="G34" i="47"/>
  <c r="F34" i="47"/>
  <c r="E34" i="47"/>
  <c r="D34" i="47"/>
  <c r="P34" i="47" s="1"/>
  <c r="AG34" i="47" s="1"/>
  <c r="AB33" i="47"/>
  <c r="AA33" i="47"/>
  <c r="Z33" i="47"/>
  <c r="Y33" i="47"/>
  <c r="X33" i="47"/>
  <c r="W33" i="47"/>
  <c r="V33" i="47"/>
  <c r="U33" i="47"/>
  <c r="T33" i="47"/>
  <c r="S33" i="47"/>
  <c r="R33" i="47"/>
  <c r="Q33" i="47"/>
  <c r="AC33" i="47" s="1"/>
  <c r="AD33" i="47" s="1"/>
  <c r="AE33" i="47" s="1"/>
  <c r="O33" i="47"/>
  <c r="N33" i="47"/>
  <c r="M33" i="47"/>
  <c r="L33" i="47"/>
  <c r="K33" i="47"/>
  <c r="J33" i="47"/>
  <c r="I33" i="47"/>
  <c r="H33" i="47"/>
  <c r="G33" i="47"/>
  <c r="F33" i="47"/>
  <c r="E33" i="47"/>
  <c r="D33" i="47"/>
  <c r="P33" i="47" s="1"/>
  <c r="AG33" i="47" s="1"/>
  <c r="AB32" i="47"/>
  <c r="AA32" i="47"/>
  <c r="Z32" i="47"/>
  <c r="Y32" i="47"/>
  <c r="X32" i="47"/>
  <c r="W32" i="47"/>
  <c r="V32" i="47"/>
  <c r="U32" i="47"/>
  <c r="T32" i="47"/>
  <c r="S32" i="47"/>
  <c r="R32" i="47"/>
  <c r="Q32" i="47"/>
  <c r="O32" i="47"/>
  <c r="N32" i="47"/>
  <c r="M32" i="47"/>
  <c r="L32" i="47"/>
  <c r="K32" i="47"/>
  <c r="J32" i="47"/>
  <c r="I32" i="47"/>
  <c r="H32" i="47"/>
  <c r="G32" i="47"/>
  <c r="F32" i="47"/>
  <c r="E32" i="47"/>
  <c r="D32" i="47"/>
  <c r="P32" i="47" s="1"/>
  <c r="AG32" i="47" s="1"/>
  <c r="AB31" i="47"/>
  <c r="AA31" i="47"/>
  <c r="Z31" i="47"/>
  <c r="Y31" i="47"/>
  <c r="X31" i="47"/>
  <c r="W31" i="47"/>
  <c r="V31" i="47"/>
  <c r="U31" i="47"/>
  <c r="T31" i="47"/>
  <c r="S31" i="47"/>
  <c r="R31" i="47"/>
  <c r="Q31" i="47"/>
  <c r="O31" i="47"/>
  <c r="N31" i="47"/>
  <c r="M31" i="47"/>
  <c r="L31" i="47"/>
  <c r="K31" i="47"/>
  <c r="J31" i="47"/>
  <c r="I31" i="47"/>
  <c r="H31" i="47"/>
  <c r="G31" i="47"/>
  <c r="F31" i="47"/>
  <c r="E31" i="47"/>
  <c r="D31" i="47"/>
  <c r="AB30" i="47"/>
  <c r="AA30" i="47"/>
  <c r="Z30" i="47"/>
  <c r="Y30" i="47"/>
  <c r="X30" i="47"/>
  <c r="W30" i="47"/>
  <c r="V30" i="47"/>
  <c r="U30" i="47"/>
  <c r="T30" i="47"/>
  <c r="S30" i="47"/>
  <c r="R30" i="47"/>
  <c r="Q30" i="47"/>
  <c r="AC30" i="47" s="1"/>
  <c r="O30" i="47"/>
  <c r="N30" i="47"/>
  <c r="M30" i="47"/>
  <c r="L30" i="47"/>
  <c r="K30" i="47"/>
  <c r="J30" i="47"/>
  <c r="I30" i="47"/>
  <c r="H30" i="47"/>
  <c r="G30" i="47"/>
  <c r="F30" i="47"/>
  <c r="E30" i="47"/>
  <c r="D30" i="47"/>
  <c r="AB29" i="47"/>
  <c r="AA29" i="47"/>
  <c r="Z29" i="47"/>
  <c r="Y29" i="47"/>
  <c r="X29" i="47"/>
  <c r="W29" i="47"/>
  <c r="V29" i="47"/>
  <c r="U29" i="47"/>
  <c r="T29" i="47"/>
  <c r="S29" i="47"/>
  <c r="R29" i="47"/>
  <c r="Q29" i="47"/>
  <c r="AC29" i="47" s="1"/>
  <c r="O29" i="47"/>
  <c r="N29" i="47"/>
  <c r="M29" i="47"/>
  <c r="L29" i="47"/>
  <c r="K29" i="47"/>
  <c r="J29" i="47"/>
  <c r="I29" i="47"/>
  <c r="H29" i="47"/>
  <c r="G29" i="47"/>
  <c r="F29" i="47"/>
  <c r="E29" i="47"/>
  <c r="D29" i="47"/>
  <c r="P29" i="47" s="1"/>
  <c r="AG29" i="47" s="1"/>
  <c r="AB28" i="47"/>
  <c r="AA28" i="47"/>
  <c r="Z28" i="47"/>
  <c r="Y28" i="47"/>
  <c r="X28" i="47"/>
  <c r="W28" i="47"/>
  <c r="V28" i="47"/>
  <c r="U28" i="47"/>
  <c r="T28" i="47"/>
  <c r="S28" i="47"/>
  <c r="R28" i="47"/>
  <c r="Q28" i="47"/>
  <c r="AC28" i="47" s="1"/>
  <c r="O28" i="47"/>
  <c r="N28" i="47"/>
  <c r="M28" i="47"/>
  <c r="L28" i="47"/>
  <c r="K28" i="47"/>
  <c r="J28" i="47"/>
  <c r="I28" i="47"/>
  <c r="H28" i="47"/>
  <c r="G28" i="47"/>
  <c r="F28" i="47"/>
  <c r="E28" i="47"/>
  <c r="D28" i="47"/>
  <c r="P28" i="47" s="1"/>
  <c r="AG28" i="47" s="1"/>
  <c r="AB27" i="47"/>
  <c r="AA27" i="47"/>
  <c r="Z27" i="47"/>
  <c r="Y27" i="47"/>
  <c r="X27" i="47"/>
  <c r="W27" i="47"/>
  <c r="V27" i="47"/>
  <c r="U27" i="47"/>
  <c r="T27" i="47"/>
  <c r="S27" i="47"/>
  <c r="R27" i="47"/>
  <c r="Q27" i="47"/>
  <c r="AC27" i="47" s="1"/>
  <c r="AD27" i="47" s="1"/>
  <c r="AE27" i="47" s="1"/>
  <c r="O27" i="47"/>
  <c r="N27" i="47"/>
  <c r="M27" i="47"/>
  <c r="L27" i="47"/>
  <c r="K27" i="47"/>
  <c r="J27" i="47"/>
  <c r="I27" i="47"/>
  <c r="H27" i="47"/>
  <c r="G27" i="47"/>
  <c r="F27" i="47"/>
  <c r="E27" i="47"/>
  <c r="D27" i="47"/>
  <c r="P27" i="47" s="1"/>
  <c r="AG27" i="47" s="1"/>
  <c r="AB26" i="47"/>
  <c r="AA26" i="47"/>
  <c r="Z26" i="47"/>
  <c r="Y26" i="47"/>
  <c r="X26" i="47"/>
  <c r="W26" i="47"/>
  <c r="V26" i="47"/>
  <c r="U26" i="47"/>
  <c r="T26" i="47"/>
  <c r="S26" i="47"/>
  <c r="R26" i="47"/>
  <c r="Q26" i="47"/>
  <c r="AC26" i="47" s="1"/>
  <c r="AD26" i="47" s="1"/>
  <c r="AE26" i="47" s="1"/>
  <c r="O26" i="47"/>
  <c r="N26" i="47"/>
  <c r="M26" i="47"/>
  <c r="L26" i="47"/>
  <c r="K26" i="47"/>
  <c r="J26" i="47"/>
  <c r="I26" i="47"/>
  <c r="H26" i="47"/>
  <c r="G26" i="47"/>
  <c r="F26" i="47"/>
  <c r="E26" i="47"/>
  <c r="D26" i="47"/>
  <c r="P26" i="47" s="1"/>
  <c r="AG26" i="47" s="1"/>
  <c r="AB25" i="47"/>
  <c r="AA25" i="47"/>
  <c r="Z25" i="47"/>
  <c r="Y25" i="47"/>
  <c r="X25" i="47"/>
  <c r="W25" i="47"/>
  <c r="V25" i="47"/>
  <c r="U25" i="47"/>
  <c r="T25" i="47"/>
  <c r="S25" i="47"/>
  <c r="R25" i="47"/>
  <c r="Q25" i="47"/>
  <c r="O25" i="47"/>
  <c r="N25" i="47"/>
  <c r="M25" i="47"/>
  <c r="K25" i="47"/>
  <c r="J25" i="47"/>
  <c r="I25" i="47"/>
  <c r="G25" i="47"/>
  <c r="F25" i="47"/>
  <c r="E25" i="47"/>
  <c r="AB24" i="47"/>
  <c r="AA24" i="47"/>
  <c r="Z24" i="47"/>
  <c r="Y24" i="47"/>
  <c r="X24" i="47"/>
  <c r="W24" i="47"/>
  <c r="V24" i="47"/>
  <c r="U24" i="47"/>
  <c r="T24" i="47"/>
  <c r="S24" i="47"/>
  <c r="R24" i="47"/>
  <c r="Q24" i="47"/>
  <c r="AC24" i="47" s="1"/>
  <c r="O24" i="47"/>
  <c r="N24" i="47"/>
  <c r="M24" i="47"/>
  <c r="L24" i="47"/>
  <c r="K24" i="47"/>
  <c r="J24" i="47"/>
  <c r="I24" i="47"/>
  <c r="H24" i="47"/>
  <c r="G24" i="47"/>
  <c r="F24" i="47"/>
  <c r="E24" i="47"/>
  <c r="D24" i="47"/>
  <c r="AB23" i="47"/>
  <c r="AA23" i="47"/>
  <c r="Z23" i="47"/>
  <c r="Y23" i="47"/>
  <c r="X23" i="47"/>
  <c r="W23" i="47"/>
  <c r="V23" i="47"/>
  <c r="U23" i="47"/>
  <c r="T23" i="47"/>
  <c r="S23" i="47"/>
  <c r="R23" i="47"/>
  <c r="Q23" i="47"/>
  <c r="AC23" i="47" s="1"/>
  <c r="AB22" i="47"/>
  <c r="AA22" i="47"/>
  <c r="Z22" i="47"/>
  <c r="Y22" i="47"/>
  <c r="X22" i="47"/>
  <c r="W22" i="47"/>
  <c r="V22" i="47"/>
  <c r="U22" i="47"/>
  <c r="T22" i="47"/>
  <c r="S22" i="47"/>
  <c r="R22" i="47"/>
  <c r="Q22" i="47"/>
  <c r="AC22" i="47" s="1"/>
  <c r="O22" i="47"/>
  <c r="N22" i="47"/>
  <c r="M22" i="47"/>
  <c r="L22" i="47"/>
  <c r="K22" i="47"/>
  <c r="J22" i="47"/>
  <c r="I22" i="47"/>
  <c r="H22" i="47"/>
  <c r="G22" i="47"/>
  <c r="F22" i="47"/>
  <c r="E22" i="47"/>
  <c r="D22" i="47"/>
  <c r="AB21" i="47"/>
  <c r="AA21" i="47"/>
  <c r="Z21" i="47"/>
  <c r="Y21" i="47"/>
  <c r="X21" i="47"/>
  <c r="W21" i="47"/>
  <c r="V21" i="47"/>
  <c r="U21" i="47"/>
  <c r="T21" i="47"/>
  <c r="S21" i="47"/>
  <c r="R21" i="47"/>
  <c r="Q21" i="47"/>
  <c r="O21" i="47"/>
  <c r="N21" i="47"/>
  <c r="M21" i="47"/>
  <c r="L21" i="47"/>
  <c r="K21" i="47"/>
  <c r="J21" i="47"/>
  <c r="I21" i="47"/>
  <c r="H21" i="47"/>
  <c r="G21" i="47"/>
  <c r="F21" i="47"/>
  <c r="E21" i="47"/>
  <c r="D21" i="47"/>
  <c r="AB20" i="47"/>
  <c r="AA20" i="47"/>
  <c r="Z20" i="47"/>
  <c r="Y20" i="47"/>
  <c r="X20" i="47"/>
  <c r="W20" i="47"/>
  <c r="V20" i="47"/>
  <c r="U20" i="47"/>
  <c r="T20" i="47"/>
  <c r="S20" i="47"/>
  <c r="R20" i="47"/>
  <c r="Q20" i="47"/>
  <c r="AC20" i="47" s="1"/>
  <c r="O20" i="47"/>
  <c r="N20" i="47"/>
  <c r="M20" i="47"/>
  <c r="L20" i="47"/>
  <c r="K20" i="47"/>
  <c r="J20" i="47"/>
  <c r="I20" i="47"/>
  <c r="H20" i="47"/>
  <c r="G20" i="47"/>
  <c r="F20" i="47"/>
  <c r="E20" i="47"/>
  <c r="D20" i="47"/>
  <c r="AB19" i="47"/>
  <c r="AA19" i="47"/>
  <c r="Z19" i="47"/>
  <c r="Y19" i="47"/>
  <c r="X19" i="47"/>
  <c r="W19" i="47"/>
  <c r="V19" i="47"/>
  <c r="U19" i="47"/>
  <c r="T19" i="47"/>
  <c r="S19" i="47"/>
  <c r="R19" i="47"/>
  <c r="Q19" i="47"/>
  <c r="AC19" i="47" s="1"/>
  <c r="O19" i="47"/>
  <c r="N19" i="47"/>
  <c r="M19" i="47"/>
  <c r="K19" i="47"/>
  <c r="J19" i="47"/>
  <c r="I19" i="47"/>
  <c r="H19" i="47"/>
  <c r="G19" i="47"/>
  <c r="F19" i="47"/>
  <c r="D19" i="47"/>
  <c r="AB18" i="47"/>
  <c r="AA18" i="47"/>
  <c r="Z18" i="47"/>
  <c r="Y18" i="47"/>
  <c r="X18" i="47"/>
  <c r="W18" i="47"/>
  <c r="V18" i="47"/>
  <c r="U18" i="47"/>
  <c r="T18" i="47"/>
  <c r="S18" i="47"/>
  <c r="R18" i="47"/>
  <c r="Q18" i="47"/>
  <c r="AC18" i="47" s="1"/>
  <c r="O18" i="47"/>
  <c r="N18" i="47"/>
  <c r="M18" i="47"/>
  <c r="L18" i="47"/>
  <c r="K18" i="47"/>
  <c r="J18" i="47"/>
  <c r="I18" i="47"/>
  <c r="H18" i="47"/>
  <c r="G18" i="47"/>
  <c r="F18" i="47"/>
  <c r="E18" i="47"/>
  <c r="D18" i="47"/>
  <c r="AB17" i="47"/>
  <c r="AA17" i="47"/>
  <c r="Z17" i="47"/>
  <c r="Y17" i="47"/>
  <c r="X17" i="47"/>
  <c r="W17" i="47"/>
  <c r="V17" i="47"/>
  <c r="U17" i="47"/>
  <c r="T17" i="47"/>
  <c r="S17" i="47"/>
  <c r="R17" i="47"/>
  <c r="Q17" i="47"/>
  <c r="O17" i="47"/>
  <c r="N17" i="47"/>
  <c r="M17" i="47"/>
  <c r="L17" i="47"/>
  <c r="K17" i="47"/>
  <c r="J17" i="47"/>
  <c r="I17" i="47"/>
  <c r="H17" i="47"/>
  <c r="G17" i="47"/>
  <c r="F17" i="47"/>
  <c r="E17" i="47"/>
  <c r="D17" i="47"/>
  <c r="AB16" i="47"/>
  <c r="AA16" i="47"/>
  <c r="Z16" i="47"/>
  <c r="Y16" i="47"/>
  <c r="X16" i="47"/>
  <c r="W16" i="47"/>
  <c r="V16" i="47"/>
  <c r="U16" i="47"/>
  <c r="T16" i="47"/>
  <c r="S16" i="47"/>
  <c r="R16" i="47"/>
  <c r="Q16" i="47"/>
  <c r="AC16" i="47" s="1"/>
  <c r="AD16" i="47" s="1"/>
  <c r="O16" i="47"/>
  <c r="N16" i="47"/>
  <c r="M16" i="47"/>
  <c r="L16" i="47"/>
  <c r="K16" i="47"/>
  <c r="J16" i="47"/>
  <c r="I16" i="47"/>
  <c r="H16" i="47"/>
  <c r="G16" i="47"/>
  <c r="F16" i="47"/>
  <c r="E16" i="47"/>
  <c r="D16" i="47"/>
  <c r="P16" i="47" s="1"/>
  <c r="AG16" i="47" s="1"/>
  <c r="AB15" i="47"/>
  <c r="AA15" i="47"/>
  <c r="Z15" i="47"/>
  <c r="Y15" i="47"/>
  <c r="X15" i="47"/>
  <c r="W15" i="47"/>
  <c r="V15" i="47"/>
  <c r="U15" i="47"/>
  <c r="T15" i="47"/>
  <c r="S15" i="47"/>
  <c r="R15" i="47"/>
  <c r="Q15" i="47"/>
  <c r="AC15" i="47" s="1"/>
  <c r="O15" i="47"/>
  <c r="N15" i="47"/>
  <c r="M15" i="47"/>
  <c r="L15" i="47"/>
  <c r="K15" i="47"/>
  <c r="J15" i="47"/>
  <c r="I15" i="47"/>
  <c r="H15" i="47"/>
  <c r="G15" i="47"/>
  <c r="F15" i="47"/>
  <c r="E15" i="47"/>
  <c r="D15" i="47"/>
  <c r="P15" i="47" s="1"/>
  <c r="AG15" i="47" s="1"/>
  <c r="AB14" i="47"/>
  <c r="AA14" i="47"/>
  <c r="Z14" i="47"/>
  <c r="Y14" i="47"/>
  <c r="X14" i="47"/>
  <c r="W14" i="47"/>
  <c r="V14" i="47"/>
  <c r="U14" i="47"/>
  <c r="T14" i="47"/>
  <c r="S14" i="47"/>
  <c r="R14" i="47"/>
  <c r="Q14" i="47"/>
  <c r="O14" i="47"/>
  <c r="N14" i="47"/>
  <c r="M14" i="47"/>
  <c r="L14" i="47"/>
  <c r="K14" i="47"/>
  <c r="J14" i="47"/>
  <c r="I14" i="47"/>
  <c r="H14" i="47"/>
  <c r="G14" i="47"/>
  <c r="F14" i="47"/>
  <c r="E14" i="47"/>
  <c r="D14" i="47"/>
  <c r="P14" i="47" s="1"/>
  <c r="AG14" i="47" s="1"/>
  <c r="AB13" i="47"/>
  <c r="AA13" i="47"/>
  <c r="Z13" i="47"/>
  <c r="Y13" i="47"/>
  <c r="X13" i="47"/>
  <c r="W13" i="47"/>
  <c r="V13" i="47"/>
  <c r="U13" i="47"/>
  <c r="T13" i="47"/>
  <c r="S13" i="47"/>
  <c r="R13" i="47"/>
  <c r="Q13" i="47"/>
  <c r="O13" i="47"/>
  <c r="N13" i="47"/>
  <c r="M13" i="47"/>
  <c r="L13" i="47"/>
  <c r="K13" i="47"/>
  <c r="J13" i="47"/>
  <c r="I13" i="47"/>
  <c r="H13" i="47"/>
  <c r="G13" i="47"/>
  <c r="F13" i="47"/>
  <c r="E13" i="47"/>
  <c r="D13" i="47"/>
  <c r="AB12" i="47"/>
  <c r="AB42" i="47" s="1"/>
  <c r="AA12" i="47"/>
  <c r="Z12" i="47"/>
  <c r="Y12" i="47"/>
  <c r="Y42" i="47" s="1"/>
  <c r="X12" i="47"/>
  <c r="X42" i="47" s="1"/>
  <c r="W12" i="47"/>
  <c r="V12" i="47"/>
  <c r="U12" i="47"/>
  <c r="U42" i="47" s="1"/>
  <c r="T12" i="47"/>
  <c r="S12" i="47"/>
  <c r="R12" i="47"/>
  <c r="Q12" i="47"/>
  <c r="Q42" i="47" s="1"/>
  <c r="P12" i="47"/>
  <c r="O12" i="47"/>
  <c r="M12" i="47"/>
  <c r="L12" i="47"/>
  <c r="K12" i="47"/>
  <c r="I12" i="47"/>
  <c r="H12" i="47"/>
  <c r="G12" i="47"/>
  <c r="E12" i="47"/>
  <c r="D12" i="47"/>
  <c r="AG11" i="47"/>
  <c r="AG10" i="47"/>
  <c r="AC7" i="47"/>
  <c r="AB7" i="47"/>
  <c r="AB7" i="50" s="1"/>
  <c r="AA7" i="47"/>
  <c r="AA7" i="48" s="1"/>
  <c r="Z7" i="47"/>
  <c r="Z7" i="49" s="1"/>
  <c r="Y7" i="47"/>
  <c r="X7" i="47"/>
  <c r="X7" i="50" s="1"/>
  <c r="W7" i="47"/>
  <c r="W7" i="48" s="1"/>
  <c r="V7" i="47"/>
  <c r="V7" i="49" s="1"/>
  <c r="U7" i="47"/>
  <c r="T7" i="47"/>
  <c r="T7" i="50" s="1"/>
  <c r="S7" i="47"/>
  <c r="S7" i="48" s="1"/>
  <c r="R7" i="47"/>
  <c r="R7" i="49" s="1"/>
  <c r="Q7" i="47"/>
  <c r="P7" i="47"/>
  <c r="P7" i="50" s="1"/>
  <c r="O7" i="47"/>
  <c r="O7" i="48" s="1"/>
  <c r="N7" i="47"/>
  <c r="N7" i="49" s="1"/>
  <c r="M7" i="47"/>
  <c r="L7" i="47"/>
  <c r="L7" i="50" s="1"/>
  <c r="K7" i="47"/>
  <c r="K7" i="48" s="1"/>
  <c r="J7" i="47"/>
  <c r="J7" i="49" s="1"/>
  <c r="I7" i="47"/>
  <c r="H7" i="47"/>
  <c r="H7" i="50" s="1"/>
  <c r="G7" i="47"/>
  <c r="G7" i="48" s="1"/>
  <c r="F7" i="47"/>
  <c r="F7" i="49" s="1"/>
  <c r="E7" i="47"/>
  <c r="D7" i="47"/>
  <c r="D7" i="50" s="1"/>
  <c r="AC6" i="47"/>
  <c r="AC6" i="48" s="1"/>
  <c r="AB6" i="47"/>
  <c r="AB6" i="49" s="1"/>
  <c r="AA6" i="47"/>
  <c r="Z6" i="47"/>
  <c r="Z6" i="50" s="1"/>
  <c r="Y6" i="47"/>
  <c r="Y6" i="48" s="1"/>
  <c r="X6" i="47"/>
  <c r="X6" i="49" s="1"/>
  <c r="W6" i="47"/>
  <c r="V6" i="47"/>
  <c r="V6" i="50" s="1"/>
  <c r="U6" i="47"/>
  <c r="U6" i="48" s="1"/>
  <c r="T6" i="47"/>
  <c r="T6" i="49" s="1"/>
  <c r="S6" i="47"/>
  <c r="R6" i="47"/>
  <c r="R6" i="50" s="1"/>
  <c r="Q6" i="47"/>
  <c r="Q6" i="48" s="1"/>
  <c r="P6" i="47"/>
  <c r="P6" i="49" s="1"/>
  <c r="O6" i="47"/>
  <c r="N6" i="47"/>
  <c r="N6" i="50" s="1"/>
  <c r="M6" i="47"/>
  <c r="M6" i="48" s="1"/>
  <c r="L6" i="47"/>
  <c r="L6" i="49" s="1"/>
  <c r="K6" i="47"/>
  <c r="J6" i="47"/>
  <c r="J6" i="50" s="1"/>
  <c r="I6" i="47"/>
  <c r="I6" i="48" s="1"/>
  <c r="H6" i="47"/>
  <c r="H6" i="49" s="1"/>
  <c r="G6" i="47"/>
  <c r="F6" i="47"/>
  <c r="F6" i="50" s="1"/>
  <c r="E6" i="47"/>
  <c r="E6" i="48" s="1"/>
  <c r="D6" i="47"/>
  <c r="D6" i="49" s="1"/>
  <c r="C4" i="47"/>
  <c r="O93" i="46"/>
  <c r="N93" i="46"/>
  <c r="M93" i="46"/>
  <c r="L93" i="46"/>
  <c r="K93" i="46"/>
  <c r="J93" i="46"/>
  <c r="I93" i="46"/>
  <c r="H93" i="46"/>
  <c r="G93" i="46"/>
  <c r="F93" i="46"/>
  <c r="E93" i="46"/>
  <c r="D93" i="46"/>
  <c r="P92" i="46"/>
  <c r="P91" i="46"/>
  <c r="P90" i="46"/>
  <c r="P93" i="46" s="1"/>
  <c r="S88" i="46"/>
  <c r="R88" i="46"/>
  <c r="Q88" i="46"/>
  <c r="AG85" i="46"/>
  <c r="AC85" i="46"/>
  <c r="AD85" i="46" s="1"/>
  <c r="P85" i="46"/>
  <c r="AG84" i="46"/>
  <c r="AA83" i="46"/>
  <c r="AA9" i="46" s="1"/>
  <c r="W83" i="46"/>
  <c r="W9" i="46" s="1"/>
  <c r="AB82" i="46"/>
  <c r="AB83" i="46" s="1"/>
  <c r="AB9" i="46" s="1"/>
  <c r="AA82" i="46"/>
  <c r="Z82" i="46"/>
  <c r="Z83" i="46" s="1"/>
  <c r="Z9" i="46" s="1"/>
  <c r="Y82" i="46"/>
  <c r="Y83" i="46" s="1"/>
  <c r="X82" i="46"/>
  <c r="X83" i="46" s="1"/>
  <c r="X9" i="46" s="1"/>
  <c r="W82" i="46"/>
  <c r="V82" i="46"/>
  <c r="V83" i="46" s="1"/>
  <c r="V9" i="46" s="1"/>
  <c r="U82" i="46"/>
  <c r="U83" i="46" s="1"/>
  <c r="T82" i="46"/>
  <c r="T83" i="46" s="1"/>
  <c r="T9" i="46" s="1"/>
  <c r="S82" i="46"/>
  <c r="R82" i="46"/>
  <c r="R83" i="46" s="1"/>
  <c r="R9" i="46" s="1"/>
  <c r="Q82" i="46"/>
  <c r="Q83" i="46" s="1"/>
  <c r="Q9" i="46" s="1"/>
  <c r="O82" i="46"/>
  <c r="N82" i="46"/>
  <c r="N83" i="46" s="1"/>
  <c r="M82" i="46"/>
  <c r="M83" i="46" s="1"/>
  <c r="L82" i="46"/>
  <c r="L83" i="46" s="1"/>
  <c r="L9" i="46" s="1"/>
  <c r="K82" i="46"/>
  <c r="J82" i="46"/>
  <c r="J83" i="46" s="1"/>
  <c r="J9" i="46" s="1"/>
  <c r="I82" i="46"/>
  <c r="I83" i="46" s="1"/>
  <c r="H82" i="46"/>
  <c r="H83" i="46" s="1"/>
  <c r="H9" i="46" s="1"/>
  <c r="G82" i="46"/>
  <c r="F82" i="46"/>
  <c r="F83" i="46" s="1"/>
  <c r="F9" i="46" s="1"/>
  <c r="E82" i="46"/>
  <c r="E83" i="46" s="1"/>
  <c r="D82" i="46"/>
  <c r="D83" i="46" s="1"/>
  <c r="D9" i="46" s="1"/>
  <c r="AG81" i="46"/>
  <c r="AC81" i="46"/>
  <c r="AG80" i="46"/>
  <c r="AC80" i="46"/>
  <c r="AC79" i="46"/>
  <c r="AD79" i="46" s="1"/>
  <c r="AE79" i="46" s="1"/>
  <c r="P79" i="46"/>
  <c r="AG79" i="46" s="1"/>
  <c r="AD78" i="46"/>
  <c r="AE78" i="46" s="1"/>
  <c r="AC78" i="46"/>
  <c r="P78" i="46"/>
  <c r="AG78" i="46" s="1"/>
  <c r="AE77" i="46"/>
  <c r="AC77" i="46"/>
  <c r="P77" i="46"/>
  <c r="AD77" i="46" s="1"/>
  <c r="AG76" i="46"/>
  <c r="AC76" i="46"/>
  <c r="AD76" i="46" s="1"/>
  <c r="AE76" i="46" s="1"/>
  <c r="P76" i="46"/>
  <c r="P82" i="46" s="1"/>
  <c r="AC75" i="46"/>
  <c r="P75" i="46"/>
  <c r="AG75" i="46" s="1"/>
  <c r="AG74" i="46"/>
  <c r="AC74" i="46"/>
  <c r="P74" i="46"/>
  <c r="AG73" i="46"/>
  <c r="AC73" i="46"/>
  <c r="AC82" i="46" s="1"/>
  <c r="P73" i="46"/>
  <c r="AG72" i="46"/>
  <c r="AB71" i="46"/>
  <c r="AA71" i="46"/>
  <c r="Z71" i="46"/>
  <c r="Y71" i="46"/>
  <c r="X71" i="46"/>
  <c r="W71" i="46"/>
  <c r="V71" i="46"/>
  <c r="U71" i="46"/>
  <c r="T71" i="46"/>
  <c r="S71" i="46"/>
  <c r="S83" i="46" s="1"/>
  <c r="R71" i="46"/>
  <c r="Q71" i="46"/>
  <c r="O71" i="46"/>
  <c r="N71" i="46"/>
  <c r="M71" i="46"/>
  <c r="L71" i="46"/>
  <c r="K71" i="46"/>
  <c r="J71" i="46"/>
  <c r="I71" i="46"/>
  <c r="H71" i="46"/>
  <c r="G71" i="46"/>
  <c r="F71" i="46"/>
  <c r="E71" i="46"/>
  <c r="D71" i="46"/>
  <c r="AG70" i="46"/>
  <c r="AC70" i="46"/>
  <c r="P70" i="46"/>
  <c r="AC69" i="46"/>
  <c r="AD69" i="46" s="1"/>
  <c r="AE69" i="46" s="1"/>
  <c r="P69" i="46"/>
  <c r="AG69" i="46" s="1"/>
  <c r="AC68" i="46"/>
  <c r="P68" i="46"/>
  <c r="AG68" i="46" s="1"/>
  <c r="AC67" i="46"/>
  <c r="AD67" i="46" s="1"/>
  <c r="AE67" i="46" s="1"/>
  <c r="P67" i="46"/>
  <c r="AG67" i="46" s="1"/>
  <c r="AD66" i="46"/>
  <c r="AE66" i="46" s="1"/>
  <c r="AC66" i="46"/>
  <c r="P66" i="46"/>
  <c r="AG66" i="46" s="1"/>
  <c r="AC65" i="46"/>
  <c r="AD65" i="46" s="1"/>
  <c r="AE65" i="46" s="1"/>
  <c r="P65" i="46"/>
  <c r="AG65" i="46" s="1"/>
  <c r="AC64" i="46"/>
  <c r="P64" i="46"/>
  <c r="AC63" i="46"/>
  <c r="P63" i="46"/>
  <c r="AG63" i="46" s="1"/>
  <c r="AG62" i="46"/>
  <c r="AB61" i="46"/>
  <c r="AA61" i="46"/>
  <c r="Z61" i="46"/>
  <c r="Y61" i="46"/>
  <c r="X61" i="46"/>
  <c r="W61" i="46"/>
  <c r="V61" i="46"/>
  <c r="U61" i="46"/>
  <c r="T61" i="46"/>
  <c r="S61" i="46"/>
  <c r="R61" i="46"/>
  <c r="Q61" i="46"/>
  <c r="O61" i="46"/>
  <c r="N61" i="46"/>
  <c r="M61" i="46"/>
  <c r="L61" i="46"/>
  <c r="K61" i="46"/>
  <c r="J61" i="46"/>
  <c r="I61" i="46"/>
  <c r="H61" i="46"/>
  <c r="G61" i="46"/>
  <c r="G83" i="46" s="1"/>
  <c r="G9" i="46" s="1"/>
  <c r="F61" i="46"/>
  <c r="E61" i="46"/>
  <c r="D61" i="46"/>
  <c r="AG60" i="46"/>
  <c r="AC60" i="46"/>
  <c r="AD60" i="46" s="1"/>
  <c r="AE60" i="46" s="1"/>
  <c r="P60" i="46"/>
  <c r="AC59" i="46"/>
  <c r="AD59" i="46" s="1"/>
  <c r="AE59" i="46" s="1"/>
  <c r="P59" i="46"/>
  <c r="AG59" i="46" s="1"/>
  <c r="AD58" i="46"/>
  <c r="AE58" i="46" s="1"/>
  <c r="AC58" i="46"/>
  <c r="P58" i="46"/>
  <c r="AG58" i="46" s="1"/>
  <c r="AE57" i="46"/>
  <c r="AC57" i="46"/>
  <c r="AD57" i="46" s="1"/>
  <c r="P57" i="46"/>
  <c r="AG57" i="46" s="1"/>
  <c r="AG56" i="46"/>
  <c r="AC56" i="46"/>
  <c r="AC61" i="46" s="1"/>
  <c r="AD61" i="46" s="1"/>
  <c r="AE61" i="46" s="1"/>
  <c r="P56" i="46"/>
  <c r="P61" i="46" s="1"/>
  <c r="AG61" i="46" s="1"/>
  <c r="AG55" i="46"/>
  <c r="AB54" i="46"/>
  <c r="AA54" i="46"/>
  <c r="Z54" i="46"/>
  <c r="Y54" i="46"/>
  <c r="X54" i="46"/>
  <c r="W54" i="46"/>
  <c r="V54" i="46"/>
  <c r="U54" i="46"/>
  <c r="T54" i="46"/>
  <c r="S54" i="46"/>
  <c r="R54" i="46"/>
  <c r="Q54" i="46"/>
  <c r="O54" i="46"/>
  <c r="N54" i="46"/>
  <c r="M54" i="46"/>
  <c r="L54" i="46"/>
  <c r="K54" i="46"/>
  <c r="J54" i="46"/>
  <c r="I54" i="46"/>
  <c r="H54" i="46"/>
  <c r="G54" i="46"/>
  <c r="F54" i="46"/>
  <c r="E54" i="46"/>
  <c r="D54" i="46"/>
  <c r="AE53" i="46"/>
  <c r="AC53" i="46"/>
  <c r="AD53" i="46" s="1"/>
  <c r="P53" i="46"/>
  <c r="AG53" i="46" s="1"/>
  <c r="AG52" i="46"/>
  <c r="AC52" i="46"/>
  <c r="AC54" i="46" s="1"/>
  <c r="AD54" i="46" s="1"/>
  <c r="AE54" i="46" s="1"/>
  <c r="P52" i="46"/>
  <c r="P54" i="46" s="1"/>
  <c r="AG54" i="46" s="1"/>
  <c r="AG51" i="46"/>
  <c r="AG50" i="46"/>
  <c r="AG49" i="46"/>
  <c r="AG48" i="46"/>
  <c r="Y47" i="46"/>
  <c r="U47" i="46"/>
  <c r="Q47" i="46"/>
  <c r="AB46" i="46"/>
  <c r="AB47" i="46" s="1"/>
  <c r="AA46" i="46"/>
  <c r="AA47" i="46" s="1"/>
  <c r="Z46" i="46"/>
  <c r="Y46" i="46"/>
  <c r="X46" i="46"/>
  <c r="X47" i="46" s="1"/>
  <c r="W46" i="46"/>
  <c r="V46" i="46"/>
  <c r="U46" i="46"/>
  <c r="T46" i="46"/>
  <c r="T47" i="46" s="1"/>
  <c r="S46" i="46"/>
  <c r="R46" i="46"/>
  <c r="Q46" i="46"/>
  <c r="AC45" i="46"/>
  <c r="P45" i="46"/>
  <c r="AG45" i="46" s="1"/>
  <c r="AC44" i="46"/>
  <c r="P44" i="46"/>
  <c r="AG44" i="46" s="1"/>
  <c r="AD43" i="46"/>
  <c r="AE43" i="46" s="1"/>
  <c r="AC43" i="46"/>
  <c r="P43" i="46"/>
  <c r="AG43" i="46" s="1"/>
  <c r="AD42" i="46"/>
  <c r="AE42" i="46" s="1"/>
  <c r="AC42" i="46"/>
  <c r="P42" i="46"/>
  <c r="AG42" i="46" s="1"/>
  <c r="AG41" i="46"/>
  <c r="AD41" i="46"/>
  <c r="AC41" i="46"/>
  <c r="P41" i="46"/>
  <c r="AG40" i="46"/>
  <c r="AE40" i="46"/>
  <c r="AC40" i="46"/>
  <c r="AD40" i="46" s="1"/>
  <c r="P40" i="46"/>
  <c r="AG39" i="46"/>
  <c r="AC39" i="46"/>
  <c r="AD39" i="46" s="1"/>
  <c r="AE39" i="46" s="1"/>
  <c r="P39" i="46"/>
  <c r="AC38" i="46"/>
  <c r="AD38" i="46" s="1"/>
  <c r="AE38" i="46" s="1"/>
  <c r="P38" i="46"/>
  <c r="AG38" i="46" s="1"/>
  <c r="AE37" i="46"/>
  <c r="AD37" i="46"/>
  <c r="AC37" i="46"/>
  <c r="P37" i="46"/>
  <c r="AG37" i="46" s="1"/>
  <c r="AC36" i="46"/>
  <c r="P36" i="46"/>
  <c r="AG36" i="46" s="1"/>
  <c r="AC35" i="46"/>
  <c r="P35" i="46"/>
  <c r="AG35" i="46" s="1"/>
  <c r="AC34" i="46"/>
  <c r="P34" i="46"/>
  <c r="AG34" i="46" s="1"/>
  <c r="AG33" i="46"/>
  <c r="AC33" i="46"/>
  <c r="P33" i="46"/>
  <c r="AC32" i="46"/>
  <c r="P32" i="46"/>
  <c r="AG32" i="46" s="1"/>
  <c r="AC31" i="46"/>
  <c r="P31" i="46"/>
  <c r="AG31" i="46" s="1"/>
  <c r="AC30" i="46"/>
  <c r="P30" i="46"/>
  <c r="AG30" i="46" s="1"/>
  <c r="AG29" i="46"/>
  <c r="AC29" i="46"/>
  <c r="P29" i="46"/>
  <c r="AC28" i="46"/>
  <c r="P28" i="46"/>
  <c r="AG28" i="46" s="1"/>
  <c r="AG27" i="46"/>
  <c r="AC27" i="46"/>
  <c r="P27" i="46"/>
  <c r="AG26" i="46"/>
  <c r="AC26" i="46"/>
  <c r="P26" i="46"/>
  <c r="AG25" i="46"/>
  <c r="AC25" i="46"/>
  <c r="AD25" i="46" s="1"/>
  <c r="AE25" i="46" s="1"/>
  <c r="P25" i="46"/>
  <c r="AC24" i="46"/>
  <c r="O24" i="46"/>
  <c r="N24" i="46"/>
  <c r="M24" i="46"/>
  <c r="L24" i="46"/>
  <c r="K24" i="46"/>
  <c r="J24" i="46"/>
  <c r="I24" i="46"/>
  <c r="H24" i="46"/>
  <c r="G24" i="46"/>
  <c r="F24" i="46"/>
  <c r="E24" i="46"/>
  <c r="D24" i="46"/>
  <c r="P24" i="46" s="1"/>
  <c r="AG24" i="46" s="1"/>
  <c r="AC23" i="46"/>
  <c r="P23" i="46"/>
  <c r="AG23" i="46" s="1"/>
  <c r="AC22" i="46"/>
  <c r="AD21" i="46"/>
  <c r="AE21" i="46" s="1"/>
  <c r="AC21" i="46"/>
  <c r="P21" i="46"/>
  <c r="AG21" i="46" s="1"/>
  <c r="AG20" i="46"/>
  <c r="AE20" i="46"/>
  <c r="AC20" i="46"/>
  <c r="AD20" i="46" s="1"/>
  <c r="P20" i="46"/>
  <c r="AG19" i="46"/>
  <c r="AC19" i="46"/>
  <c r="AD19" i="46" s="1"/>
  <c r="AE19" i="46" s="1"/>
  <c r="P19" i="46"/>
  <c r="AC18" i="46"/>
  <c r="AD18" i="46" s="1"/>
  <c r="AE18" i="46" s="1"/>
  <c r="P18" i="46"/>
  <c r="AG18" i="46" s="1"/>
  <c r="AC17" i="46"/>
  <c r="P17" i="46"/>
  <c r="AG17" i="46" s="1"/>
  <c r="AC16" i="46"/>
  <c r="AD16" i="46" s="1"/>
  <c r="AE16" i="46" s="1"/>
  <c r="P16" i="46"/>
  <c r="AG16" i="46" s="1"/>
  <c r="AD15" i="46"/>
  <c r="AE15" i="46" s="1"/>
  <c r="AC15" i="46"/>
  <c r="P15" i="46"/>
  <c r="AG15" i="46" s="1"/>
  <c r="AE14" i="46"/>
  <c r="AC14" i="46"/>
  <c r="P14" i="46"/>
  <c r="AD14" i="46" s="1"/>
  <c r="AG13" i="46"/>
  <c r="AC13" i="46"/>
  <c r="P13" i="46"/>
  <c r="AC12" i="46"/>
  <c r="O12" i="46"/>
  <c r="N12" i="46"/>
  <c r="M12" i="46"/>
  <c r="L12" i="46"/>
  <c r="K12" i="46"/>
  <c r="J12" i="46"/>
  <c r="I12" i="46"/>
  <c r="H12" i="46"/>
  <c r="G12" i="46"/>
  <c r="F12" i="46"/>
  <c r="E12" i="46"/>
  <c r="D12" i="46"/>
  <c r="AG11" i="46"/>
  <c r="AG10" i="46"/>
  <c r="Y9" i="46"/>
  <c r="U9" i="46"/>
  <c r="S9" i="46"/>
  <c r="N9" i="46"/>
  <c r="M9" i="46"/>
  <c r="I9" i="46"/>
  <c r="E9" i="46"/>
  <c r="M7" i="46"/>
  <c r="C4" i="46"/>
  <c r="O2" i="46"/>
  <c r="N2" i="46"/>
  <c r="M2" i="46"/>
  <c r="L2" i="46"/>
  <c r="K2" i="46"/>
  <c r="J2" i="46"/>
  <c r="I2" i="46"/>
  <c r="H2" i="46"/>
  <c r="G2" i="46"/>
  <c r="F2" i="46"/>
  <c r="E2" i="46"/>
  <c r="D2" i="46"/>
  <c r="O1" i="46"/>
  <c r="N1" i="46"/>
  <c r="M1" i="46"/>
  <c r="L1" i="46"/>
  <c r="K1" i="46"/>
  <c r="J1" i="46"/>
  <c r="I1" i="46"/>
  <c r="H1" i="46"/>
  <c r="G1" i="46"/>
  <c r="F1" i="46"/>
  <c r="E1" i="46"/>
  <c r="D1" i="46"/>
  <c r="O93" i="45"/>
  <c r="N93" i="45"/>
  <c r="M93" i="45"/>
  <c r="L93" i="45"/>
  <c r="K93" i="45"/>
  <c r="J93" i="45"/>
  <c r="I93" i="45"/>
  <c r="H93" i="45"/>
  <c r="G93" i="45"/>
  <c r="F93" i="45"/>
  <c r="E93" i="45"/>
  <c r="D93" i="45"/>
  <c r="P92" i="45"/>
  <c r="P91" i="45"/>
  <c r="P90" i="45"/>
  <c r="P93" i="45" s="1"/>
  <c r="S88" i="45"/>
  <c r="R88" i="45"/>
  <c r="Q88" i="45"/>
  <c r="AG85" i="45"/>
  <c r="AD85" i="45"/>
  <c r="AC85" i="45"/>
  <c r="P85" i="45"/>
  <c r="AG84" i="45"/>
  <c r="T83" i="45"/>
  <c r="T9" i="45" s="1"/>
  <c r="D83" i="45"/>
  <c r="D9" i="45" s="1"/>
  <c r="AC82" i="45"/>
  <c r="AB82" i="45"/>
  <c r="AA82" i="45"/>
  <c r="Z82" i="45"/>
  <c r="Z83" i="45" s="1"/>
  <c r="Z9" i="45" s="1"/>
  <c r="Y82" i="45"/>
  <c r="Y83" i="45" s="1"/>
  <c r="X82" i="45"/>
  <c r="W82" i="45"/>
  <c r="V82" i="45"/>
  <c r="V83" i="45" s="1"/>
  <c r="U82" i="45"/>
  <c r="U83" i="45" s="1"/>
  <c r="T82" i="45"/>
  <c r="S82" i="45"/>
  <c r="R82" i="45"/>
  <c r="R83" i="45" s="1"/>
  <c r="Q82" i="45"/>
  <c r="Q83" i="45" s="1"/>
  <c r="O82" i="45"/>
  <c r="N82" i="45"/>
  <c r="N83" i="45" s="1"/>
  <c r="N9" i="45" s="1"/>
  <c r="M82" i="45"/>
  <c r="M83" i="45" s="1"/>
  <c r="M9" i="45" s="1"/>
  <c r="L82" i="45"/>
  <c r="K82" i="45"/>
  <c r="J82" i="45"/>
  <c r="J83" i="45" s="1"/>
  <c r="J9" i="45" s="1"/>
  <c r="I82" i="45"/>
  <c r="I83" i="45" s="1"/>
  <c r="I9" i="45" s="1"/>
  <c r="H82" i="45"/>
  <c r="G82" i="45"/>
  <c r="F82" i="45"/>
  <c r="F83" i="45" s="1"/>
  <c r="F9" i="45" s="1"/>
  <c r="E82" i="45"/>
  <c r="E83" i="45" s="1"/>
  <c r="E9" i="45" s="1"/>
  <c r="D82" i="45"/>
  <c r="AG81" i="45"/>
  <c r="AC81" i="45"/>
  <c r="AG80" i="45"/>
  <c r="AC80" i="45"/>
  <c r="AD79" i="45"/>
  <c r="AE79" i="45" s="1"/>
  <c r="AC79" i="45"/>
  <c r="P79" i="45"/>
  <c r="AG79" i="45" s="1"/>
  <c r="AE78" i="45"/>
  <c r="AC78" i="45"/>
  <c r="P78" i="45"/>
  <c r="AD78" i="45" s="1"/>
  <c r="AG77" i="45"/>
  <c r="AC77" i="45"/>
  <c r="AD77" i="45" s="1"/>
  <c r="AE77" i="45" s="1"/>
  <c r="P77" i="45"/>
  <c r="AC76" i="45"/>
  <c r="AD76" i="45" s="1"/>
  <c r="AE76" i="45" s="1"/>
  <c r="P76" i="45"/>
  <c r="AG76" i="45" s="1"/>
  <c r="AC75" i="45"/>
  <c r="P75" i="45"/>
  <c r="AG75" i="45" s="1"/>
  <c r="AC74" i="45"/>
  <c r="P74" i="45"/>
  <c r="P82" i="45" s="1"/>
  <c r="AG73" i="45"/>
  <c r="AC73" i="45"/>
  <c r="P73" i="45"/>
  <c r="AG72" i="45"/>
  <c r="AB71" i="45"/>
  <c r="AB83" i="45" s="1"/>
  <c r="AB9" i="45" s="1"/>
  <c r="AA71" i="45"/>
  <c r="Z71" i="45"/>
  <c r="Y71" i="45"/>
  <c r="X71" i="45"/>
  <c r="X83" i="45" s="1"/>
  <c r="X9" i="45" s="1"/>
  <c r="W71" i="45"/>
  <c r="V71" i="45"/>
  <c r="U71" i="45"/>
  <c r="T71" i="45"/>
  <c r="S71" i="45"/>
  <c r="R71" i="45"/>
  <c r="Q71" i="45"/>
  <c r="O71" i="45"/>
  <c r="N71" i="45"/>
  <c r="M71" i="45"/>
  <c r="L71" i="45"/>
  <c r="L83" i="45" s="1"/>
  <c r="L9" i="45" s="1"/>
  <c r="K71" i="45"/>
  <c r="J71" i="45"/>
  <c r="I71" i="45"/>
  <c r="H71" i="45"/>
  <c r="H83" i="45" s="1"/>
  <c r="H9" i="45" s="1"/>
  <c r="G71" i="45"/>
  <c r="F71" i="45"/>
  <c r="E71" i="45"/>
  <c r="D71" i="45"/>
  <c r="AC70" i="45"/>
  <c r="P70" i="45"/>
  <c r="AG70" i="45" s="1"/>
  <c r="AG69" i="45"/>
  <c r="AC69" i="45"/>
  <c r="AD69" i="45" s="1"/>
  <c r="AE69" i="45" s="1"/>
  <c r="P69" i="45"/>
  <c r="AC68" i="45"/>
  <c r="AD68" i="45" s="1"/>
  <c r="AE68" i="45" s="1"/>
  <c r="P68" i="45"/>
  <c r="AG68" i="45" s="1"/>
  <c r="AD67" i="45"/>
  <c r="AE67" i="45" s="1"/>
  <c r="AC67" i="45"/>
  <c r="P67" i="45"/>
  <c r="AG67" i="45" s="1"/>
  <c r="AE66" i="45"/>
  <c r="AC66" i="45"/>
  <c r="P66" i="45"/>
  <c r="AD66" i="45" s="1"/>
  <c r="AG65" i="45"/>
  <c r="AC65" i="45"/>
  <c r="AD65" i="45" s="1"/>
  <c r="AE65" i="45" s="1"/>
  <c r="P65" i="45"/>
  <c r="P71" i="45" s="1"/>
  <c r="AG71" i="45" s="1"/>
  <c r="AC64" i="45"/>
  <c r="P64" i="45"/>
  <c r="AG64" i="45" s="1"/>
  <c r="AD63" i="45"/>
  <c r="AE63" i="45" s="1"/>
  <c r="AC63" i="45"/>
  <c r="P63" i="45"/>
  <c r="AG63" i="45" s="1"/>
  <c r="AG62" i="45"/>
  <c r="AB61" i="45"/>
  <c r="AA61" i="45"/>
  <c r="Z61" i="45"/>
  <c r="Y61" i="45"/>
  <c r="X61" i="45"/>
  <c r="W61" i="45"/>
  <c r="V61" i="45"/>
  <c r="U61" i="45"/>
  <c r="T61" i="45"/>
  <c r="S61" i="45"/>
  <c r="R61" i="45"/>
  <c r="Q61" i="45"/>
  <c r="O61" i="45"/>
  <c r="N61" i="45"/>
  <c r="M61" i="45"/>
  <c r="L61" i="45"/>
  <c r="K61" i="45"/>
  <c r="J61" i="45"/>
  <c r="I61" i="45"/>
  <c r="H61" i="45"/>
  <c r="G61" i="45"/>
  <c r="F61" i="45"/>
  <c r="E61" i="45"/>
  <c r="D61" i="45"/>
  <c r="AC60" i="45"/>
  <c r="AD60" i="45" s="1"/>
  <c r="AE60" i="45" s="1"/>
  <c r="P60" i="45"/>
  <c r="AG60" i="45" s="1"/>
  <c r="AD59" i="45"/>
  <c r="AE59" i="45" s="1"/>
  <c r="AC59" i="45"/>
  <c r="P59" i="45"/>
  <c r="AG59" i="45" s="1"/>
  <c r="AE58" i="45"/>
  <c r="AC58" i="45"/>
  <c r="P58" i="45"/>
  <c r="AD58" i="45" s="1"/>
  <c r="AC57" i="45"/>
  <c r="AD57" i="45" s="1"/>
  <c r="AE57" i="45" s="1"/>
  <c r="P57" i="45"/>
  <c r="P61" i="45" s="1"/>
  <c r="AG61" i="45" s="1"/>
  <c r="AC56" i="45"/>
  <c r="P56" i="45"/>
  <c r="AG56" i="45" s="1"/>
  <c r="AG55" i="45"/>
  <c r="AB54" i="45"/>
  <c r="AA54" i="45"/>
  <c r="Z54" i="45"/>
  <c r="Y54" i="45"/>
  <c r="X54" i="45"/>
  <c r="W54" i="45"/>
  <c r="V54" i="45"/>
  <c r="U54" i="45"/>
  <c r="T54" i="45"/>
  <c r="S54" i="45"/>
  <c r="R54" i="45"/>
  <c r="Q54" i="45"/>
  <c r="O54" i="45"/>
  <c r="N54" i="45"/>
  <c r="M54" i="45"/>
  <c r="L54" i="45"/>
  <c r="K54" i="45"/>
  <c r="J54" i="45"/>
  <c r="I54" i="45"/>
  <c r="H54" i="45"/>
  <c r="G54" i="45"/>
  <c r="F54" i="45"/>
  <c r="E54" i="45"/>
  <c r="D54" i="45"/>
  <c r="AC53" i="45"/>
  <c r="P53" i="45"/>
  <c r="AC52" i="45"/>
  <c r="P52" i="45"/>
  <c r="AG52" i="45" s="1"/>
  <c r="AG51" i="45"/>
  <c r="AG50" i="45"/>
  <c r="AG49" i="45"/>
  <c r="AG48" i="45"/>
  <c r="Z47" i="45"/>
  <c r="AB46" i="45"/>
  <c r="AA46" i="45"/>
  <c r="Z46" i="45"/>
  <c r="Y46" i="45"/>
  <c r="X46" i="45"/>
  <c r="W46" i="45"/>
  <c r="V46" i="45"/>
  <c r="U46" i="45"/>
  <c r="T46" i="45"/>
  <c r="S46" i="45"/>
  <c r="R46" i="45"/>
  <c r="Q46" i="45"/>
  <c r="AC45" i="45"/>
  <c r="O45" i="45"/>
  <c r="N45" i="45"/>
  <c r="M45" i="45"/>
  <c r="L45" i="45"/>
  <c r="L45" i="41" s="1"/>
  <c r="K45" i="45"/>
  <c r="J45" i="45"/>
  <c r="I45" i="45"/>
  <c r="H45" i="45"/>
  <c r="H45" i="41" s="1"/>
  <c r="G45" i="45"/>
  <c r="F45" i="45"/>
  <c r="E45" i="45"/>
  <c r="D45" i="45"/>
  <c r="D45" i="41" s="1"/>
  <c r="AC44" i="45"/>
  <c r="AD44" i="45" s="1"/>
  <c r="AE44" i="45" s="1"/>
  <c r="P44" i="45"/>
  <c r="AG44" i="45" s="1"/>
  <c r="AD43" i="45"/>
  <c r="AE43" i="45" s="1"/>
  <c r="AC43" i="45"/>
  <c r="P43" i="45"/>
  <c r="AG43" i="45" s="1"/>
  <c r="AC42" i="45"/>
  <c r="P42" i="45"/>
  <c r="AD42" i="45" s="1"/>
  <c r="AE42" i="45" s="1"/>
  <c r="AG41" i="45"/>
  <c r="AC41" i="45"/>
  <c r="P41" i="45"/>
  <c r="AD41" i="45" s="1"/>
  <c r="AG40" i="45"/>
  <c r="AC40" i="45"/>
  <c r="AD40" i="45" s="1"/>
  <c r="AE40" i="45" s="1"/>
  <c r="P40" i="45"/>
  <c r="AC39" i="45"/>
  <c r="AD39" i="45" s="1"/>
  <c r="AE39" i="45" s="1"/>
  <c r="P39" i="45"/>
  <c r="AG39" i="45" s="1"/>
  <c r="AD38" i="45"/>
  <c r="AE38" i="45" s="1"/>
  <c r="AC38" i="45"/>
  <c r="P38" i="45"/>
  <c r="AG38" i="45" s="1"/>
  <c r="AE37" i="45"/>
  <c r="AC37" i="45"/>
  <c r="P37" i="45"/>
  <c r="AD37" i="45" s="1"/>
  <c r="AC36" i="45"/>
  <c r="AD36" i="45" s="1"/>
  <c r="AE36" i="45" s="1"/>
  <c r="P36" i="45"/>
  <c r="AG36" i="45" s="1"/>
  <c r="AC35" i="45"/>
  <c r="AD35" i="45" s="1"/>
  <c r="AE35" i="45" s="1"/>
  <c r="P35" i="45"/>
  <c r="AG35" i="45" s="1"/>
  <c r="AC34" i="45"/>
  <c r="P34" i="45"/>
  <c r="AG34" i="45" s="1"/>
  <c r="AC33" i="45"/>
  <c r="P33" i="45"/>
  <c r="AG33" i="45" s="1"/>
  <c r="AG32" i="45"/>
  <c r="AC32" i="45"/>
  <c r="AD32" i="45" s="1"/>
  <c r="AE32" i="45" s="1"/>
  <c r="P32" i="45"/>
  <c r="AC31" i="45"/>
  <c r="AD31" i="45" s="1"/>
  <c r="AE31" i="45" s="1"/>
  <c r="P31" i="45"/>
  <c r="AG31" i="45" s="1"/>
  <c r="AC30" i="45"/>
  <c r="P30" i="45"/>
  <c r="AG30" i="45" s="1"/>
  <c r="AC29" i="45"/>
  <c r="P29" i="45"/>
  <c r="AG29" i="45" s="1"/>
  <c r="AG28" i="45"/>
  <c r="AC28" i="45"/>
  <c r="P28" i="45"/>
  <c r="AC27" i="45"/>
  <c r="P27" i="45"/>
  <c r="AG27" i="45" s="1"/>
  <c r="AC26" i="45"/>
  <c r="P26" i="45"/>
  <c r="AG26" i="45" s="1"/>
  <c r="AC25" i="45"/>
  <c r="AD25" i="45" s="1"/>
  <c r="AE25" i="45" s="1"/>
  <c r="P25" i="45"/>
  <c r="AG25" i="45" s="1"/>
  <c r="AC24" i="45"/>
  <c r="O24" i="45"/>
  <c r="N24" i="45"/>
  <c r="M24" i="45"/>
  <c r="L24" i="45"/>
  <c r="K24" i="45"/>
  <c r="J24" i="45"/>
  <c r="I24" i="45"/>
  <c r="H24" i="45"/>
  <c r="G24" i="45"/>
  <c r="F24" i="45"/>
  <c r="E24" i="45"/>
  <c r="D24" i="45"/>
  <c r="P24" i="45" s="1"/>
  <c r="AG23" i="45"/>
  <c r="AC23" i="45"/>
  <c r="P23" i="45"/>
  <c r="AC22" i="45"/>
  <c r="AE21" i="45"/>
  <c r="AC21" i="45"/>
  <c r="P21" i="45"/>
  <c r="AD21" i="45" s="1"/>
  <c r="AG20" i="45"/>
  <c r="AC20" i="45"/>
  <c r="AD20" i="45" s="1"/>
  <c r="AE20" i="45" s="1"/>
  <c r="P20" i="45"/>
  <c r="AC19" i="45"/>
  <c r="AD19" i="45" s="1"/>
  <c r="AE19" i="45" s="1"/>
  <c r="P19" i="45"/>
  <c r="AG19" i="45" s="1"/>
  <c r="AD18" i="45"/>
  <c r="AE18" i="45" s="1"/>
  <c r="AC18" i="45"/>
  <c r="P18" i="45"/>
  <c r="AG18" i="45" s="1"/>
  <c r="AG17" i="45"/>
  <c r="AC17" i="45"/>
  <c r="P17" i="45"/>
  <c r="AD16" i="45"/>
  <c r="AE16" i="45" s="1"/>
  <c r="AC16" i="45"/>
  <c r="P16" i="45"/>
  <c r="AG16" i="45" s="1"/>
  <c r="AC15" i="45"/>
  <c r="P15" i="45"/>
  <c r="AD15" i="45" s="1"/>
  <c r="AE15" i="45" s="1"/>
  <c r="AG14" i="45"/>
  <c r="AC14" i="45"/>
  <c r="P14" i="45"/>
  <c r="AC13" i="45"/>
  <c r="P13" i="45"/>
  <c r="AG13" i="45" s="1"/>
  <c r="AC12" i="45"/>
  <c r="O12" i="45"/>
  <c r="N12" i="45"/>
  <c r="M12" i="45"/>
  <c r="L12" i="45"/>
  <c r="K12" i="45"/>
  <c r="J12" i="45"/>
  <c r="I12" i="45"/>
  <c r="H12" i="45"/>
  <c r="G12" i="45"/>
  <c r="F12" i="45"/>
  <c r="E12" i="45"/>
  <c r="D12" i="45"/>
  <c r="AG11" i="45"/>
  <c r="AG10" i="45"/>
  <c r="U7" i="45"/>
  <c r="E7" i="45"/>
  <c r="O6" i="45"/>
  <c r="C4" i="45"/>
  <c r="O2" i="45"/>
  <c r="N2" i="45"/>
  <c r="M2" i="45"/>
  <c r="L2" i="45"/>
  <c r="K2" i="45"/>
  <c r="J2" i="45"/>
  <c r="I2" i="45"/>
  <c r="H2" i="45"/>
  <c r="G2" i="45"/>
  <c r="F2" i="45"/>
  <c r="E2" i="45"/>
  <c r="D2" i="45"/>
  <c r="O1" i="45"/>
  <c r="N1" i="45"/>
  <c r="M1" i="45"/>
  <c r="L1" i="45"/>
  <c r="K1" i="45"/>
  <c r="J1" i="45"/>
  <c r="I1" i="45"/>
  <c r="H1" i="45"/>
  <c r="G1" i="45"/>
  <c r="F1" i="45"/>
  <c r="E1" i="45"/>
  <c r="D1" i="45"/>
  <c r="O93" i="44"/>
  <c r="N93" i="44"/>
  <c r="M93" i="44"/>
  <c r="L93" i="44"/>
  <c r="K93" i="44"/>
  <c r="J93" i="44"/>
  <c r="I93" i="44"/>
  <c r="H93" i="44"/>
  <c r="G93" i="44"/>
  <c r="F93" i="44"/>
  <c r="E93" i="44"/>
  <c r="D93" i="44"/>
  <c r="P92" i="44"/>
  <c r="P91" i="44"/>
  <c r="P90" i="44"/>
  <c r="P93" i="44" s="1"/>
  <c r="S88" i="44"/>
  <c r="R88" i="44"/>
  <c r="Q88" i="44"/>
  <c r="AG85" i="44"/>
  <c r="AC85" i="44"/>
  <c r="AD85" i="44" s="1"/>
  <c r="P85" i="44"/>
  <c r="AG84" i="44"/>
  <c r="W83" i="44"/>
  <c r="W9" i="44" s="1"/>
  <c r="AB82" i="44"/>
  <c r="AB83" i="44" s="1"/>
  <c r="AB9" i="44" s="1"/>
  <c r="AA82" i="44"/>
  <c r="Z82" i="44"/>
  <c r="Z83" i="44" s="1"/>
  <c r="Z9" i="44" s="1"/>
  <c r="Y82" i="44"/>
  <c r="Y83" i="44" s="1"/>
  <c r="Y9" i="44" s="1"/>
  <c r="X82" i="44"/>
  <c r="X83" i="44" s="1"/>
  <c r="X9" i="44" s="1"/>
  <c r="W82" i="44"/>
  <c r="V82" i="44"/>
  <c r="V83" i="44" s="1"/>
  <c r="V9" i="44" s="1"/>
  <c r="U82" i="44"/>
  <c r="U83" i="44" s="1"/>
  <c r="U9" i="44" s="1"/>
  <c r="T82" i="44"/>
  <c r="T83" i="44" s="1"/>
  <c r="T9" i="44" s="1"/>
  <c r="S82" i="44"/>
  <c r="R82" i="44"/>
  <c r="R83" i="44" s="1"/>
  <c r="R9" i="44" s="1"/>
  <c r="Q82" i="44"/>
  <c r="Q83" i="44" s="1"/>
  <c r="Q9" i="44" s="1"/>
  <c r="O82" i="44"/>
  <c r="N82" i="44"/>
  <c r="N83" i="44" s="1"/>
  <c r="N9" i="44" s="1"/>
  <c r="M82" i="44"/>
  <c r="M83" i="44" s="1"/>
  <c r="M9" i="44" s="1"/>
  <c r="L82" i="44"/>
  <c r="L83" i="44" s="1"/>
  <c r="L9" i="44" s="1"/>
  <c r="K82" i="44"/>
  <c r="J82" i="44"/>
  <c r="I82" i="44"/>
  <c r="I83" i="44" s="1"/>
  <c r="I9" i="44" s="1"/>
  <c r="H82" i="44"/>
  <c r="H83" i="44" s="1"/>
  <c r="H9" i="44" s="1"/>
  <c r="G82" i="44"/>
  <c r="F82" i="44"/>
  <c r="E82" i="44"/>
  <c r="E83" i="44" s="1"/>
  <c r="E9" i="44" s="1"/>
  <c r="D82" i="44"/>
  <c r="D83" i="44" s="1"/>
  <c r="D9" i="44" s="1"/>
  <c r="AG81" i="44"/>
  <c r="AC81" i="44"/>
  <c r="AG80" i="44"/>
  <c r="AC80" i="44"/>
  <c r="AC79" i="44"/>
  <c r="AD79" i="44" s="1"/>
  <c r="AE79" i="44" s="1"/>
  <c r="P79" i="44"/>
  <c r="AG79" i="44" s="1"/>
  <c r="AD78" i="44"/>
  <c r="AE78" i="44" s="1"/>
  <c r="AC78" i="44"/>
  <c r="P78" i="44"/>
  <c r="AG78" i="44" s="1"/>
  <c r="AE77" i="44"/>
  <c r="AC77" i="44"/>
  <c r="AD77" i="44" s="1"/>
  <c r="P77" i="44"/>
  <c r="AG77" i="44" s="1"/>
  <c r="AC76" i="44"/>
  <c r="AD76" i="44" s="1"/>
  <c r="AE76" i="44" s="1"/>
  <c r="P76" i="44"/>
  <c r="P82" i="44" s="1"/>
  <c r="AC75" i="44"/>
  <c r="P75" i="44"/>
  <c r="AG75" i="44" s="1"/>
  <c r="AG74" i="44"/>
  <c r="AC74" i="44"/>
  <c r="P74" i="44"/>
  <c r="AG73" i="44"/>
  <c r="AC73" i="44"/>
  <c r="AC82" i="44" s="1"/>
  <c r="P73" i="44"/>
  <c r="AG72" i="44"/>
  <c r="AB71" i="44"/>
  <c r="AA71" i="44"/>
  <c r="AA83" i="44" s="1"/>
  <c r="Z71" i="44"/>
  <c r="Y71" i="44"/>
  <c r="X71" i="44"/>
  <c r="W71" i="44"/>
  <c r="V71" i="44"/>
  <c r="U71" i="44"/>
  <c r="T71" i="44"/>
  <c r="S71" i="44"/>
  <c r="S83" i="44" s="1"/>
  <c r="S9" i="44" s="1"/>
  <c r="R71" i="44"/>
  <c r="Q71" i="44"/>
  <c r="O71" i="44"/>
  <c r="N71" i="44"/>
  <c r="M71" i="44"/>
  <c r="L71" i="44"/>
  <c r="K71" i="44"/>
  <c r="J71" i="44"/>
  <c r="I71" i="44"/>
  <c r="H71" i="44"/>
  <c r="G71" i="44"/>
  <c r="G83" i="44" s="1"/>
  <c r="G9" i="44" s="1"/>
  <c r="F71" i="44"/>
  <c r="E71" i="44"/>
  <c r="D71" i="44"/>
  <c r="AG70" i="44"/>
  <c r="AC70" i="44"/>
  <c r="P70" i="44"/>
  <c r="AC69" i="44"/>
  <c r="AD69" i="44" s="1"/>
  <c r="AE69" i="44" s="1"/>
  <c r="P69" i="44"/>
  <c r="AG69" i="44" s="1"/>
  <c r="AC68" i="44"/>
  <c r="P68" i="44"/>
  <c r="AG68" i="44" s="1"/>
  <c r="AC67" i="44"/>
  <c r="AD67" i="44" s="1"/>
  <c r="AE67" i="44" s="1"/>
  <c r="P67" i="44"/>
  <c r="AG67" i="44" s="1"/>
  <c r="AD66" i="44"/>
  <c r="AE66" i="44" s="1"/>
  <c r="AC66" i="44"/>
  <c r="P66" i="44"/>
  <c r="AG66" i="44" s="1"/>
  <c r="AC65" i="44"/>
  <c r="AD65" i="44" s="1"/>
  <c r="AE65" i="44" s="1"/>
  <c r="P65" i="44"/>
  <c r="AG65" i="44" s="1"/>
  <c r="AG64" i="44"/>
  <c r="AC64" i="44"/>
  <c r="P64" i="44"/>
  <c r="AC63" i="44"/>
  <c r="P63" i="44"/>
  <c r="AG63" i="44" s="1"/>
  <c r="AG62" i="44"/>
  <c r="AB61" i="44"/>
  <c r="AA61" i="44"/>
  <c r="Z61" i="44"/>
  <c r="Y61" i="44"/>
  <c r="X61" i="44"/>
  <c r="W61" i="44"/>
  <c r="V61" i="44"/>
  <c r="U61" i="44"/>
  <c r="T61" i="44"/>
  <c r="S61" i="44"/>
  <c r="R61" i="44"/>
  <c r="Q61" i="44"/>
  <c r="O61" i="44"/>
  <c r="N61" i="44"/>
  <c r="M61" i="44"/>
  <c r="L61" i="44"/>
  <c r="K61" i="44"/>
  <c r="J61" i="44"/>
  <c r="I61" i="44"/>
  <c r="H61" i="44"/>
  <c r="G61" i="44"/>
  <c r="F61" i="44"/>
  <c r="E61" i="44"/>
  <c r="D61" i="44"/>
  <c r="AG60" i="44"/>
  <c r="AC60" i="44"/>
  <c r="AD60" i="44" s="1"/>
  <c r="AE60" i="44" s="1"/>
  <c r="P60" i="44"/>
  <c r="AC59" i="44"/>
  <c r="AD59" i="44" s="1"/>
  <c r="AE59" i="44" s="1"/>
  <c r="P59" i="44"/>
  <c r="AG59" i="44" s="1"/>
  <c r="AD58" i="44"/>
  <c r="AE58" i="44" s="1"/>
  <c r="AC58" i="44"/>
  <c r="P58" i="44"/>
  <c r="AG58" i="44" s="1"/>
  <c r="AE57" i="44"/>
  <c r="AC57" i="44"/>
  <c r="AD57" i="44" s="1"/>
  <c r="P57" i="44"/>
  <c r="AG57" i="44" s="1"/>
  <c r="AC56" i="44"/>
  <c r="AC61" i="44" s="1"/>
  <c r="AD61" i="44" s="1"/>
  <c r="AE61" i="44" s="1"/>
  <c r="P56" i="44"/>
  <c r="P61" i="44" s="1"/>
  <c r="AG61" i="44" s="1"/>
  <c r="AG55" i="44"/>
  <c r="AB54" i="44"/>
  <c r="AA54" i="44"/>
  <c r="Z54" i="44"/>
  <c r="Y54" i="44"/>
  <c r="X54" i="44"/>
  <c r="W54" i="44"/>
  <c r="V54" i="44"/>
  <c r="U54" i="44"/>
  <c r="T54" i="44"/>
  <c r="S54" i="44"/>
  <c r="R54" i="44"/>
  <c r="Q54" i="44"/>
  <c r="O54" i="44"/>
  <c r="N54" i="44"/>
  <c r="M54" i="44"/>
  <c r="L54" i="44"/>
  <c r="K54" i="44"/>
  <c r="J54" i="44"/>
  <c r="I54" i="44"/>
  <c r="H54" i="44"/>
  <c r="G54" i="44"/>
  <c r="F54" i="44"/>
  <c r="E54" i="44"/>
  <c r="D54" i="44"/>
  <c r="AC53" i="44"/>
  <c r="AD53" i="44" s="1"/>
  <c r="AE53" i="44" s="1"/>
  <c r="P53" i="44"/>
  <c r="AG53" i="44" s="1"/>
  <c r="AC52" i="44"/>
  <c r="AC54" i="44" s="1"/>
  <c r="P52" i="44"/>
  <c r="AG51" i="44"/>
  <c r="AG50" i="44"/>
  <c r="AG49" i="44"/>
  <c r="AG48" i="44"/>
  <c r="U47" i="44"/>
  <c r="Q47" i="44"/>
  <c r="AB46" i="44"/>
  <c r="AB47" i="44" s="1"/>
  <c r="AA46" i="44"/>
  <c r="Z46" i="44"/>
  <c r="Y46" i="44"/>
  <c r="X46" i="44"/>
  <c r="X47" i="44" s="1"/>
  <c r="W46" i="44"/>
  <c r="V46" i="44"/>
  <c r="U46" i="44"/>
  <c r="T46" i="44"/>
  <c r="T47" i="44" s="1"/>
  <c r="S46" i="44"/>
  <c r="R46" i="44"/>
  <c r="Q46" i="44"/>
  <c r="AE45" i="44"/>
  <c r="AC45" i="44"/>
  <c r="AD45" i="44" s="1"/>
  <c r="P45" i="44"/>
  <c r="AG45" i="44" s="1"/>
  <c r="AG44" i="44"/>
  <c r="AC44" i="44"/>
  <c r="AD44" i="44" s="1"/>
  <c r="AE44" i="44" s="1"/>
  <c r="P44" i="44"/>
  <c r="AC43" i="44"/>
  <c r="AD43" i="44" s="1"/>
  <c r="AE43" i="44" s="1"/>
  <c r="P43" i="44"/>
  <c r="AG43" i="44" s="1"/>
  <c r="AD42" i="44"/>
  <c r="AE42" i="44" s="1"/>
  <c r="AC42" i="44"/>
  <c r="P42" i="44"/>
  <c r="AG42" i="44" s="1"/>
  <c r="AG41" i="44"/>
  <c r="AD41" i="44"/>
  <c r="AC41" i="44"/>
  <c r="P41" i="44"/>
  <c r="AE40" i="44"/>
  <c r="AC40" i="44"/>
  <c r="AD40" i="44" s="1"/>
  <c r="P40" i="44"/>
  <c r="AG40" i="44" s="1"/>
  <c r="AC39" i="44"/>
  <c r="P39" i="44"/>
  <c r="AG39" i="44" s="1"/>
  <c r="L39" i="44"/>
  <c r="AD38" i="44"/>
  <c r="AE38" i="44" s="1"/>
  <c r="AC38" i="44"/>
  <c r="P38" i="44"/>
  <c r="AG38" i="44" s="1"/>
  <c r="AC37" i="44"/>
  <c r="AD37" i="44" s="1"/>
  <c r="AE37" i="44" s="1"/>
  <c r="P37" i="44"/>
  <c r="AG37" i="44" s="1"/>
  <c r="AG36" i="44"/>
  <c r="AC36" i="44"/>
  <c r="P36" i="44"/>
  <c r="AC35" i="44"/>
  <c r="AD35" i="44" s="1"/>
  <c r="AE35" i="44" s="1"/>
  <c r="P35" i="44"/>
  <c r="AG35" i="44" s="1"/>
  <c r="AC34" i="44"/>
  <c r="P34" i="44"/>
  <c r="AG34" i="44" s="1"/>
  <c r="AC33" i="44"/>
  <c r="P33" i="44"/>
  <c r="AG33" i="44" s="1"/>
  <c r="AC32" i="44"/>
  <c r="P32" i="44"/>
  <c r="AG32" i="44" s="1"/>
  <c r="AC31" i="44"/>
  <c r="AD31" i="44" s="1"/>
  <c r="AE31" i="44" s="1"/>
  <c r="P31" i="44"/>
  <c r="AG31" i="44" s="1"/>
  <c r="AC30" i="44"/>
  <c r="P30" i="44"/>
  <c r="AG30" i="44" s="1"/>
  <c r="AC29" i="44"/>
  <c r="P29" i="44"/>
  <c r="AG29" i="44" s="1"/>
  <c r="AC28" i="44"/>
  <c r="AD28" i="44" s="1"/>
  <c r="AE28" i="44" s="1"/>
  <c r="P28" i="44"/>
  <c r="AG28" i="44" s="1"/>
  <c r="AC27" i="44"/>
  <c r="P27" i="44"/>
  <c r="AG27" i="44" s="1"/>
  <c r="AG26" i="44"/>
  <c r="AC26" i="44"/>
  <c r="AD26" i="44" s="1"/>
  <c r="AE26" i="44" s="1"/>
  <c r="P26" i="44"/>
  <c r="AC25" i="44"/>
  <c r="O25" i="44"/>
  <c r="N25" i="44"/>
  <c r="M25" i="44"/>
  <c r="L25" i="44"/>
  <c r="K25" i="44"/>
  <c r="J25" i="44"/>
  <c r="I25" i="44"/>
  <c r="H25" i="44"/>
  <c r="G25" i="44"/>
  <c r="F25" i="44"/>
  <c r="E25" i="44"/>
  <c r="D25" i="44"/>
  <c r="P25" i="44" s="1"/>
  <c r="AG25" i="44" s="1"/>
  <c r="AD24" i="44"/>
  <c r="AE24" i="44" s="1"/>
  <c r="AC24" i="44"/>
  <c r="O24" i="44"/>
  <c r="N24" i="44"/>
  <c r="M24" i="44"/>
  <c r="L24" i="44"/>
  <c r="K24" i="44"/>
  <c r="J24" i="44"/>
  <c r="I24" i="44"/>
  <c r="H24" i="44"/>
  <c r="G24" i="44"/>
  <c r="F24" i="44"/>
  <c r="E24" i="44"/>
  <c r="D24" i="44"/>
  <c r="P24" i="44" s="1"/>
  <c r="AG24" i="44" s="1"/>
  <c r="AG23" i="44"/>
  <c r="AC23" i="44"/>
  <c r="P23" i="44"/>
  <c r="AC22" i="44"/>
  <c r="AC21" i="44"/>
  <c r="AD21" i="44" s="1"/>
  <c r="AE21" i="44" s="1"/>
  <c r="P21" i="44"/>
  <c r="AG21" i="44" s="1"/>
  <c r="AG20" i="44"/>
  <c r="AC20" i="44"/>
  <c r="P20" i="44"/>
  <c r="AC19" i="44"/>
  <c r="AD19" i="44" s="1"/>
  <c r="AE19" i="44" s="1"/>
  <c r="P19" i="44"/>
  <c r="AG19" i="44" s="1"/>
  <c r="AD18" i="44"/>
  <c r="AE18" i="44" s="1"/>
  <c r="AC18" i="44"/>
  <c r="P18" i="44"/>
  <c r="AG18" i="44" s="1"/>
  <c r="AG17" i="44"/>
  <c r="AC17" i="44"/>
  <c r="P17" i="44"/>
  <c r="AD16" i="44"/>
  <c r="AE16" i="44" s="1"/>
  <c r="AC16" i="44"/>
  <c r="P16" i="44"/>
  <c r="AG16" i="44" s="1"/>
  <c r="AC15" i="44"/>
  <c r="AD15" i="44" s="1"/>
  <c r="AE15" i="44" s="1"/>
  <c r="P15" i="44"/>
  <c r="AG15" i="44" s="1"/>
  <c r="AC14" i="44"/>
  <c r="P14" i="44"/>
  <c r="AG14" i="44" s="1"/>
  <c r="AC13" i="44"/>
  <c r="P13" i="44"/>
  <c r="AG13" i="44" s="1"/>
  <c r="AC12" i="44"/>
  <c r="AC46" i="44" s="1"/>
  <c r="O12" i="44"/>
  <c r="N12" i="44"/>
  <c r="M12" i="44"/>
  <c r="L12" i="44"/>
  <c r="K12" i="44"/>
  <c r="J12" i="44"/>
  <c r="I12" i="44"/>
  <c r="H12" i="44"/>
  <c r="G12" i="44"/>
  <c r="F12" i="44"/>
  <c r="E12" i="44"/>
  <c r="D12" i="44"/>
  <c r="AG11" i="44"/>
  <c r="AG10" i="44"/>
  <c r="AA9" i="44"/>
  <c r="Y7" i="44"/>
  <c r="U7" i="44"/>
  <c r="I7" i="44"/>
  <c r="E7" i="44"/>
  <c r="S6" i="44"/>
  <c r="O6" i="44"/>
  <c r="C4" i="44"/>
  <c r="O2" i="44"/>
  <c r="N2" i="44"/>
  <c r="M2" i="44"/>
  <c r="L2" i="44"/>
  <c r="K2" i="44"/>
  <c r="J2" i="44"/>
  <c r="I2" i="44"/>
  <c r="H2" i="44"/>
  <c r="G2" i="44"/>
  <c r="F2" i="44"/>
  <c r="E2" i="44"/>
  <c r="D2" i="44"/>
  <c r="O1" i="44"/>
  <c r="N1" i="44"/>
  <c r="M1" i="44"/>
  <c r="L1" i="44"/>
  <c r="K1" i="44"/>
  <c r="J1" i="44"/>
  <c r="I1" i="44"/>
  <c r="H1" i="44"/>
  <c r="G1" i="44"/>
  <c r="F1" i="44"/>
  <c r="E1" i="44"/>
  <c r="D1" i="44"/>
  <c r="O93" i="43"/>
  <c r="N93" i="43"/>
  <c r="M93" i="43"/>
  <c r="L93" i="43"/>
  <c r="K93" i="43"/>
  <c r="J93" i="43"/>
  <c r="I93" i="43"/>
  <c r="H93" i="43"/>
  <c r="G93" i="43"/>
  <c r="F93" i="43"/>
  <c r="E93" i="43"/>
  <c r="D93" i="43"/>
  <c r="P92" i="43"/>
  <c r="P91" i="43"/>
  <c r="P90" i="43"/>
  <c r="P93" i="43" s="1"/>
  <c r="S88" i="43"/>
  <c r="R88" i="43"/>
  <c r="Q88" i="43"/>
  <c r="AG85" i="43"/>
  <c r="AC85" i="43"/>
  <c r="AD85" i="43" s="1"/>
  <c r="P85" i="43"/>
  <c r="AG84" i="43"/>
  <c r="E83" i="43"/>
  <c r="E9" i="43" s="1"/>
  <c r="AB82" i="43"/>
  <c r="AA82" i="43"/>
  <c r="AA83" i="43" s="1"/>
  <c r="Z82" i="43"/>
  <c r="Z83" i="43" s="1"/>
  <c r="Z9" i="43" s="1"/>
  <c r="Y82" i="43"/>
  <c r="X82" i="43"/>
  <c r="W82" i="43"/>
  <c r="W83" i="43" s="1"/>
  <c r="V82" i="43"/>
  <c r="V83" i="43" s="1"/>
  <c r="V9" i="43" s="1"/>
  <c r="U82" i="43"/>
  <c r="T82" i="43"/>
  <c r="S82" i="43"/>
  <c r="S83" i="43" s="1"/>
  <c r="S47" i="43" s="1"/>
  <c r="R82" i="43"/>
  <c r="R83" i="43" s="1"/>
  <c r="R9" i="43" s="1"/>
  <c r="Q82" i="43"/>
  <c r="O82" i="43"/>
  <c r="O83" i="43" s="1"/>
  <c r="N82" i="43"/>
  <c r="N83" i="43" s="1"/>
  <c r="N9" i="43" s="1"/>
  <c r="M82" i="43"/>
  <c r="L82" i="43"/>
  <c r="L83" i="43" s="1"/>
  <c r="L9" i="43" s="1"/>
  <c r="K82" i="43"/>
  <c r="K83" i="43" s="1"/>
  <c r="J82" i="43"/>
  <c r="J83" i="43" s="1"/>
  <c r="J9" i="43" s="1"/>
  <c r="I82" i="43"/>
  <c r="H82" i="43"/>
  <c r="H83" i="43" s="1"/>
  <c r="H9" i="43" s="1"/>
  <c r="G82" i="43"/>
  <c r="G83" i="43" s="1"/>
  <c r="F82" i="43"/>
  <c r="F83" i="43" s="1"/>
  <c r="F9" i="43" s="1"/>
  <c r="E82" i="43"/>
  <c r="D82" i="43"/>
  <c r="D83" i="43" s="1"/>
  <c r="D9" i="43" s="1"/>
  <c r="P9" i="43" s="1"/>
  <c r="AG9" i="43" s="1"/>
  <c r="AG81" i="43"/>
  <c r="AC81" i="43"/>
  <c r="AG80" i="43"/>
  <c r="AC80" i="43"/>
  <c r="AC79" i="43"/>
  <c r="AD79" i="43" s="1"/>
  <c r="AE79" i="43" s="1"/>
  <c r="P79" i="43"/>
  <c r="AG79" i="43" s="1"/>
  <c r="AG78" i="43"/>
  <c r="AC78" i="43"/>
  <c r="P78" i="43"/>
  <c r="AC77" i="43"/>
  <c r="AD77" i="43" s="1"/>
  <c r="AE77" i="43" s="1"/>
  <c r="P77" i="43"/>
  <c r="AG77" i="43" s="1"/>
  <c r="AD76" i="43"/>
  <c r="AE76" i="43" s="1"/>
  <c r="AC76" i="43"/>
  <c r="P76" i="43"/>
  <c r="AG76" i="43" s="1"/>
  <c r="AG75" i="43"/>
  <c r="AC75" i="43"/>
  <c r="P75" i="43"/>
  <c r="AC74" i="43"/>
  <c r="P74" i="43"/>
  <c r="AG74" i="43" s="1"/>
  <c r="AC73" i="43"/>
  <c r="P73" i="43"/>
  <c r="AG73" i="43" s="1"/>
  <c r="AG72" i="43"/>
  <c r="AC71" i="43"/>
  <c r="AB71" i="43"/>
  <c r="AA71" i="43"/>
  <c r="Z71" i="43"/>
  <c r="Y71" i="43"/>
  <c r="Y83" i="43" s="1"/>
  <c r="Y9" i="43" s="1"/>
  <c r="X71" i="43"/>
  <c r="W71" i="43"/>
  <c r="V71" i="43"/>
  <c r="U71" i="43"/>
  <c r="U83" i="43" s="1"/>
  <c r="U9" i="43" s="1"/>
  <c r="T71" i="43"/>
  <c r="S71" i="43"/>
  <c r="R71" i="43"/>
  <c r="Q71" i="43"/>
  <c r="Q83" i="43" s="1"/>
  <c r="Q9" i="43" s="1"/>
  <c r="O71" i="43"/>
  <c r="N71" i="43"/>
  <c r="M71" i="43"/>
  <c r="M83" i="43" s="1"/>
  <c r="M9" i="43" s="1"/>
  <c r="L71" i="43"/>
  <c r="K71" i="43"/>
  <c r="J71" i="43"/>
  <c r="I71" i="43"/>
  <c r="I83" i="43" s="1"/>
  <c r="I9" i="43" s="1"/>
  <c r="H71" i="43"/>
  <c r="G71" i="43"/>
  <c r="F71" i="43"/>
  <c r="E71" i="43"/>
  <c r="D71" i="43"/>
  <c r="AC70" i="43"/>
  <c r="P70" i="43"/>
  <c r="AG70" i="43" s="1"/>
  <c r="AC69" i="43"/>
  <c r="AD69" i="43" s="1"/>
  <c r="AE69" i="43" s="1"/>
  <c r="P69" i="43"/>
  <c r="AG69" i="43" s="1"/>
  <c r="AD68" i="43"/>
  <c r="AE68" i="43" s="1"/>
  <c r="AC68" i="43"/>
  <c r="P68" i="43"/>
  <c r="AG68" i="43" s="1"/>
  <c r="AE67" i="43"/>
  <c r="AC67" i="43"/>
  <c r="P67" i="43"/>
  <c r="AD67" i="43" s="1"/>
  <c r="AG66" i="43"/>
  <c r="AC66" i="43"/>
  <c r="AD66" i="43" s="1"/>
  <c r="AE66" i="43" s="1"/>
  <c r="P66" i="43"/>
  <c r="AC65" i="43"/>
  <c r="AD65" i="43" s="1"/>
  <c r="AE65" i="43" s="1"/>
  <c r="P65" i="43"/>
  <c r="AG65" i="43" s="1"/>
  <c r="AD64" i="43"/>
  <c r="AE64" i="43" s="1"/>
  <c r="AC64" i="43"/>
  <c r="P64" i="43"/>
  <c r="AG64" i="43" s="1"/>
  <c r="AC63" i="43"/>
  <c r="P63" i="43"/>
  <c r="AG62" i="43"/>
  <c r="AC61" i="43"/>
  <c r="AB61" i="43"/>
  <c r="AA61" i="43"/>
  <c r="Z61" i="43"/>
  <c r="Y61" i="43"/>
  <c r="X61" i="43"/>
  <c r="W61" i="43"/>
  <c r="V61" i="43"/>
  <c r="U61" i="43"/>
  <c r="T61" i="43"/>
  <c r="S61" i="43"/>
  <c r="R61" i="43"/>
  <c r="Q61" i="43"/>
  <c r="O61" i="43"/>
  <c r="N61" i="43"/>
  <c r="M61" i="43"/>
  <c r="L61" i="43"/>
  <c r="K61" i="43"/>
  <c r="J61" i="43"/>
  <c r="I61" i="43"/>
  <c r="H61" i="43"/>
  <c r="G61" i="43"/>
  <c r="F61" i="43"/>
  <c r="E61" i="43"/>
  <c r="D61" i="43"/>
  <c r="AD60" i="43"/>
  <c r="AE60" i="43" s="1"/>
  <c r="AC60" i="43"/>
  <c r="P60" i="43"/>
  <c r="AG60" i="43" s="1"/>
  <c r="AE59" i="43"/>
  <c r="AC59" i="43"/>
  <c r="P59" i="43"/>
  <c r="AD59" i="43" s="1"/>
  <c r="AC58" i="43"/>
  <c r="P58" i="43"/>
  <c r="AG58" i="43" s="1"/>
  <c r="AC57" i="43"/>
  <c r="AD57" i="43" s="1"/>
  <c r="AE57" i="43" s="1"/>
  <c r="P57" i="43"/>
  <c r="AG57" i="43" s="1"/>
  <c r="AD56" i="43"/>
  <c r="AE56" i="43" s="1"/>
  <c r="AC56" i="43"/>
  <c r="P56" i="43"/>
  <c r="AG55" i="43"/>
  <c r="AB54" i="43"/>
  <c r="AA54" i="43"/>
  <c r="Z54" i="43"/>
  <c r="Y54" i="43"/>
  <c r="X54" i="43"/>
  <c r="W54" i="43"/>
  <c r="V54" i="43"/>
  <c r="U54" i="43"/>
  <c r="T54" i="43"/>
  <c r="S54" i="43"/>
  <c r="R54" i="43"/>
  <c r="Q54" i="43"/>
  <c r="P54" i="43"/>
  <c r="AG54" i="43" s="1"/>
  <c r="O54" i="43"/>
  <c r="N54" i="43"/>
  <c r="M54" i="43"/>
  <c r="L54" i="43"/>
  <c r="K54" i="43"/>
  <c r="J54" i="43"/>
  <c r="I54" i="43"/>
  <c r="H54" i="43"/>
  <c r="G54" i="43"/>
  <c r="F54" i="43"/>
  <c r="E54" i="43"/>
  <c r="D54" i="43"/>
  <c r="AC53" i="43"/>
  <c r="P53" i="43"/>
  <c r="AG53" i="43" s="1"/>
  <c r="AD52" i="43"/>
  <c r="AE52" i="43" s="1"/>
  <c r="AC52" i="43"/>
  <c r="P52" i="43"/>
  <c r="AG52" i="43" s="1"/>
  <c r="AG51" i="43"/>
  <c r="AG50" i="43"/>
  <c r="AG49" i="43"/>
  <c r="AG48" i="43"/>
  <c r="AA47" i="43"/>
  <c r="W47" i="43"/>
  <c r="AB46" i="43"/>
  <c r="AA46" i="43"/>
  <c r="Z46" i="43"/>
  <c r="Y46" i="43"/>
  <c r="X46" i="43"/>
  <c r="W46" i="43"/>
  <c r="V46" i="43"/>
  <c r="U46" i="43"/>
  <c r="T46" i="43"/>
  <c r="S46" i="43"/>
  <c r="R46" i="43"/>
  <c r="Q46" i="43"/>
  <c r="AC45" i="43"/>
  <c r="AD45" i="43" s="1"/>
  <c r="AE45" i="43" s="1"/>
  <c r="P45" i="43"/>
  <c r="AG45" i="43" s="1"/>
  <c r="AD44" i="43"/>
  <c r="AE44" i="43" s="1"/>
  <c r="AC44" i="43"/>
  <c r="P44" i="43"/>
  <c r="AG44" i="43" s="1"/>
  <c r="AE43" i="43"/>
  <c r="AC43" i="43"/>
  <c r="P43" i="43"/>
  <c r="AD43" i="43" s="1"/>
  <c r="AC42" i="43"/>
  <c r="P42" i="43"/>
  <c r="AG42" i="43" s="1"/>
  <c r="AC41" i="43"/>
  <c r="P41" i="43"/>
  <c r="AG41" i="43" s="1"/>
  <c r="AC40" i="43"/>
  <c r="AD40" i="43" s="1"/>
  <c r="AE40" i="43" s="1"/>
  <c r="P40" i="43"/>
  <c r="AG40" i="43" s="1"/>
  <c r="AD39" i="43"/>
  <c r="AE39" i="43" s="1"/>
  <c r="AC39" i="43"/>
  <c r="P39" i="43"/>
  <c r="AG39" i="43" s="1"/>
  <c r="AE38" i="43"/>
  <c r="AC38" i="43"/>
  <c r="P38" i="43"/>
  <c r="AD38" i="43" s="1"/>
  <c r="AC37" i="43"/>
  <c r="AC36" i="43"/>
  <c r="AC35" i="43"/>
  <c r="AD35" i="43" s="1"/>
  <c r="AE35" i="43" s="1"/>
  <c r="P35" i="43"/>
  <c r="AG35" i="43" s="1"/>
  <c r="AC34" i="43"/>
  <c r="AD34" i="43" s="1"/>
  <c r="P34" i="43"/>
  <c r="AG34" i="43" s="1"/>
  <c r="AC33" i="43"/>
  <c r="AD33" i="43" s="1"/>
  <c r="P33" i="43"/>
  <c r="AG33" i="43" s="1"/>
  <c r="AD32" i="43"/>
  <c r="AE32" i="43" s="1"/>
  <c r="AC32" i="43"/>
  <c r="P32" i="43"/>
  <c r="AG32" i="43" s="1"/>
  <c r="AC31" i="43"/>
  <c r="P31" i="43"/>
  <c r="AD31" i="43" s="1"/>
  <c r="AE31" i="43" s="1"/>
  <c r="AG30" i="43"/>
  <c r="AC30" i="43"/>
  <c r="P30" i="43"/>
  <c r="AD30" i="43" s="1"/>
  <c r="AG29" i="43"/>
  <c r="AC29" i="43"/>
  <c r="P29" i="43"/>
  <c r="AD29" i="43" s="1"/>
  <c r="AG28" i="43"/>
  <c r="AC28" i="43"/>
  <c r="AD28" i="43" s="1"/>
  <c r="AE28" i="43" s="1"/>
  <c r="P28" i="43"/>
  <c r="AC27" i="43"/>
  <c r="P27" i="43"/>
  <c r="AG27" i="43" s="1"/>
  <c r="AG26" i="43"/>
  <c r="AC26" i="43"/>
  <c r="P26" i="43"/>
  <c r="AC25" i="43"/>
  <c r="AD25" i="43" s="1"/>
  <c r="AE25" i="43" s="1"/>
  <c r="P25" i="43"/>
  <c r="AG25" i="43" s="1"/>
  <c r="AC24" i="43"/>
  <c r="O24" i="43"/>
  <c r="N24" i="43"/>
  <c r="M24" i="43"/>
  <c r="L24" i="43"/>
  <c r="K24" i="43"/>
  <c r="J24" i="43"/>
  <c r="I24" i="43"/>
  <c r="H24" i="43"/>
  <c r="G24" i="43"/>
  <c r="F24" i="43"/>
  <c r="E24" i="43"/>
  <c r="D24" i="43"/>
  <c r="AG23" i="43"/>
  <c r="AC23" i="43"/>
  <c r="P23" i="43"/>
  <c r="AC22" i="43"/>
  <c r="AE21" i="43"/>
  <c r="AC21" i="43"/>
  <c r="P21" i="43"/>
  <c r="AD21" i="43" s="1"/>
  <c r="AC20" i="43"/>
  <c r="P20" i="43"/>
  <c r="AG20" i="43" s="1"/>
  <c r="AC19" i="43"/>
  <c r="AD19" i="43" s="1"/>
  <c r="AE19" i="43" s="1"/>
  <c r="P19" i="43"/>
  <c r="AG19" i="43" s="1"/>
  <c r="AD18" i="43"/>
  <c r="AE18" i="43" s="1"/>
  <c r="AC18" i="43"/>
  <c r="P18" i="43"/>
  <c r="AG18" i="43" s="1"/>
  <c r="AG17" i="43"/>
  <c r="AC17" i="43"/>
  <c r="P17" i="43"/>
  <c r="AD16" i="43"/>
  <c r="AE16" i="43" s="1"/>
  <c r="AC16" i="43"/>
  <c r="P16" i="43"/>
  <c r="AG16" i="43" s="1"/>
  <c r="AE15" i="43"/>
  <c r="AC15" i="43"/>
  <c r="P15" i="43"/>
  <c r="AD15" i="43" s="1"/>
  <c r="AG14" i="43"/>
  <c r="AC14" i="43"/>
  <c r="AD14" i="43" s="1"/>
  <c r="AE14" i="43" s="1"/>
  <c r="P14" i="43"/>
  <c r="AC13" i="43"/>
  <c r="P13" i="43"/>
  <c r="AG13" i="43" s="1"/>
  <c r="AC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AG11" i="43"/>
  <c r="AG10" i="43"/>
  <c r="AA9" i="43"/>
  <c r="W9" i="43"/>
  <c r="S9" i="43"/>
  <c r="O9" i="43"/>
  <c r="K9" i="43"/>
  <c r="G9" i="43"/>
  <c r="AC7" i="43"/>
  <c r="Q7" i="43"/>
  <c r="M7" i="43"/>
  <c r="AA6" i="43"/>
  <c r="W6" i="43"/>
  <c r="K6" i="43"/>
  <c r="G6" i="43"/>
  <c r="C4" i="43"/>
  <c r="O2" i="43"/>
  <c r="N2" i="43"/>
  <c r="M2" i="43"/>
  <c r="L2" i="43"/>
  <c r="K2" i="43"/>
  <c r="J2" i="43"/>
  <c r="I2" i="43"/>
  <c r="H2" i="43"/>
  <c r="G2" i="43"/>
  <c r="F2" i="43"/>
  <c r="E2" i="43"/>
  <c r="D2" i="43"/>
  <c r="O1" i="43"/>
  <c r="N1" i="43"/>
  <c r="M1" i="43"/>
  <c r="L1" i="43"/>
  <c r="K1" i="43"/>
  <c r="J1" i="43"/>
  <c r="I1" i="43"/>
  <c r="H1" i="43"/>
  <c r="G1" i="43"/>
  <c r="F1" i="43"/>
  <c r="E1" i="43"/>
  <c r="D1" i="43"/>
  <c r="O93" i="42"/>
  <c r="N93" i="42"/>
  <c r="M93" i="42"/>
  <c r="L93" i="42"/>
  <c r="K93" i="42"/>
  <c r="J93" i="42"/>
  <c r="I93" i="42"/>
  <c r="H93" i="42"/>
  <c r="G93" i="42"/>
  <c r="F93" i="42"/>
  <c r="E93" i="42"/>
  <c r="D93" i="42"/>
  <c r="P92" i="42"/>
  <c r="P91" i="42"/>
  <c r="P90" i="42"/>
  <c r="P93" i="42" s="1"/>
  <c r="S88" i="42"/>
  <c r="R88" i="42"/>
  <c r="Q88" i="42"/>
  <c r="AG85" i="42"/>
  <c r="AC85" i="42"/>
  <c r="AD85" i="42" s="1"/>
  <c r="P85" i="42"/>
  <c r="AG84" i="42"/>
  <c r="S83" i="42"/>
  <c r="S9" i="42" s="1"/>
  <c r="O83" i="42"/>
  <c r="O9" i="42" s="1"/>
  <c r="AB82" i="42"/>
  <c r="AB83" i="42" s="1"/>
  <c r="AB9" i="42" s="1"/>
  <c r="AA82" i="42"/>
  <c r="Z82" i="42"/>
  <c r="Y82" i="42"/>
  <c r="Y83" i="42" s="1"/>
  <c r="X82" i="42"/>
  <c r="X83" i="42" s="1"/>
  <c r="X9" i="42" s="1"/>
  <c r="W82" i="42"/>
  <c r="V82" i="42"/>
  <c r="U82" i="42"/>
  <c r="U83" i="42" s="1"/>
  <c r="T82" i="42"/>
  <c r="T83" i="42" s="1"/>
  <c r="T9" i="42" s="1"/>
  <c r="S82" i="42"/>
  <c r="R82" i="42"/>
  <c r="Q82" i="42"/>
  <c r="Q83" i="42" s="1"/>
  <c r="Q9" i="42" s="1"/>
  <c r="O82" i="42"/>
  <c r="N82" i="42"/>
  <c r="M82" i="42"/>
  <c r="M83" i="42" s="1"/>
  <c r="M9" i="42" s="1"/>
  <c r="L82" i="42"/>
  <c r="L83" i="42" s="1"/>
  <c r="L9" i="42" s="1"/>
  <c r="K82" i="42"/>
  <c r="J82" i="42"/>
  <c r="I82" i="42"/>
  <c r="I83" i="42" s="1"/>
  <c r="I9" i="42" s="1"/>
  <c r="H82" i="42"/>
  <c r="H83" i="42" s="1"/>
  <c r="H9" i="42" s="1"/>
  <c r="G82" i="42"/>
  <c r="F82" i="42"/>
  <c r="E82" i="42"/>
  <c r="E83" i="42" s="1"/>
  <c r="E9" i="42" s="1"/>
  <c r="D82" i="42"/>
  <c r="D83" i="42" s="1"/>
  <c r="D9" i="42" s="1"/>
  <c r="AG81" i="42"/>
  <c r="AC81" i="42"/>
  <c r="AG80" i="42"/>
  <c r="AC80" i="42"/>
  <c r="AC79" i="42"/>
  <c r="AD79" i="42" s="1"/>
  <c r="AE79" i="42" s="1"/>
  <c r="P79" i="42"/>
  <c r="AG79" i="42" s="1"/>
  <c r="AD78" i="42"/>
  <c r="AE78" i="42" s="1"/>
  <c r="AC78" i="42"/>
  <c r="P78" i="42"/>
  <c r="AG78" i="42" s="1"/>
  <c r="AC77" i="42"/>
  <c r="P77" i="42"/>
  <c r="AD77" i="42" s="1"/>
  <c r="AE77" i="42" s="1"/>
  <c r="AC76" i="42"/>
  <c r="P76" i="42"/>
  <c r="AC75" i="42"/>
  <c r="P75" i="42"/>
  <c r="AG75" i="42" s="1"/>
  <c r="AG74" i="42"/>
  <c r="AC74" i="42"/>
  <c r="P74" i="42"/>
  <c r="AG73" i="42"/>
  <c r="AC73" i="42"/>
  <c r="AC82" i="42" s="1"/>
  <c r="P73" i="42"/>
  <c r="AG72" i="42"/>
  <c r="AB71" i="42"/>
  <c r="AA71" i="42"/>
  <c r="AA83" i="42" s="1"/>
  <c r="AA9" i="42" s="1"/>
  <c r="Z71" i="42"/>
  <c r="Y71" i="42"/>
  <c r="X71" i="42"/>
  <c r="W71" i="42"/>
  <c r="W83" i="42" s="1"/>
  <c r="W9" i="42" s="1"/>
  <c r="V71" i="42"/>
  <c r="U71" i="42"/>
  <c r="T71" i="42"/>
  <c r="S71" i="42"/>
  <c r="R71" i="42"/>
  <c r="Q71" i="42"/>
  <c r="O71" i="42"/>
  <c r="N71" i="42"/>
  <c r="M71" i="42"/>
  <c r="L71" i="42"/>
  <c r="K71" i="42"/>
  <c r="K83" i="42" s="1"/>
  <c r="K9" i="42" s="1"/>
  <c r="J71" i="42"/>
  <c r="I71" i="42"/>
  <c r="H71" i="42"/>
  <c r="G71" i="42"/>
  <c r="G83" i="42" s="1"/>
  <c r="G9" i="42" s="1"/>
  <c r="F71" i="42"/>
  <c r="E71" i="42"/>
  <c r="D71" i="42"/>
  <c r="AG70" i="42"/>
  <c r="AC70" i="42"/>
  <c r="P70" i="42"/>
  <c r="AC69" i="42"/>
  <c r="AD69" i="42" s="1"/>
  <c r="AE69" i="42" s="1"/>
  <c r="P69" i="42"/>
  <c r="AG69" i="42" s="1"/>
  <c r="AG68" i="42"/>
  <c r="AC68" i="42"/>
  <c r="P68" i="42"/>
  <c r="AC67" i="42"/>
  <c r="AD67" i="42" s="1"/>
  <c r="AE67" i="42" s="1"/>
  <c r="P67" i="42"/>
  <c r="AG67" i="42" s="1"/>
  <c r="AD66" i="42"/>
  <c r="AE66" i="42" s="1"/>
  <c r="AC66" i="42"/>
  <c r="P66" i="42"/>
  <c r="AG66" i="42" s="1"/>
  <c r="AE65" i="42"/>
  <c r="AC65" i="42"/>
  <c r="AD65" i="42" s="1"/>
  <c r="P65" i="42"/>
  <c r="AG65" i="42" s="1"/>
  <c r="AG64" i="42"/>
  <c r="AC64" i="42"/>
  <c r="AD64" i="42" s="1"/>
  <c r="AE64" i="42" s="1"/>
  <c r="P64" i="42"/>
  <c r="AC63" i="42"/>
  <c r="P63" i="42"/>
  <c r="AG63" i="42" s="1"/>
  <c r="AG62" i="42"/>
  <c r="AB61" i="42"/>
  <c r="AA61" i="42"/>
  <c r="Z61" i="42"/>
  <c r="Y61" i="42"/>
  <c r="X61" i="42"/>
  <c r="W61" i="42"/>
  <c r="V61" i="42"/>
  <c r="U61" i="42"/>
  <c r="T61" i="42"/>
  <c r="S61" i="42"/>
  <c r="R61" i="42"/>
  <c r="Q61" i="42"/>
  <c r="O61" i="42"/>
  <c r="N61" i="42"/>
  <c r="M61" i="42"/>
  <c r="L61" i="42"/>
  <c r="K61" i="42"/>
  <c r="J61" i="42"/>
  <c r="I61" i="42"/>
  <c r="H61" i="42"/>
  <c r="G61" i="42"/>
  <c r="F61" i="42"/>
  <c r="E61" i="42"/>
  <c r="D61" i="42"/>
  <c r="AC60" i="42"/>
  <c r="AD60" i="42" s="1"/>
  <c r="AE60" i="42" s="1"/>
  <c r="P60" i="42"/>
  <c r="AG60" i="42" s="1"/>
  <c r="AC59" i="42"/>
  <c r="AD59" i="42" s="1"/>
  <c r="AE59" i="42" s="1"/>
  <c r="P59" i="42"/>
  <c r="AG59" i="42" s="1"/>
  <c r="AD58" i="42"/>
  <c r="AE58" i="42" s="1"/>
  <c r="AC58" i="42"/>
  <c r="P58" i="42"/>
  <c r="AG58" i="42" s="1"/>
  <c r="AC57" i="42"/>
  <c r="AD57" i="42" s="1"/>
  <c r="AE57" i="42" s="1"/>
  <c r="P57" i="42"/>
  <c r="AG57" i="42" s="1"/>
  <c r="AC56" i="42"/>
  <c r="AC61" i="42" s="1"/>
  <c r="P56" i="42"/>
  <c r="AG55" i="42"/>
  <c r="AB54" i="42"/>
  <c r="AA54" i="42"/>
  <c r="Z54" i="42"/>
  <c r="Y54" i="42"/>
  <c r="X54" i="42"/>
  <c r="W54" i="42"/>
  <c r="V54" i="42"/>
  <c r="U54" i="42"/>
  <c r="T54" i="42"/>
  <c r="S54" i="42"/>
  <c r="R54" i="42"/>
  <c r="Q54" i="42"/>
  <c r="O54" i="42"/>
  <c r="N54" i="42"/>
  <c r="M54" i="42"/>
  <c r="L54" i="42"/>
  <c r="K54" i="42"/>
  <c r="J54" i="42"/>
  <c r="I54" i="42"/>
  <c r="H54" i="42"/>
  <c r="G54" i="42"/>
  <c r="F54" i="42"/>
  <c r="E54" i="42"/>
  <c r="D54" i="42"/>
  <c r="AC53" i="42"/>
  <c r="AD53" i="42" s="1"/>
  <c r="AE53" i="42" s="1"/>
  <c r="P53" i="42"/>
  <c r="AG53" i="42" s="1"/>
  <c r="AC52" i="42"/>
  <c r="AC54" i="42" s="1"/>
  <c r="P52" i="42"/>
  <c r="AG51" i="42"/>
  <c r="AG50" i="42"/>
  <c r="AG49" i="42"/>
  <c r="AG48" i="42"/>
  <c r="AB46" i="42"/>
  <c r="AB47" i="42" s="1"/>
  <c r="AA46" i="42"/>
  <c r="Z46" i="42"/>
  <c r="Y46" i="42"/>
  <c r="X46" i="42"/>
  <c r="X47" i="42" s="1"/>
  <c r="W46" i="42"/>
  <c r="V46" i="42"/>
  <c r="U46" i="42"/>
  <c r="T46" i="42"/>
  <c r="T47" i="42" s="1"/>
  <c r="S46" i="42"/>
  <c r="R46" i="42"/>
  <c r="Q46" i="42"/>
  <c r="AC45" i="42"/>
  <c r="AD45" i="42" s="1"/>
  <c r="AE45" i="42" s="1"/>
  <c r="P45" i="42"/>
  <c r="AG45" i="42" s="1"/>
  <c r="AC44" i="42"/>
  <c r="AD44" i="42" s="1"/>
  <c r="AE44" i="42" s="1"/>
  <c r="P44" i="42"/>
  <c r="AG44" i="42" s="1"/>
  <c r="AC43" i="42"/>
  <c r="AD43" i="42" s="1"/>
  <c r="AE43" i="42" s="1"/>
  <c r="P43" i="42"/>
  <c r="AG43" i="42" s="1"/>
  <c r="AD42" i="42"/>
  <c r="AE42" i="42" s="1"/>
  <c r="AC42" i="42"/>
  <c r="P42" i="42"/>
  <c r="AG42" i="42" s="1"/>
  <c r="AG41" i="42"/>
  <c r="AD41" i="42"/>
  <c r="AC41" i="42"/>
  <c r="P41" i="42"/>
  <c r="AC40" i="42"/>
  <c r="P40" i="42"/>
  <c r="AD40" i="42" s="1"/>
  <c r="AE40" i="42" s="1"/>
  <c r="AC39" i="42"/>
  <c r="P39" i="42"/>
  <c r="AG39" i="42" s="1"/>
  <c r="AC38" i="42"/>
  <c r="AD38" i="42" s="1"/>
  <c r="AE38" i="42" s="1"/>
  <c r="P38" i="42"/>
  <c r="AG38" i="42" s="1"/>
  <c r="AD37" i="42"/>
  <c r="AE37" i="42" s="1"/>
  <c r="AC37" i="42"/>
  <c r="P37" i="42"/>
  <c r="AG37" i="42" s="1"/>
  <c r="AC36" i="42"/>
  <c r="P36" i="42"/>
  <c r="AD36" i="42" s="1"/>
  <c r="AE36" i="42" s="1"/>
  <c r="AG35" i="42"/>
  <c r="AC35" i="42"/>
  <c r="P35" i="42"/>
  <c r="AC34" i="42"/>
  <c r="P34" i="42"/>
  <c r="AG34" i="42" s="1"/>
  <c r="AG33" i="42"/>
  <c r="AC33" i="42"/>
  <c r="P33" i="42"/>
  <c r="AE32" i="42"/>
  <c r="AC32" i="42"/>
  <c r="AD32" i="42" s="1"/>
  <c r="P32" i="42"/>
  <c r="AG32" i="42" s="1"/>
  <c r="AG31" i="42"/>
  <c r="AC31" i="42"/>
  <c r="AD31" i="42" s="1"/>
  <c r="AE31" i="42" s="1"/>
  <c r="P31" i="42"/>
  <c r="AC30" i="42"/>
  <c r="P30" i="42"/>
  <c r="AG30" i="42" s="1"/>
  <c r="AG29" i="42"/>
  <c r="AC29" i="42"/>
  <c r="P29" i="42"/>
  <c r="AC28" i="42"/>
  <c r="AD28" i="42" s="1"/>
  <c r="AE28" i="42" s="1"/>
  <c r="P28" i="42"/>
  <c r="AG28" i="42" s="1"/>
  <c r="AG27" i="42"/>
  <c r="AC27" i="42"/>
  <c r="P27" i="42"/>
  <c r="AC26" i="42"/>
  <c r="AD26" i="42" s="1"/>
  <c r="AE26" i="42" s="1"/>
  <c r="P26" i="42"/>
  <c r="AG26" i="42" s="1"/>
  <c r="AG25" i="42"/>
  <c r="AC25" i="42"/>
  <c r="P25" i="42"/>
  <c r="AC24" i="42"/>
  <c r="O24" i="42"/>
  <c r="N24" i="42"/>
  <c r="M24" i="42"/>
  <c r="L24" i="42"/>
  <c r="K24" i="42"/>
  <c r="J24" i="42"/>
  <c r="I24" i="42"/>
  <c r="H24" i="42"/>
  <c r="G24" i="42"/>
  <c r="F24" i="42"/>
  <c r="E24" i="42"/>
  <c r="D24" i="42"/>
  <c r="P24" i="42" s="1"/>
  <c r="AG24" i="42" s="1"/>
  <c r="AC23" i="42"/>
  <c r="P23" i="42"/>
  <c r="AG23" i="42" s="1"/>
  <c r="AC22" i="42"/>
  <c r="AD21" i="42"/>
  <c r="AE21" i="42" s="1"/>
  <c r="AC21" i="42"/>
  <c r="P21" i="42"/>
  <c r="AG21" i="42" s="1"/>
  <c r="AC20" i="42"/>
  <c r="AD20" i="42" s="1"/>
  <c r="AE20" i="42" s="1"/>
  <c r="P20" i="42"/>
  <c r="AG20" i="42" s="1"/>
  <c r="AG19" i="42"/>
  <c r="AC19" i="42"/>
  <c r="P19" i="42"/>
  <c r="AC18" i="42"/>
  <c r="AD18" i="42" s="1"/>
  <c r="AE18" i="42" s="1"/>
  <c r="P18" i="42"/>
  <c r="AG18" i="42" s="1"/>
  <c r="AC17" i="42"/>
  <c r="P17" i="42"/>
  <c r="AG17" i="42" s="1"/>
  <c r="AC16" i="42"/>
  <c r="AD16" i="42" s="1"/>
  <c r="AE16" i="42" s="1"/>
  <c r="P16" i="42"/>
  <c r="AG16" i="42" s="1"/>
  <c r="AD15" i="42"/>
  <c r="AE15" i="42" s="1"/>
  <c r="AC15" i="42"/>
  <c r="P15" i="42"/>
  <c r="AG15" i="42" s="1"/>
  <c r="AE14" i="42"/>
  <c r="AC14" i="42"/>
  <c r="AD14" i="42" s="1"/>
  <c r="P14" i="42"/>
  <c r="AG14" i="42" s="1"/>
  <c r="AG13" i="42"/>
  <c r="AC13" i="42"/>
  <c r="P13" i="42"/>
  <c r="AC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AG11" i="42"/>
  <c r="AG10" i="42"/>
  <c r="T7" i="42"/>
  <c r="P7" i="42"/>
  <c r="D7" i="42"/>
  <c r="Z6" i="42"/>
  <c r="N6" i="42"/>
  <c r="J6" i="42"/>
  <c r="C4" i="42"/>
  <c r="O2" i="42"/>
  <c r="N2" i="42"/>
  <c r="M2" i="42"/>
  <c r="L2" i="42"/>
  <c r="K2" i="42"/>
  <c r="J2" i="42"/>
  <c r="I2" i="42"/>
  <c r="H2" i="42"/>
  <c r="G2" i="42"/>
  <c r="F2" i="42"/>
  <c r="E2" i="42"/>
  <c r="D2" i="42"/>
  <c r="O1" i="42"/>
  <c r="N1" i="42"/>
  <c r="M1" i="42"/>
  <c r="L1" i="42"/>
  <c r="K1" i="42"/>
  <c r="J1" i="42"/>
  <c r="I1" i="42"/>
  <c r="H1" i="42"/>
  <c r="G1" i="42"/>
  <c r="F1" i="42"/>
  <c r="E1" i="42"/>
  <c r="D1" i="42"/>
  <c r="L93" i="41"/>
  <c r="H93" i="41"/>
  <c r="D93" i="41"/>
  <c r="O92" i="41"/>
  <c r="N92" i="41"/>
  <c r="M92" i="41"/>
  <c r="M93" i="41" s="1"/>
  <c r="L92" i="41"/>
  <c r="K92" i="41"/>
  <c r="J92" i="41"/>
  <c r="I92" i="41"/>
  <c r="I93" i="41" s="1"/>
  <c r="H92" i="41"/>
  <c r="G92" i="41"/>
  <c r="F92" i="41"/>
  <c r="E92" i="41"/>
  <c r="E93" i="41" s="1"/>
  <c r="D92" i="41"/>
  <c r="P92" i="41" s="1"/>
  <c r="O91" i="41"/>
  <c r="N91" i="41"/>
  <c r="M91" i="41"/>
  <c r="L91" i="41"/>
  <c r="K91" i="41"/>
  <c r="J91" i="41"/>
  <c r="I91" i="41"/>
  <c r="H91" i="41"/>
  <c r="G91" i="41"/>
  <c r="F91" i="41"/>
  <c r="E91" i="41"/>
  <c r="D91" i="41"/>
  <c r="O90" i="41"/>
  <c r="O93" i="41" s="1"/>
  <c r="N90" i="41"/>
  <c r="N93" i="41" s="1"/>
  <c r="M90" i="41"/>
  <c r="L90" i="41"/>
  <c r="K90" i="41"/>
  <c r="K93" i="41" s="1"/>
  <c r="J90" i="41"/>
  <c r="J93" i="41" s="1"/>
  <c r="I90" i="41"/>
  <c r="H90" i="41"/>
  <c r="G90" i="41"/>
  <c r="G93" i="41" s="1"/>
  <c r="F90" i="41"/>
  <c r="F93" i="41" s="1"/>
  <c r="E90" i="41"/>
  <c r="D90" i="41"/>
  <c r="S88" i="41"/>
  <c r="R88" i="41"/>
  <c r="Q88" i="41"/>
  <c r="AB85" i="41"/>
  <c r="AA85" i="41"/>
  <c r="Z85" i="41"/>
  <c r="Y85" i="41"/>
  <c r="X85" i="41"/>
  <c r="W85" i="41"/>
  <c r="V85" i="41"/>
  <c r="U85" i="41"/>
  <c r="T85" i="41"/>
  <c r="S85" i="41"/>
  <c r="R85" i="41"/>
  <c r="Q85" i="41"/>
  <c r="AC85" i="41" s="1"/>
  <c r="AD85" i="41" s="1"/>
  <c r="AE85" i="41" s="1"/>
  <c r="O85" i="41"/>
  <c r="N85" i="41"/>
  <c r="M85" i="41"/>
  <c r="L85" i="41"/>
  <c r="K85" i="41"/>
  <c r="J85" i="41"/>
  <c r="I85" i="41"/>
  <c r="H85" i="41"/>
  <c r="G85" i="41"/>
  <c r="F85" i="41"/>
  <c r="E85" i="41"/>
  <c r="D85" i="41"/>
  <c r="P85" i="41" s="1"/>
  <c r="AG85" i="41" s="1"/>
  <c r="AG84" i="41"/>
  <c r="X82" i="41"/>
  <c r="H82" i="41"/>
  <c r="D82" i="41"/>
  <c r="AG81" i="41"/>
  <c r="AB81" i="41"/>
  <c r="AA81" i="41"/>
  <c r="Z81" i="41"/>
  <c r="Y81" i="41"/>
  <c r="X81" i="41"/>
  <c r="W81" i="41"/>
  <c r="V81" i="41"/>
  <c r="U81" i="41"/>
  <c r="T81" i="41"/>
  <c r="S81" i="41"/>
  <c r="R81" i="41"/>
  <c r="Q81" i="41"/>
  <c r="O81" i="41"/>
  <c r="N81" i="41"/>
  <c r="M81" i="41"/>
  <c r="L81" i="41"/>
  <c r="K81" i="41"/>
  <c r="J81" i="41"/>
  <c r="I81" i="41"/>
  <c r="H81" i="41"/>
  <c r="G81" i="41"/>
  <c r="F81" i="41"/>
  <c r="E81" i="41"/>
  <c r="D81" i="41"/>
  <c r="AG80" i="41"/>
  <c r="AB80" i="41"/>
  <c r="AA80" i="41"/>
  <c r="Z80" i="41"/>
  <c r="Y80" i="41"/>
  <c r="X80" i="41"/>
  <c r="W80" i="41"/>
  <c r="V80" i="41"/>
  <c r="U80" i="41"/>
  <c r="T80" i="41"/>
  <c r="S80" i="41"/>
  <c r="R80" i="41"/>
  <c r="Q80" i="41"/>
  <c r="AC80" i="41" s="1"/>
  <c r="O80" i="41"/>
  <c r="N80" i="41"/>
  <c r="M80" i="41"/>
  <c r="L80" i="41"/>
  <c r="K80" i="41"/>
  <c r="J80" i="41"/>
  <c r="I80" i="41"/>
  <c r="H80" i="41"/>
  <c r="G80" i="41"/>
  <c r="F80" i="41"/>
  <c r="E80" i="41"/>
  <c r="D80" i="41"/>
  <c r="AB79" i="41"/>
  <c r="AA79" i="41"/>
  <c r="Z79" i="41"/>
  <c r="Y79" i="41"/>
  <c r="X79" i="41"/>
  <c r="W79" i="41"/>
  <c r="V79" i="41"/>
  <c r="U79" i="41"/>
  <c r="T79" i="41"/>
  <c r="S79" i="41"/>
  <c r="R79" i="41"/>
  <c r="Q79" i="41"/>
  <c r="AC79" i="41" s="1"/>
  <c r="AD79" i="41" s="1"/>
  <c r="AE79" i="41" s="1"/>
  <c r="O79" i="41"/>
  <c r="N79" i="41"/>
  <c r="M79" i="41"/>
  <c r="L79" i="41"/>
  <c r="K79" i="41"/>
  <c r="J79" i="41"/>
  <c r="I79" i="41"/>
  <c r="H79" i="41"/>
  <c r="G79" i="41"/>
  <c r="F79" i="41"/>
  <c r="E79" i="41"/>
  <c r="D79" i="41"/>
  <c r="P79" i="41" s="1"/>
  <c r="AG79" i="41" s="1"/>
  <c r="AB78" i="41"/>
  <c r="AA78" i="41"/>
  <c r="Z78" i="41"/>
  <c r="Y78" i="41"/>
  <c r="X78" i="41"/>
  <c r="W78" i="41"/>
  <c r="V78" i="41"/>
  <c r="U78" i="41"/>
  <c r="T78" i="41"/>
  <c r="S78" i="41"/>
  <c r="R78" i="41"/>
  <c r="Q78" i="41"/>
  <c r="O78" i="41"/>
  <c r="N78" i="41"/>
  <c r="M78" i="41"/>
  <c r="L78" i="41"/>
  <c r="K78" i="41"/>
  <c r="J78" i="41"/>
  <c r="I78" i="41"/>
  <c r="H78" i="41"/>
  <c r="G78" i="41"/>
  <c r="F78" i="41"/>
  <c r="E78" i="41"/>
  <c r="D78" i="41"/>
  <c r="AB77" i="41"/>
  <c r="AA77" i="41"/>
  <c r="Z77" i="41"/>
  <c r="Y77" i="41"/>
  <c r="X77" i="41"/>
  <c r="W77" i="41"/>
  <c r="V77" i="41"/>
  <c r="U77" i="41"/>
  <c r="T77" i="41"/>
  <c r="S77" i="41"/>
  <c r="R77" i="41"/>
  <c r="Q77" i="41"/>
  <c r="O77" i="41"/>
  <c r="N77" i="41"/>
  <c r="M77" i="41"/>
  <c r="L77" i="41"/>
  <c r="K77" i="41"/>
  <c r="J77" i="41"/>
  <c r="I77" i="41"/>
  <c r="H77" i="41"/>
  <c r="G77" i="41"/>
  <c r="F77" i="41"/>
  <c r="E77" i="41"/>
  <c r="D77" i="41"/>
  <c r="AB76" i="41"/>
  <c r="AB82" i="41" s="1"/>
  <c r="AA76" i="41"/>
  <c r="Z76" i="41"/>
  <c r="Y76" i="41"/>
  <c r="X76" i="41"/>
  <c r="W76" i="41"/>
  <c r="V76" i="41"/>
  <c r="U76" i="41"/>
  <c r="T76" i="41"/>
  <c r="T82" i="41" s="1"/>
  <c r="S76" i="41"/>
  <c r="R76" i="41"/>
  <c r="Q76" i="41"/>
  <c r="AC76" i="41" s="1"/>
  <c r="O76" i="41"/>
  <c r="N76" i="41"/>
  <c r="M76" i="41"/>
  <c r="L76" i="41"/>
  <c r="L82" i="41" s="1"/>
  <c r="K76" i="41"/>
  <c r="J76" i="41"/>
  <c r="I76" i="41"/>
  <c r="H76" i="41"/>
  <c r="G76" i="41"/>
  <c r="F76" i="41"/>
  <c r="E76" i="41"/>
  <c r="D76" i="41"/>
  <c r="P76" i="41" s="1"/>
  <c r="AG76" i="41" s="1"/>
  <c r="AB75" i="41"/>
  <c r="AA75" i="41"/>
  <c r="Z75" i="41"/>
  <c r="Y75" i="41"/>
  <c r="X75" i="41"/>
  <c r="W75" i="41"/>
  <c r="V75" i="41"/>
  <c r="U75" i="41"/>
  <c r="T75" i="41"/>
  <c r="S75" i="41"/>
  <c r="R75" i="41"/>
  <c r="Q75" i="41"/>
  <c r="AC75" i="41" s="1"/>
  <c r="O75" i="41"/>
  <c r="N75" i="41"/>
  <c r="M75" i="41"/>
  <c r="L75" i="41"/>
  <c r="K75" i="41"/>
  <c r="J75" i="41"/>
  <c r="I75" i="41"/>
  <c r="H75" i="41"/>
  <c r="G75" i="41"/>
  <c r="F75" i="41"/>
  <c r="E75" i="41"/>
  <c r="D75" i="41"/>
  <c r="P75" i="41" s="1"/>
  <c r="AG75" i="41" s="1"/>
  <c r="AB74" i="41"/>
  <c r="AA74" i="41"/>
  <c r="Z74" i="41"/>
  <c r="Y74" i="41"/>
  <c r="X74" i="41"/>
  <c r="W74" i="41"/>
  <c r="V74" i="41"/>
  <c r="U74" i="41"/>
  <c r="T74" i="41"/>
  <c r="S74" i="41"/>
  <c r="R74" i="41"/>
  <c r="Q74" i="41"/>
  <c r="O74" i="41"/>
  <c r="N74" i="41"/>
  <c r="M74" i="41"/>
  <c r="L74" i="41"/>
  <c r="K74" i="41"/>
  <c r="J74" i="41"/>
  <c r="I74" i="41"/>
  <c r="H74" i="41"/>
  <c r="G74" i="41"/>
  <c r="F74" i="41"/>
  <c r="E74" i="41"/>
  <c r="D74" i="41"/>
  <c r="AB73" i="41"/>
  <c r="AA73" i="41"/>
  <c r="AA82" i="41" s="1"/>
  <c r="Z73" i="41"/>
  <c r="Y73" i="41"/>
  <c r="X73" i="41"/>
  <c r="W73" i="41"/>
  <c r="W82" i="41" s="1"/>
  <c r="W83" i="41" s="1"/>
  <c r="W9" i="41" s="1"/>
  <c r="V73" i="41"/>
  <c r="U73" i="41"/>
  <c r="T73" i="41"/>
  <c r="S73" i="41"/>
  <c r="S82" i="41" s="1"/>
  <c r="R73" i="41"/>
  <c r="Q73" i="41"/>
  <c r="O73" i="41"/>
  <c r="N73" i="41"/>
  <c r="N82" i="41" s="1"/>
  <c r="M73" i="41"/>
  <c r="L73" i="41"/>
  <c r="K73" i="41"/>
  <c r="J73" i="41"/>
  <c r="J82" i="41" s="1"/>
  <c r="I73" i="41"/>
  <c r="H73" i="41"/>
  <c r="G73" i="41"/>
  <c r="F73" i="41"/>
  <c r="F82" i="41" s="1"/>
  <c r="E73" i="41"/>
  <c r="D73" i="41"/>
  <c r="P73" i="41" s="1"/>
  <c r="AG73" i="41" s="1"/>
  <c r="AG72" i="41"/>
  <c r="S71" i="41"/>
  <c r="O71" i="41"/>
  <c r="AB70" i="41"/>
  <c r="AA70" i="41"/>
  <c r="Z70" i="41"/>
  <c r="Y70" i="41"/>
  <c r="X70" i="41"/>
  <c r="W70" i="41"/>
  <c r="V70" i="41"/>
  <c r="U70" i="41"/>
  <c r="T70" i="41"/>
  <c r="S70" i="41"/>
  <c r="R70" i="41"/>
  <c r="Q70" i="41"/>
  <c r="AC70" i="41" s="1"/>
  <c r="O70" i="41"/>
  <c r="N70" i="41"/>
  <c r="M70" i="41"/>
  <c r="L70" i="41"/>
  <c r="K70" i="41"/>
  <c r="J70" i="41"/>
  <c r="I70" i="41"/>
  <c r="H70" i="41"/>
  <c r="G70" i="41"/>
  <c r="F70" i="41"/>
  <c r="E70" i="41"/>
  <c r="D70" i="41"/>
  <c r="P70" i="41" s="1"/>
  <c r="AG70" i="41" s="1"/>
  <c r="AB69" i="41"/>
  <c r="AA69" i="41"/>
  <c r="Z69" i="41"/>
  <c r="Y69" i="41"/>
  <c r="X69" i="41"/>
  <c r="W69" i="41"/>
  <c r="V69" i="41"/>
  <c r="U69" i="41"/>
  <c r="T69" i="41"/>
  <c r="S69" i="41"/>
  <c r="R69" i="41"/>
  <c r="Q69" i="41"/>
  <c r="AC69" i="41" s="1"/>
  <c r="O69" i="41"/>
  <c r="N69" i="41"/>
  <c r="M69" i="41"/>
  <c r="L69" i="41"/>
  <c r="K69" i="41"/>
  <c r="J69" i="41"/>
  <c r="I69" i="41"/>
  <c r="H69" i="41"/>
  <c r="G69" i="41"/>
  <c r="F69" i="41"/>
  <c r="E69" i="41"/>
  <c r="D69" i="41"/>
  <c r="P69" i="41" s="1"/>
  <c r="AG69" i="41" s="1"/>
  <c r="AB68" i="41"/>
  <c r="AA68" i="41"/>
  <c r="Z68" i="41"/>
  <c r="Y68" i="41"/>
  <c r="X68" i="41"/>
  <c r="W68" i="41"/>
  <c r="V68" i="41"/>
  <c r="U68" i="41"/>
  <c r="T68" i="41"/>
  <c r="S68" i="41"/>
  <c r="R68" i="41"/>
  <c r="Q68" i="41"/>
  <c r="O68" i="41"/>
  <c r="N68" i="41"/>
  <c r="M68" i="41"/>
  <c r="L68" i="41"/>
  <c r="K68" i="41"/>
  <c r="J68" i="41"/>
  <c r="I68" i="41"/>
  <c r="H68" i="41"/>
  <c r="G68" i="41"/>
  <c r="F68" i="41"/>
  <c r="E68" i="41"/>
  <c r="D68" i="41"/>
  <c r="P68" i="41" s="1"/>
  <c r="AG68" i="41" s="1"/>
  <c r="AB67" i="41"/>
  <c r="AA67" i="41"/>
  <c r="Z67" i="41"/>
  <c r="Y67" i="41"/>
  <c r="X67" i="41"/>
  <c r="W67" i="41"/>
  <c r="V67" i="41"/>
  <c r="U67" i="41"/>
  <c r="T67" i="41"/>
  <c r="S67" i="41"/>
  <c r="R67" i="41"/>
  <c r="Q67" i="41"/>
  <c r="AC67" i="41" s="1"/>
  <c r="AD67" i="41" s="1"/>
  <c r="AE67" i="41" s="1"/>
  <c r="O67" i="41"/>
  <c r="N67" i="41"/>
  <c r="M67" i="41"/>
  <c r="L67" i="41"/>
  <c r="K67" i="41"/>
  <c r="J67" i="41"/>
  <c r="I67" i="41"/>
  <c r="H67" i="41"/>
  <c r="G67" i="41"/>
  <c r="F67" i="41"/>
  <c r="E67" i="41"/>
  <c r="D67" i="41"/>
  <c r="P67" i="41" s="1"/>
  <c r="AG67" i="41" s="1"/>
  <c r="AB66" i="41"/>
  <c r="AA66" i="41"/>
  <c r="Z66" i="41"/>
  <c r="Y66" i="41"/>
  <c r="X66" i="41"/>
  <c r="W66" i="41"/>
  <c r="V66" i="41"/>
  <c r="U66" i="41"/>
  <c r="T66" i="41"/>
  <c r="S66" i="41"/>
  <c r="R66" i="41"/>
  <c r="Q66" i="41"/>
  <c r="O66" i="41"/>
  <c r="N66" i="41"/>
  <c r="M66" i="41"/>
  <c r="L66" i="41"/>
  <c r="K66" i="41"/>
  <c r="J66" i="41"/>
  <c r="I66" i="41"/>
  <c r="H66" i="41"/>
  <c r="G66" i="41"/>
  <c r="F66" i="41"/>
  <c r="E66" i="41"/>
  <c r="D66" i="41"/>
  <c r="P66" i="41" s="1"/>
  <c r="AG66" i="41" s="1"/>
  <c r="AB65" i="41"/>
  <c r="AA65" i="41"/>
  <c r="AA71" i="41" s="1"/>
  <c r="Z65" i="41"/>
  <c r="Y65" i="41"/>
  <c r="X65" i="41"/>
  <c r="W65" i="41"/>
  <c r="W71" i="41" s="1"/>
  <c r="V65" i="41"/>
  <c r="U65" i="41"/>
  <c r="T65" i="41"/>
  <c r="S65" i="41"/>
  <c r="R65" i="41"/>
  <c r="Q65" i="41"/>
  <c r="O65" i="41"/>
  <c r="N65" i="41"/>
  <c r="M65" i="41"/>
  <c r="L65" i="41"/>
  <c r="K65" i="41"/>
  <c r="K71" i="41" s="1"/>
  <c r="J65" i="41"/>
  <c r="I65" i="41"/>
  <c r="H65" i="41"/>
  <c r="G65" i="41"/>
  <c r="G71" i="41" s="1"/>
  <c r="F65" i="41"/>
  <c r="E65" i="41"/>
  <c r="D65" i="41"/>
  <c r="AB64" i="41"/>
  <c r="AB71" i="41" s="1"/>
  <c r="AA64" i="41"/>
  <c r="Z64" i="41"/>
  <c r="Y64" i="41"/>
  <c r="X64" i="41"/>
  <c r="X71" i="41" s="1"/>
  <c r="W64" i="41"/>
  <c r="V64" i="41"/>
  <c r="U64" i="41"/>
  <c r="T64" i="41"/>
  <c r="T71" i="41" s="1"/>
  <c r="S64" i="41"/>
  <c r="R64" i="41"/>
  <c r="Q64" i="41"/>
  <c r="AC64" i="41" s="1"/>
  <c r="O64" i="41"/>
  <c r="N64" i="41"/>
  <c r="M64" i="41"/>
  <c r="L64" i="41"/>
  <c r="L71" i="41" s="1"/>
  <c r="K64" i="41"/>
  <c r="J64" i="41"/>
  <c r="I64" i="41"/>
  <c r="H64" i="41"/>
  <c r="H71" i="41" s="1"/>
  <c r="G64" i="41"/>
  <c r="F64" i="41"/>
  <c r="E64" i="41"/>
  <c r="D64" i="41"/>
  <c r="D71" i="41" s="1"/>
  <c r="AB63" i="41"/>
  <c r="AA63" i="41"/>
  <c r="Z63" i="41"/>
  <c r="Y63" i="41"/>
  <c r="X63" i="41"/>
  <c r="W63" i="41"/>
  <c r="V63" i="41"/>
  <c r="U63" i="41"/>
  <c r="T63" i="41"/>
  <c r="S63" i="41"/>
  <c r="R63" i="41"/>
  <c r="Q63" i="41"/>
  <c r="O63" i="41"/>
  <c r="N63" i="41"/>
  <c r="N71" i="41" s="1"/>
  <c r="M63" i="41"/>
  <c r="L63" i="41"/>
  <c r="K63" i="41"/>
  <c r="J63" i="41"/>
  <c r="J71" i="41" s="1"/>
  <c r="I63" i="41"/>
  <c r="H63" i="41"/>
  <c r="G63" i="41"/>
  <c r="F63" i="41"/>
  <c r="F71" i="41" s="1"/>
  <c r="E63" i="41"/>
  <c r="D63" i="41"/>
  <c r="AG62" i="41"/>
  <c r="AA61" i="41"/>
  <c r="X61" i="41"/>
  <c r="S61" i="41"/>
  <c r="K61" i="41"/>
  <c r="H61" i="41"/>
  <c r="AB60" i="41"/>
  <c r="AA60" i="41"/>
  <c r="Z60" i="41"/>
  <c r="Y60" i="41"/>
  <c r="X60" i="41"/>
  <c r="W60" i="41"/>
  <c r="V60" i="41"/>
  <c r="U60" i="41"/>
  <c r="T60" i="41"/>
  <c r="S60" i="41"/>
  <c r="R60" i="41"/>
  <c r="Q60" i="41"/>
  <c r="AC60" i="41" s="1"/>
  <c r="O60" i="41"/>
  <c r="N60" i="41"/>
  <c r="M60" i="41"/>
  <c r="L60" i="41"/>
  <c r="K60" i="41"/>
  <c r="J60" i="41"/>
  <c r="I60" i="41"/>
  <c r="H60" i="41"/>
  <c r="G60" i="41"/>
  <c r="F60" i="41"/>
  <c r="E60" i="41"/>
  <c r="D60" i="41"/>
  <c r="AB59" i="41"/>
  <c r="AA59" i="41"/>
  <c r="Z59" i="41"/>
  <c r="Y59" i="41"/>
  <c r="X59" i="41"/>
  <c r="W59" i="41"/>
  <c r="V59" i="41"/>
  <c r="U59" i="41"/>
  <c r="T59" i="41"/>
  <c r="S59" i="41"/>
  <c r="R59" i="41"/>
  <c r="Q59" i="41"/>
  <c r="AC59" i="41" s="1"/>
  <c r="AD59" i="41" s="1"/>
  <c r="AE59" i="41" s="1"/>
  <c r="O59" i="41"/>
  <c r="N59" i="41"/>
  <c r="M59" i="41"/>
  <c r="L59" i="41"/>
  <c r="K59" i="41"/>
  <c r="J59" i="41"/>
  <c r="I59" i="41"/>
  <c r="H59" i="41"/>
  <c r="G59" i="41"/>
  <c r="F59" i="41"/>
  <c r="E59" i="41"/>
  <c r="D59" i="41"/>
  <c r="P59" i="41" s="1"/>
  <c r="AG59" i="41" s="1"/>
  <c r="AB58" i="41"/>
  <c r="AA58" i="41"/>
  <c r="Z58" i="41"/>
  <c r="Y58" i="41"/>
  <c r="X58" i="41"/>
  <c r="W58" i="41"/>
  <c r="V58" i="41"/>
  <c r="U58" i="41"/>
  <c r="T58" i="41"/>
  <c r="S58" i="41"/>
  <c r="R58" i="41"/>
  <c r="Q58" i="41"/>
  <c r="O58" i="41"/>
  <c r="N58" i="41"/>
  <c r="M58" i="41"/>
  <c r="L58" i="41"/>
  <c r="K58" i="41"/>
  <c r="J58" i="41"/>
  <c r="I58" i="41"/>
  <c r="H58" i="41"/>
  <c r="G58" i="41"/>
  <c r="F58" i="41"/>
  <c r="E58" i="41"/>
  <c r="D58" i="41"/>
  <c r="AB57" i="41"/>
  <c r="AA57" i="41"/>
  <c r="Z57" i="41"/>
  <c r="Y57" i="41"/>
  <c r="X57" i="41"/>
  <c r="W57" i="41"/>
  <c r="W61" i="41" s="1"/>
  <c r="V57" i="41"/>
  <c r="U57" i="41"/>
  <c r="T57" i="41"/>
  <c r="S57" i="41"/>
  <c r="R57" i="41"/>
  <c r="Q57" i="41"/>
  <c r="AC57" i="41" s="1"/>
  <c r="O57" i="41"/>
  <c r="O61" i="41" s="1"/>
  <c r="N57" i="41"/>
  <c r="M57" i="41"/>
  <c r="L57" i="41"/>
  <c r="K57" i="41"/>
  <c r="J57" i="41"/>
  <c r="I57" i="41"/>
  <c r="H57" i="41"/>
  <c r="G57" i="41"/>
  <c r="G61" i="41" s="1"/>
  <c r="F57" i="41"/>
  <c r="E57" i="41"/>
  <c r="D57" i="41"/>
  <c r="P57" i="41" s="1"/>
  <c r="AG57" i="41" s="1"/>
  <c r="AB56" i="41"/>
  <c r="AB61" i="41" s="1"/>
  <c r="AA56" i="41"/>
  <c r="Z56" i="41"/>
  <c r="Y56" i="41"/>
  <c r="X56" i="41"/>
  <c r="W56" i="41"/>
  <c r="V56" i="41"/>
  <c r="U56" i="41"/>
  <c r="T56" i="41"/>
  <c r="T61" i="41" s="1"/>
  <c r="S56" i="41"/>
  <c r="R56" i="41"/>
  <c r="Q56" i="41"/>
  <c r="O56" i="41"/>
  <c r="N56" i="41"/>
  <c r="M56" i="41"/>
  <c r="L56" i="41"/>
  <c r="L61" i="41" s="1"/>
  <c r="K56" i="41"/>
  <c r="J56" i="41"/>
  <c r="I56" i="41"/>
  <c r="H56" i="41"/>
  <c r="G56" i="41"/>
  <c r="F56" i="41"/>
  <c r="E56" i="41"/>
  <c r="D56" i="41"/>
  <c r="D61" i="41" s="1"/>
  <c r="AG55" i="41"/>
  <c r="AA54" i="41"/>
  <c r="AA83" i="41" s="1"/>
  <c r="AA9" i="41" s="1"/>
  <c r="Z54" i="41"/>
  <c r="V54" i="41"/>
  <c r="S54" i="41"/>
  <c r="R54" i="41"/>
  <c r="N54" i="41"/>
  <c r="K54" i="41"/>
  <c r="J54" i="41"/>
  <c r="F54" i="41"/>
  <c r="AB53" i="41"/>
  <c r="AA53" i="41"/>
  <c r="Z53" i="41"/>
  <c r="Y53" i="41"/>
  <c r="X53" i="41"/>
  <c r="W53" i="41"/>
  <c r="W54" i="41" s="1"/>
  <c r="V53" i="41"/>
  <c r="U53" i="41"/>
  <c r="T53" i="41"/>
  <c r="S53" i="41"/>
  <c r="R53" i="41"/>
  <c r="Q53" i="41"/>
  <c r="AC53" i="41" s="1"/>
  <c r="O53" i="41"/>
  <c r="O54" i="41" s="1"/>
  <c r="N53" i="41"/>
  <c r="M53" i="41"/>
  <c r="L53" i="41"/>
  <c r="K53" i="41"/>
  <c r="J53" i="41"/>
  <c r="I53" i="41"/>
  <c r="H53" i="41"/>
  <c r="G53" i="41"/>
  <c r="G54" i="41" s="1"/>
  <c r="F53" i="41"/>
  <c r="E53" i="41"/>
  <c r="D53" i="41"/>
  <c r="P53" i="41" s="1"/>
  <c r="AG53" i="41" s="1"/>
  <c r="AB52" i="41"/>
  <c r="AB54" i="41" s="1"/>
  <c r="AA52" i="41"/>
  <c r="Z52" i="41"/>
  <c r="Y52" i="41"/>
  <c r="Y54" i="41" s="1"/>
  <c r="X52" i="41"/>
  <c r="X54" i="41" s="1"/>
  <c r="W52" i="41"/>
  <c r="V52" i="41"/>
  <c r="U52" i="41"/>
  <c r="U54" i="41" s="1"/>
  <c r="T52" i="41"/>
  <c r="T54" i="41" s="1"/>
  <c r="S52" i="41"/>
  <c r="R52" i="41"/>
  <c r="Q52" i="41"/>
  <c r="Q54" i="41" s="1"/>
  <c r="O52" i="41"/>
  <c r="N52" i="41"/>
  <c r="M52" i="41"/>
  <c r="M54" i="41" s="1"/>
  <c r="L52" i="41"/>
  <c r="L54" i="41" s="1"/>
  <c r="K52" i="41"/>
  <c r="J52" i="41"/>
  <c r="I52" i="41"/>
  <c r="I54" i="41" s="1"/>
  <c r="H52" i="41"/>
  <c r="H54" i="41" s="1"/>
  <c r="G52" i="41"/>
  <c r="F52" i="41"/>
  <c r="E52" i="41"/>
  <c r="E54" i="41" s="1"/>
  <c r="D52" i="41"/>
  <c r="D54" i="41" s="1"/>
  <c r="AG51" i="41"/>
  <c r="AG50" i="41"/>
  <c r="AG49" i="41"/>
  <c r="AG48" i="41"/>
  <c r="AB45" i="41"/>
  <c r="AA45" i="41"/>
  <c r="Z45" i="41"/>
  <c r="Y45" i="41"/>
  <c r="X45" i="41"/>
  <c r="W45" i="41"/>
  <c r="V45" i="41"/>
  <c r="U45" i="41"/>
  <c r="T45" i="41"/>
  <c r="S45" i="41"/>
  <c r="R45" i="41"/>
  <c r="Q45" i="41"/>
  <c r="O45" i="41"/>
  <c r="N45" i="41"/>
  <c r="M45" i="41"/>
  <c r="K45" i="41"/>
  <c r="J45" i="41"/>
  <c r="I45" i="41"/>
  <c r="G45" i="41"/>
  <c r="F45" i="41"/>
  <c r="E45" i="41"/>
  <c r="AB44" i="41"/>
  <c r="AA44" i="41"/>
  <c r="Z44" i="41"/>
  <c r="Y44" i="41"/>
  <c r="X44" i="41"/>
  <c r="W44" i="41"/>
  <c r="V44" i="41"/>
  <c r="U44" i="41"/>
  <c r="T44" i="41"/>
  <c r="S44" i="41"/>
  <c r="R44" i="41"/>
  <c r="Q44" i="41"/>
  <c r="AC44" i="41" s="1"/>
  <c r="O44" i="41"/>
  <c r="N44" i="41"/>
  <c r="M44" i="41"/>
  <c r="L44" i="41"/>
  <c r="K44" i="41"/>
  <c r="J44" i="41"/>
  <c r="I44" i="41"/>
  <c r="H44" i="41"/>
  <c r="G44" i="41"/>
  <c r="F44" i="41"/>
  <c r="E44" i="41"/>
  <c r="D44" i="41"/>
  <c r="P44" i="41" s="1"/>
  <c r="AG44" i="41" s="1"/>
  <c r="AB43" i="41"/>
  <c r="AA43" i="41"/>
  <c r="Z43" i="41"/>
  <c r="Y43" i="41"/>
  <c r="X43" i="41"/>
  <c r="W43" i="41"/>
  <c r="V43" i="41"/>
  <c r="U43" i="41"/>
  <c r="T43" i="41"/>
  <c r="S43" i="41"/>
  <c r="R43" i="41"/>
  <c r="Q43" i="41"/>
  <c r="AC43" i="41" s="1"/>
  <c r="O43" i="41"/>
  <c r="N43" i="41"/>
  <c r="M43" i="41"/>
  <c r="L43" i="41"/>
  <c r="K43" i="41"/>
  <c r="J43" i="41"/>
  <c r="I43" i="41"/>
  <c r="H43" i="41"/>
  <c r="G43" i="41"/>
  <c r="F43" i="41"/>
  <c r="E43" i="41"/>
  <c r="D43" i="41"/>
  <c r="AB42" i="41"/>
  <c r="AA42" i="41"/>
  <c r="Z42" i="41"/>
  <c r="Y42" i="41"/>
  <c r="X42" i="41"/>
  <c r="W42" i="41"/>
  <c r="V42" i="41"/>
  <c r="U42" i="41"/>
  <c r="T42" i="41"/>
  <c r="S42" i="41"/>
  <c r="R42" i="41"/>
  <c r="Q42" i="41"/>
  <c r="AC42" i="41" s="1"/>
  <c r="AD42" i="41" s="1"/>
  <c r="AE42" i="41" s="1"/>
  <c r="O42" i="41"/>
  <c r="N42" i="41"/>
  <c r="M42" i="41"/>
  <c r="L42" i="41"/>
  <c r="K42" i="41"/>
  <c r="J42" i="41"/>
  <c r="I42" i="41"/>
  <c r="H42" i="41"/>
  <c r="G42" i="41"/>
  <c r="F42" i="41"/>
  <c r="E42" i="41"/>
  <c r="D42" i="41"/>
  <c r="P42" i="41" s="1"/>
  <c r="AG42" i="41" s="1"/>
  <c r="AB41" i="41"/>
  <c r="AA41" i="41"/>
  <c r="Z41" i="41"/>
  <c r="Y41" i="41"/>
  <c r="X41" i="41"/>
  <c r="W41" i="41"/>
  <c r="V41" i="41"/>
  <c r="U41" i="41"/>
  <c r="T41" i="41"/>
  <c r="S41" i="41"/>
  <c r="R41" i="41"/>
  <c r="Q41" i="41"/>
  <c r="O41" i="41"/>
  <c r="N41" i="41"/>
  <c r="M41" i="41"/>
  <c r="L41" i="41"/>
  <c r="K41" i="41"/>
  <c r="J41" i="41"/>
  <c r="I41" i="41"/>
  <c r="H41" i="41"/>
  <c r="G41" i="41"/>
  <c r="F41" i="41"/>
  <c r="E41" i="41"/>
  <c r="D41" i="41"/>
  <c r="AB40" i="41"/>
  <c r="AA40" i="41"/>
  <c r="Z40" i="41"/>
  <c r="Y40" i="41"/>
  <c r="X40" i="41"/>
  <c r="W40" i="41"/>
  <c r="V40" i="41"/>
  <c r="U40" i="41"/>
  <c r="T40" i="41"/>
  <c r="S40" i="41"/>
  <c r="R40" i="41"/>
  <c r="Q40" i="41"/>
  <c r="AC40" i="41" s="1"/>
  <c r="O40" i="41"/>
  <c r="N40" i="41"/>
  <c r="M40" i="41"/>
  <c r="L40" i="41"/>
  <c r="K40" i="41"/>
  <c r="J40" i="41"/>
  <c r="I40" i="41"/>
  <c r="H40" i="41"/>
  <c r="G40" i="41"/>
  <c r="F40" i="41"/>
  <c r="E40" i="41"/>
  <c r="D40" i="41"/>
  <c r="P40" i="41" s="1"/>
  <c r="AG40" i="41" s="1"/>
  <c r="AB39" i="41"/>
  <c r="AA39" i="41"/>
  <c r="Z39" i="41"/>
  <c r="Y39" i="41"/>
  <c r="X39" i="41"/>
  <c r="W39" i="41"/>
  <c r="V39" i="41"/>
  <c r="U39" i="41"/>
  <c r="T39" i="41"/>
  <c r="S39" i="41"/>
  <c r="R39" i="41"/>
  <c r="Q39" i="41"/>
  <c r="AC39" i="41" s="1"/>
  <c r="O39" i="41"/>
  <c r="N39" i="41"/>
  <c r="M39" i="41"/>
  <c r="L39" i="41"/>
  <c r="K39" i="41"/>
  <c r="J39" i="41"/>
  <c r="I39" i="41"/>
  <c r="H39" i="41"/>
  <c r="G39" i="41"/>
  <c r="F39" i="41"/>
  <c r="E39" i="41"/>
  <c r="D39" i="41"/>
  <c r="P39" i="41" s="1"/>
  <c r="AG39" i="41" s="1"/>
  <c r="AB38" i="41"/>
  <c r="AA38" i="41"/>
  <c r="Z38" i="41"/>
  <c r="Y38" i="41"/>
  <c r="X38" i="41"/>
  <c r="W38" i="41"/>
  <c r="V38" i="41"/>
  <c r="U38" i="41"/>
  <c r="T38" i="41"/>
  <c r="S38" i="41"/>
  <c r="R38" i="41"/>
  <c r="Q38" i="41"/>
  <c r="AC38" i="41" s="1"/>
  <c r="O38" i="41"/>
  <c r="N38" i="41"/>
  <c r="M38" i="41"/>
  <c r="L38" i="41"/>
  <c r="K38" i="41"/>
  <c r="J38" i="41"/>
  <c r="I38" i="41"/>
  <c r="H38" i="41"/>
  <c r="G38" i="41"/>
  <c r="F38" i="41"/>
  <c r="E38" i="41"/>
  <c r="D38" i="41"/>
  <c r="AB37" i="41"/>
  <c r="AA37" i="41"/>
  <c r="Z37" i="41"/>
  <c r="Y37" i="41"/>
  <c r="X37" i="41"/>
  <c r="W37" i="41"/>
  <c r="V37" i="41"/>
  <c r="U37" i="41"/>
  <c r="T37" i="41"/>
  <c r="S37" i="41"/>
  <c r="R37" i="41"/>
  <c r="Q37" i="41"/>
  <c r="AC37" i="41" s="1"/>
  <c r="AB36" i="41"/>
  <c r="AA36" i="41"/>
  <c r="Z36" i="41"/>
  <c r="Y36" i="41"/>
  <c r="X36" i="41"/>
  <c r="W36" i="41"/>
  <c r="V36" i="41"/>
  <c r="U36" i="41"/>
  <c r="T36" i="41"/>
  <c r="S36" i="41"/>
  <c r="R36" i="41"/>
  <c r="Q36" i="41"/>
  <c r="AC36" i="41" s="1"/>
  <c r="AB35" i="41"/>
  <c r="AA35" i="41"/>
  <c r="Z35" i="41"/>
  <c r="Y35" i="41"/>
  <c r="X35" i="41"/>
  <c r="W35" i="41"/>
  <c r="V35" i="41"/>
  <c r="U35" i="41"/>
  <c r="T35" i="41"/>
  <c r="S35" i="41"/>
  <c r="R35" i="41"/>
  <c r="Q35" i="41"/>
  <c r="AC35" i="41" s="1"/>
  <c r="O35" i="41"/>
  <c r="N35" i="41"/>
  <c r="M35" i="41"/>
  <c r="L35" i="41"/>
  <c r="K35" i="41"/>
  <c r="J35" i="41"/>
  <c r="I35" i="41"/>
  <c r="H35" i="41"/>
  <c r="G35" i="41"/>
  <c r="F35" i="41"/>
  <c r="E35" i="41"/>
  <c r="D35" i="41"/>
  <c r="P35" i="41" s="1"/>
  <c r="AG35" i="41" s="1"/>
  <c r="AB34" i="41"/>
  <c r="AA34" i="41"/>
  <c r="Z34" i="41"/>
  <c r="Y34" i="41"/>
  <c r="X34" i="41"/>
  <c r="W34" i="41"/>
  <c r="V34" i="41"/>
  <c r="U34" i="41"/>
  <c r="T34" i="41"/>
  <c r="S34" i="41"/>
  <c r="R34" i="41"/>
  <c r="Q34" i="41"/>
  <c r="O34" i="41"/>
  <c r="N34" i="41"/>
  <c r="M34" i="41"/>
  <c r="L34" i="41"/>
  <c r="K34" i="41"/>
  <c r="J34" i="41"/>
  <c r="I34" i="41"/>
  <c r="H34" i="41"/>
  <c r="G34" i="41"/>
  <c r="F34" i="41"/>
  <c r="E34" i="41"/>
  <c r="D34" i="41"/>
  <c r="AB33" i="41"/>
  <c r="AA33" i="41"/>
  <c r="Z33" i="41"/>
  <c r="Y33" i="41"/>
  <c r="X33" i="41"/>
  <c r="W33" i="41"/>
  <c r="V33" i="41"/>
  <c r="U33" i="41"/>
  <c r="T33" i="41"/>
  <c r="S33" i="41"/>
  <c r="R33" i="41"/>
  <c r="Q33" i="41"/>
  <c r="AC33" i="41" s="1"/>
  <c r="O33" i="41"/>
  <c r="N33" i="41"/>
  <c r="M33" i="41"/>
  <c r="L33" i="41"/>
  <c r="K33" i="41"/>
  <c r="J33" i="41"/>
  <c r="I33" i="41"/>
  <c r="H33" i="41"/>
  <c r="G33" i="41"/>
  <c r="F33" i="41"/>
  <c r="E33" i="41"/>
  <c r="D33" i="41"/>
  <c r="P33" i="41" s="1"/>
  <c r="AG33" i="41" s="1"/>
  <c r="AB32" i="41"/>
  <c r="AA32" i="41"/>
  <c r="Z32" i="41"/>
  <c r="Y32" i="41"/>
  <c r="X32" i="41"/>
  <c r="W32" i="41"/>
  <c r="V32" i="41"/>
  <c r="U32" i="41"/>
  <c r="T32" i="41"/>
  <c r="S32" i="41"/>
  <c r="R32" i="41"/>
  <c r="Q32" i="41"/>
  <c r="O32" i="41"/>
  <c r="N32" i="41"/>
  <c r="M32" i="41"/>
  <c r="L32" i="41"/>
  <c r="K32" i="41"/>
  <c r="J32" i="41"/>
  <c r="I32" i="41"/>
  <c r="H32" i="41"/>
  <c r="G32" i="41"/>
  <c r="F32" i="41"/>
  <c r="E32" i="41"/>
  <c r="D32" i="41"/>
  <c r="AB31" i="41"/>
  <c r="AA31" i="41"/>
  <c r="Z31" i="41"/>
  <c r="Y31" i="41"/>
  <c r="X31" i="41"/>
  <c r="W31" i="41"/>
  <c r="V31" i="41"/>
  <c r="U31" i="41"/>
  <c r="T31" i="41"/>
  <c r="S31" i="41"/>
  <c r="R31" i="41"/>
  <c r="Q31" i="41"/>
  <c r="AC31" i="41" s="1"/>
  <c r="O31" i="41"/>
  <c r="N31" i="41"/>
  <c r="M31" i="41"/>
  <c r="L31" i="41"/>
  <c r="K31" i="41"/>
  <c r="J31" i="41"/>
  <c r="I31" i="41"/>
  <c r="H31" i="41"/>
  <c r="G31" i="41"/>
  <c r="F31" i="41"/>
  <c r="E31" i="41"/>
  <c r="D31" i="41"/>
  <c r="P31" i="41" s="1"/>
  <c r="AG31" i="41" s="1"/>
  <c r="AB30" i="41"/>
  <c r="AA30" i="41"/>
  <c r="Z30" i="41"/>
  <c r="Y30" i="41"/>
  <c r="X30" i="41"/>
  <c r="W30" i="41"/>
  <c r="V30" i="41"/>
  <c r="U30" i="41"/>
  <c r="T30" i="41"/>
  <c r="S30" i="41"/>
  <c r="R30" i="41"/>
  <c r="Q30" i="41"/>
  <c r="O30" i="41"/>
  <c r="N30" i="41"/>
  <c r="M30" i="41"/>
  <c r="L30" i="41"/>
  <c r="K30" i="41"/>
  <c r="J30" i="41"/>
  <c r="I30" i="41"/>
  <c r="H30" i="41"/>
  <c r="G30" i="41"/>
  <c r="F30" i="41"/>
  <c r="E30" i="41"/>
  <c r="D30" i="41"/>
  <c r="P30" i="41" s="1"/>
  <c r="AG30" i="41" s="1"/>
  <c r="AB29" i="41"/>
  <c r="AA29" i="41"/>
  <c r="Z29" i="41"/>
  <c r="Y29" i="41"/>
  <c r="X29" i="41"/>
  <c r="W29" i="41"/>
  <c r="V29" i="41"/>
  <c r="U29" i="41"/>
  <c r="T29" i="41"/>
  <c r="S29" i="41"/>
  <c r="R29" i="41"/>
  <c r="Q29" i="41"/>
  <c r="AC29" i="41" s="1"/>
  <c r="O29" i="41"/>
  <c r="N29" i="41"/>
  <c r="M29" i="41"/>
  <c r="L29" i="41"/>
  <c r="K29" i="41"/>
  <c r="J29" i="41"/>
  <c r="I29" i="41"/>
  <c r="H29" i="41"/>
  <c r="G29" i="41"/>
  <c r="F29" i="41"/>
  <c r="E29" i="41"/>
  <c r="D29" i="41"/>
  <c r="P29" i="41" s="1"/>
  <c r="AG29" i="41" s="1"/>
  <c r="AB28" i="41"/>
  <c r="AA28" i="41"/>
  <c r="Z28" i="41"/>
  <c r="Y28" i="41"/>
  <c r="X28" i="41"/>
  <c r="W28" i="41"/>
  <c r="V28" i="41"/>
  <c r="U28" i="41"/>
  <c r="T28" i="41"/>
  <c r="S28" i="41"/>
  <c r="R28" i="41"/>
  <c r="Q28" i="41"/>
  <c r="O28" i="41"/>
  <c r="N28" i="41"/>
  <c r="M28" i="41"/>
  <c r="L28" i="41"/>
  <c r="K28" i="41"/>
  <c r="J28" i="41"/>
  <c r="I28" i="41"/>
  <c r="H28" i="41"/>
  <c r="G28" i="41"/>
  <c r="F28" i="41"/>
  <c r="E28" i="41"/>
  <c r="D28" i="41"/>
  <c r="P28" i="41" s="1"/>
  <c r="AG28" i="41" s="1"/>
  <c r="AB27" i="41"/>
  <c r="AA27" i="41"/>
  <c r="Z27" i="41"/>
  <c r="Y27" i="41"/>
  <c r="X27" i="41"/>
  <c r="W27" i="41"/>
  <c r="V27" i="41"/>
  <c r="U27" i="41"/>
  <c r="T27" i="41"/>
  <c r="S27" i="41"/>
  <c r="R27" i="41"/>
  <c r="Q27" i="41"/>
  <c r="AC27" i="41" s="1"/>
  <c r="O27" i="41"/>
  <c r="N27" i="41"/>
  <c r="M27" i="41"/>
  <c r="L27" i="41"/>
  <c r="K27" i="41"/>
  <c r="J27" i="41"/>
  <c r="I27" i="41"/>
  <c r="H27" i="41"/>
  <c r="G27" i="41"/>
  <c r="F27" i="41"/>
  <c r="E27" i="41"/>
  <c r="D27" i="41"/>
  <c r="P27" i="41" s="1"/>
  <c r="AG27" i="41" s="1"/>
  <c r="AB26" i="41"/>
  <c r="AA26" i="41"/>
  <c r="Z26" i="41"/>
  <c r="Y26" i="41"/>
  <c r="X26" i="41"/>
  <c r="W26" i="41"/>
  <c r="V26" i="41"/>
  <c r="U26" i="41"/>
  <c r="T26" i="41"/>
  <c r="S26" i="41"/>
  <c r="R26" i="41"/>
  <c r="Q26" i="41"/>
  <c r="O26" i="41"/>
  <c r="N26" i="41"/>
  <c r="M26" i="41"/>
  <c r="L26" i="41"/>
  <c r="K26" i="41"/>
  <c r="J26" i="41"/>
  <c r="I26" i="41"/>
  <c r="H26" i="41"/>
  <c r="G26" i="41"/>
  <c r="F26" i="41"/>
  <c r="E26" i="41"/>
  <c r="D26" i="41"/>
  <c r="AB25" i="41"/>
  <c r="AA25" i="41"/>
  <c r="Z25" i="41"/>
  <c r="Y25" i="41"/>
  <c r="X25" i="41"/>
  <c r="W25" i="41"/>
  <c r="V25" i="41"/>
  <c r="U25" i="41"/>
  <c r="T25" i="41"/>
  <c r="S25" i="41"/>
  <c r="R25" i="41"/>
  <c r="Q25" i="41"/>
  <c r="AC25" i="41" s="1"/>
  <c r="O25" i="41"/>
  <c r="N25" i="41"/>
  <c r="M25" i="41"/>
  <c r="L25" i="41"/>
  <c r="K25" i="41"/>
  <c r="J25" i="41"/>
  <c r="I25" i="41"/>
  <c r="H25" i="41"/>
  <c r="G25" i="41"/>
  <c r="F25" i="41"/>
  <c r="E25" i="41"/>
  <c r="D25" i="41"/>
  <c r="P25" i="41" s="1"/>
  <c r="AG25" i="41" s="1"/>
  <c r="AB24" i="41"/>
  <c r="AA24" i="41"/>
  <c r="Z24" i="41"/>
  <c r="Y24" i="41"/>
  <c r="X24" i="41"/>
  <c r="W24" i="41"/>
  <c r="V24" i="41"/>
  <c r="U24" i="41"/>
  <c r="T24" i="41"/>
  <c r="S24" i="41"/>
  <c r="R24" i="41"/>
  <c r="Q24" i="41"/>
  <c r="AC24" i="41" s="1"/>
  <c r="AD24" i="41" s="1"/>
  <c r="AE24" i="41" s="1"/>
  <c r="O24" i="41"/>
  <c r="N24" i="41"/>
  <c r="M24" i="41"/>
  <c r="L24" i="41"/>
  <c r="K24" i="41"/>
  <c r="J24" i="41"/>
  <c r="I24" i="41"/>
  <c r="H24" i="41"/>
  <c r="G24" i="41"/>
  <c r="F24" i="41"/>
  <c r="E24" i="41"/>
  <c r="D24" i="41"/>
  <c r="P24" i="41" s="1"/>
  <c r="AG24" i="41" s="1"/>
  <c r="AB23" i="41"/>
  <c r="AA23" i="41"/>
  <c r="Z23" i="41"/>
  <c r="Y23" i="41"/>
  <c r="X23" i="41"/>
  <c r="W23" i="41"/>
  <c r="V23" i="41"/>
  <c r="U23" i="41"/>
  <c r="T23" i="41"/>
  <c r="S23" i="41"/>
  <c r="R23" i="41"/>
  <c r="Q23" i="41"/>
  <c r="AC23" i="41" s="1"/>
  <c r="O23" i="41"/>
  <c r="N23" i="41"/>
  <c r="M23" i="41"/>
  <c r="L23" i="41"/>
  <c r="K23" i="41"/>
  <c r="J23" i="41"/>
  <c r="I23" i="41"/>
  <c r="H23" i="41"/>
  <c r="G23" i="41"/>
  <c r="F23" i="41"/>
  <c r="E23" i="41"/>
  <c r="D23" i="41"/>
  <c r="P23" i="41" s="1"/>
  <c r="AG23" i="41" s="1"/>
  <c r="AB22" i="41"/>
  <c r="AA22" i="41"/>
  <c r="Z22" i="41"/>
  <c r="Y22" i="41"/>
  <c r="X22" i="41"/>
  <c r="W22" i="41"/>
  <c r="V22" i="41"/>
  <c r="U22" i="41"/>
  <c r="T22" i="41"/>
  <c r="S22" i="41"/>
  <c r="R22" i="41"/>
  <c r="Q22" i="41"/>
  <c r="AC22" i="41" s="1"/>
  <c r="AB21" i="41"/>
  <c r="AA21" i="41"/>
  <c r="Z21" i="41"/>
  <c r="Y21" i="41"/>
  <c r="X21" i="41"/>
  <c r="W21" i="41"/>
  <c r="V21" i="41"/>
  <c r="U21" i="41"/>
  <c r="T21" i="41"/>
  <c r="S21" i="41"/>
  <c r="R21" i="41"/>
  <c r="Q21" i="41"/>
  <c r="AC21" i="41" s="1"/>
  <c r="AD21" i="41" s="1"/>
  <c r="AE21" i="41" s="1"/>
  <c r="O21" i="41"/>
  <c r="N21" i="41"/>
  <c r="M21" i="41"/>
  <c r="L21" i="41"/>
  <c r="K21" i="41"/>
  <c r="J21" i="41"/>
  <c r="I21" i="41"/>
  <c r="H21" i="41"/>
  <c r="G21" i="41"/>
  <c r="F21" i="41"/>
  <c r="E21" i="41"/>
  <c r="D21" i="41"/>
  <c r="P21" i="41" s="1"/>
  <c r="AG21" i="41" s="1"/>
  <c r="AB20" i="41"/>
  <c r="AA20" i="41"/>
  <c r="Z20" i="41"/>
  <c r="Y20" i="41"/>
  <c r="X20" i="41"/>
  <c r="W20" i="41"/>
  <c r="V20" i="41"/>
  <c r="U20" i="41"/>
  <c r="T20" i="41"/>
  <c r="S20" i="41"/>
  <c r="R20" i="41"/>
  <c r="Q20" i="41"/>
  <c r="O20" i="41"/>
  <c r="N20" i="41"/>
  <c r="M20" i="41"/>
  <c r="L20" i="41"/>
  <c r="K20" i="41"/>
  <c r="J20" i="41"/>
  <c r="I20" i="41"/>
  <c r="H20" i="41"/>
  <c r="G20" i="41"/>
  <c r="F20" i="41"/>
  <c r="E20" i="41"/>
  <c r="D20" i="41"/>
  <c r="AB19" i="41"/>
  <c r="AA19" i="41"/>
  <c r="Z19" i="41"/>
  <c r="Y19" i="41"/>
  <c r="X19" i="41"/>
  <c r="W19" i="41"/>
  <c r="V19" i="41"/>
  <c r="U19" i="41"/>
  <c r="T19" i="41"/>
  <c r="S19" i="41"/>
  <c r="R19" i="41"/>
  <c r="Q19" i="41"/>
  <c r="AC19" i="41" s="1"/>
  <c r="O19" i="41"/>
  <c r="N19" i="41"/>
  <c r="M19" i="41"/>
  <c r="L19" i="41"/>
  <c r="K19" i="41"/>
  <c r="J19" i="41"/>
  <c r="I19" i="41"/>
  <c r="H19" i="41"/>
  <c r="G19" i="41"/>
  <c r="F19" i="41"/>
  <c r="E19" i="41"/>
  <c r="D19" i="41"/>
  <c r="P19" i="41" s="1"/>
  <c r="AG19" i="41" s="1"/>
  <c r="AB18" i="41"/>
  <c r="AA18" i="41"/>
  <c r="Z18" i="41"/>
  <c r="Y18" i="41"/>
  <c r="X18" i="41"/>
  <c r="W18" i="41"/>
  <c r="V18" i="41"/>
  <c r="U18" i="41"/>
  <c r="T18" i="41"/>
  <c r="S18" i="41"/>
  <c r="R18" i="41"/>
  <c r="Q18" i="41"/>
  <c r="AC18" i="41" s="1"/>
  <c r="AD18" i="41" s="1"/>
  <c r="AE18" i="41" s="1"/>
  <c r="O18" i="41"/>
  <c r="N18" i="41"/>
  <c r="M18" i="41"/>
  <c r="L18" i="41"/>
  <c r="K18" i="41"/>
  <c r="J18" i="41"/>
  <c r="I18" i="41"/>
  <c r="H18" i="41"/>
  <c r="G18" i="41"/>
  <c r="F18" i="41"/>
  <c r="E18" i="41"/>
  <c r="D18" i="41"/>
  <c r="P18" i="41" s="1"/>
  <c r="AG18" i="41" s="1"/>
  <c r="AB17" i="41"/>
  <c r="AA17" i="41"/>
  <c r="Z17" i="41"/>
  <c r="Y17" i="41"/>
  <c r="X17" i="41"/>
  <c r="W17" i="41"/>
  <c r="V17" i="41"/>
  <c r="U17" i="41"/>
  <c r="T17" i="41"/>
  <c r="S17" i="41"/>
  <c r="R17" i="41"/>
  <c r="Q17" i="41"/>
  <c r="AC17" i="41" s="1"/>
  <c r="O17" i="41"/>
  <c r="N17" i="41"/>
  <c r="M17" i="41"/>
  <c r="L17" i="41"/>
  <c r="K17" i="41"/>
  <c r="J17" i="41"/>
  <c r="I17" i="41"/>
  <c r="H17" i="41"/>
  <c r="G17" i="41"/>
  <c r="F17" i="41"/>
  <c r="E17" i="41"/>
  <c r="D17" i="41"/>
  <c r="P17" i="41" s="1"/>
  <c r="AG17" i="41" s="1"/>
  <c r="AB16" i="41"/>
  <c r="AA16" i="41"/>
  <c r="Z16" i="41"/>
  <c r="Y16" i="41"/>
  <c r="X16" i="41"/>
  <c r="W16" i="41"/>
  <c r="V16" i="41"/>
  <c r="V46" i="41" s="1"/>
  <c r="U16" i="41"/>
  <c r="T16" i="41"/>
  <c r="S16" i="41"/>
  <c r="R16" i="41"/>
  <c r="Q16" i="41"/>
  <c r="AC16" i="41" s="1"/>
  <c r="AD16" i="41" s="1"/>
  <c r="AE16" i="41" s="1"/>
  <c r="O16" i="41"/>
  <c r="N16" i="41"/>
  <c r="M16" i="41"/>
  <c r="L16" i="41"/>
  <c r="K16" i="41"/>
  <c r="J16" i="41"/>
  <c r="I16" i="41"/>
  <c r="H16" i="41"/>
  <c r="G16" i="41"/>
  <c r="F16" i="41"/>
  <c r="E16" i="41"/>
  <c r="D16" i="41"/>
  <c r="P16" i="41" s="1"/>
  <c r="AG16" i="41" s="1"/>
  <c r="AB15" i="41"/>
  <c r="AA15" i="41"/>
  <c r="Z15" i="41"/>
  <c r="Y15" i="41"/>
  <c r="X15" i="41"/>
  <c r="W15" i="41"/>
  <c r="V15" i="41"/>
  <c r="U15" i="41"/>
  <c r="T15" i="41"/>
  <c r="S15" i="41"/>
  <c r="R15" i="41"/>
  <c r="Q15" i="41"/>
  <c r="O15" i="41"/>
  <c r="N15" i="41"/>
  <c r="M15" i="41"/>
  <c r="L15" i="41"/>
  <c r="K15" i="41"/>
  <c r="J15" i="41"/>
  <c r="I15" i="41"/>
  <c r="H15" i="41"/>
  <c r="G15" i="41"/>
  <c r="F15" i="41"/>
  <c r="E15" i="41"/>
  <c r="D15" i="41"/>
  <c r="AB14" i="41"/>
  <c r="AA14" i="41"/>
  <c r="Z14" i="41"/>
  <c r="Y14" i="41"/>
  <c r="X14" i="41"/>
  <c r="W14" i="41"/>
  <c r="V14" i="41"/>
  <c r="U14" i="41"/>
  <c r="T14" i="41"/>
  <c r="S14" i="41"/>
  <c r="R14" i="41"/>
  <c r="Q14" i="41"/>
  <c r="AC14" i="41" s="1"/>
  <c r="O14" i="41"/>
  <c r="N14" i="41"/>
  <c r="M14" i="41"/>
  <c r="L14" i="41"/>
  <c r="K14" i="41"/>
  <c r="J14" i="41"/>
  <c r="I14" i="41"/>
  <c r="H14" i="41"/>
  <c r="G14" i="41"/>
  <c r="F14" i="41"/>
  <c r="E14" i="41"/>
  <c r="D14" i="41"/>
  <c r="P14" i="41" s="1"/>
  <c r="AG14" i="41" s="1"/>
  <c r="AB13" i="41"/>
  <c r="AA13" i="41"/>
  <c r="Z13" i="41"/>
  <c r="Y13" i="41"/>
  <c r="X13" i="41"/>
  <c r="W13" i="41"/>
  <c r="V13" i="41"/>
  <c r="U13" i="41"/>
  <c r="T13" i="41"/>
  <c r="S13" i="41"/>
  <c r="R13" i="41"/>
  <c r="Q13" i="41"/>
  <c r="O13" i="41"/>
  <c r="N13" i="41"/>
  <c r="M13" i="41"/>
  <c r="L13" i="41"/>
  <c r="K13" i="41"/>
  <c r="J13" i="41"/>
  <c r="I13" i="41"/>
  <c r="H13" i="41"/>
  <c r="G13" i="41"/>
  <c r="F13" i="41"/>
  <c r="E13" i="41"/>
  <c r="D13" i="41"/>
  <c r="AB12" i="41"/>
  <c r="AA12" i="41"/>
  <c r="Z12" i="41"/>
  <c r="Z46" i="41" s="1"/>
  <c r="Y12" i="41"/>
  <c r="X12" i="41"/>
  <c r="W12" i="41"/>
  <c r="V12" i="41"/>
  <c r="U12" i="41"/>
  <c r="T12" i="41"/>
  <c r="S12" i="41"/>
  <c r="R12" i="41"/>
  <c r="R46" i="41" s="1"/>
  <c r="Q12" i="41"/>
  <c r="O12" i="41"/>
  <c r="N12" i="41"/>
  <c r="M12" i="41"/>
  <c r="K12" i="41"/>
  <c r="J12" i="41"/>
  <c r="I12" i="41"/>
  <c r="G12" i="41"/>
  <c r="F12" i="41"/>
  <c r="E12" i="41"/>
  <c r="AC7" i="41"/>
  <c r="AC7" i="42" s="1"/>
  <c r="AB7" i="41"/>
  <c r="AA7" i="41"/>
  <c r="Z7" i="41"/>
  <c r="Y7" i="41"/>
  <c r="Y7" i="45" s="1"/>
  <c r="X7" i="41"/>
  <c r="W7" i="41"/>
  <c r="V7" i="41"/>
  <c r="U7" i="41"/>
  <c r="U7" i="43" s="1"/>
  <c r="T7" i="41"/>
  <c r="S7" i="41"/>
  <c r="R7" i="41"/>
  <c r="Q7" i="41"/>
  <c r="P7" i="41"/>
  <c r="O7" i="41"/>
  <c r="N7" i="41"/>
  <c r="M7" i="41"/>
  <c r="M7" i="42" s="1"/>
  <c r="L7" i="41"/>
  <c r="K7" i="41"/>
  <c r="J7" i="41"/>
  <c r="I7" i="41"/>
  <c r="I7" i="45" s="1"/>
  <c r="H7" i="41"/>
  <c r="G7" i="41"/>
  <c r="F7" i="41"/>
  <c r="E7" i="41"/>
  <c r="E7" i="43" s="1"/>
  <c r="D7" i="41"/>
  <c r="AC6" i="41"/>
  <c r="AB6" i="41"/>
  <c r="AA6" i="41"/>
  <c r="Z6" i="41"/>
  <c r="Y6" i="41"/>
  <c r="X6" i="41"/>
  <c r="W6" i="41"/>
  <c r="W6" i="44" s="1"/>
  <c r="V6" i="41"/>
  <c r="U6" i="41"/>
  <c r="T6" i="41"/>
  <c r="S6" i="41"/>
  <c r="S6" i="45" s="1"/>
  <c r="R6" i="41"/>
  <c r="Q6" i="41"/>
  <c r="P6" i="41"/>
  <c r="O6" i="41"/>
  <c r="O6" i="43" s="1"/>
  <c r="N6" i="41"/>
  <c r="M6" i="41"/>
  <c r="L6" i="41"/>
  <c r="K6" i="41"/>
  <c r="J6" i="41"/>
  <c r="I6" i="41"/>
  <c r="H6" i="41"/>
  <c r="G6" i="41"/>
  <c r="G6" i="44" s="1"/>
  <c r="F6" i="41"/>
  <c r="E6" i="41"/>
  <c r="D6" i="41"/>
  <c r="C4" i="41"/>
  <c r="E21" i="40"/>
  <c r="W17" i="40"/>
  <c r="F17" i="40"/>
  <c r="AC16" i="40"/>
  <c r="AB16" i="40"/>
  <c r="AB17" i="40" s="1"/>
  <c r="AA16" i="40"/>
  <c r="AA17" i="40" s="1"/>
  <c r="Z16" i="40"/>
  <c r="Y16" i="40"/>
  <c r="X16" i="40"/>
  <c r="X17" i="40" s="1"/>
  <c r="W16" i="40"/>
  <c r="V16" i="40"/>
  <c r="U16" i="40"/>
  <c r="T16" i="40"/>
  <c r="T17" i="40" s="1"/>
  <c r="S16" i="40"/>
  <c r="S17" i="40" s="1"/>
  <c r="R16" i="40"/>
  <c r="P16" i="40"/>
  <c r="O16" i="40"/>
  <c r="N16" i="40"/>
  <c r="M16" i="40"/>
  <c r="L16" i="40"/>
  <c r="K16" i="40"/>
  <c r="J16" i="40"/>
  <c r="I16" i="40"/>
  <c r="H16" i="40"/>
  <c r="G16" i="40"/>
  <c r="F16" i="40"/>
  <c r="E16" i="40"/>
  <c r="AD15" i="40"/>
  <c r="Q15" i="40"/>
  <c r="Q16" i="40" s="1"/>
  <c r="Q12" i="40"/>
  <c r="AE12" i="40" s="1"/>
  <c r="AF12" i="40" s="1"/>
  <c r="AC10" i="40"/>
  <c r="AC17" i="40" s="1"/>
  <c r="AB10" i="40"/>
  <c r="AA10" i="40"/>
  <c r="Z10" i="40"/>
  <c r="Z17" i="40" s="1"/>
  <c r="Y10" i="40"/>
  <c r="Y17" i="40" s="1"/>
  <c r="X10" i="40"/>
  <c r="W10" i="40"/>
  <c r="V10" i="40"/>
  <c r="V17" i="40" s="1"/>
  <c r="U10" i="40"/>
  <c r="U17" i="40" s="1"/>
  <c r="T10" i="40"/>
  <c r="S10" i="40"/>
  <c r="R10" i="40"/>
  <c r="R17" i="40" s="1"/>
  <c r="M10" i="40"/>
  <c r="M17" i="40" s="1"/>
  <c r="E10" i="40"/>
  <c r="E17" i="40" s="1"/>
  <c r="AD9" i="40"/>
  <c r="AD10" i="40" s="1"/>
  <c r="P9" i="40"/>
  <c r="P10" i="40" s="1"/>
  <c r="P17" i="40" s="1"/>
  <c r="O9" i="40"/>
  <c r="O10" i="40" s="1"/>
  <c r="O17" i="40" s="1"/>
  <c r="N9" i="40"/>
  <c r="N10" i="40" s="1"/>
  <c r="N17" i="40" s="1"/>
  <c r="M9" i="40"/>
  <c r="L9" i="40"/>
  <c r="L10" i="40" s="1"/>
  <c r="L17" i="40" s="1"/>
  <c r="K9" i="40"/>
  <c r="K10" i="40" s="1"/>
  <c r="K17" i="40" s="1"/>
  <c r="J9" i="40"/>
  <c r="J10" i="40" s="1"/>
  <c r="J17" i="40" s="1"/>
  <c r="I9" i="40"/>
  <c r="I10" i="40" s="1"/>
  <c r="H9" i="40"/>
  <c r="H10" i="40" s="1"/>
  <c r="H17" i="40" s="1"/>
  <c r="G9" i="40"/>
  <c r="G10" i="40" s="1"/>
  <c r="G17" i="40" s="1"/>
  <c r="F9" i="40"/>
  <c r="F10" i="40" s="1"/>
  <c r="E9" i="40"/>
  <c r="Q9" i="40" s="1"/>
  <c r="X7" i="40"/>
  <c r="P7" i="40"/>
  <c r="H7" i="40"/>
  <c r="Z6" i="40"/>
  <c r="R6" i="40"/>
  <c r="J6" i="40"/>
  <c r="D4" i="40"/>
  <c r="C4" i="40"/>
  <c r="P2" i="40"/>
  <c r="O2" i="40"/>
  <c r="N2" i="40"/>
  <c r="M2" i="40"/>
  <c r="L2" i="40"/>
  <c r="K2" i="40"/>
  <c r="J2" i="40"/>
  <c r="I2" i="40"/>
  <c r="H2" i="40"/>
  <c r="G2" i="40"/>
  <c r="F2" i="40"/>
  <c r="E2" i="40"/>
  <c r="P1" i="40"/>
  <c r="O1" i="40"/>
  <c r="N1" i="40"/>
  <c r="M1" i="40"/>
  <c r="L1" i="40"/>
  <c r="K1" i="40"/>
  <c r="J1" i="40"/>
  <c r="I1" i="40"/>
  <c r="H1" i="40"/>
  <c r="G1" i="40"/>
  <c r="F1" i="40"/>
  <c r="E1" i="40"/>
  <c r="AB18" i="39"/>
  <c r="AA18" i="39"/>
  <c r="W18" i="39"/>
  <c r="T18" i="39"/>
  <c r="S18" i="39"/>
  <c r="AC17" i="39"/>
  <c r="AB17" i="39"/>
  <c r="AA17" i="39"/>
  <c r="Z17" i="39"/>
  <c r="Y17" i="39"/>
  <c r="X17" i="39"/>
  <c r="X18" i="39" s="1"/>
  <c r="W17" i="39"/>
  <c r="V17" i="39"/>
  <c r="U17" i="39"/>
  <c r="T17" i="39"/>
  <c r="S17" i="39"/>
  <c r="R17" i="39"/>
  <c r="AD16" i="39"/>
  <c r="Q13" i="39"/>
  <c r="AE13" i="39" s="1"/>
  <c r="AF13" i="39" s="1"/>
  <c r="AC11" i="39"/>
  <c r="AB11" i="39"/>
  <c r="AA11" i="39"/>
  <c r="Z11" i="39"/>
  <c r="Z18" i="39" s="1"/>
  <c r="Y11" i="39"/>
  <c r="X11" i="39"/>
  <c r="W11" i="39"/>
  <c r="V11" i="39"/>
  <c r="V18" i="39" s="1"/>
  <c r="U11" i="39"/>
  <c r="T11" i="39"/>
  <c r="S11" i="39"/>
  <c r="R11" i="39"/>
  <c r="R18" i="39" s="1"/>
  <c r="P11" i="39"/>
  <c r="O11" i="39"/>
  <c r="N11" i="39"/>
  <c r="M11" i="39"/>
  <c r="L11" i="39"/>
  <c r="K11" i="39"/>
  <c r="J11" i="39"/>
  <c r="I11" i="39"/>
  <c r="H11" i="39"/>
  <c r="G11" i="39"/>
  <c r="F11" i="39"/>
  <c r="E11" i="39"/>
  <c r="AD10" i="39"/>
  <c r="Q10" i="39"/>
  <c r="AD9" i="39"/>
  <c r="AD11" i="39" s="1"/>
  <c r="Q9" i="39"/>
  <c r="X7" i="39"/>
  <c r="P7" i="39"/>
  <c r="H7" i="39"/>
  <c r="Z6" i="39"/>
  <c r="R6" i="39"/>
  <c r="J6" i="39"/>
  <c r="D4" i="39"/>
  <c r="C4" i="39"/>
  <c r="P2" i="39"/>
  <c r="O2" i="39"/>
  <c r="N2" i="39"/>
  <c r="M2" i="39"/>
  <c r="L2" i="39"/>
  <c r="K2" i="39"/>
  <c r="J2" i="39"/>
  <c r="I2" i="39"/>
  <c r="H2" i="39"/>
  <c r="G2" i="39"/>
  <c r="F2" i="39"/>
  <c r="E2" i="39"/>
  <c r="P1" i="39"/>
  <c r="O1" i="39"/>
  <c r="N1" i="39"/>
  <c r="M1" i="39"/>
  <c r="L1" i="39"/>
  <c r="K1" i="39"/>
  <c r="J1" i="39"/>
  <c r="I1" i="39"/>
  <c r="H1" i="39"/>
  <c r="G1" i="39"/>
  <c r="F1" i="39"/>
  <c r="E1" i="39"/>
  <c r="AD117" i="38"/>
  <c r="P117" i="38"/>
  <c r="O117" i="38"/>
  <c r="N117" i="38"/>
  <c r="M117" i="38"/>
  <c r="L117" i="38"/>
  <c r="K117" i="38"/>
  <c r="J117" i="38"/>
  <c r="I117" i="38"/>
  <c r="H117" i="38"/>
  <c r="G117" i="38"/>
  <c r="F117" i="38"/>
  <c r="E117" i="38"/>
  <c r="AD116" i="38"/>
  <c r="AE116" i="38" s="1"/>
  <c r="R116" i="38"/>
  <c r="S116" i="38" s="1"/>
  <c r="AD115" i="38"/>
  <c r="R115" i="38"/>
  <c r="S115" i="38" s="1"/>
  <c r="AD114" i="38"/>
  <c r="R114" i="38"/>
  <c r="S114" i="38" s="1"/>
  <c r="AD113" i="38"/>
  <c r="R113" i="38"/>
  <c r="AE112" i="38"/>
  <c r="AD112" i="38"/>
  <c r="R112" i="38"/>
  <c r="AE111" i="38"/>
  <c r="AD111" i="38"/>
  <c r="R111" i="38"/>
  <c r="AD110" i="38"/>
  <c r="AE110" i="38" s="1"/>
  <c r="R110" i="38"/>
  <c r="S110" i="38" s="1"/>
  <c r="AD109" i="38"/>
  <c r="S109" i="38"/>
  <c r="R109" i="38"/>
  <c r="AD108" i="38"/>
  <c r="AE108" i="38" s="1"/>
  <c r="R108" i="38"/>
  <c r="S108" i="38" s="1"/>
  <c r="AD107" i="38"/>
  <c r="R107" i="38"/>
  <c r="S107" i="38" s="1"/>
  <c r="AD106" i="38"/>
  <c r="R106" i="38"/>
  <c r="S106" i="38" s="1"/>
  <c r="AD105" i="38"/>
  <c r="R105" i="38"/>
  <c r="AE104" i="38"/>
  <c r="AD104" i="38"/>
  <c r="R104" i="38"/>
  <c r="AE103" i="38"/>
  <c r="AD103" i="38"/>
  <c r="R103" i="38"/>
  <c r="AD102" i="38"/>
  <c r="AE102" i="38" s="1"/>
  <c r="R102" i="38"/>
  <c r="S102" i="38" s="1"/>
  <c r="AD101" i="38"/>
  <c r="S101" i="38"/>
  <c r="R101" i="38"/>
  <c r="AD100" i="38"/>
  <c r="AE100" i="38" s="1"/>
  <c r="R100" i="38"/>
  <c r="S100" i="38" s="1"/>
  <c r="AD99" i="38"/>
  <c r="R99" i="38"/>
  <c r="S99" i="38" s="1"/>
  <c r="AD98" i="38"/>
  <c r="R98" i="38"/>
  <c r="S98" i="38" s="1"/>
  <c r="AD97" i="38"/>
  <c r="R97" i="38"/>
  <c r="AE96" i="38"/>
  <c r="AD96" i="38"/>
  <c r="R96" i="38"/>
  <c r="AE95" i="38"/>
  <c r="AD95" i="38"/>
  <c r="R95" i="38"/>
  <c r="AD94" i="38"/>
  <c r="AE94" i="38" s="1"/>
  <c r="R94" i="38"/>
  <c r="S94" i="38" s="1"/>
  <c r="AD93" i="38"/>
  <c r="S93" i="38"/>
  <c r="R93" i="38"/>
  <c r="AD92" i="38"/>
  <c r="AE92" i="38" s="1"/>
  <c r="R92" i="38"/>
  <c r="S92" i="38" s="1"/>
  <c r="AD91" i="38"/>
  <c r="R91" i="38"/>
  <c r="S91" i="38" s="1"/>
  <c r="AD90" i="38"/>
  <c r="R90" i="38"/>
  <c r="S90" i="38" s="1"/>
  <c r="AD89" i="38"/>
  <c r="R89" i="38"/>
  <c r="AE88" i="38"/>
  <c r="AD88" i="38"/>
  <c r="R88" i="38"/>
  <c r="AE87" i="38"/>
  <c r="AD87" i="38"/>
  <c r="R87" i="38"/>
  <c r="AD86" i="38"/>
  <c r="AE86" i="38" s="1"/>
  <c r="R86" i="38"/>
  <c r="S86" i="38" s="1"/>
  <c r="AD85" i="38"/>
  <c r="S85" i="38"/>
  <c r="R85" i="38"/>
  <c r="AD84" i="38"/>
  <c r="AE84" i="38" s="1"/>
  <c r="R84" i="38"/>
  <c r="S84" i="38" s="1"/>
  <c r="AD83" i="38"/>
  <c r="R83" i="38"/>
  <c r="S83" i="38" s="1"/>
  <c r="AD82" i="38"/>
  <c r="R82" i="38"/>
  <c r="S82" i="38" s="1"/>
  <c r="AD81" i="38"/>
  <c r="R81" i="38"/>
  <c r="AE80" i="38"/>
  <c r="AD80" i="38"/>
  <c r="R80" i="38"/>
  <c r="AE79" i="38"/>
  <c r="AD79" i="38"/>
  <c r="R79" i="38"/>
  <c r="AD78" i="38"/>
  <c r="AE78" i="38" s="1"/>
  <c r="R78" i="38"/>
  <c r="S78" i="38" s="1"/>
  <c r="AD77" i="38"/>
  <c r="S77" i="38"/>
  <c r="R77" i="38"/>
  <c r="AD76" i="38"/>
  <c r="AE76" i="38" s="1"/>
  <c r="R76" i="38"/>
  <c r="S76" i="38" s="1"/>
  <c r="AD75" i="38"/>
  <c r="R75" i="38"/>
  <c r="S75" i="38" s="1"/>
  <c r="AD74" i="38"/>
  <c r="R74" i="38"/>
  <c r="S74" i="38" s="1"/>
  <c r="AD73" i="38"/>
  <c r="R73" i="38"/>
  <c r="AE72" i="38"/>
  <c r="AD72" i="38"/>
  <c r="R72" i="38"/>
  <c r="Q68" i="38"/>
  <c r="P68" i="38"/>
  <c r="O68" i="38"/>
  <c r="N68" i="38"/>
  <c r="M68" i="38"/>
  <c r="L68" i="38"/>
  <c r="K68" i="38"/>
  <c r="J68" i="38"/>
  <c r="I68" i="38"/>
  <c r="H68" i="38"/>
  <c r="G68" i="38"/>
  <c r="F68" i="38"/>
  <c r="E68" i="38"/>
  <c r="Q67" i="38"/>
  <c r="Q66" i="38"/>
  <c r="Q65" i="38"/>
  <c r="AH63" i="38"/>
  <c r="AH62" i="38"/>
  <c r="AD62" i="38"/>
  <c r="AE62" i="38" s="1"/>
  <c r="AF62" i="38" s="1"/>
  <c r="Q62" i="38"/>
  <c r="AH61" i="38"/>
  <c r="V60" i="38"/>
  <c r="N60" i="38"/>
  <c r="N9" i="38" s="1"/>
  <c r="F60" i="38"/>
  <c r="F9" i="38" s="1"/>
  <c r="AC59" i="38"/>
  <c r="AB59" i="38"/>
  <c r="AA59" i="38"/>
  <c r="Z59" i="38"/>
  <c r="Y59" i="38"/>
  <c r="X59" i="38"/>
  <c r="W59" i="38"/>
  <c r="V59" i="38"/>
  <c r="U59" i="38"/>
  <c r="T59" i="38"/>
  <c r="S59" i="38"/>
  <c r="R59" i="38"/>
  <c r="P59" i="38"/>
  <c r="O59" i="38"/>
  <c r="N59" i="38"/>
  <c r="M59" i="38"/>
  <c r="L59" i="38"/>
  <c r="K59" i="38"/>
  <c r="J59" i="38"/>
  <c r="I59" i="38"/>
  <c r="H59" i="38"/>
  <c r="G59" i="38"/>
  <c r="F59" i="38"/>
  <c r="E59" i="38"/>
  <c r="AH58" i="38"/>
  <c r="AF58" i="38"/>
  <c r="AD58" i="38"/>
  <c r="AE58" i="38" s="1"/>
  <c r="AH57" i="38"/>
  <c r="AD57" i="38"/>
  <c r="AE57" i="38" s="1"/>
  <c r="AF57" i="38" s="1"/>
  <c r="AD56" i="38"/>
  <c r="Q56" i="38"/>
  <c r="AH56" i="38" s="1"/>
  <c r="AD55" i="38"/>
  <c r="Q55" i="38"/>
  <c r="AH55" i="38" s="1"/>
  <c r="AE54" i="38"/>
  <c r="AF54" i="38" s="1"/>
  <c r="AD54" i="38"/>
  <c r="Q54" i="38"/>
  <c r="AH54" i="38" s="1"/>
  <c r="AE53" i="38"/>
  <c r="AF53" i="38" s="1"/>
  <c r="AD53" i="38"/>
  <c r="Q53" i="38"/>
  <c r="AH52" i="38"/>
  <c r="AF52" i="38"/>
  <c r="AD52" i="38"/>
  <c r="AE52" i="38" s="1"/>
  <c r="AH51" i="38"/>
  <c r="AD51" i="38"/>
  <c r="AE51" i="38" s="1"/>
  <c r="AF51" i="38" s="1"/>
  <c r="AH50" i="38"/>
  <c r="AD50" i="38"/>
  <c r="AE50" i="38" s="1"/>
  <c r="AF50" i="38" s="1"/>
  <c r="AH49" i="38"/>
  <c r="AC48" i="38"/>
  <c r="AB48" i="38"/>
  <c r="AA48" i="38"/>
  <c r="Z48" i="38"/>
  <c r="Z60" i="38" s="1"/>
  <c r="Y48" i="38"/>
  <c r="X48" i="38"/>
  <c r="W48" i="38"/>
  <c r="V48" i="38"/>
  <c r="U48" i="38"/>
  <c r="T48" i="38"/>
  <c r="S48" i="38"/>
  <c r="R48" i="38"/>
  <c r="R60" i="38" s="1"/>
  <c r="P48" i="38"/>
  <c r="O48" i="38"/>
  <c r="N48" i="38"/>
  <c r="M48" i="38"/>
  <c r="L48" i="38"/>
  <c r="K48" i="38"/>
  <c r="J48" i="38"/>
  <c r="J60" i="38" s="1"/>
  <c r="J9" i="38" s="1"/>
  <c r="I48" i="38"/>
  <c r="H48" i="38"/>
  <c r="G48" i="38"/>
  <c r="F48" i="38"/>
  <c r="E48" i="38"/>
  <c r="AE47" i="38"/>
  <c r="AF47" i="38" s="1"/>
  <c r="AD47" i="38"/>
  <c r="Q47" i="38"/>
  <c r="AH47" i="38" s="1"/>
  <c r="AE46" i="38"/>
  <c r="AF46" i="38" s="1"/>
  <c r="AD46" i="38"/>
  <c r="Q46" i="38"/>
  <c r="AH46" i="38" s="1"/>
  <c r="AH45" i="38"/>
  <c r="AD45" i="38"/>
  <c r="Q45" i="38"/>
  <c r="AH44" i="38"/>
  <c r="AD44" i="38"/>
  <c r="AE44" i="38" s="1"/>
  <c r="AF44" i="38" s="1"/>
  <c r="Q44" i="38"/>
  <c r="AD43" i="38"/>
  <c r="AE43" i="38" s="1"/>
  <c r="AF43" i="38" s="1"/>
  <c r="Q43" i="38"/>
  <c r="AH43" i="38" s="1"/>
  <c r="AE42" i="38"/>
  <c r="AF42" i="38" s="1"/>
  <c r="AD42" i="38"/>
  <c r="Q42" i="38"/>
  <c r="AH42" i="38" s="1"/>
  <c r="AD41" i="38"/>
  <c r="Q41" i="38"/>
  <c r="AH41" i="38" s="1"/>
  <c r="AD40" i="38"/>
  <c r="Q40" i="38"/>
  <c r="AH40" i="38" s="1"/>
  <c r="AH39" i="38"/>
  <c r="AC38" i="38"/>
  <c r="AB38" i="38"/>
  <c r="AA38" i="38"/>
  <c r="Z38" i="38"/>
  <c r="Y38" i="38"/>
  <c r="X38" i="38"/>
  <c r="W38" i="38"/>
  <c r="V38" i="38"/>
  <c r="U38" i="38"/>
  <c r="T38" i="38"/>
  <c r="S38" i="38"/>
  <c r="R38" i="38"/>
  <c r="P38" i="38"/>
  <c r="O38" i="38"/>
  <c r="O60" i="38" s="1"/>
  <c r="N38" i="38"/>
  <c r="M38" i="38"/>
  <c r="L38" i="38"/>
  <c r="K38" i="38"/>
  <c r="J38" i="38"/>
  <c r="I38" i="38"/>
  <c r="H38" i="38"/>
  <c r="G38" i="38"/>
  <c r="G60" i="38" s="1"/>
  <c r="F38" i="38"/>
  <c r="E38" i="38"/>
  <c r="AH37" i="38"/>
  <c r="AD37" i="38"/>
  <c r="Q37" i="38"/>
  <c r="AH36" i="38"/>
  <c r="AD36" i="38"/>
  <c r="AE36" i="38" s="1"/>
  <c r="AF36" i="38" s="1"/>
  <c r="Q36" i="38"/>
  <c r="AD35" i="38"/>
  <c r="AE35" i="38" s="1"/>
  <c r="AF35" i="38" s="1"/>
  <c r="Q35" i="38"/>
  <c r="AH35" i="38" s="1"/>
  <c r="AE34" i="38"/>
  <c r="AF34" i="38" s="1"/>
  <c r="AD34" i="38"/>
  <c r="Q34" i="38"/>
  <c r="AH34" i="38" s="1"/>
  <c r="AD33" i="38"/>
  <c r="Q33" i="38"/>
  <c r="AH32" i="38"/>
  <c r="AF32" i="38"/>
  <c r="AC31" i="38"/>
  <c r="AB31" i="38"/>
  <c r="AA31" i="38"/>
  <c r="AA60" i="38" s="1"/>
  <c r="Z31" i="38"/>
  <c r="Y31" i="38"/>
  <c r="X31" i="38"/>
  <c r="W31" i="38"/>
  <c r="W60" i="38" s="1"/>
  <c r="V81" i="28" s="1"/>
  <c r="V31" i="38"/>
  <c r="U31" i="38"/>
  <c r="T31" i="38"/>
  <c r="S31" i="38"/>
  <c r="S60" i="38" s="1"/>
  <c r="R31" i="38"/>
  <c r="P31" i="38"/>
  <c r="O31" i="38"/>
  <c r="N31" i="38"/>
  <c r="M31" i="38"/>
  <c r="M60" i="38" s="1"/>
  <c r="M9" i="38" s="1"/>
  <c r="M25" i="38" s="1"/>
  <c r="L31" i="38"/>
  <c r="K31" i="38"/>
  <c r="K60" i="38" s="1"/>
  <c r="K9" i="38" s="1"/>
  <c r="K25" i="38" s="1"/>
  <c r="J31" i="38"/>
  <c r="I31" i="38"/>
  <c r="I60" i="38" s="1"/>
  <c r="I9" i="38" s="1"/>
  <c r="I25" i="38" s="1"/>
  <c r="H31" i="38"/>
  <c r="G31" i="38"/>
  <c r="F31" i="38"/>
  <c r="E31" i="38"/>
  <c r="E60" i="38" s="1"/>
  <c r="E9" i="38" s="1"/>
  <c r="AD30" i="38"/>
  <c r="Q30" i="38"/>
  <c r="AH30" i="38" s="1"/>
  <c r="AD29" i="38"/>
  <c r="Q29" i="38"/>
  <c r="AH28" i="38"/>
  <c r="AH27" i="38"/>
  <c r="AH26" i="38"/>
  <c r="AC24" i="38"/>
  <c r="AB24" i="38"/>
  <c r="AA24" i="38"/>
  <c r="Z24" i="38"/>
  <c r="Y24" i="38"/>
  <c r="X24" i="38"/>
  <c r="W24" i="38"/>
  <c r="V24" i="38"/>
  <c r="U24" i="38"/>
  <c r="T24" i="38"/>
  <c r="S24" i="38"/>
  <c r="R24" i="38"/>
  <c r="P24" i="38"/>
  <c r="M24" i="38"/>
  <c r="L24" i="38"/>
  <c r="K24" i="38"/>
  <c r="I24" i="38"/>
  <c r="H24" i="38"/>
  <c r="E24" i="38"/>
  <c r="AD23" i="38"/>
  <c r="Q23" i="38"/>
  <c r="AH23" i="38" s="1"/>
  <c r="AD22" i="38"/>
  <c r="Q22" i="38"/>
  <c r="AH22" i="38" s="1"/>
  <c r="AE21" i="38"/>
  <c r="AF21" i="38" s="1"/>
  <c r="AD21" i="38"/>
  <c r="Q21" i="38"/>
  <c r="AH21" i="38" s="1"/>
  <c r="AE20" i="38"/>
  <c r="AF20" i="38" s="1"/>
  <c r="AD20" i="38"/>
  <c r="Q20" i="38"/>
  <c r="AH20" i="38" s="1"/>
  <c r="AH19" i="38"/>
  <c r="AD19" i="38"/>
  <c r="Q19" i="38"/>
  <c r="AH18" i="38"/>
  <c r="AD18" i="38"/>
  <c r="AE18" i="38" s="1"/>
  <c r="AF18" i="38" s="1"/>
  <c r="Q18" i="38"/>
  <c r="AD17" i="38"/>
  <c r="AE17" i="38" s="1"/>
  <c r="AF17" i="38" s="1"/>
  <c r="Q17" i="38"/>
  <c r="AH17" i="38" s="1"/>
  <c r="AE16" i="38"/>
  <c r="AF16" i="38" s="1"/>
  <c r="AD16" i="38"/>
  <c r="Q16" i="38"/>
  <c r="AH16" i="38" s="1"/>
  <c r="AD15" i="38"/>
  <c r="Q15" i="38"/>
  <c r="AH15" i="38" s="1"/>
  <c r="AD14" i="38"/>
  <c r="Q14" i="38"/>
  <c r="AH14" i="38" s="1"/>
  <c r="AD13" i="38"/>
  <c r="P13" i="38"/>
  <c r="O13" i="38"/>
  <c r="O24" i="38" s="1"/>
  <c r="N13" i="38"/>
  <c r="N24" i="38" s="1"/>
  <c r="M13" i="38"/>
  <c r="L13" i="38"/>
  <c r="K13" i="38"/>
  <c r="J13" i="38"/>
  <c r="J24" i="38" s="1"/>
  <c r="I13" i="38"/>
  <c r="H13" i="38"/>
  <c r="G13" i="38"/>
  <c r="G24" i="38" s="1"/>
  <c r="F13" i="38"/>
  <c r="F24" i="38" s="1"/>
  <c r="E13" i="38"/>
  <c r="AE12" i="38"/>
  <c r="AF12" i="38" s="1"/>
  <c r="AD12" i="38"/>
  <c r="Q12" i="38"/>
  <c r="AH11" i="38"/>
  <c r="AH10" i="38"/>
  <c r="W9" i="38"/>
  <c r="W25" i="38" s="1"/>
  <c r="O9" i="38"/>
  <c r="O25" i="38" s="1"/>
  <c r="G9" i="38"/>
  <c r="G25" i="38" s="1"/>
  <c r="I7" i="38"/>
  <c r="D4" i="38"/>
  <c r="C4" i="38"/>
  <c r="P2" i="38"/>
  <c r="O2" i="38"/>
  <c r="N2" i="38"/>
  <c r="M2" i="38"/>
  <c r="L2" i="38"/>
  <c r="K2" i="38"/>
  <c r="J2" i="38"/>
  <c r="I2" i="38"/>
  <c r="H2" i="38"/>
  <c r="G2" i="38"/>
  <c r="F2" i="38"/>
  <c r="E2" i="38"/>
  <c r="P1" i="38"/>
  <c r="O1" i="38"/>
  <c r="N1" i="38"/>
  <c r="M1" i="38"/>
  <c r="L1" i="38"/>
  <c r="K1" i="38"/>
  <c r="J1" i="38"/>
  <c r="I1" i="38"/>
  <c r="H1" i="38"/>
  <c r="G1" i="38"/>
  <c r="F1" i="38"/>
  <c r="E1" i="38"/>
  <c r="Q68" i="37"/>
  <c r="P68" i="37"/>
  <c r="O68" i="37"/>
  <c r="N68" i="37"/>
  <c r="M68" i="37"/>
  <c r="L68" i="37"/>
  <c r="K68" i="37"/>
  <c r="J68" i="37"/>
  <c r="I68" i="37"/>
  <c r="H68" i="37"/>
  <c r="G68" i="37"/>
  <c r="F68" i="37"/>
  <c r="E68" i="37"/>
  <c r="Q67" i="37"/>
  <c r="Q66" i="37"/>
  <c r="Q65" i="37"/>
  <c r="AD61" i="37"/>
  <c r="Q61" i="37"/>
  <c r="AH61" i="37" s="1"/>
  <c r="AH60" i="37"/>
  <c r="AB59" i="37"/>
  <c r="AB12" i="37" s="1"/>
  <c r="AC58" i="37"/>
  <c r="AB58" i="37"/>
  <c r="AA58" i="37"/>
  <c r="Z58" i="37"/>
  <c r="Y58" i="37"/>
  <c r="X58" i="37"/>
  <c r="W58" i="37"/>
  <c r="V58" i="37"/>
  <c r="U58" i="37"/>
  <c r="T58" i="37"/>
  <c r="S58" i="37"/>
  <c r="R58" i="37"/>
  <c r="AD57" i="37"/>
  <c r="Q57" i="37"/>
  <c r="AH57" i="37" s="1"/>
  <c r="AE56" i="37"/>
  <c r="AF56" i="37" s="1"/>
  <c r="AD56" i="37"/>
  <c r="Q56" i="37"/>
  <c r="AH56" i="37" s="1"/>
  <c r="AD55" i="37"/>
  <c r="AD54" i="37"/>
  <c r="AD53" i="37"/>
  <c r="Q53" i="37"/>
  <c r="AD52" i="37"/>
  <c r="Q52" i="37"/>
  <c r="AH52" i="37" s="1"/>
  <c r="AH51" i="37"/>
  <c r="AE51" i="37"/>
  <c r="AF51" i="37" s="1"/>
  <c r="AD51" i="37"/>
  <c r="AH50" i="37"/>
  <c r="AE50" i="37"/>
  <c r="AF50" i="37" s="1"/>
  <c r="AD50" i="37"/>
  <c r="AH49" i="37"/>
  <c r="AE49" i="37"/>
  <c r="AF49" i="37" s="1"/>
  <c r="AD49" i="37"/>
  <c r="AH48" i="37"/>
  <c r="AC47" i="37"/>
  <c r="AB47" i="37"/>
  <c r="AA47" i="37"/>
  <c r="Z47" i="37"/>
  <c r="Y47" i="37"/>
  <c r="X47" i="37"/>
  <c r="W47" i="37"/>
  <c r="V47" i="37"/>
  <c r="U47" i="37"/>
  <c r="T47" i="37"/>
  <c r="T59" i="37" s="1"/>
  <c r="T12" i="37" s="1"/>
  <c r="S47" i="37"/>
  <c r="R47" i="37"/>
  <c r="P47" i="37"/>
  <c r="O47" i="37"/>
  <c r="N47" i="37"/>
  <c r="M47" i="37"/>
  <c r="L47" i="37"/>
  <c r="K47" i="37"/>
  <c r="J47" i="37"/>
  <c r="I47" i="37"/>
  <c r="H47" i="37"/>
  <c r="G47" i="37"/>
  <c r="F47" i="37"/>
  <c r="AH46" i="37"/>
  <c r="AD46" i="37"/>
  <c r="Q46" i="37"/>
  <c r="AD45" i="37"/>
  <c r="AD44" i="37"/>
  <c r="Q44" i="37"/>
  <c r="AH44" i="37" s="1"/>
  <c r="AD43" i="37"/>
  <c r="Q43" i="37"/>
  <c r="AH43" i="37" s="1"/>
  <c r="AE42" i="37"/>
  <c r="AF42" i="37" s="1"/>
  <c r="AD42" i="37"/>
  <c r="Q42" i="37"/>
  <c r="AH42" i="37" s="1"/>
  <c r="AE41" i="37"/>
  <c r="AF41" i="37" s="1"/>
  <c r="AD41" i="37"/>
  <c r="Q41" i="37"/>
  <c r="AH41" i="37" s="1"/>
  <c r="AH40" i="37"/>
  <c r="AD40" i="37"/>
  <c r="Q40" i="37"/>
  <c r="AH39" i="37"/>
  <c r="AD39" i="37"/>
  <c r="Q39" i="37"/>
  <c r="AH38" i="37"/>
  <c r="AC37" i="37"/>
  <c r="AB37" i="37"/>
  <c r="AA37" i="37"/>
  <c r="Z37" i="37"/>
  <c r="Y37" i="37"/>
  <c r="X37" i="37"/>
  <c r="W37" i="37"/>
  <c r="V37" i="37"/>
  <c r="U37" i="37"/>
  <c r="T37" i="37"/>
  <c r="S37" i="37"/>
  <c r="R37" i="37"/>
  <c r="AH36" i="37"/>
  <c r="AD36" i="37"/>
  <c r="Q36" i="37"/>
  <c r="AH35" i="37"/>
  <c r="AD35" i="37"/>
  <c r="AE35" i="37" s="1"/>
  <c r="AF35" i="37" s="1"/>
  <c r="Q35" i="37"/>
  <c r="AD34" i="37"/>
  <c r="AE34" i="37" s="1"/>
  <c r="AF34" i="37" s="1"/>
  <c r="Q34" i="37"/>
  <c r="AH34" i="37" s="1"/>
  <c r="AD33" i="37"/>
  <c r="AH32" i="37"/>
  <c r="AD32" i="37"/>
  <c r="AD37" i="37" s="1"/>
  <c r="Q32" i="37"/>
  <c r="AH31" i="37"/>
  <c r="AF31" i="37"/>
  <c r="AC30" i="37"/>
  <c r="AB30" i="37"/>
  <c r="AA30" i="37"/>
  <c r="AA59" i="37" s="1"/>
  <c r="AA12" i="37" s="1"/>
  <c r="Z30" i="37"/>
  <c r="Z59" i="37" s="1"/>
  <c r="Y30" i="37"/>
  <c r="X30" i="37"/>
  <c r="X59" i="37" s="1"/>
  <c r="X12" i="37" s="1"/>
  <c r="W30" i="37"/>
  <c r="W59" i="37" s="1"/>
  <c r="W12" i="37" s="1"/>
  <c r="V30" i="37"/>
  <c r="V59" i="37" s="1"/>
  <c r="U30" i="37"/>
  <c r="T30" i="37"/>
  <c r="S30" i="37"/>
  <c r="S59" i="37" s="1"/>
  <c r="S12" i="37" s="1"/>
  <c r="R30" i="37"/>
  <c r="R59" i="37" s="1"/>
  <c r="P30" i="37"/>
  <c r="O30" i="37"/>
  <c r="N30" i="37"/>
  <c r="M30" i="37"/>
  <c r="L30" i="37"/>
  <c r="K30" i="37"/>
  <c r="J30" i="37"/>
  <c r="I30" i="37"/>
  <c r="H30" i="37"/>
  <c r="G30" i="37"/>
  <c r="F30" i="37"/>
  <c r="E30" i="37"/>
  <c r="AH29" i="37"/>
  <c r="AD29" i="37"/>
  <c r="AE29" i="37" s="1"/>
  <c r="AF29" i="37" s="1"/>
  <c r="Q29" i="37"/>
  <c r="AD28" i="37"/>
  <c r="Q28" i="37"/>
  <c r="AH27" i="37"/>
  <c r="AH26" i="37"/>
  <c r="AH25" i="37"/>
  <c r="Z24" i="37"/>
  <c r="R24" i="37"/>
  <c r="W23" i="37"/>
  <c r="V23" i="37"/>
  <c r="U23" i="37"/>
  <c r="T23" i="37"/>
  <c r="S27" i="28" s="1"/>
  <c r="S23" i="37"/>
  <c r="R23" i="37"/>
  <c r="P23" i="37"/>
  <c r="O27" i="28" s="1"/>
  <c r="I23" i="37"/>
  <c r="H23" i="37"/>
  <c r="G27" i="28" s="1"/>
  <c r="AD22" i="37"/>
  <c r="Q22" i="37"/>
  <c r="AH22" i="37" s="1"/>
  <c r="AD21" i="37"/>
  <c r="AE21" i="37" s="1"/>
  <c r="AF21" i="37" s="1"/>
  <c r="Q21" i="37"/>
  <c r="AH21" i="37" s="1"/>
  <c r="AF20" i="37"/>
  <c r="AE20" i="37"/>
  <c r="AD20" i="37"/>
  <c r="Q20" i="37"/>
  <c r="AH20" i="37" s="1"/>
  <c r="AH19" i="37"/>
  <c r="AD19" i="37"/>
  <c r="Q19" i="37"/>
  <c r="AH18" i="37"/>
  <c r="AD18" i="37"/>
  <c r="Q18" i="37"/>
  <c r="AD17" i="37"/>
  <c r="AE17" i="37" s="1"/>
  <c r="AF17" i="37" s="1"/>
  <c r="Q17" i="37"/>
  <c r="AH17" i="37" s="1"/>
  <c r="AE16" i="37"/>
  <c r="AF16" i="37" s="1"/>
  <c r="AD16" i="37"/>
  <c r="Q16" i="37"/>
  <c r="AH16" i="37" s="1"/>
  <c r="AD15" i="37"/>
  <c r="P15" i="37"/>
  <c r="O15" i="37"/>
  <c r="O23" i="37" s="1"/>
  <c r="N15" i="37"/>
  <c r="N23" i="37" s="1"/>
  <c r="M27" i="28" s="1"/>
  <c r="M15" i="37"/>
  <c r="M23" i="37" s="1"/>
  <c r="L15" i="37"/>
  <c r="L23" i="37" s="1"/>
  <c r="K27" i="28" s="1"/>
  <c r="K15" i="37"/>
  <c r="K23" i="37" s="1"/>
  <c r="J15" i="37"/>
  <c r="J23" i="37" s="1"/>
  <c r="I27" i="28" s="1"/>
  <c r="I15" i="37"/>
  <c r="H15" i="37"/>
  <c r="G15" i="37"/>
  <c r="G23" i="37" s="1"/>
  <c r="F15" i="37"/>
  <c r="F23" i="37" s="1"/>
  <c r="E15" i="37"/>
  <c r="E23" i="37" s="1"/>
  <c r="AH14" i="37"/>
  <c r="AD14" i="37"/>
  <c r="AH13" i="37"/>
  <c r="AD13" i="37"/>
  <c r="Z12" i="37"/>
  <c r="V12" i="37"/>
  <c r="R12" i="37"/>
  <c r="AC10" i="37"/>
  <c r="AB10" i="37"/>
  <c r="AB24" i="37" s="1"/>
  <c r="AA10" i="37"/>
  <c r="Z10" i="37"/>
  <c r="Y10" i="37"/>
  <c r="X10" i="37"/>
  <c r="X24" i="37" s="1"/>
  <c r="W10" i="37"/>
  <c r="V10" i="37"/>
  <c r="V24" i="37" s="1"/>
  <c r="U10" i="37"/>
  <c r="T10" i="37"/>
  <c r="S10" i="37"/>
  <c r="R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AD9" i="37"/>
  <c r="Q9" i="37"/>
  <c r="Q10" i="37" s="1"/>
  <c r="AH10" i="37" s="1"/>
  <c r="Q7" i="37"/>
  <c r="K6" i="37"/>
  <c r="D4" i="37"/>
  <c r="C4" i="37"/>
  <c r="P2" i="37"/>
  <c r="O2" i="37"/>
  <c r="N2" i="37"/>
  <c r="M2" i="37"/>
  <c r="L2" i="37"/>
  <c r="K2" i="37"/>
  <c r="J2" i="37"/>
  <c r="I2" i="37"/>
  <c r="H2" i="37"/>
  <c r="G2" i="37"/>
  <c r="F2" i="37"/>
  <c r="E2" i="37"/>
  <c r="P1" i="37"/>
  <c r="O1" i="37"/>
  <c r="N1" i="37"/>
  <c r="M1" i="37"/>
  <c r="L1" i="37"/>
  <c r="K1" i="37"/>
  <c r="J1" i="37"/>
  <c r="I1" i="37"/>
  <c r="H1" i="37"/>
  <c r="G1" i="37"/>
  <c r="F1" i="37"/>
  <c r="E1" i="37"/>
  <c r="Q71" i="36"/>
  <c r="P71" i="36"/>
  <c r="O71" i="36"/>
  <c r="N71" i="36"/>
  <c r="M71" i="36"/>
  <c r="L71" i="36"/>
  <c r="K71" i="36"/>
  <c r="J71" i="36"/>
  <c r="I71" i="36"/>
  <c r="H71" i="36"/>
  <c r="G71" i="36"/>
  <c r="F71" i="36"/>
  <c r="E71" i="36"/>
  <c r="Q70" i="36"/>
  <c r="Q69" i="36"/>
  <c r="Q68" i="36"/>
  <c r="AE64" i="36"/>
  <c r="AF64" i="36" s="1"/>
  <c r="AD64" i="36"/>
  <c r="Q64" i="36"/>
  <c r="AH64" i="36" s="1"/>
  <c r="AH63" i="36"/>
  <c r="Y62" i="36"/>
  <c r="Y12" i="36" s="1"/>
  <c r="I62" i="36"/>
  <c r="I12" i="36" s="1"/>
  <c r="AD61" i="36"/>
  <c r="AC61" i="36"/>
  <c r="AB61" i="36"/>
  <c r="AA61" i="36"/>
  <c r="Z61" i="36"/>
  <c r="Z62" i="36" s="1"/>
  <c r="Z12" i="36" s="1"/>
  <c r="Y61" i="36"/>
  <c r="X61" i="36"/>
  <c r="W61" i="36"/>
  <c r="V61" i="36"/>
  <c r="U61" i="36"/>
  <c r="T61" i="36"/>
  <c r="S61" i="36"/>
  <c r="R61" i="36"/>
  <c r="R62" i="36" s="1"/>
  <c r="R12" i="36" s="1"/>
  <c r="P61" i="36"/>
  <c r="O61" i="36"/>
  <c r="N61" i="36"/>
  <c r="M61" i="36"/>
  <c r="L61" i="36"/>
  <c r="K61" i="36"/>
  <c r="J61" i="36"/>
  <c r="I61" i="36"/>
  <c r="H61" i="36"/>
  <c r="G61" i="36"/>
  <c r="F61" i="36"/>
  <c r="E61" i="36"/>
  <c r="AH60" i="36"/>
  <c r="AE60" i="36"/>
  <c r="AF60" i="36" s="1"/>
  <c r="AD60" i="36"/>
  <c r="AH59" i="36"/>
  <c r="AE59" i="36"/>
  <c r="AF59" i="36" s="1"/>
  <c r="AD59" i="36"/>
  <c r="AE58" i="36"/>
  <c r="AF58" i="36" s="1"/>
  <c r="AD58" i="36"/>
  <c r="Q58" i="36"/>
  <c r="AH58" i="36" s="1"/>
  <c r="AD57" i="36"/>
  <c r="Q57" i="36"/>
  <c r="AD56" i="36"/>
  <c r="Q56" i="36"/>
  <c r="AH56" i="36" s="1"/>
  <c r="AE55" i="36"/>
  <c r="AF55" i="36" s="1"/>
  <c r="AD55" i="36"/>
  <c r="Q55" i="36"/>
  <c r="AH54" i="36"/>
  <c r="AF54" i="36"/>
  <c r="AE54" i="36"/>
  <c r="AD54" i="36"/>
  <c r="AH53" i="36"/>
  <c r="AF53" i="36"/>
  <c r="AE53" i="36"/>
  <c r="AD53" i="36"/>
  <c r="AH52" i="36"/>
  <c r="AF52" i="36"/>
  <c r="AE52" i="36"/>
  <c r="AD52" i="36"/>
  <c r="AH51" i="36"/>
  <c r="AC50" i="36"/>
  <c r="AB50" i="36"/>
  <c r="AA50" i="36"/>
  <c r="Z50" i="36"/>
  <c r="Y50" i="36"/>
  <c r="X50" i="36"/>
  <c r="W50" i="36"/>
  <c r="V50" i="36"/>
  <c r="U50" i="36"/>
  <c r="T50" i="36"/>
  <c r="S50" i="36"/>
  <c r="R50" i="36"/>
  <c r="P50" i="36"/>
  <c r="O50" i="36"/>
  <c r="N50" i="36"/>
  <c r="M50" i="36"/>
  <c r="L50" i="36"/>
  <c r="K50" i="36"/>
  <c r="J50" i="36"/>
  <c r="I50" i="36"/>
  <c r="H50" i="36"/>
  <c r="G50" i="36"/>
  <c r="F50" i="36"/>
  <c r="E50" i="36"/>
  <c r="AH49" i="36"/>
  <c r="AD49" i="36"/>
  <c r="AE49" i="36" s="1"/>
  <c r="AF49" i="36" s="1"/>
  <c r="Q49" i="36"/>
  <c r="AD48" i="36"/>
  <c r="AE48" i="36" s="1"/>
  <c r="AF48" i="36" s="1"/>
  <c r="Q48" i="36"/>
  <c r="AH48" i="36" s="1"/>
  <c r="AE47" i="36"/>
  <c r="AF47" i="36" s="1"/>
  <c r="AD47" i="36"/>
  <c r="Q47" i="36"/>
  <c r="AH47" i="36" s="1"/>
  <c r="AD46" i="36"/>
  <c r="Q46" i="36"/>
  <c r="AD45" i="36"/>
  <c r="Q45" i="36"/>
  <c r="AH45" i="36" s="1"/>
  <c r="AE44" i="36"/>
  <c r="AF44" i="36" s="1"/>
  <c r="AD44" i="36"/>
  <c r="Q44" i="36"/>
  <c r="AH44" i="36" s="1"/>
  <c r="AE43" i="36"/>
  <c r="AF43" i="36" s="1"/>
  <c r="AD43" i="36"/>
  <c r="Q43" i="36"/>
  <c r="AH43" i="36" s="1"/>
  <c r="AH42" i="36"/>
  <c r="AF42" i="36"/>
  <c r="AD42" i="36"/>
  <c r="Q42" i="36"/>
  <c r="AE42" i="36" s="1"/>
  <c r="AH41" i="36"/>
  <c r="AC40" i="36"/>
  <c r="AB40" i="36"/>
  <c r="AA40" i="36"/>
  <c r="Z40" i="36"/>
  <c r="Y40" i="36"/>
  <c r="X40" i="36"/>
  <c r="W40" i="36"/>
  <c r="V40" i="36"/>
  <c r="U40" i="36"/>
  <c r="T40" i="36"/>
  <c r="S40" i="36"/>
  <c r="R40" i="36"/>
  <c r="P40" i="36"/>
  <c r="O40" i="36"/>
  <c r="N40" i="36"/>
  <c r="M40" i="36"/>
  <c r="L40" i="36"/>
  <c r="K40" i="36"/>
  <c r="J40" i="36"/>
  <c r="J62" i="36" s="1"/>
  <c r="J12" i="36" s="1"/>
  <c r="I40" i="36"/>
  <c r="H40" i="36"/>
  <c r="G40" i="36"/>
  <c r="F40" i="36"/>
  <c r="E40" i="36"/>
  <c r="AE39" i="36"/>
  <c r="AF39" i="36" s="1"/>
  <c r="AD39" i="36"/>
  <c r="Q39" i="36"/>
  <c r="AH39" i="36" s="1"/>
  <c r="AH38" i="36"/>
  <c r="AD38" i="36"/>
  <c r="AE38" i="36" s="1"/>
  <c r="AF38" i="36" s="1"/>
  <c r="Q38" i="36"/>
  <c r="AD37" i="36"/>
  <c r="Q37" i="36"/>
  <c r="AH37" i="36" s="1"/>
  <c r="AD36" i="36"/>
  <c r="AD40" i="36" s="1"/>
  <c r="Q36" i="36"/>
  <c r="AH36" i="36" s="1"/>
  <c r="AD35" i="36"/>
  <c r="Q35" i="36"/>
  <c r="AH34" i="36"/>
  <c r="AF34" i="36"/>
  <c r="AC33" i="36"/>
  <c r="AC62" i="36" s="1"/>
  <c r="AC12" i="36" s="1"/>
  <c r="AB33" i="36"/>
  <c r="AB62" i="36" s="1"/>
  <c r="AA33" i="36"/>
  <c r="AA62" i="36" s="1"/>
  <c r="AA12" i="36" s="1"/>
  <c r="Z33" i="36"/>
  <c r="Y33" i="36"/>
  <c r="X33" i="36"/>
  <c r="X62" i="36" s="1"/>
  <c r="W33" i="36"/>
  <c r="W62" i="36" s="1"/>
  <c r="W12" i="36" s="1"/>
  <c r="V33" i="36"/>
  <c r="V62" i="36" s="1"/>
  <c r="V12" i="36" s="1"/>
  <c r="U33" i="36"/>
  <c r="U62" i="36" s="1"/>
  <c r="U12" i="36" s="1"/>
  <c r="T33" i="36"/>
  <c r="T62" i="36" s="1"/>
  <c r="S33" i="36"/>
  <c r="S62" i="36" s="1"/>
  <c r="S12" i="36" s="1"/>
  <c r="R33" i="36"/>
  <c r="P33" i="36"/>
  <c r="P62" i="36" s="1"/>
  <c r="O33" i="36"/>
  <c r="O62" i="36" s="1"/>
  <c r="N33" i="36"/>
  <c r="N62" i="36" s="1"/>
  <c r="N12" i="36" s="1"/>
  <c r="M33" i="36"/>
  <c r="M62" i="36" s="1"/>
  <c r="M12" i="36" s="1"/>
  <c r="L33" i="36"/>
  <c r="L62" i="36" s="1"/>
  <c r="K33" i="36"/>
  <c r="K62" i="36" s="1"/>
  <c r="J33" i="36"/>
  <c r="I33" i="36"/>
  <c r="H33" i="36"/>
  <c r="H62" i="36" s="1"/>
  <c r="G33" i="36"/>
  <c r="G62" i="36" s="1"/>
  <c r="F33" i="36"/>
  <c r="F62" i="36" s="1"/>
  <c r="F12" i="36" s="1"/>
  <c r="E33" i="36"/>
  <c r="E62" i="36" s="1"/>
  <c r="E12" i="36" s="1"/>
  <c r="AD32" i="36"/>
  <c r="AE32" i="36" s="1"/>
  <c r="AF32" i="36" s="1"/>
  <c r="Q32" i="36"/>
  <c r="AH32" i="36" s="1"/>
  <c r="AD31" i="36"/>
  <c r="AD33" i="36" s="1"/>
  <c r="Q31" i="36"/>
  <c r="Q33" i="36" s="1"/>
  <c r="AH33" i="36" s="1"/>
  <c r="AH30" i="36"/>
  <c r="AH29" i="36"/>
  <c r="AH28" i="36"/>
  <c r="AC26" i="36"/>
  <c r="AB26" i="28" s="1"/>
  <c r="AB26" i="36"/>
  <c r="AA26" i="36"/>
  <c r="Z26" i="36"/>
  <c r="Y26" i="36"/>
  <c r="X26" i="28" s="1"/>
  <c r="X26" i="36"/>
  <c r="W26" i="36"/>
  <c r="V26" i="36"/>
  <c r="U26" i="36"/>
  <c r="T26" i="28" s="1"/>
  <c r="T26" i="36"/>
  <c r="S26" i="36"/>
  <c r="R26" i="36"/>
  <c r="AD25" i="36"/>
  <c r="AE25" i="36" s="1"/>
  <c r="AF25" i="36" s="1"/>
  <c r="Q25" i="36"/>
  <c r="AH25" i="36" s="1"/>
  <c r="AE24" i="36"/>
  <c r="AF24" i="36" s="1"/>
  <c r="AD24" i="36"/>
  <c r="Q24" i="36"/>
  <c r="AH24" i="36" s="1"/>
  <c r="AF23" i="36"/>
  <c r="AD23" i="36"/>
  <c r="AE23" i="36" s="1"/>
  <c r="Q23" i="36"/>
  <c r="AH23" i="36" s="1"/>
  <c r="AD22" i="36"/>
  <c r="AD21" i="36"/>
  <c r="AE21" i="36" s="1"/>
  <c r="AF21" i="36" s="1"/>
  <c r="Q21" i="36"/>
  <c r="AH21" i="36" s="1"/>
  <c r="AE20" i="36"/>
  <c r="AF20" i="36" s="1"/>
  <c r="AD20" i="36"/>
  <c r="Q20" i="36"/>
  <c r="AH20" i="36" s="1"/>
  <c r="AD19" i="36"/>
  <c r="AE19" i="36" s="1"/>
  <c r="AF19" i="36" s="1"/>
  <c r="Q19" i="36"/>
  <c r="AH19" i="36" s="1"/>
  <c r="AD18" i="36"/>
  <c r="Q18" i="36"/>
  <c r="AH18" i="36" s="1"/>
  <c r="AD17" i="36"/>
  <c r="Q17" i="36"/>
  <c r="AH17" i="36" s="1"/>
  <c r="AE16" i="36"/>
  <c r="AF16" i="36" s="1"/>
  <c r="AD16" i="36"/>
  <c r="Q16" i="36"/>
  <c r="AH16" i="36" s="1"/>
  <c r="AD15" i="36"/>
  <c r="P15" i="36"/>
  <c r="O15" i="36"/>
  <c r="N15" i="36"/>
  <c r="M15" i="36"/>
  <c r="L15" i="36"/>
  <c r="K15" i="36"/>
  <c r="J15" i="36"/>
  <c r="I15" i="36"/>
  <c r="H15" i="36"/>
  <c r="G15" i="36"/>
  <c r="F15" i="36"/>
  <c r="E15" i="36"/>
  <c r="AH14" i="36"/>
  <c r="AH13" i="36"/>
  <c r="AB12" i="36"/>
  <c r="X12" i="36"/>
  <c r="T12" i="36"/>
  <c r="P12" i="36"/>
  <c r="O12" i="36"/>
  <c r="L12" i="36"/>
  <c r="K12" i="36"/>
  <c r="H12" i="36"/>
  <c r="G12" i="36"/>
  <c r="AC10" i="36"/>
  <c r="AC27" i="36" s="1"/>
  <c r="AB10" i="36"/>
  <c r="AA14" i="28" s="1"/>
  <c r="AA38" i="28" s="1"/>
  <c r="AA10" i="36"/>
  <c r="Z10" i="36"/>
  <c r="Z27" i="36" s="1"/>
  <c r="Y10" i="36"/>
  <c r="X10" i="36"/>
  <c r="W10" i="36"/>
  <c r="V10" i="36"/>
  <c r="V27" i="36" s="1"/>
  <c r="U10" i="36"/>
  <c r="U27" i="36" s="1"/>
  <c r="T10" i="36"/>
  <c r="S10" i="36"/>
  <c r="R10" i="36"/>
  <c r="R27" i="36" s="1"/>
  <c r="P10" i="36"/>
  <c r="O10" i="36"/>
  <c r="N10" i="36"/>
  <c r="M10" i="36"/>
  <c r="L10" i="36"/>
  <c r="K10" i="36"/>
  <c r="J10" i="36"/>
  <c r="I10" i="36"/>
  <c r="H10" i="36"/>
  <c r="G10" i="36"/>
  <c r="F10" i="36"/>
  <c r="E10" i="36"/>
  <c r="AH9" i="36"/>
  <c r="AD9" i="36"/>
  <c r="AD10" i="36" s="1"/>
  <c r="Q9" i="36"/>
  <c r="AE9" i="36" s="1"/>
  <c r="AE10" i="36" s="1"/>
  <c r="AF10" i="36" s="1"/>
  <c r="V7" i="36"/>
  <c r="F7" i="36"/>
  <c r="P6" i="36"/>
  <c r="D4" i="36"/>
  <c r="C4" i="36"/>
  <c r="P2" i="36"/>
  <c r="O2" i="36"/>
  <c r="N2" i="36"/>
  <c r="M2" i="36"/>
  <c r="L2" i="36"/>
  <c r="K2" i="36"/>
  <c r="J2" i="36"/>
  <c r="I2" i="36"/>
  <c r="H2" i="36"/>
  <c r="G2" i="36"/>
  <c r="F2" i="36"/>
  <c r="E2" i="36"/>
  <c r="P1" i="36"/>
  <c r="O1" i="36"/>
  <c r="N1" i="36"/>
  <c r="M1" i="36"/>
  <c r="L1" i="36"/>
  <c r="K1" i="36"/>
  <c r="J1" i="36"/>
  <c r="I1" i="36"/>
  <c r="H1" i="36"/>
  <c r="G1" i="36"/>
  <c r="F1" i="36"/>
  <c r="E1" i="36"/>
  <c r="P84" i="35"/>
  <c r="O84" i="35"/>
  <c r="N84" i="35"/>
  <c r="M84" i="35"/>
  <c r="L84" i="35"/>
  <c r="K84" i="35"/>
  <c r="J84" i="35"/>
  <c r="I84" i="35"/>
  <c r="H84" i="35"/>
  <c r="G84" i="35"/>
  <c r="F84" i="35"/>
  <c r="E84" i="35"/>
  <c r="Q83" i="35"/>
  <c r="Q82" i="35"/>
  <c r="Q84" i="35" s="1"/>
  <c r="Q81" i="35"/>
  <c r="AH77" i="35"/>
  <c r="AD77" i="35"/>
  <c r="AE77" i="35" s="1"/>
  <c r="AF77" i="35" s="1"/>
  <c r="Q77" i="35"/>
  <c r="P79" i="28" s="1"/>
  <c r="AG79" i="28" s="1"/>
  <c r="AH76" i="35"/>
  <c r="AA75" i="35"/>
  <c r="W75" i="35"/>
  <c r="S75" i="35"/>
  <c r="O75" i="35"/>
  <c r="K75" i="35"/>
  <c r="G75" i="35"/>
  <c r="AC74" i="35"/>
  <c r="AB74" i="35"/>
  <c r="AA74" i="35"/>
  <c r="Z74" i="35"/>
  <c r="Y74" i="35"/>
  <c r="X74" i="35"/>
  <c r="W74" i="35"/>
  <c r="V74" i="35"/>
  <c r="U74" i="35"/>
  <c r="T74" i="35"/>
  <c r="S74" i="35"/>
  <c r="R74" i="35"/>
  <c r="P74" i="35"/>
  <c r="O74" i="35"/>
  <c r="N74" i="35"/>
  <c r="M74" i="35"/>
  <c r="L74" i="35"/>
  <c r="K74" i="35"/>
  <c r="J74" i="35"/>
  <c r="I74" i="35"/>
  <c r="H74" i="35"/>
  <c r="G74" i="35"/>
  <c r="F74" i="35"/>
  <c r="E74" i="35"/>
  <c r="AH73" i="35"/>
  <c r="AD73" i="35"/>
  <c r="AE73" i="35" s="1"/>
  <c r="AF73" i="35" s="1"/>
  <c r="AH72" i="35"/>
  <c r="AD72" i="35"/>
  <c r="AE72" i="35" s="1"/>
  <c r="AF72" i="35" s="1"/>
  <c r="AH71" i="35"/>
  <c r="AD71" i="35"/>
  <c r="Q71" i="35"/>
  <c r="AD70" i="35"/>
  <c r="AE70" i="35" s="1"/>
  <c r="AF70" i="35" s="1"/>
  <c r="Q70" i="35"/>
  <c r="AH70" i="35" s="1"/>
  <c r="AE69" i="35"/>
  <c r="AF69" i="35" s="1"/>
  <c r="AD69" i="35"/>
  <c r="Q69" i="35"/>
  <c r="AH69" i="35" s="1"/>
  <c r="AF68" i="35"/>
  <c r="AD68" i="35"/>
  <c r="AE68" i="35" s="1"/>
  <c r="Q68" i="35"/>
  <c r="Q74" i="35" s="1"/>
  <c r="AH74" i="35" s="1"/>
  <c r="AH67" i="35"/>
  <c r="AD67" i="35"/>
  <c r="AE67" i="35" s="1"/>
  <c r="AF67" i="35" s="1"/>
  <c r="AH66" i="35"/>
  <c r="AD66" i="35"/>
  <c r="AE66" i="35" s="1"/>
  <c r="AF66" i="35" s="1"/>
  <c r="AH65" i="35"/>
  <c r="AD65" i="35"/>
  <c r="AE65" i="35" s="1"/>
  <c r="AF65" i="35" s="1"/>
  <c r="AH64" i="35"/>
  <c r="AC63" i="35"/>
  <c r="AB63" i="35"/>
  <c r="AA63" i="35"/>
  <c r="Z63" i="35"/>
  <c r="Y63" i="35"/>
  <c r="X63" i="35"/>
  <c r="W63" i="35"/>
  <c r="V63" i="35"/>
  <c r="U63" i="35"/>
  <c r="T63" i="35"/>
  <c r="S63" i="35"/>
  <c r="R63" i="35"/>
  <c r="P63" i="35"/>
  <c r="O63" i="35"/>
  <c r="N63" i="35"/>
  <c r="M63" i="35"/>
  <c r="L63" i="35"/>
  <c r="K63" i="35"/>
  <c r="J63" i="35"/>
  <c r="I63" i="35"/>
  <c r="H63" i="35"/>
  <c r="G63" i="35"/>
  <c r="F63" i="35"/>
  <c r="E63" i="35"/>
  <c r="AE62" i="35"/>
  <c r="AF62" i="35" s="1"/>
  <c r="AD62" i="35"/>
  <c r="Q62" i="35"/>
  <c r="AH62" i="35" s="1"/>
  <c r="AD61" i="35"/>
  <c r="AE61" i="35" s="1"/>
  <c r="AF61" i="35" s="1"/>
  <c r="Q61" i="35"/>
  <c r="AH61" i="35" s="1"/>
  <c r="AD60" i="35"/>
  <c r="Q60" i="35"/>
  <c r="AH60" i="35" s="1"/>
  <c r="AD59" i="35"/>
  <c r="AE59" i="35" s="1"/>
  <c r="AF59" i="35" s="1"/>
  <c r="Q59" i="35"/>
  <c r="AH59" i="35" s="1"/>
  <c r="AE58" i="35"/>
  <c r="AF58" i="35" s="1"/>
  <c r="AD58" i="35"/>
  <c r="Q58" i="35"/>
  <c r="AH58" i="35" s="1"/>
  <c r="AD57" i="35"/>
  <c r="AE57" i="35" s="1"/>
  <c r="AF57" i="35" s="1"/>
  <c r="Q57" i="35"/>
  <c r="AH57" i="35" s="1"/>
  <c r="AH56" i="35"/>
  <c r="AD56" i="35"/>
  <c r="Q56" i="35"/>
  <c r="AD55" i="35"/>
  <c r="AE55" i="35" s="1"/>
  <c r="AF55" i="35" s="1"/>
  <c r="Q55" i="35"/>
  <c r="Q63" i="35" s="1"/>
  <c r="AH63" i="35" s="1"/>
  <c r="AH54" i="35"/>
  <c r="AC53" i="35"/>
  <c r="AB53" i="35"/>
  <c r="AA53" i="35"/>
  <c r="Z53" i="35"/>
  <c r="Y53" i="35"/>
  <c r="X53" i="35"/>
  <c r="W53" i="35"/>
  <c r="V53" i="35"/>
  <c r="U53" i="35"/>
  <c r="T53" i="35"/>
  <c r="S53" i="35"/>
  <c r="R53" i="35"/>
  <c r="P53" i="35"/>
  <c r="O53" i="35"/>
  <c r="N53" i="35"/>
  <c r="M53" i="35"/>
  <c r="L53" i="35"/>
  <c r="K53" i="35"/>
  <c r="J53" i="35"/>
  <c r="I53" i="35"/>
  <c r="H53" i="35"/>
  <c r="G53" i="35"/>
  <c r="F53" i="35"/>
  <c r="E53" i="35"/>
  <c r="AH52" i="35"/>
  <c r="AD52" i="35"/>
  <c r="AE52" i="35" s="1"/>
  <c r="AF52" i="35" s="1"/>
  <c r="Q52" i="35"/>
  <c r="AD51" i="35"/>
  <c r="AE51" i="35" s="1"/>
  <c r="AF51" i="35" s="1"/>
  <c r="Q51" i="35"/>
  <c r="AH51" i="35" s="1"/>
  <c r="AE50" i="35"/>
  <c r="AF50" i="35" s="1"/>
  <c r="AD50" i="35"/>
  <c r="Q50" i="35"/>
  <c r="AH50" i="35" s="1"/>
  <c r="AD49" i="35"/>
  <c r="AE49" i="35" s="1"/>
  <c r="AF49" i="35" s="1"/>
  <c r="Q49" i="35"/>
  <c r="AH49" i="35" s="1"/>
  <c r="AD48" i="35"/>
  <c r="AD53" i="35" s="1"/>
  <c r="Q48" i="35"/>
  <c r="AH47" i="35"/>
  <c r="AF47" i="35"/>
  <c r="AC46" i="35"/>
  <c r="AC75" i="35" s="1"/>
  <c r="AC18" i="35" s="1"/>
  <c r="AB46" i="35"/>
  <c r="AA46" i="35"/>
  <c r="Z46" i="35"/>
  <c r="Z75" i="35" s="1"/>
  <c r="Z18" i="35" s="1"/>
  <c r="Y46" i="35"/>
  <c r="Y75" i="35" s="1"/>
  <c r="Y18" i="35" s="1"/>
  <c r="X46" i="35"/>
  <c r="W46" i="35"/>
  <c r="V46" i="35"/>
  <c r="V75" i="35" s="1"/>
  <c r="V18" i="35" s="1"/>
  <c r="U46" i="35"/>
  <c r="U75" i="35" s="1"/>
  <c r="U18" i="35" s="1"/>
  <c r="T46" i="35"/>
  <c r="S46" i="35"/>
  <c r="R46" i="35"/>
  <c r="R75" i="35" s="1"/>
  <c r="R18" i="35" s="1"/>
  <c r="P46" i="35"/>
  <c r="P75" i="35" s="1"/>
  <c r="P18" i="35" s="1"/>
  <c r="O46" i="35"/>
  <c r="N46" i="35"/>
  <c r="N75" i="35" s="1"/>
  <c r="N18" i="35" s="1"/>
  <c r="M46" i="35"/>
  <c r="M75" i="35" s="1"/>
  <c r="M18" i="35" s="1"/>
  <c r="L46" i="35"/>
  <c r="L75" i="35" s="1"/>
  <c r="L18" i="35" s="1"/>
  <c r="K46" i="35"/>
  <c r="J46" i="35"/>
  <c r="J75" i="35" s="1"/>
  <c r="J18" i="35" s="1"/>
  <c r="I46" i="35"/>
  <c r="I75" i="35" s="1"/>
  <c r="I18" i="35" s="1"/>
  <c r="H46" i="35"/>
  <c r="H75" i="35" s="1"/>
  <c r="H18" i="35" s="1"/>
  <c r="G46" i="35"/>
  <c r="F46" i="35"/>
  <c r="F75" i="35" s="1"/>
  <c r="F18" i="35" s="1"/>
  <c r="E46" i="35"/>
  <c r="E75" i="35" s="1"/>
  <c r="E18" i="35" s="1"/>
  <c r="AH45" i="35"/>
  <c r="AD45" i="35"/>
  <c r="Q45" i="35"/>
  <c r="AD44" i="35"/>
  <c r="Q44" i="35"/>
  <c r="AH44" i="35" s="1"/>
  <c r="AH43" i="35"/>
  <c r="AH42" i="35"/>
  <c r="AH41" i="35"/>
  <c r="AC40" i="35"/>
  <c r="AC39" i="35"/>
  <c r="AB39" i="35"/>
  <c r="AA39" i="35"/>
  <c r="Z39" i="35"/>
  <c r="Y25" i="28" s="1"/>
  <c r="Y39" i="35"/>
  <c r="X39" i="35"/>
  <c r="W39" i="35"/>
  <c r="V39" i="35"/>
  <c r="U25" i="28" s="1"/>
  <c r="U39" i="35"/>
  <c r="T39" i="35"/>
  <c r="S39" i="35"/>
  <c r="R39" i="35"/>
  <c r="Q25" i="28" s="1"/>
  <c r="AE38" i="35"/>
  <c r="AF38" i="35" s="1"/>
  <c r="AD38" i="35"/>
  <c r="Q38" i="35"/>
  <c r="AH38" i="35" s="1"/>
  <c r="AD37" i="35"/>
  <c r="AE37" i="35" s="1"/>
  <c r="AF37" i="35" s="1"/>
  <c r="Q37" i="35"/>
  <c r="AH37" i="35" s="1"/>
  <c r="AD36" i="35"/>
  <c r="Q36" i="35"/>
  <c r="AE36" i="35" s="1"/>
  <c r="AF36" i="35" s="1"/>
  <c r="AD35" i="35"/>
  <c r="AE34" i="35"/>
  <c r="AF34" i="35" s="1"/>
  <c r="AD34" i="35"/>
  <c r="Q34" i="35"/>
  <c r="AH34" i="35" s="1"/>
  <c r="AD33" i="35"/>
  <c r="AE33" i="35" s="1"/>
  <c r="AF33" i="35" s="1"/>
  <c r="Q33" i="35"/>
  <c r="AH33" i="35" s="1"/>
  <c r="AD32" i="35"/>
  <c r="Q32" i="35"/>
  <c r="AD31" i="35"/>
  <c r="AE31" i="35" s="1"/>
  <c r="AF31" i="35" s="1"/>
  <c r="Q31" i="35"/>
  <c r="AH31" i="35" s="1"/>
  <c r="AE30" i="35"/>
  <c r="AF30" i="35" s="1"/>
  <c r="AD30" i="35"/>
  <c r="Q30" i="35"/>
  <c r="AH30" i="35" s="1"/>
  <c r="AD29" i="35"/>
  <c r="AE29" i="35" s="1"/>
  <c r="AF29" i="35" s="1"/>
  <c r="Q29" i="35"/>
  <c r="AH29" i="35" s="1"/>
  <c r="AD28" i="35"/>
  <c r="Q28" i="35"/>
  <c r="AE28" i="35" s="1"/>
  <c r="AF28" i="35" s="1"/>
  <c r="AD27" i="35"/>
  <c r="AE27" i="35" s="1"/>
  <c r="AF27" i="35" s="1"/>
  <c r="Q27" i="35"/>
  <c r="AH27" i="35" s="1"/>
  <c r="AE26" i="35"/>
  <c r="AF26" i="35" s="1"/>
  <c r="AD26" i="35"/>
  <c r="Q26" i="35"/>
  <c r="AH26" i="35" s="1"/>
  <c r="AF25" i="35"/>
  <c r="AD25" i="35"/>
  <c r="AE25" i="35" s="1"/>
  <c r="Q25" i="35"/>
  <c r="AH25" i="35" s="1"/>
  <c r="AH24" i="35"/>
  <c r="AD24" i="35"/>
  <c r="Q24" i="35"/>
  <c r="AE24" i="35" s="1"/>
  <c r="AF24" i="35" s="1"/>
  <c r="AD23" i="35"/>
  <c r="AE23" i="35" s="1"/>
  <c r="AF23" i="35" s="1"/>
  <c r="Q23" i="35"/>
  <c r="AH23" i="35" s="1"/>
  <c r="AD22" i="35"/>
  <c r="P22" i="35"/>
  <c r="O22" i="35"/>
  <c r="N22" i="35"/>
  <c r="M22" i="35"/>
  <c r="L22" i="35"/>
  <c r="K22" i="35"/>
  <c r="J22" i="35"/>
  <c r="I22" i="35"/>
  <c r="H22" i="35"/>
  <c r="G22" i="35"/>
  <c r="F22" i="35"/>
  <c r="E22" i="35"/>
  <c r="AD21" i="35"/>
  <c r="AE21" i="35" s="1"/>
  <c r="AF21" i="35" s="1"/>
  <c r="Q21" i="35"/>
  <c r="AH20" i="35"/>
  <c r="AH19" i="35"/>
  <c r="AA18" i="35"/>
  <c r="W18" i="35"/>
  <c r="S18" i="35"/>
  <c r="O18" i="35"/>
  <c r="K18" i="35"/>
  <c r="G18" i="35"/>
  <c r="AH17" i="35"/>
  <c r="AH16" i="35"/>
  <c r="AC16" i="35"/>
  <c r="AB25" i="28" s="1"/>
  <c r="AB16" i="35"/>
  <c r="AA16" i="35"/>
  <c r="AA40" i="35" s="1"/>
  <c r="Z16" i="35"/>
  <c r="Y16" i="35"/>
  <c r="X25" i="28" s="1"/>
  <c r="X16" i="35"/>
  <c r="W16" i="35"/>
  <c r="W40" i="35" s="1"/>
  <c r="V16" i="35"/>
  <c r="U16" i="35"/>
  <c r="T25" i="28" s="1"/>
  <c r="T16" i="35"/>
  <c r="S16" i="35"/>
  <c r="S40" i="35" s="1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AD15" i="35"/>
  <c r="AE15" i="35" s="1"/>
  <c r="AF15" i="35" s="1"/>
  <c r="Q15" i="35"/>
  <c r="AH15" i="35" s="1"/>
  <c r="AD14" i="35"/>
  <c r="Q14" i="35"/>
  <c r="AC11" i="35"/>
  <c r="AB11" i="35"/>
  <c r="AA11" i="35"/>
  <c r="Z11" i="35"/>
  <c r="Z40" i="35" s="1"/>
  <c r="Y11" i="35"/>
  <c r="X11" i="35"/>
  <c r="W11" i="35"/>
  <c r="V11" i="35"/>
  <c r="V40" i="35" s="1"/>
  <c r="U11" i="35"/>
  <c r="T11" i="35"/>
  <c r="S11" i="35"/>
  <c r="R11" i="35"/>
  <c r="R40" i="35" s="1"/>
  <c r="P11" i="35"/>
  <c r="O11" i="35"/>
  <c r="N11" i="35"/>
  <c r="M11" i="35"/>
  <c r="L11" i="35"/>
  <c r="K11" i="35"/>
  <c r="J11" i="35"/>
  <c r="I11" i="35"/>
  <c r="H11" i="35"/>
  <c r="G11" i="35"/>
  <c r="F11" i="35"/>
  <c r="E11" i="35"/>
  <c r="AE10" i="35"/>
  <c r="AF10" i="35" s="1"/>
  <c r="AD10" i="35"/>
  <c r="Q10" i="35"/>
  <c r="AH10" i="35" s="1"/>
  <c r="AD9" i="35"/>
  <c r="AE9" i="35" s="1"/>
  <c r="Q9" i="35"/>
  <c r="Q11" i="35" s="1"/>
  <c r="AB7" i="35"/>
  <c r="X7" i="35"/>
  <c r="T7" i="35"/>
  <c r="P7" i="35"/>
  <c r="L7" i="35"/>
  <c r="H7" i="35"/>
  <c r="AD6" i="35"/>
  <c r="Z6" i="35"/>
  <c r="V6" i="35"/>
  <c r="R6" i="35"/>
  <c r="N6" i="35"/>
  <c r="J6" i="35"/>
  <c r="F6" i="35"/>
  <c r="D4" i="35"/>
  <c r="C4" i="35"/>
  <c r="P2" i="35"/>
  <c r="O2" i="35"/>
  <c r="N2" i="35"/>
  <c r="M2" i="35"/>
  <c r="L2" i="35"/>
  <c r="K2" i="35"/>
  <c r="J2" i="35"/>
  <c r="I2" i="35"/>
  <c r="H2" i="35"/>
  <c r="G2" i="35"/>
  <c r="F2" i="35"/>
  <c r="E2" i="35"/>
  <c r="P1" i="35"/>
  <c r="O1" i="35"/>
  <c r="N1" i="35"/>
  <c r="M1" i="35"/>
  <c r="L1" i="35"/>
  <c r="K1" i="35"/>
  <c r="J1" i="35"/>
  <c r="I1" i="35"/>
  <c r="H1" i="35"/>
  <c r="G1" i="35"/>
  <c r="F1" i="35"/>
  <c r="E1" i="35"/>
  <c r="Q89" i="34"/>
  <c r="P89" i="34"/>
  <c r="O89" i="34"/>
  <c r="N89" i="34"/>
  <c r="M89" i="34"/>
  <c r="L89" i="34"/>
  <c r="K89" i="34"/>
  <c r="J89" i="34"/>
  <c r="I89" i="34"/>
  <c r="H89" i="34"/>
  <c r="G89" i="34"/>
  <c r="F89" i="34"/>
  <c r="E89" i="34"/>
  <c r="Q88" i="34"/>
  <c r="Q87" i="34"/>
  <c r="Q86" i="34"/>
  <c r="AH83" i="34"/>
  <c r="AF82" i="34"/>
  <c r="AD82" i="34"/>
  <c r="AE82" i="34" s="1"/>
  <c r="Q82" i="34"/>
  <c r="AH82" i="34" s="1"/>
  <c r="AH81" i="34"/>
  <c r="AB80" i="34"/>
  <c r="AB22" i="34" s="1"/>
  <c r="Z80" i="34"/>
  <c r="Z22" i="34" s="1"/>
  <c r="X80" i="34"/>
  <c r="X22" i="34" s="1"/>
  <c r="V80" i="34"/>
  <c r="V22" i="34" s="1"/>
  <c r="T80" i="34"/>
  <c r="T22" i="34" s="1"/>
  <c r="R80" i="34"/>
  <c r="R22" i="34" s="1"/>
  <c r="P80" i="34"/>
  <c r="P22" i="34" s="1"/>
  <c r="N80" i="34"/>
  <c r="N22" i="34" s="1"/>
  <c r="L80" i="34"/>
  <c r="L22" i="34" s="1"/>
  <c r="J80" i="34"/>
  <c r="J22" i="34" s="1"/>
  <c r="H80" i="34"/>
  <c r="H22" i="34" s="1"/>
  <c r="F80" i="34"/>
  <c r="F22" i="34" s="1"/>
  <c r="AC79" i="34"/>
  <c r="AB79" i="34"/>
  <c r="AA79" i="34"/>
  <c r="Z79" i="34"/>
  <c r="Y79" i="34"/>
  <c r="X79" i="34"/>
  <c r="W79" i="34"/>
  <c r="V79" i="34"/>
  <c r="U79" i="34"/>
  <c r="T79" i="34"/>
  <c r="S79" i="34"/>
  <c r="R79" i="34"/>
  <c r="P79" i="34"/>
  <c r="O79" i="34"/>
  <c r="N79" i="34"/>
  <c r="M79" i="34"/>
  <c r="L79" i="34"/>
  <c r="K79" i="34"/>
  <c r="J79" i="34"/>
  <c r="I79" i="34"/>
  <c r="H79" i="34"/>
  <c r="G79" i="34"/>
  <c r="F79" i="34"/>
  <c r="E79" i="34"/>
  <c r="AH78" i="34"/>
  <c r="AF78" i="34"/>
  <c r="AD78" i="34"/>
  <c r="AE78" i="34" s="1"/>
  <c r="AH77" i="34"/>
  <c r="AD77" i="34"/>
  <c r="AE77" i="34" s="1"/>
  <c r="AF77" i="34" s="1"/>
  <c r="AF76" i="34"/>
  <c r="AD76" i="34"/>
  <c r="AE76" i="34" s="1"/>
  <c r="Q76" i="34"/>
  <c r="AH76" i="34" s="1"/>
  <c r="AH75" i="34"/>
  <c r="AD75" i="34"/>
  <c r="Q75" i="34"/>
  <c r="AE75" i="34" s="1"/>
  <c r="AF75" i="34" s="1"/>
  <c r="AD74" i="34"/>
  <c r="AE74" i="34" s="1"/>
  <c r="AF74" i="34" s="1"/>
  <c r="Q74" i="34"/>
  <c r="AH74" i="34" s="1"/>
  <c r="AE73" i="34"/>
  <c r="AF73" i="34" s="1"/>
  <c r="AD73" i="34"/>
  <c r="Q73" i="34"/>
  <c r="Q79" i="34" s="1"/>
  <c r="AH79" i="34" s="1"/>
  <c r="AH72" i="34"/>
  <c r="AF72" i="34"/>
  <c r="AD72" i="34"/>
  <c r="AE72" i="34" s="1"/>
  <c r="AH71" i="34"/>
  <c r="AF71" i="34"/>
  <c r="AD71" i="34"/>
  <c r="AE71" i="34" s="1"/>
  <c r="AH70" i="34"/>
  <c r="AD70" i="34"/>
  <c r="AE70" i="34" s="1"/>
  <c r="AF70" i="34" s="1"/>
  <c r="AH69" i="34"/>
  <c r="AC68" i="34"/>
  <c r="AB68" i="34"/>
  <c r="AA68" i="34"/>
  <c r="Z68" i="34"/>
  <c r="Y68" i="34"/>
  <c r="X68" i="34"/>
  <c r="W68" i="34"/>
  <c r="V68" i="34"/>
  <c r="U68" i="34"/>
  <c r="T68" i="34"/>
  <c r="S68" i="34"/>
  <c r="R68" i="34"/>
  <c r="Q68" i="34"/>
  <c r="AH68" i="34" s="1"/>
  <c r="P68" i="34"/>
  <c r="O68" i="34"/>
  <c r="N68" i="34"/>
  <c r="M68" i="34"/>
  <c r="L68" i="34"/>
  <c r="K68" i="34"/>
  <c r="J68" i="34"/>
  <c r="I68" i="34"/>
  <c r="H68" i="34"/>
  <c r="G68" i="34"/>
  <c r="F68" i="34"/>
  <c r="E68" i="34"/>
  <c r="AD67" i="34"/>
  <c r="AE67" i="34" s="1"/>
  <c r="AF67" i="34" s="1"/>
  <c r="Q67" i="34"/>
  <c r="AH67" i="34" s="1"/>
  <c r="AE66" i="34"/>
  <c r="AF66" i="34" s="1"/>
  <c r="AD66" i="34"/>
  <c r="Q66" i="34"/>
  <c r="AH66" i="34" s="1"/>
  <c r="AF65" i="34"/>
  <c r="AD65" i="34"/>
  <c r="AE65" i="34" s="1"/>
  <c r="Q65" i="34"/>
  <c r="AH65" i="34" s="1"/>
  <c r="AH64" i="34"/>
  <c r="AD64" i="34"/>
  <c r="Q64" i="34"/>
  <c r="AE64" i="34" s="1"/>
  <c r="AF64" i="34" s="1"/>
  <c r="AD63" i="34"/>
  <c r="AE63" i="34" s="1"/>
  <c r="AF63" i="34" s="1"/>
  <c r="Q63" i="34"/>
  <c r="AH63" i="34" s="1"/>
  <c r="AE62" i="34"/>
  <c r="AF62" i="34" s="1"/>
  <c r="AD62" i="34"/>
  <c r="Q62" i="34"/>
  <c r="AH62" i="34" s="1"/>
  <c r="AF61" i="34"/>
  <c r="AD61" i="34"/>
  <c r="AE61" i="34" s="1"/>
  <c r="Q61" i="34"/>
  <c r="AH61" i="34" s="1"/>
  <c r="AH60" i="34"/>
  <c r="AD60" i="34"/>
  <c r="AD68" i="34" s="1"/>
  <c r="AE68" i="34" s="1"/>
  <c r="AF68" i="34" s="1"/>
  <c r="Q60" i="34"/>
  <c r="AE60" i="34" s="1"/>
  <c r="AF60" i="34" s="1"/>
  <c r="AH59" i="34"/>
  <c r="AC58" i="34"/>
  <c r="AB58" i="34"/>
  <c r="AA58" i="34"/>
  <c r="Z58" i="34"/>
  <c r="Y58" i="34"/>
  <c r="X58" i="34"/>
  <c r="W58" i="34"/>
  <c r="V58" i="34"/>
  <c r="U58" i="34"/>
  <c r="T58" i="34"/>
  <c r="S58" i="34"/>
  <c r="R58" i="34"/>
  <c r="P58" i="34"/>
  <c r="O58" i="34"/>
  <c r="N58" i="34"/>
  <c r="M58" i="34"/>
  <c r="L58" i="34"/>
  <c r="K58" i="34"/>
  <c r="J58" i="34"/>
  <c r="I58" i="34"/>
  <c r="H58" i="34"/>
  <c r="G58" i="34"/>
  <c r="F58" i="34"/>
  <c r="E58" i="34"/>
  <c r="AF57" i="34"/>
  <c r="AD57" i="34"/>
  <c r="AE57" i="34" s="1"/>
  <c r="Q57" i="34"/>
  <c r="AH57" i="34" s="1"/>
  <c r="AH56" i="34"/>
  <c r="AD56" i="34"/>
  <c r="Q56" i="34"/>
  <c r="AE56" i="34" s="1"/>
  <c r="AF56" i="34" s="1"/>
  <c r="AD55" i="34"/>
  <c r="AE55" i="34" s="1"/>
  <c r="AF55" i="34" s="1"/>
  <c r="Q55" i="34"/>
  <c r="AH55" i="34" s="1"/>
  <c r="AE54" i="34"/>
  <c r="AF54" i="34" s="1"/>
  <c r="AD54" i="34"/>
  <c r="Q54" i="34"/>
  <c r="AD53" i="34"/>
  <c r="AD58" i="34" s="1"/>
  <c r="Q53" i="34"/>
  <c r="AH53" i="34" s="1"/>
  <c r="AH52" i="34"/>
  <c r="AF52" i="34"/>
  <c r="AC51" i="34"/>
  <c r="AC80" i="34" s="1"/>
  <c r="AC22" i="34" s="1"/>
  <c r="AB51" i="34"/>
  <c r="AA51" i="34"/>
  <c r="AA80" i="34" s="1"/>
  <c r="Z51" i="34"/>
  <c r="Y51" i="34"/>
  <c r="Y80" i="34" s="1"/>
  <c r="Y22" i="34" s="1"/>
  <c r="X51" i="34"/>
  <c r="W51" i="34"/>
  <c r="W80" i="34" s="1"/>
  <c r="V51" i="34"/>
  <c r="U51" i="34"/>
  <c r="U80" i="34" s="1"/>
  <c r="U22" i="34" s="1"/>
  <c r="T51" i="34"/>
  <c r="S51" i="34"/>
  <c r="S80" i="34" s="1"/>
  <c r="R51" i="34"/>
  <c r="P51" i="34"/>
  <c r="O51" i="34"/>
  <c r="N51" i="34"/>
  <c r="M51" i="34"/>
  <c r="M80" i="34" s="1"/>
  <c r="M22" i="34" s="1"/>
  <c r="L51" i="34"/>
  <c r="K51" i="34"/>
  <c r="J51" i="34"/>
  <c r="I51" i="34"/>
  <c r="I80" i="34" s="1"/>
  <c r="I22" i="34" s="1"/>
  <c r="H51" i="34"/>
  <c r="G51" i="34"/>
  <c r="F51" i="34"/>
  <c r="E51" i="34"/>
  <c r="E80" i="34" s="1"/>
  <c r="E22" i="34" s="1"/>
  <c r="AF50" i="34"/>
  <c r="AD50" i="34"/>
  <c r="AE50" i="34" s="1"/>
  <c r="Q50" i="34"/>
  <c r="AH50" i="34" s="1"/>
  <c r="AH49" i="34"/>
  <c r="AD49" i="34"/>
  <c r="AD51" i="34" s="1"/>
  <c r="Q49" i="34"/>
  <c r="AH48" i="34"/>
  <c r="AH47" i="34"/>
  <c r="T45" i="34"/>
  <c r="AC44" i="34"/>
  <c r="AB44" i="34"/>
  <c r="AA44" i="34"/>
  <c r="Z44" i="34"/>
  <c r="Y44" i="34"/>
  <c r="X44" i="34"/>
  <c r="W44" i="34"/>
  <c r="V44" i="34"/>
  <c r="U44" i="34"/>
  <c r="T44" i="34"/>
  <c r="S44" i="34"/>
  <c r="R44" i="34"/>
  <c r="AD43" i="34"/>
  <c r="AE43" i="34" s="1"/>
  <c r="AF43" i="34" s="1"/>
  <c r="Q43" i="34"/>
  <c r="AH43" i="34" s="1"/>
  <c r="AE42" i="34"/>
  <c r="AF42" i="34" s="1"/>
  <c r="AD42" i="34"/>
  <c r="Q42" i="34"/>
  <c r="AH42" i="34" s="1"/>
  <c r="AD41" i="34"/>
  <c r="AE41" i="34" s="1"/>
  <c r="AF41" i="34" s="1"/>
  <c r="Q41" i="34"/>
  <c r="AH41" i="34" s="1"/>
  <c r="AH40" i="34"/>
  <c r="AD40" i="34"/>
  <c r="Q40" i="34"/>
  <c r="AE40" i="34" s="1"/>
  <c r="AF40" i="34" s="1"/>
  <c r="AD39" i="34"/>
  <c r="AE38" i="34"/>
  <c r="AF38" i="34" s="1"/>
  <c r="AD38" i="34"/>
  <c r="Q38" i="34"/>
  <c r="AH38" i="34" s="1"/>
  <c r="AD37" i="34"/>
  <c r="AE37" i="34" s="1"/>
  <c r="AF37" i="34" s="1"/>
  <c r="Q37" i="34"/>
  <c r="AH37" i="34" s="1"/>
  <c r="AD36" i="34"/>
  <c r="Q36" i="34"/>
  <c r="AD35" i="34"/>
  <c r="AE35" i="34" s="1"/>
  <c r="AF35" i="34" s="1"/>
  <c r="Q35" i="34"/>
  <c r="AH35" i="34" s="1"/>
  <c r="AE34" i="34"/>
  <c r="AF34" i="34" s="1"/>
  <c r="AD34" i="34"/>
  <c r="Q34" i="34"/>
  <c r="AH34" i="34" s="1"/>
  <c r="AD33" i="34"/>
  <c r="AE33" i="34" s="1"/>
  <c r="AF33" i="34" s="1"/>
  <c r="Q33" i="34"/>
  <c r="AH33" i="34" s="1"/>
  <c r="AD32" i="34"/>
  <c r="Q32" i="34"/>
  <c r="AE32" i="34" s="1"/>
  <c r="AF32" i="34" s="1"/>
  <c r="AD31" i="34"/>
  <c r="AE31" i="34" s="1"/>
  <c r="AF31" i="34" s="1"/>
  <c r="Q31" i="34"/>
  <c r="AH31" i="34" s="1"/>
  <c r="AE30" i="34"/>
  <c r="AF30" i="34" s="1"/>
  <c r="AD30" i="34"/>
  <c r="Q30" i="34"/>
  <c r="AH30" i="34" s="1"/>
  <c r="AF29" i="34"/>
  <c r="AD29" i="34"/>
  <c r="AE29" i="34" s="1"/>
  <c r="Q29" i="34"/>
  <c r="AH29" i="34" s="1"/>
  <c r="AH28" i="34"/>
  <c r="AD28" i="34"/>
  <c r="Q28" i="34"/>
  <c r="AE28" i="34" s="1"/>
  <c r="AF28" i="34" s="1"/>
  <c r="AD27" i="34"/>
  <c r="AE27" i="34" s="1"/>
  <c r="AF27" i="34" s="1"/>
  <c r="Q27" i="34"/>
  <c r="AH27" i="34" s="1"/>
  <c r="AD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AD25" i="34"/>
  <c r="AE25" i="34" s="1"/>
  <c r="AF25" i="34" s="1"/>
  <c r="Q25" i="34"/>
  <c r="AH25" i="34" s="1"/>
  <c r="AH24" i="34"/>
  <c r="AH23" i="34"/>
  <c r="AA22" i="34"/>
  <c r="W22" i="34"/>
  <c r="S22" i="34"/>
  <c r="AH21" i="34"/>
  <c r="AH20" i="34"/>
  <c r="AC20" i="34"/>
  <c r="AB20" i="34"/>
  <c r="AA20" i="34"/>
  <c r="Z20" i="34"/>
  <c r="Y20" i="34"/>
  <c r="X20" i="34"/>
  <c r="W20" i="34"/>
  <c r="V20" i="34"/>
  <c r="U20" i="34"/>
  <c r="T20" i="34"/>
  <c r="S20" i="34"/>
  <c r="R20" i="34"/>
  <c r="Q20" i="34"/>
  <c r="P20" i="34"/>
  <c r="O20" i="34"/>
  <c r="N20" i="34"/>
  <c r="M20" i="34"/>
  <c r="L20" i="34"/>
  <c r="K20" i="34"/>
  <c r="J20" i="34"/>
  <c r="I20" i="34"/>
  <c r="H20" i="34"/>
  <c r="G20" i="34"/>
  <c r="F20" i="34"/>
  <c r="E20" i="34"/>
  <c r="AD19" i="34"/>
  <c r="Q19" i="34"/>
  <c r="AH19" i="34" s="1"/>
  <c r="AE18" i="34"/>
  <c r="AD18" i="34"/>
  <c r="Q18" i="34"/>
  <c r="AH18" i="34" s="1"/>
  <c r="AC15" i="34"/>
  <c r="AC45" i="34" s="1"/>
  <c r="AB15" i="34"/>
  <c r="AA12" i="28" s="1"/>
  <c r="AA15" i="34"/>
  <c r="AA45" i="34" s="1"/>
  <c r="Z15" i="34"/>
  <c r="Z45" i="34" s="1"/>
  <c r="Y15" i="34"/>
  <c r="Y45" i="34" s="1"/>
  <c r="X15" i="34"/>
  <c r="W12" i="28" s="1"/>
  <c r="W15" i="34"/>
  <c r="W45" i="34" s="1"/>
  <c r="V15" i="34"/>
  <c r="V45" i="34" s="1"/>
  <c r="U15" i="34"/>
  <c r="U45" i="34" s="1"/>
  <c r="T15" i="34"/>
  <c r="S12" i="28" s="1"/>
  <c r="S15" i="34"/>
  <c r="R15" i="34"/>
  <c r="R45" i="34" s="1"/>
  <c r="P15" i="34"/>
  <c r="O15" i="34"/>
  <c r="N15" i="34"/>
  <c r="M15" i="34"/>
  <c r="L15" i="34"/>
  <c r="K15" i="34"/>
  <c r="J15" i="34"/>
  <c r="I15" i="34"/>
  <c r="H15" i="34"/>
  <c r="G15" i="34"/>
  <c r="F15" i="34"/>
  <c r="E15" i="34"/>
  <c r="AH14" i="34"/>
  <c r="AD14" i="34"/>
  <c r="Q14" i="34"/>
  <c r="AE14" i="34" s="1"/>
  <c r="AF14" i="34" s="1"/>
  <c r="AD13" i="34"/>
  <c r="AE13" i="34" s="1"/>
  <c r="AF13" i="34" s="1"/>
  <c r="Q13" i="34"/>
  <c r="AH13" i="34" s="1"/>
  <c r="AH12" i="34"/>
  <c r="AD12" i="34"/>
  <c r="AE12" i="34" s="1"/>
  <c r="Q12" i="34"/>
  <c r="AE11" i="34"/>
  <c r="AF11" i="34" s="1"/>
  <c r="AD11" i="34"/>
  <c r="Q11" i="34"/>
  <c r="AH11" i="34" s="1"/>
  <c r="AD10" i="34"/>
  <c r="Q10" i="34"/>
  <c r="AE10" i="34" s="1"/>
  <c r="AF10" i="34" s="1"/>
  <c r="AH9" i="34"/>
  <c r="AD9" i="34"/>
  <c r="AD15" i="34" s="1"/>
  <c r="Q9" i="34"/>
  <c r="AE9" i="34" s="1"/>
  <c r="AE15" i="34" s="1"/>
  <c r="AF15" i="34" s="1"/>
  <c r="R7" i="34"/>
  <c r="AB6" i="34"/>
  <c r="L6" i="34"/>
  <c r="D4" i="34"/>
  <c r="C4" i="34"/>
  <c r="P2" i="34"/>
  <c r="O2" i="34"/>
  <c r="N2" i="34"/>
  <c r="M2" i="34"/>
  <c r="L2" i="34"/>
  <c r="K2" i="34"/>
  <c r="J2" i="34"/>
  <c r="I2" i="34"/>
  <c r="H2" i="34"/>
  <c r="G2" i="34"/>
  <c r="F2" i="34"/>
  <c r="E2" i="34"/>
  <c r="P1" i="34"/>
  <c r="O1" i="34"/>
  <c r="N1" i="34"/>
  <c r="M1" i="34"/>
  <c r="L1" i="34"/>
  <c r="K1" i="34"/>
  <c r="J1" i="34"/>
  <c r="I1" i="34"/>
  <c r="H1" i="34"/>
  <c r="G1" i="34"/>
  <c r="F1" i="34"/>
  <c r="E1" i="34"/>
  <c r="P76" i="33"/>
  <c r="O76" i="33"/>
  <c r="N76" i="33"/>
  <c r="M76" i="33"/>
  <c r="L76" i="33"/>
  <c r="K76" i="33"/>
  <c r="J76" i="33"/>
  <c r="I76" i="33"/>
  <c r="H76" i="33"/>
  <c r="G76" i="33"/>
  <c r="F76" i="33"/>
  <c r="E76" i="33"/>
  <c r="Q75" i="33"/>
  <c r="Q74" i="33"/>
  <c r="Q76" i="33" s="1"/>
  <c r="Q73" i="33"/>
  <c r="AH70" i="33"/>
  <c r="AD69" i="33"/>
  <c r="AE69" i="33" s="1"/>
  <c r="AF69" i="33" s="1"/>
  <c r="Q69" i="33"/>
  <c r="AH69" i="33" s="1"/>
  <c r="AH68" i="33"/>
  <c r="AB67" i="33"/>
  <c r="AB14" i="33" s="1"/>
  <c r="AB32" i="33" s="1"/>
  <c r="Z67" i="33"/>
  <c r="X67" i="33"/>
  <c r="X14" i="33" s="1"/>
  <c r="V67" i="33"/>
  <c r="T67" i="33"/>
  <c r="T14" i="33" s="1"/>
  <c r="T32" i="33" s="1"/>
  <c r="R67" i="33"/>
  <c r="P67" i="33"/>
  <c r="P14" i="33" s="1"/>
  <c r="N67" i="33"/>
  <c r="L67" i="33"/>
  <c r="L14" i="33" s="1"/>
  <c r="J67" i="33"/>
  <c r="H67" i="33"/>
  <c r="H14" i="33" s="1"/>
  <c r="F67" i="33"/>
  <c r="AC66" i="33"/>
  <c r="AB66" i="33"/>
  <c r="AA66" i="33"/>
  <c r="Z66" i="33"/>
  <c r="Y66" i="33"/>
  <c r="X66" i="33"/>
  <c r="W66" i="33"/>
  <c r="V66" i="33"/>
  <c r="U66" i="33"/>
  <c r="T66" i="33"/>
  <c r="S66" i="33"/>
  <c r="R66" i="33"/>
  <c r="P66" i="33"/>
  <c r="O66" i="33"/>
  <c r="N66" i="33"/>
  <c r="M66" i="33"/>
  <c r="L66" i="33"/>
  <c r="K66" i="33"/>
  <c r="J66" i="33"/>
  <c r="I66" i="33"/>
  <c r="H66" i="33"/>
  <c r="G66" i="33"/>
  <c r="F66" i="33"/>
  <c r="E66" i="33"/>
  <c r="AH65" i="33"/>
  <c r="AD65" i="33"/>
  <c r="AE65" i="33" s="1"/>
  <c r="AF65" i="33" s="1"/>
  <c r="AH64" i="33"/>
  <c r="AD64" i="33"/>
  <c r="AE64" i="33" s="1"/>
  <c r="AF64" i="33" s="1"/>
  <c r="AD63" i="33"/>
  <c r="AE63" i="33" s="1"/>
  <c r="AF63" i="33" s="1"/>
  <c r="Q63" i="33"/>
  <c r="AH63" i="33" s="1"/>
  <c r="AE62" i="33"/>
  <c r="AF62" i="33" s="1"/>
  <c r="AD62" i="33"/>
  <c r="Q62" i="33"/>
  <c r="AH62" i="33" s="1"/>
  <c r="AD61" i="33"/>
  <c r="AE61" i="33" s="1"/>
  <c r="AF61" i="33" s="1"/>
  <c r="Q61" i="33"/>
  <c r="AH61" i="33" s="1"/>
  <c r="AD60" i="33"/>
  <c r="Q60" i="33"/>
  <c r="AH59" i="33"/>
  <c r="AD59" i="33"/>
  <c r="AE59" i="33" s="1"/>
  <c r="AF59" i="33" s="1"/>
  <c r="AH58" i="33"/>
  <c r="AD58" i="33"/>
  <c r="AE58" i="33" s="1"/>
  <c r="AF58" i="33" s="1"/>
  <c r="AH57" i="33"/>
  <c r="AD57" i="33"/>
  <c r="AE57" i="33" s="1"/>
  <c r="AF57" i="33" s="1"/>
  <c r="AH56" i="33"/>
  <c r="AC55" i="33"/>
  <c r="AB55" i="33"/>
  <c r="AA55" i="33"/>
  <c r="Z55" i="33"/>
  <c r="Y55" i="33"/>
  <c r="X55" i="33"/>
  <c r="W55" i="33"/>
  <c r="V55" i="33"/>
  <c r="U55" i="33"/>
  <c r="T55" i="33"/>
  <c r="S55" i="33"/>
  <c r="R55" i="33"/>
  <c r="P55" i="33"/>
  <c r="O55" i="33"/>
  <c r="N55" i="33"/>
  <c r="M55" i="33"/>
  <c r="L55" i="33"/>
  <c r="K55" i="33"/>
  <c r="J55" i="33"/>
  <c r="I55" i="33"/>
  <c r="H55" i="33"/>
  <c r="G55" i="33"/>
  <c r="F55" i="33"/>
  <c r="E55" i="33"/>
  <c r="AD54" i="33"/>
  <c r="AE54" i="33" s="1"/>
  <c r="AF54" i="33" s="1"/>
  <c r="Q54" i="33"/>
  <c r="AH54" i="33" s="1"/>
  <c r="AH53" i="33"/>
  <c r="AD53" i="33"/>
  <c r="Q53" i="33"/>
  <c r="AE53" i="33" s="1"/>
  <c r="AF53" i="33" s="1"/>
  <c r="AD52" i="33"/>
  <c r="AE52" i="33" s="1"/>
  <c r="AF52" i="33" s="1"/>
  <c r="Q52" i="33"/>
  <c r="AH52" i="33" s="1"/>
  <c r="AE51" i="33"/>
  <c r="AF51" i="33" s="1"/>
  <c r="AD51" i="33"/>
  <c r="Q51" i="33"/>
  <c r="AH51" i="33" s="1"/>
  <c r="AF50" i="33"/>
  <c r="AD50" i="33"/>
  <c r="AE50" i="33" s="1"/>
  <c r="Q50" i="33"/>
  <c r="AH50" i="33" s="1"/>
  <c r="AD49" i="33"/>
  <c r="Q49" i="33"/>
  <c r="AE49" i="33" s="1"/>
  <c r="AF49" i="33" s="1"/>
  <c r="AD48" i="33"/>
  <c r="AE48" i="33" s="1"/>
  <c r="AF48" i="33" s="1"/>
  <c r="Q48" i="33"/>
  <c r="AH48" i="33" s="1"/>
  <c r="AE47" i="33"/>
  <c r="AF47" i="33" s="1"/>
  <c r="AD47" i="33"/>
  <c r="Q47" i="33"/>
  <c r="Q55" i="33" s="1"/>
  <c r="AH55" i="33" s="1"/>
  <c r="AH46" i="33"/>
  <c r="AC45" i="33"/>
  <c r="AB45" i="33"/>
  <c r="AA45" i="33"/>
  <c r="Z45" i="33"/>
  <c r="Y45" i="33"/>
  <c r="X45" i="33"/>
  <c r="W45" i="33"/>
  <c r="V45" i="33"/>
  <c r="U45" i="33"/>
  <c r="T45" i="33"/>
  <c r="S45" i="33"/>
  <c r="R45" i="33"/>
  <c r="P45" i="33"/>
  <c r="O45" i="33"/>
  <c r="N45" i="33"/>
  <c r="M45" i="33"/>
  <c r="L45" i="33"/>
  <c r="K45" i="33"/>
  <c r="J45" i="33"/>
  <c r="I45" i="33"/>
  <c r="H45" i="33"/>
  <c r="G45" i="33"/>
  <c r="F45" i="33"/>
  <c r="E45" i="33"/>
  <c r="AD44" i="33"/>
  <c r="AE44" i="33" s="1"/>
  <c r="AF44" i="33" s="1"/>
  <c r="Q44" i="33"/>
  <c r="AH44" i="33" s="1"/>
  <c r="AE43" i="33"/>
  <c r="AF43" i="33" s="1"/>
  <c r="AD43" i="33"/>
  <c r="Q43" i="33"/>
  <c r="AH43" i="33" s="1"/>
  <c r="AD42" i="33"/>
  <c r="AE42" i="33" s="1"/>
  <c r="AF42" i="33" s="1"/>
  <c r="Q42" i="33"/>
  <c r="AH42" i="33" s="1"/>
  <c r="AD41" i="33"/>
  <c r="Q41" i="33"/>
  <c r="AD40" i="33"/>
  <c r="Q40" i="33"/>
  <c r="AH40" i="33" s="1"/>
  <c r="AH39" i="33"/>
  <c r="AF39" i="33"/>
  <c r="AC38" i="33"/>
  <c r="AC67" i="33" s="1"/>
  <c r="AC14" i="33" s="1"/>
  <c r="AB38" i="33"/>
  <c r="AA38" i="33"/>
  <c r="AA67" i="33" s="1"/>
  <c r="AA14" i="33" s="1"/>
  <c r="Z38" i="33"/>
  <c r="Y38" i="33"/>
  <c r="Y67" i="33" s="1"/>
  <c r="Y14" i="33" s="1"/>
  <c r="X38" i="33"/>
  <c r="W38" i="33"/>
  <c r="W67" i="33" s="1"/>
  <c r="W14" i="33" s="1"/>
  <c r="V38" i="33"/>
  <c r="U38" i="33"/>
  <c r="U67" i="33" s="1"/>
  <c r="U14" i="33" s="1"/>
  <c r="T38" i="33"/>
  <c r="S38" i="33"/>
  <c r="S67" i="33" s="1"/>
  <c r="S14" i="33" s="1"/>
  <c r="R38" i="33"/>
  <c r="Q38" i="33"/>
  <c r="P38" i="33"/>
  <c r="O38" i="33"/>
  <c r="O67" i="33" s="1"/>
  <c r="O14" i="33" s="1"/>
  <c r="N38" i="33"/>
  <c r="M38" i="33"/>
  <c r="M67" i="33" s="1"/>
  <c r="M14" i="33" s="1"/>
  <c r="L38" i="33"/>
  <c r="K38" i="33"/>
  <c r="K67" i="33" s="1"/>
  <c r="K14" i="33" s="1"/>
  <c r="J38" i="33"/>
  <c r="I38" i="33"/>
  <c r="I67" i="33" s="1"/>
  <c r="I14" i="33" s="1"/>
  <c r="H38" i="33"/>
  <c r="G38" i="33"/>
  <c r="G67" i="33" s="1"/>
  <c r="G14" i="33" s="1"/>
  <c r="F38" i="33"/>
  <c r="E38" i="33"/>
  <c r="E67" i="33" s="1"/>
  <c r="E14" i="33" s="1"/>
  <c r="AD37" i="33"/>
  <c r="Q37" i="33"/>
  <c r="AH37" i="33" s="1"/>
  <c r="AE36" i="33"/>
  <c r="AF36" i="33" s="1"/>
  <c r="AD36" i="33"/>
  <c r="Q36" i="33"/>
  <c r="AH36" i="33" s="1"/>
  <c r="X32" i="33"/>
  <c r="AC31" i="33"/>
  <c r="AB31" i="33"/>
  <c r="AA31" i="33"/>
  <c r="Z31" i="33"/>
  <c r="Y31" i="33"/>
  <c r="X31" i="33"/>
  <c r="W31" i="33"/>
  <c r="V31" i="33"/>
  <c r="U31" i="33"/>
  <c r="T31" i="33"/>
  <c r="S31" i="33"/>
  <c r="R31" i="33"/>
  <c r="AD30" i="33"/>
  <c r="AE30" i="33" s="1"/>
  <c r="AF30" i="33" s="1"/>
  <c r="Q30" i="33"/>
  <c r="AH30" i="33" s="1"/>
  <c r="AE29" i="33"/>
  <c r="AF29" i="33" s="1"/>
  <c r="AD29" i="33"/>
  <c r="Q29" i="33"/>
  <c r="AH29" i="33" s="1"/>
  <c r="AD28" i="33"/>
  <c r="AE28" i="33" s="1"/>
  <c r="AF28" i="33" s="1"/>
  <c r="Q28" i="33"/>
  <c r="AH28" i="33" s="1"/>
  <c r="AD27" i="33"/>
  <c r="AD26" i="33"/>
  <c r="AE26" i="33" s="1"/>
  <c r="AF26" i="33" s="1"/>
  <c r="Q26" i="33"/>
  <c r="AH26" i="33" s="1"/>
  <c r="AE25" i="33"/>
  <c r="AF25" i="33" s="1"/>
  <c r="AD25" i="33"/>
  <c r="Q25" i="33"/>
  <c r="AH25" i="33" s="1"/>
  <c r="AD24" i="33"/>
  <c r="AE24" i="33" s="1"/>
  <c r="AF24" i="33" s="1"/>
  <c r="Q24" i="33"/>
  <c r="AH24" i="33" s="1"/>
  <c r="AD23" i="33"/>
  <c r="Q23" i="33"/>
  <c r="AD22" i="33"/>
  <c r="AE22" i="33" s="1"/>
  <c r="AF22" i="33" s="1"/>
  <c r="Q22" i="33"/>
  <c r="AH22" i="33" s="1"/>
  <c r="AE21" i="33"/>
  <c r="AF21" i="33" s="1"/>
  <c r="AD21" i="33"/>
  <c r="Q21" i="33"/>
  <c r="AH21" i="33" s="1"/>
  <c r="AF20" i="33"/>
  <c r="AD20" i="33"/>
  <c r="AE20" i="33" s="1"/>
  <c r="Q20" i="33"/>
  <c r="AH20" i="33" s="1"/>
  <c r="AD19" i="33"/>
  <c r="Q19" i="33"/>
  <c r="AE19" i="33" s="1"/>
  <c r="AF19" i="33" s="1"/>
  <c r="AD18" i="33"/>
  <c r="Q18" i="33"/>
  <c r="AH18" i="33" s="1"/>
  <c r="AD17" i="33"/>
  <c r="P17" i="33"/>
  <c r="O17" i="33"/>
  <c r="N17" i="33"/>
  <c r="M17" i="33"/>
  <c r="L17" i="33"/>
  <c r="K17" i="33"/>
  <c r="J17" i="33"/>
  <c r="I17" i="33"/>
  <c r="H17" i="33"/>
  <c r="G17" i="33"/>
  <c r="F17" i="33"/>
  <c r="E17" i="33"/>
  <c r="AH16" i="33"/>
  <c r="AH15" i="33"/>
  <c r="Z14" i="33"/>
  <c r="Z32" i="33" s="1"/>
  <c r="V14" i="33"/>
  <c r="V32" i="33" s="1"/>
  <c r="R14" i="33"/>
  <c r="R32" i="33" s="1"/>
  <c r="N14" i="33"/>
  <c r="J14" i="33"/>
  <c r="F14" i="33"/>
  <c r="AC12" i="33"/>
  <c r="AB12" i="33"/>
  <c r="AA12" i="33"/>
  <c r="AA32" i="33" s="1"/>
  <c r="Z12" i="33"/>
  <c r="Y12" i="33"/>
  <c r="X12" i="33"/>
  <c r="W12" i="33"/>
  <c r="W32" i="33" s="1"/>
  <c r="V12" i="33"/>
  <c r="U12" i="33"/>
  <c r="T12" i="33"/>
  <c r="S12" i="33"/>
  <c r="S32" i="33" s="1"/>
  <c r="R12" i="33"/>
  <c r="P12" i="33"/>
  <c r="O12" i="33"/>
  <c r="N12" i="33"/>
  <c r="M12" i="33"/>
  <c r="L12" i="33"/>
  <c r="K12" i="33"/>
  <c r="J12" i="33"/>
  <c r="I12" i="33"/>
  <c r="H12" i="33"/>
  <c r="G12" i="33"/>
  <c r="F12" i="33"/>
  <c r="E12" i="33"/>
  <c r="AD11" i="33"/>
  <c r="Q11" i="33"/>
  <c r="AE11" i="33" s="1"/>
  <c r="AF11" i="33" s="1"/>
  <c r="AH10" i="33"/>
  <c r="AD10" i="33"/>
  <c r="Q10" i="33"/>
  <c r="AE10" i="33" s="1"/>
  <c r="AF10" i="33" s="1"/>
  <c r="AD9" i="33"/>
  <c r="AD12" i="33" s="1"/>
  <c r="Q9" i="33"/>
  <c r="AA7" i="33"/>
  <c r="W7" i="33"/>
  <c r="S7" i="33"/>
  <c r="O7" i="33"/>
  <c r="K7" i="33"/>
  <c r="G7" i="33"/>
  <c r="AC6" i="33"/>
  <c r="Y6" i="33"/>
  <c r="U6" i="33"/>
  <c r="Q6" i="33"/>
  <c r="M6" i="33"/>
  <c r="I6" i="33"/>
  <c r="E6" i="33"/>
  <c r="D4" i="33"/>
  <c r="C4" i="33"/>
  <c r="P2" i="33"/>
  <c r="O2" i="33"/>
  <c r="N2" i="33"/>
  <c r="M2" i="33"/>
  <c r="L2" i="33"/>
  <c r="K2" i="33"/>
  <c r="J2" i="33"/>
  <c r="I2" i="33"/>
  <c r="H2" i="33"/>
  <c r="G2" i="33"/>
  <c r="F2" i="33"/>
  <c r="E2" i="33"/>
  <c r="P1" i="33"/>
  <c r="O1" i="33"/>
  <c r="N1" i="33"/>
  <c r="M1" i="33"/>
  <c r="L1" i="33"/>
  <c r="K1" i="33"/>
  <c r="J1" i="33"/>
  <c r="I1" i="33"/>
  <c r="H1" i="33"/>
  <c r="G1" i="33"/>
  <c r="F1" i="33"/>
  <c r="E1" i="33"/>
  <c r="P77" i="32"/>
  <c r="O77" i="32"/>
  <c r="N77" i="32"/>
  <c r="M77" i="32"/>
  <c r="L77" i="32"/>
  <c r="K77" i="32"/>
  <c r="J77" i="32"/>
  <c r="I77" i="32"/>
  <c r="H77" i="32"/>
  <c r="G77" i="32"/>
  <c r="F77" i="32"/>
  <c r="E77" i="32"/>
  <c r="Q76" i="32"/>
  <c r="Q75" i="32"/>
  <c r="Q74" i="32"/>
  <c r="AH71" i="32"/>
  <c r="AE70" i="32"/>
  <c r="AF70" i="32" s="1"/>
  <c r="AD70" i="32"/>
  <c r="Q70" i="32"/>
  <c r="AH70" i="32" s="1"/>
  <c r="AH69" i="32"/>
  <c r="AC68" i="32"/>
  <c r="AC14" i="32" s="1"/>
  <c r="AA68" i="32"/>
  <c r="Y68" i="32"/>
  <c r="Y14" i="32" s="1"/>
  <c r="W68" i="32"/>
  <c r="U68" i="32"/>
  <c r="U14" i="32" s="1"/>
  <c r="S68" i="32"/>
  <c r="O68" i="32"/>
  <c r="M68" i="32"/>
  <c r="M14" i="32" s="1"/>
  <c r="K68" i="32"/>
  <c r="I68" i="32"/>
  <c r="I14" i="32" s="1"/>
  <c r="G68" i="32"/>
  <c r="E68" i="32"/>
  <c r="E14" i="32" s="1"/>
  <c r="AD67" i="32"/>
  <c r="AC67" i="32"/>
  <c r="AB67" i="32"/>
  <c r="AA67" i="32"/>
  <c r="Z67" i="32"/>
  <c r="Y67" i="32"/>
  <c r="X67" i="32"/>
  <c r="W67" i="32"/>
  <c r="V67" i="32"/>
  <c r="U67" i="32"/>
  <c r="T67" i="32"/>
  <c r="S67" i="32"/>
  <c r="R67" i="32"/>
  <c r="P67" i="32"/>
  <c r="O67" i="32"/>
  <c r="N67" i="32"/>
  <c r="M67" i="32"/>
  <c r="L67" i="32"/>
  <c r="K67" i="32"/>
  <c r="J67" i="32"/>
  <c r="I67" i="32"/>
  <c r="H67" i="32"/>
  <c r="G67" i="32"/>
  <c r="F67" i="32"/>
  <c r="E67" i="32"/>
  <c r="AH66" i="32"/>
  <c r="AE66" i="32"/>
  <c r="AF66" i="32" s="1"/>
  <c r="AD66" i="32"/>
  <c r="AH65" i="32"/>
  <c r="AE65" i="32"/>
  <c r="AF65" i="32" s="1"/>
  <c r="AD65" i="32"/>
  <c r="AE64" i="32"/>
  <c r="AF64" i="32" s="1"/>
  <c r="AD64" i="32"/>
  <c r="Q64" i="32"/>
  <c r="AH64" i="32" s="1"/>
  <c r="AD63" i="32"/>
  <c r="AE63" i="32" s="1"/>
  <c r="AF63" i="32" s="1"/>
  <c r="Q63" i="32"/>
  <c r="AH63" i="32" s="1"/>
  <c r="AD62" i="32"/>
  <c r="Q62" i="32"/>
  <c r="AE62" i="32" s="1"/>
  <c r="AF62" i="32" s="1"/>
  <c r="AD61" i="32"/>
  <c r="AE61" i="32" s="1"/>
  <c r="AF61" i="32" s="1"/>
  <c r="Q61" i="32"/>
  <c r="AH60" i="32"/>
  <c r="AE60" i="32"/>
  <c r="AF60" i="32" s="1"/>
  <c r="AD60" i="32"/>
  <c r="AH59" i="32"/>
  <c r="AE59" i="32"/>
  <c r="AF59" i="32" s="1"/>
  <c r="AD59" i="32"/>
  <c r="AH58" i="32"/>
  <c r="AE58" i="32"/>
  <c r="AF58" i="32" s="1"/>
  <c r="AD58" i="32"/>
  <c r="AH57" i="32"/>
  <c r="AC56" i="32"/>
  <c r="AB56" i="32"/>
  <c r="AA56" i="32"/>
  <c r="Z56" i="32"/>
  <c r="Y56" i="32"/>
  <c r="X56" i="32"/>
  <c r="W56" i="32"/>
  <c r="V56" i="32"/>
  <c r="U56" i="32"/>
  <c r="T56" i="32"/>
  <c r="S56" i="32"/>
  <c r="R56" i="32"/>
  <c r="P56" i="32"/>
  <c r="O56" i="32"/>
  <c r="N56" i="32"/>
  <c r="M56" i="32"/>
  <c r="L56" i="32"/>
  <c r="K56" i="32"/>
  <c r="J56" i="32"/>
  <c r="I56" i="32"/>
  <c r="H56" i="32"/>
  <c r="G56" i="32"/>
  <c r="F56" i="32"/>
  <c r="E56" i="32"/>
  <c r="AD55" i="32"/>
  <c r="Q55" i="32"/>
  <c r="AE55" i="32" s="1"/>
  <c r="AF55" i="32" s="1"/>
  <c r="AD54" i="32"/>
  <c r="AE54" i="32" s="1"/>
  <c r="AF54" i="32" s="1"/>
  <c r="Q54" i="32"/>
  <c r="AH54" i="32" s="1"/>
  <c r="AE53" i="32"/>
  <c r="AF53" i="32" s="1"/>
  <c r="AD53" i="32"/>
  <c r="Q53" i="32"/>
  <c r="AH53" i="32" s="1"/>
  <c r="AF52" i="32"/>
  <c r="AD52" i="32"/>
  <c r="AE52" i="32" s="1"/>
  <c r="Q52" i="32"/>
  <c r="AH52" i="32" s="1"/>
  <c r="AH51" i="32"/>
  <c r="AD51" i="32"/>
  <c r="Q51" i="32"/>
  <c r="AE51" i="32" s="1"/>
  <c r="AF51" i="32" s="1"/>
  <c r="AD50" i="32"/>
  <c r="AE50" i="32" s="1"/>
  <c r="AF50" i="32" s="1"/>
  <c r="Q50" i="32"/>
  <c r="AH50" i="32" s="1"/>
  <c r="AE49" i="32"/>
  <c r="AF49" i="32" s="1"/>
  <c r="AD49" i="32"/>
  <c r="Q49" i="32"/>
  <c r="AH49" i="32" s="1"/>
  <c r="AF48" i="32"/>
  <c r="AD48" i="32"/>
  <c r="AE48" i="32" s="1"/>
  <c r="Q48" i="32"/>
  <c r="Q56" i="32" s="1"/>
  <c r="AH56" i="32" s="1"/>
  <c r="AH47" i="32"/>
  <c r="AD46" i="32"/>
  <c r="AE46" i="32" s="1"/>
  <c r="AF46" i="32" s="1"/>
  <c r="AC46" i="32"/>
  <c r="AB46" i="32"/>
  <c r="AA46" i="32"/>
  <c r="Z46" i="32"/>
  <c r="Y46" i="32"/>
  <c r="X46" i="32"/>
  <c r="W46" i="32"/>
  <c r="V46" i="32"/>
  <c r="U46" i="32"/>
  <c r="T46" i="32"/>
  <c r="S46" i="32"/>
  <c r="R46" i="32"/>
  <c r="P46" i="32"/>
  <c r="O46" i="32"/>
  <c r="N46" i="32"/>
  <c r="M46" i="32"/>
  <c r="L46" i="32"/>
  <c r="K46" i="32"/>
  <c r="J46" i="32"/>
  <c r="I46" i="32"/>
  <c r="H46" i="32"/>
  <c r="G46" i="32"/>
  <c r="F46" i="32"/>
  <c r="E46" i="32"/>
  <c r="AE45" i="32"/>
  <c r="AF45" i="32" s="1"/>
  <c r="AD45" i="32"/>
  <c r="Q45" i="32"/>
  <c r="AH45" i="32" s="1"/>
  <c r="AF44" i="32"/>
  <c r="AD44" i="32"/>
  <c r="AE44" i="32" s="1"/>
  <c r="Q44" i="32"/>
  <c r="AH44" i="32" s="1"/>
  <c r="AH43" i="32"/>
  <c r="AD43" i="32"/>
  <c r="Q43" i="32"/>
  <c r="AE43" i="32" s="1"/>
  <c r="AF43" i="32" s="1"/>
  <c r="AD42" i="32"/>
  <c r="AE42" i="32" s="1"/>
  <c r="AF42" i="32" s="1"/>
  <c r="Q42" i="32"/>
  <c r="AH42" i="32" s="1"/>
  <c r="AE41" i="32"/>
  <c r="AF41" i="32" s="1"/>
  <c r="AD41" i="32"/>
  <c r="Q41" i="32"/>
  <c r="Q46" i="32" s="1"/>
  <c r="AH46" i="32" s="1"/>
  <c r="AH40" i="32"/>
  <c r="AF40" i="32"/>
  <c r="AD39" i="32"/>
  <c r="AC39" i="32"/>
  <c r="AB39" i="32"/>
  <c r="AB68" i="32" s="1"/>
  <c r="AB14" i="32" s="1"/>
  <c r="AA39" i="32"/>
  <c r="Z39" i="32"/>
  <c r="Y39" i="32"/>
  <c r="X39" i="32"/>
  <c r="X68" i="32" s="1"/>
  <c r="X14" i="32" s="1"/>
  <c r="W39" i="32"/>
  <c r="V39" i="32"/>
  <c r="U39" i="32"/>
  <c r="T39" i="32"/>
  <c r="T68" i="32" s="1"/>
  <c r="T14" i="32" s="1"/>
  <c r="S39" i="32"/>
  <c r="R39" i="32"/>
  <c r="P39" i="32"/>
  <c r="P68" i="32" s="1"/>
  <c r="P14" i="32" s="1"/>
  <c r="O39" i="32"/>
  <c r="N39" i="32"/>
  <c r="N68" i="32" s="1"/>
  <c r="N14" i="32" s="1"/>
  <c r="M39" i="32"/>
  <c r="L39" i="32"/>
  <c r="L68" i="32" s="1"/>
  <c r="L14" i="32" s="1"/>
  <c r="K39" i="32"/>
  <c r="J39" i="32"/>
  <c r="J68" i="32" s="1"/>
  <c r="J14" i="32" s="1"/>
  <c r="I39" i="32"/>
  <c r="H39" i="32"/>
  <c r="H68" i="32" s="1"/>
  <c r="H14" i="32" s="1"/>
  <c r="G39" i="32"/>
  <c r="F39" i="32"/>
  <c r="F68" i="32" s="1"/>
  <c r="F14" i="32" s="1"/>
  <c r="E39" i="32"/>
  <c r="AE38" i="32"/>
  <c r="AF38" i="32" s="1"/>
  <c r="AD38" i="32"/>
  <c r="Q38" i="32"/>
  <c r="AH38" i="32" s="1"/>
  <c r="AE37" i="32"/>
  <c r="AF37" i="32" s="1"/>
  <c r="AD37" i="32"/>
  <c r="Q37" i="32"/>
  <c r="Q39" i="32" s="1"/>
  <c r="AH39" i="32" s="1"/>
  <c r="AC32" i="32"/>
  <c r="AB22" i="28" s="1"/>
  <c r="AB32" i="32"/>
  <c r="AA32" i="32"/>
  <c r="Z32" i="32"/>
  <c r="Y32" i="32"/>
  <c r="X22" i="28" s="1"/>
  <c r="X32" i="32"/>
  <c r="W32" i="32"/>
  <c r="V32" i="32"/>
  <c r="U32" i="32"/>
  <c r="T22" i="28" s="1"/>
  <c r="T32" i="32"/>
  <c r="S32" i="32"/>
  <c r="R32" i="32"/>
  <c r="AD31" i="32"/>
  <c r="AE31" i="32" s="1"/>
  <c r="AF31" i="32" s="1"/>
  <c r="Q31" i="32"/>
  <c r="AH31" i="32" s="1"/>
  <c r="AE30" i="32"/>
  <c r="AF30" i="32" s="1"/>
  <c r="AD30" i="32"/>
  <c r="Q30" i="32"/>
  <c r="AH30" i="32" s="1"/>
  <c r="AD29" i="32"/>
  <c r="AE29" i="32" s="1"/>
  <c r="AF29" i="32" s="1"/>
  <c r="Q29" i="32"/>
  <c r="AH29" i="32" s="1"/>
  <c r="AD28" i="32"/>
  <c r="AD27" i="32"/>
  <c r="AE27" i="32" s="1"/>
  <c r="AF27" i="32" s="1"/>
  <c r="Q27" i="32"/>
  <c r="AH27" i="32" s="1"/>
  <c r="AE26" i="32"/>
  <c r="AF26" i="32" s="1"/>
  <c r="AD26" i="32"/>
  <c r="Q26" i="32"/>
  <c r="AH26" i="32" s="1"/>
  <c r="AD25" i="32"/>
  <c r="AE25" i="32" s="1"/>
  <c r="AF25" i="32" s="1"/>
  <c r="Q25" i="32"/>
  <c r="AH25" i="32" s="1"/>
  <c r="AD24" i="32"/>
  <c r="Q24" i="32"/>
  <c r="AD23" i="32"/>
  <c r="AE23" i="32" s="1"/>
  <c r="AF23" i="32" s="1"/>
  <c r="Q23" i="32"/>
  <c r="AH23" i="32" s="1"/>
  <c r="AE22" i="32"/>
  <c r="AF22" i="32" s="1"/>
  <c r="AD22" i="32"/>
  <c r="Q22" i="32"/>
  <c r="AH22" i="32" s="1"/>
  <c r="AD21" i="32"/>
  <c r="AE21" i="32" s="1"/>
  <c r="AF21" i="32" s="1"/>
  <c r="Q21" i="32"/>
  <c r="AH21" i="32" s="1"/>
  <c r="AD20" i="32"/>
  <c r="Q20" i="32"/>
  <c r="AE20" i="32" s="1"/>
  <c r="AF20" i="32" s="1"/>
  <c r="AD19" i="32"/>
  <c r="AE19" i="32" s="1"/>
  <c r="AF19" i="32" s="1"/>
  <c r="Q19" i="32"/>
  <c r="AH19" i="32" s="1"/>
  <c r="AE18" i="32"/>
  <c r="AF18" i="32" s="1"/>
  <c r="AD18" i="32"/>
  <c r="Q18" i="32"/>
  <c r="AH18" i="32" s="1"/>
  <c r="AD17" i="32"/>
  <c r="P17" i="32"/>
  <c r="O17" i="32"/>
  <c r="N17" i="32"/>
  <c r="M17" i="32"/>
  <c r="L17" i="32"/>
  <c r="K17" i="32"/>
  <c r="J17" i="32"/>
  <c r="I17" i="32"/>
  <c r="H17" i="32"/>
  <c r="G17" i="32"/>
  <c r="F17" i="32"/>
  <c r="E17" i="32"/>
  <c r="AH16" i="32"/>
  <c r="AH15" i="32"/>
  <c r="AA14" i="32"/>
  <c r="W14" i="32"/>
  <c r="S14" i="32"/>
  <c r="O14" i="32"/>
  <c r="K14" i="32"/>
  <c r="G14" i="32"/>
  <c r="AC12" i="32"/>
  <c r="AB12" i="32"/>
  <c r="AB33" i="32" s="1"/>
  <c r="AA12" i="32"/>
  <c r="AA33" i="32" s="1"/>
  <c r="Z12" i="32"/>
  <c r="Y12" i="32"/>
  <c r="X12" i="32"/>
  <c r="X33" i="32" s="1"/>
  <c r="W12" i="32"/>
  <c r="W33" i="32" s="1"/>
  <c r="V12" i="32"/>
  <c r="U12" i="32"/>
  <c r="T12" i="32"/>
  <c r="T33" i="32" s="1"/>
  <c r="S12" i="32"/>
  <c r="R12" i="32"/>
  <c r="P12" i="32"/>
  <c r="O12" i="32"/>
  <c r="N12" i="32"/>
  <c r="M12" i="32"/>
  <c r="L12" i="32"/>
  <c r="K12" i="32"/>
  <c r="J12" i="32"/>
  <c r="I12" i="32"/>
  <c r="H12" i="32"/>
  <c r="G12" i="32"/>
  <c r="F12" i="32"/>
  <c r="E12" i="32"/>
  <c r="AD11" i="32"/>
  <c r="Q11" i="32"/>
  <c r="AD10" i="32"/>
  <c r="AE10" i="32" s="1"/>
  <c r="AF10" i="32" s="1"/>
  <c r="Q10" i="32"/>
  <c r="AH10" i="32" s="1"/>
  <c r="AH9" i="32"/>
  <c r="AD9" i="32"/>
  <c r="Q9" i="32"/>
  <c r="AB7" i="32"/>
  <c r="X7" i="32"/>
  <c r="T7" i="32"/>
  <c r="P7" i="32"/>
  <c r="L7" i="32"/>
  <c r="H7" i="32"/>
  <c r="AD6" i="32"/>
  <c r="Z6" i="32"/>
  <c r="V6" i="32"/>
  <c r="R6" i="32"/>
  <c r="N6" i="32"/>
  <c r="J6" i="32"/>
  <c r="F6" i="32"/>
  <c r="D4" i="32"/>
  <c r="C4" i="32"/>
  <c r="P2" i="32"/>
  <c r="O2" i="32"/>
  <c r="N2" i="32"/>
  <c r="M2" i="32"/>
  <c r="L2" i="32"/>
  <c r="K2" i="32"/>
  <c r="J2" i="32"/>
  <c r="I2" i="32"/>
  <c r="H2" i="32"/>
  <c r="G2" i="32"/>
  <c r="F2" i="32"/>
  <c r="E2" i="32"/>
  <c r="P1" i="32"/>
  <c r="O1" i="32"/>
  <c r="N1" i="32"/>
  <c r="M1" i="32"/>
  <c r="L1" i="32"/>
  <c r="K1" i="32"/>
  <c r="J1" i="32"/>
  <c r="I1" i="32"/>
  <c r="H1" i="32"/>
  <c r="G1" i="32"/>
  <c r="F1" i="32"/>
  <c r="E1" i="32"/>
  <c r="P74" i="31"/>
  <c r="O74" i="31"/>
  <c r="N74" i="31"/>
  <c r="M74" i="31"/>
  <c r="L74" i="31"/>
  <c r="K74" i="31"/>
  <c r="J74" i="31"/>
  <c r="I74" i="31"/>
  <c r="H74" i="31"/>
  <c r="G74" i="31"/>
  <c r="F74" i="31"/>
  <c r="E74" i="31"/>
  <c r="D74" i="31"/>
  <c r="P73" i="31"/>
  <c r="P72" i="31"/>
  <c r="P71" i="31"/>
  <c r="AD67" i="31"/>
  <c r="AE67" i="31" s="1"/>
  <c r="AC67" i="31"/>
  <c r="P67" i="31"/>
  <c r="AG67" i="31" s="1"/>
  <c r="AG66" i="31"/>
  <c r="AB65" i="31"/>
  <c r="AB12" i="31" s="1"/>
  <c r="AB29" i="31" s="1"/>
  <c r="X65" i="31"/>
  <c r="X12" i="31" s="1"/>
  <c r="X29" i="31" s="1"/>
  <c r="T65" i="31"/>
  <c r="T12" i="31" s="1"/>
  <c r="T29" i="31" s="1"/>
  <c r="L65" i="31"/>
  <c r="L12" i="31" s="1"/>
  <c r="H65" i="31"/>
  <c r="H12" i="31" s="1"/>
  <c r="D65" i="31"/>
  <c r="D12" i="31" s="1"/>
  <c r="AB64" i="31"/>
  <c r="AA64" i="31"/>
  <c r="Z64" i="31"/>
  <c r="Y64" i="31"/>
  <c r="X64" i="31"/>
  <c r="W64" i="31"/>
  <c r="V64" i="31"/>
  <c r="U64" i="31"/>
  <c r="T64" i="31"/>
  <c r="S64" i="31"/>
  <c r="R64" i="31"/>
  <c r="Q64" i="31"/>
  <c r="O64" i="31"/>
  <c r="N64" i="31"/>
  <c r="M64" i="31"/>
  <c r="L64" i="31"/>
  <c r="K64" i="31"/>
  <c r="J64" i="31"/>
  <c r="I64" i="31"/>
  <c r="H64" i="31"/>
  <c r="G64" i="31"/>
  <c r="F64" i="31"/>
  <c r="E64" i="31"/>
  <c r="D64" i="31"/>
  <c r="AG63" i="31"/>
  <c r="AD63" i="31"/>
  <c r="AE63" i="31" s="1"/>
  <c r="AC63" i="31"/>
  <c r="AG62" i="31"/>
  <c r="AD62" i="31"/>
  <c r="AE62" i="31" s="1"/>
  <c r="AC62" i="31"/>
  <c r="AD61" i="31"/>
  <c r="AE61" i="31" s="1"/>
  <c r="AC61" i="31"/>
  <c r="P61" i="31"/>
  <c r="AG61" i="31" s="1"/>
  <c r="AC60" i="31"/>
  <c r="AD60" i="31" s="1"/>
  <c r="AE60" i="31" s="1"/>
  <c r="P60" i="31"/>
  <c r="AG60" i="31" s="1"/>
  <c r="AC59" i="31"/>
  <c r="P59" i="31"/>
  <c r="AC58" i="31"/>
  <c r="AD58" i="31" s="1"/>
  <c r="AE58" i="31" s="1"/>
  <c r="P58" i="31"/>
  <c r="AG57" i="31"/>
  <c r="AC57" i="31"/>
  <c r="AG56" i="31"/>
  <c r="AC56" i="31"/>
  <c r="AG55" i="31"/>
  <c r="AC55" i="31"/>
  <c r="AG54" i="31"/>
  <c r="AB53" i="31"/>
  <c r="AA53" i="31"/>
  <c r="Z53" i="31"/>
  <c r="Y53" i="31"/>
  <c r="X53" i="31"/>
  <c r="W53" i="31"/>
  <c r="V53" i="31"/>
  <c r="U53" i="31"/>
  <c r="T53" i="31"/>
  <c r="S53" i="31"/>
  <c r="R53" i="31"/>
  <c r="Q53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AD52" i="31"/>
  <c r="AE52" i="31" s="1"/>
  <c r="AC52" i="31"/>
  <c r="P52" i="31"/>
  <c r="AG52" i="31" s="1"/>
  <c r="AE51" i="31"/>
  <c r="AC51" i="31"/>
  <c r="AD51" i="31" s="1"/>
  <c r="P51" i="31"/>
  <c r="AG51" i="31" s="1"/>
  <c r="AG50" i="31"/>
  <c r="AC50" i="31"/>
  <c r="P50" i="31"/>
  <c r="AD50" i="31" s="1"/>
  <c r="AE50" i="31" s="1"/>
  <c r="AC49" i="31"/>
  <c r="AD49" i="31" s="1"/>
  <c r="AE49" i="31" s="1"/>
  <c r="P49" i="31"/>
  <c r="AG49" i="31" s="1"/>
  <c r="AD48" i="31"/>
  <c r="AE48" i="31" s="1"/>
  <c r="AC48" i="31"/>
  <c r="P48" i="31"/>
  <c r="AG48" i="31" s="1"/>
  <c r="AE47" i="31"/>
  <c r="AC47" i="31"/>
  <c r="AD47" i="31" s="1"/>
  <c r="P47" i="31"/>
  <c r="AG47" i="31" s="1"/>
  <c r="AG46" i="31"/>
  <c r="AC46" i="31"/>
  <c r="P46" i="31"/>
  <c r="AD46" i="31" s="1"/>
  <c r="AE46" i="31" s="1"/>
  <c r="AC45" i="31"/>
  <c r="AD45" i="31" s="1"/>
  <c r="AE45" i="31" s="1"/>
  <c r="P45" i="31"/>
  <c r="P53" i="31" s="1"/>
  <c r="AG53" i="31" s="1"/>
  <c r="AG44" i="31"/>
  <c r="AB43" i="31"/>
  <c r="AA43" i="31"/>
  <c r="Z43" i="31"/>
  <c r="Y43" i="31"/>
  <c r="X43" i="31"/>
  <c r="W43" i="31"/>
  <c r="V43" i="31"/>
  <c r="U43" i="31"/>
  <c r="T43" i="31"/>
  <c r="S43" i="31"/>
  <c r="R43" i="31"/>
  <c r="Q43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AG42" i="31"/>
  <c r="AC42" i="31"/>
  <c r="P42" i="31"/>
  <c r="AD42" i="31" s="1"/>
  <c r="AE42" i="31" s="1"/>
  <c r="AC41" i="31"/>
  <c r="AD41" i="31" s="1"/>
  <c r="AE41" i="31" s="1"/>
  <c r="P41" i="31"/>
  <c r="AG41" i="31" s="1"/>
  <c r="AD40" i="31"/>
  <c r="AE40" i="31" s="1"/>
  <c r="AC40" i="31"/>
  <c r="P40" i="31"/>
  <c r="AG40" i="31" s="1"/>
  <c r="AC39" i="31"/>
  <c r="AD39" i="31" s="1"/>
  <c r="AE39" i="31" s="1"/>
  <c r="P39" i="31"/>
  <c r="AG39" i="31" s="1"/>
  <c r="AC38" i="31"/>
  <c r="P38" i="31"/>
  <c r="AG37" i="31"/>
  <c r="AB36" i="31"/>
  <c r="AA36" i="31"/>
  <c r="AA65" i="31" s="1"/>
  <c r="AA12" i="31" s="1"/>
  <c r="AA29" i="31" s="1"/>
  <c r="Z36" i="31"/>
  <c r="Z65" i="31" s="1"/>
  <c r="Y36" i="31"/>
  <c r="Y65" i="31" s="1"/>
  <c r="Y12" i="31" s="1"/>
  <c r="X36" i="31"/>
  <c r="W36" i="31"/>
  <c r="W65" i="31" s="1"/>
  <c r="W12" i="31" s="1"/>
  <c r="W29" i="31" s="1"/>
  <c r="V36" i="31"/>
  <c r="V65" i="31" s="1"/>
  <c r="U36" i="31"/>
  <c r="U65" i="31" s="1"/>
  <c r="U12" i="31" s="1"/>
  <c r="T36" i="31"/>
  <c r="S36" i="31"/>
  <c r="S65" i="31" s="1"/>
  <c r="S12" i="31" s="1"/>
  <c r="S29" i="31" s="1"/>
  <c r="R36" i="31"/>
  <c r="R65" i="31" s="1"/>
  <c r="Q36" i="31"/>
  <c r="Q65" i="31" s="1"/>
  <c r="Q12" i="31" s="1"/>
  <c r="O36" i="31"/>
  <c r="O65" i="31" s="1"/>
  <c r="O12" i="31" s="1"/>
  <c r="N36" i="31"/>
  <c r="N65" i="31" s="1"/>
  <c r="N12" i="31" s="1"/>
  <c r="N29" i="31" s="1"/>
  <c r="M36" i="31"/>
  <c r="L36" i="31"/>
  <c r="K36" i="31"/>
  <c r="K65" i="31" s="1"/>
  <c r="K12" i="31" s="1"/>
  <c r="J36" i="31"/>
  <c r="J65" i="31" s="1"/>
  <c r="J12" i="31" s="1"/>
  <c r="J29" i="31" s="1"/>
  <c r="I36" i="31"/>
  <c r="H36" i="31"/>
  <c r="G36" i="31"/>
  <c r="G65" i="31" s="1"/>
  <c r="G12" i="31" s="1"/>
  <c r="F36" i="31"/>
  <c r="F65" i="31" s="1"/>
  <c r="F12" i="31" s="1"/>
  <c r="F29" i="31" s="1"/>
  <c r="E36" i="31"/>
  <c r="D36" i="31"/>
  <c r="AC35" i="31"/>
  <c r="P35" i="31"/>
  <c r="AD35" i="31" s="1"/>
  <c r="AE35" i="31" s="1"/>
  <c r="AC34" i="31"/>
  <c r="AC36" i="31" s="1"/>
  <c r="P34" i="31"/>
  <c r="AG33" i="31"/>
  <c r="AG32" i="31"/>
  <c r="AG31" i="31"/>
  <c r="AG30" i="31"/>
  <c r="Y29" i="31"/>
  <c r="U29" i="31"/>
  <c r="Q29" i="31"/>
  <c r="AB28" i="31"/>
  <c r="AA28" i="31"/>
  <c r="Z28" i="31"/>
  <c r="Y28" i="31"/>
  <c r="X28" i="31"/>
  <c r="W28" i="31"/>
  <c r="V28" i="31"/>
  <c r="U28" i="31"/>
  <c r="T28" i="31"/>
  <c r="S28" i="31"/>
  <c r="R28" i="31"/>
  <c r="Q28" i="31"/>
  <c r="AE27" i="31"/>
  <c r="AC27" i="31"/>
  <c r="P27" i="31"/>
  <c r="AD27" i="31" s="1"/>
  <c r="AG26" i="31"/>
  <c r="AC26" i="31"/>
  <c r="P26" i="31"/>
  <c r="AD26" i="31" s="1"/>
  <c r="AE26" i="31" s="1"/>
  <c r="AC25" i="31"/>
  <c r="P25" i="31"/>
  <c r="AG25" i="31" s="1"/>
  <c r="AC24" i="31"/>
  <c r="O24" i="31"/>
  <c r="N24" i="31"/>
  <c r="N28" i="31" s="1"/>
  <c r="N21" i="28" s="1"/>
  <c r="M24" i="31"/>
  <c r="L24" i="31"/>
  <c r="L28" i="31" s="1"/>
  <c r="L21" i="28" s="1"/>
  <c r="K24" i="31"/>
  <c r="J24" i="31"/>
  <c r="J28" i="31" s="1"/>
  <c r="J21" i="28" s="1"/>
  <c r="I24" i="31"/>
  <c r="H24" i="31"/>
  <c r="H28" i="31" s="1"/>
  <c r="H21" i="28" s="1"/>
  <c r="G24" i="31"/>
  <c r="F24" i="31"/>
  <c r="F28" i="31" s="1"/>
  <c r="F21" i="28" s="1"/>
  <c r="E24" i="31"/>
  <c r="D24" i="31"/>
  <c r="D28" i="31" s="1"/>
  <c r="D21" i="28" s="1"/>
  <c r="AC23" i="31"/>
  <c r="AD23" i="31" s="1"/>
  <c r="AE23" i="31" s="1"/>
  <c r="P23" i="31"/>
  <c r="AG23" i="31" s="1"/>
  <c r="AG22" i="31"/>
  <c r="AC22" i="31"/>
  <c r="P22" i="31"/>
  <c r="AD22" i="31" s="1"/>
  <c r="AE22" i="31" s="1"/>
  <c r="AC21" i="31"/>
  <c r="P21" i="31"/>
  <c r="AG21" i="31" s="1"/>
  <c r="AD20" i="31"/>
  <c r="AE20" i="31" s="1"/>
  <c r="AC20" i="31"/>
  <c r="P20" i="31"/>
  <c r="AG20" i="31" s="1"/>
  <c r="AE19" i="31"/>
  <c r="AC19" i="31"/>
  <c r="AD19" i="31" s="1"/>
  <c r="P19" i="31"/>
  <c r="AG19" i="31" s="1"/>
  <c r="AG18" i="31"/>
  <c r="AC18" i="31"/>
  <c r="P18" i="31"/>
  <c r="AD18" i="31" s="1"/>
  <c r="AE18" i="31" s="1"/>
  <c r="AC17" i="31"/>
  <c r="P17" i="31"/>
  <c r="AG17" i="31" s="1"/>
  <c r="AD16" i="31"/>
  <c r="AE16" i="31" s="1"/>
  <c r="AC16" i="31"/>
  <c r="P16" i="31"/>
  <c r="AG16" i="31" s="1"/>
  <c r="AC15" i="31"/>
  <c r="O15" i="31"/>
  <c r="N15" i="31"/>
  <c r="M15" i="31"/>
  <c r="M28" i="31" s="1"/>
  <c r="M21" i="28" s="1"/>
  <c r="L15" i="31"/>
  <c r="K15" i="31"/>
  <c r="J15" i="31"/>
  <c r="I15" i="31"/>
  <c r="I28" i="31" s="1"/>
  <c r="I21" i="28" s="1"/>
  <c r="H15" i="31"/>
  <c r="G15" i="31"/>
  <c r="F15" i="31"/>
  <c r="E15" i="31"/>
  <c r="E28" i="31" s="1"/>
  <c r="E21" i="28" s="1"/>
  <c r="D15" i="31"/>
  <c r="P15" i="31" s="1"/>
  <c r="AG14" i="31"/>
  <c r="AG13" i="31"/>
  <c r="Z12" i="31"/>
  <c r="Z29" i="31" s="1"/>
  <c r="V12" i="31"/>
  <c r="V29" i="31" s="1"/>
  <c r="R12" i="31"/>
  <c r="R29" i="31" s="1"/>
  <c r="X7" i="31"/>
  <c r="H7" i="31"/>
  <c r="R6" i="31"/>
  <c r="C4" i="31"/>
  <c r="O2" i="31"/>
  <c r="N2" i="31"/>
  <c r="M2" i="31"/>
  <c r="L2" i="31"/>
  <c r="K2" i="31"/>
  <c r="J2" i="31"/>
  <c r="I2" i="31"/>
  <c r="H2" i="31"/>
  <c r="G2" i="31"/>
  <c r="F2" i="31"/>
  <c r="E2" i="31"/>
  <c r="D2" i="31"/>
  <c r="O1" i="31"/>
  <c r="N1" i="31"/>
  <c r="M1" i="31"/>
  <c r="L1" i="31"/>
  <c r="K1" i="31"/>
  <c r="J1" i="31"/>
  <c r="I1" i="31"/>
  <c r="H1" i="31"/>
  <c r="G1" i="31"/>
  <c r="F1" i="31"/>
  <c r="E1" i="31"/>
  <c r="D1" i="31"/>
  <c r="AG80" i="28"/>
  <c r="AB79" i="28"/>
  <c r="AA79" i="28"/>
  <c r="Z79" i="28"/>
  <c r="Y79" i="28"/>
  <c r="X79" i="28"/>
  <c r="W79" i="28"/>
  <c r="V79" i="28"/>
  <c r="U79" i="28"/>
  <c r="T79" i="28"/>
  <c r="S79" i="28"/>
  <c r="R79" i="28"/>
  <c r="AC79" i="28" s="1"/>
  <c r="AD79" i="28" s="1"/>
  <c r="AE79" i="28" s="1"/>
  <c r="Q79" i="28"/>
  <c r="O79" i="28"/>
  <c r="N79" i="28"/>
  <c r="M79" i="28"/>
  <c r="L79" i="28"/>
  <c r="K79" i="28"/>
  <c r="J79" i="28"/>
  <c r="I79" i="28"/>
  <c r="H79" i="28"/>
  <c r="G79" i="28"/>
  <c r="F79" i="28"/>
  <c r="E79" i="28"/>
  <c r="D79" i="28"/>
  <c r="AG78" i="28"/>
  <c r="Y76" i="28"/>
  <c r="AB75" i="28"/>
  <c r="AA75" i="28"/>
  <c r="Z75" i="28"/>
  <c r="Y75" i="28"/>
  <c r="X75" i="28"/>
  <c r="W75" i="28"/>
  <c r="V75" i="28"/>
  <c r="U75" i="28"/>
  <c r="T75" i="28"/>
  <c r="S75" i="28"/>
  <c r="R75" i="28"/>
  <c r="Q75" i="28"/>
  <c r="O75" i="28"/>
  <c r="N75" i="28"/>
  <c r="M75" i="28"/>
  <c r="L75" i="28"/>
  <c r="K75" i="28"/>
  <c r="J75" i="28"/>
  <c r="I75" i="28"/>
  <c r="H75" i="28"/>
  <c r="G75" i="28"/>
  <c r="F75" i="28"/>
  <c r="E75" i="28"/>
  <c r="D75" i="28"/>
  <c r="AB74" i="28"/>
  <c r="AA74" i="28"/>
  <c r="Z74" i="28"/>
  <c r="Y74" i="28"/>
  <c r="X74" i="28"/>
  <c r="W74" i="28"/>
  <c r="V74" i="28"/>
  <c r="U74" i="28"/>
  <c r="T74" i="28"/>
  <c r="S74" i="28"/>
  <c r="R74" i="28"/>
  <c r="Q74" i="28"/>
  <c r="O74" i="28"/>
  <c r="N74" i="28"/>
  <c r="M74" i="28"/>
  <c r="L74" i="28"/>
  <c r="K74" i="28"/>
  <c r="J74" i="28"/>
  <c r="I74" i="28"/>
  <c r="H74" i="28"/>
  <c r="G74" i="28"/>
  <c r="F74" i="28"/>
  <c r="E74" i="28"/>
  <c r="D74" i="28"/>
  <c r="AB73" i="28"/>
  <c r="AA73" i="28"/>
  <c r="Z73" i="28"/>
  <c r="Y73" i="28"/>
  <c r="X73" i="28"/>
  <c r="W73" i="28"/>
  <c r="V73" i="28"/>
  <c r="U73" i="28"/>
  <c r="T73" i="28"/>
  <c r="S73" i="28"/>
  <c r="R73" i="28"/>
  <c r="Q73" i="28"/>
  <c r="AC73" i="28" s="1"/>
  <c r="AB72" i="28"/>
  <c r="AA72" i="28"/>
  <c r="Z72" i="28"/>
  <c r="Y72" i="28"/>
  <c r="X72" i="28"/>
  <c r="W72" i="28"/>
  <c r="V72" i="28"/>
  <c r="U72" i="28"/>
  <c r="U76" i="28" s="1"/>
  <c r="T72" i="28"/>
  <c r="S72" i="28"/>
  <c r="R72" i="28"/>
  <c r="Q72" i="28"/>
  <c r="AC72" i="28" s="1"/>
  <c r="AB71" i="28"/>
  <c r="AA71" i="28"/>
  <c r="Z71" i="28"/>
  <c r="Y71" i="28"/>
  <c r="X71" i="28"/>
  <c r="W71" i="28"/>
  <c r="V71" i="28"/>
  <c r="U71" i="28"/>
  <c r="T71" i="28"/>
  <c r="S71" i="28"/>
  <c r="R71" i="28"/>
  <c r="Q71" i="28"/>
  <c r="O71" i="28"/>
  <c r="N71" i="28"/>
  <c r="M71" i="28"/>
  <c r="L71" i="28"/>
  <c r="K71" i="28"/>
  <c r="J71" i="28"/>
  <c r="I71" i="28"/>
  <c r="H71" i="28"/>
  <c r="G71" i="28"/>
  <c r="F71" i="28"/>
  <c r="E71" i="28"/>
  <c r="D71" i="28"/>
  <c r="AB70" i="28"/>
  <c r="AA70" i="28"/>
  <c r="AA76" i="28" s="1"/>
  <c r="Z70" i="28"/>
  <c r="Y70" i="28"/>
  <c r="X70" i="28"/>
  <c r="W70" i="28"/>
  <c r="W76" i="28" s="1"/>
  <c r="V70" i="28"/>
  <c r="U70" i="28"/>
  <c r="T70" i="28"/>
  <c r="S70" i="28"/>
  <c r="S76" i="28" s="1"/>
  <c r="R70" i="28"/>
  <c r="Q70" i="28"/>
  <c r="O70" i="28"/>
  <c r="N70" i="28"/>
  <c r="M70" i="28"/>
  <c r="L70" i="28"/>
  <c r="K70" i="28"/>
  <c r="J70" i="28"/>
  <c r="I70" i="28"/>
  <c r="H70" i="28"/>
  <c r="G70" i="28"/>
  <c r="F70" i="28"/>
  <c r="E70" i="28"/>
  <c r="D70" i="28"/>
  <c r="AB69" i="28"/>
  <c r="AA69" i="28"/>
  <c r="Z69" i="28"/>
  <c r="Y69" i="28"/>
  <c r="X69" i="28"/>
  <c r="W69" i="28"/>
  <c r="V69" i="28"/>
  <c r="U69" i="28"/>
  <c r="T69" i="28"/>
  <c r="S69" i="28"/>
  <c r="R69" i="28"/>
  <c r="Q69" i="28"/>
  <c r="O69" i="28"/>
  <c r="N69" i="28"/>
  <c r="M69" i="28"/>
  <c r="L69" i="28"/>
  <c r="K69" i="28"/>
  <c r="J69" i="28"/>
  <c r="I69" i="28"/>
  <c r="H69" i="28"/>
  <c r="G69" i="28"/>
  <c r="F69" i="28"/>
  <c r="E69" i="28"/>
  <c r="D69" i="28"/>
  <c r="P69" i="28" s="1"/>
  <c r="AB68" i="28"/>
  <c r="AA68" i="28"/>
  <c r="Z68" i="28"/>
  <c r="Y68" i="28"/>
  <c r="X68" i="28"/>
  <c r="W68" i="28"/>
  <c r="V68" i="28"/>
  <c r="U68" i="28"/>
  <c r="T68" i="28"/>
  <c r="S68" i="28"/>
  <c r="R68" i="28"/>
  <c r="Q68" i="28"/>
  <c r="AC68" i="28" s="1"/>
  <c r="O68" i="28"/>
  <c r="N68" i="28"/>
  <c r="M68" i="28"/>
  <c r="L68" i="28"/>
  <c r="K68" i="28"/>
  <c r="J68" i="28"/>
  <c r="I68" i="28"/>
  <c r="H68" i="28"/>
  <c r="G68" i="28"/>
  <c r="F68" i="28"/>
  <c r="E68" i="28"/>
  <c r="D68" i="28"/>
  <c r="AB67" i="28"/>
  <c r="AA67" i="28"/>
  <c r="Z67" i="28"/>
  <c r="Y67" i="28"/>
  <c r="X67" i="28"/>
  <c r="W67" i="28"/>
  <c r="V67" i="28"/>
  <c r="U67" i="28"/>
  <c r="T67" i="28"/>
  <c r="S67" i="28"/>
  <c r="R67" i="28"/>
  <c r="Q67" i="28"/>
  <c r="O67" i="28"/>
  <c r="N67" i="28"/>
  <c r="M67" i="28"/>
  <c r="L67" i="28"/>
  <c r="K67" i="28"/>
  <c r="J67" i="28"/>
  <c r="I67" i="28"/>
  <c r="H67" i="28"/>
  <c r="G67" i="28"/>
  <c r="F67" i="28"/>
  <c r="E67" i="28"/>
  <c r="D67" i="28"/>
  <c r="AG66" i="28"/>
  <c r="AB64" i="28"/>
  <c r="AA64" i="28"/>
  <c r="Z64" i="28"/>
  <c r="Y64" i="28"/>
  <c r="X64" i="28"/>
  <c r="W64" i="28"/>
  <c r="V64" i="28"/>
  <c r="U64" i="28"/>
  <c r="T64" i="28"/>
  <c r="S64" i="28"/>
  <c r="R64" i="28"/>
  <c r="Q64" i="28"/>
  <c r="AC64" i="28" s="1"/>
  <c r="O64" i="28"/>
  <c r="N64" i="28"/>
  <c r="M64" i="28"/>
  <c r="L64" i="28"/>
  <c r="K64" i="28"/>
  <c r="J64" i="28"/>
  <c r="I64" i="28"/>
  <c r="H64" i="28"/>
  <c r="G64" i="28"/>
  <c r="F64" i="28"/>
  <c r="E64" i="28"/>
  <c r="D64" i="28"/>
  <c r="P64" i="28" s="1"/>
  <c r="AB63" i="28"/>
  <c r="AA63" i="28"/>
  <c r="Z63" i="28"/>
  <c r="Y63" i="28"/>
  <c r="X63" i="28"/>
  <c r="W63" i="28"/>
  <c r="V63" i="28"/>
  <c r="U63" i="28"/>
  <c r="T63" i="28"/>
  <c r="S63" i="28"/>
  <c r="R63" i="28"/>
  <c r="Q63" i="28"/>
  <c r="O63" i="28"/>
  <c r="N63" i="28"/>
  <c r="M63" i="28"/>
  <c r="L63" i="28"/>
  <c r="K63" i="28"/>
  <c r="J63" i="28"/>
  <c r="I63" i="28"/>
  <c r="H63" i="28"/>
  <c r="G63" i="28"/>
  <c r="F63" i="28"/>
  <c r="E63" i="28"/>
  <c r="AB62" i="28"/>
  <c r="AA62" i="28"/>
  <c r="Z62" i="28"/>
  <c r="Y62" i="28"/>
  <c r="X62" i="28"/>
  <c r="W62" i="28"/>
  <c r="V62" i="28"/>
  <c r="U62" i="28"/>
  <c r="T62" i="28"/>
  <c r="S62" i="28"/>
  <c r="R62" i="28"/>
  <c r="Q62" i="28"/>
  <c r="O62" i="28"/>
  <c r="N62" i="28"/>
  <c r="M62" i="28"/>
  <c r="L62" i="28"/>
  <c r="K62" i="28"/>
  <c r="J62" i="28"/>
  <c r="I62" i="28"/>
  <c r="H62" i="28"/>
  <c r="G62" i="28"/>
  <c r="F62" i="28"/>
  <c r="E62" i="28"/>
  <c r="D62" i="28"/>
  <c r="P62" i="28" s="1"/>
  <c r="AB61" i="28"/>
  <c r="AA61" i="28"/>
  <c r="Z61" i="28"/>
  <c r="Y61" i="28"/>
  <c r="X61" i="28"/>
  <c r="W61" i="28"/>
  <c r="V61" i="28"/>
  <c r="U61" i="28"/>
  <c r="T61" i="28"/>
  <c r="S61" i="28"/>
  <c r="R61" i="28"/>
  <c r="Q61" i="28"/>
  <c r="O61" i="28"/>
  <c r="N61" i="28"/>
  <c r="M61" i="28"/>
  <c r="L61" i="28"/>
  <c r="K61" i="28"/>
  <c r="J61" i="28"/>
  <c r="I61" i="28"/>
  <c r="H61" i="28"/>
  <c r="G61" i="28"/>
  <c r="F61" i="28"/>
  <c r="E61" i="28"/>
  <c r="D61" i="28"/>
  <c r="P61" i="28" s="1"/>
  <c r="AB60" i="28"/>
  <c r="AA60" i="28"/>
  <c r="Z60" i="28"/>
  <c r="Y60" i="28"/>
  <c r="X60" i="28"/>
  <c r="W60" i="28"/>
  <c r="V60" i="28"/>
  <c r="U60" i="28"/>
  <c r="T60" i="28"/>
  <c r="S60" i="28"/>
  <c r="R60" i="28"/>
  <c r="Q60" i="28"/>
  <c r="AC60" i="28" s="1"/>
  <c r="O60" i="28"/>
  <c r="N60" i="28"/>
  <c r="M60" i="28"/>
  <c r="L60" i="28"/>
  <c r="K60" i="28"/>
  <c r="J60" i="28"/>
  <c r="I60" i="28"/>
  <c r="H60" i="28"/>
  <c r="G60" i="28"/>
  <c r="F60" i="28"/>
  <c r="E60" i="28"/>
  <c r="D60" i="28"/>
  <c r="P60" i="28" s="1"/>
  <c r="AB59" i="28"/>
  <c r="AA59" i="28"/>
  <c r="Z59" i="28"/>
  <c r="Y59" i="28"/>
  <c r="X59" i="28"/>
  <c r="W59" i="28"/>
  <c r="V59" i="28"/>
  <c r="U59" i="28"/>
  <c r="T59" i="28"/>
  <c r="S59" i="28"/>
  <c r="R59" i="28"/>
  <c r="Q59" i="28"/>
  <c r="O59" i="28"/>
  <c r="N59" i="28"/>
  <c r="M59" i="28"/>
  <c r="L59" i="28"/>
  <c r="K59" i="28"/>
  <c r="J59" i="28"/>
  <c r="I59" i="28"/>
  <c r="H59" i="28"/>
  <c r="G59" i="28"/>
  <c r="F59" i="28"/>
  <c r="E59" i="28"/>
  <c r="D59" i="28"/>
  <c r="AB58" i="28"/>
  <c r="AA58" i="28"/>
  <c r="Z58" i="28"/>
  <c r="Y58" i="28"/>
  <c r="X58" i="28"/>
  <c r="W58" i="28"/>
  <c r="V58" i="28"/>
  <c r="U58" i="28"/>
  <c r="T58" i="28"/>
  <c r="S58" i="28"/>
  <c r="R58" i="28"/>
  <c r="Q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AB57" i="28"/>
  <c r="AB65" i="28" s="1"/>
  <c r="AA57" i="28"/>
  <c r="Z57" i="28"/>
  <c r="Y57" i="28"/>
  <c r="X57" i="28"/>
  <c r="X65" i="28" s="1"/>
  <c r="W57" i="28"/>
  <c r="V57" i="28"/>
  <c r="U57" i="28"/>
  <c r="T57" i="28"/>
  <c r="T65" i="28" s="1"/>
  <c r="S57" i="28"/>
  <c r="R57" i="28"/>
  <c r="Q57" i="28"/>
  <c r="O57" i="28"/>
  <c r="N57" i="28"/>
  <c r="M57" i="28"/>
  <c r="M65" i="28" s="1"/>
  <c r="L57" i="28"/>
  <c r="L65" i="28" s="1"/>
  <c r="K57" i="28"/>
  <c r="J57" i="28"/>
  <c r="I57" i="28"/>
  <c r="I65" i="28" s="1"/>
  <c r="H57" i="28"/>
  <c r="H65" i="28" s="1"/>
  <c r="G57" i="28"/>
  <c r="F57" i="28"/>
  <c r="E57" i="28"/>
  <c r="E65" i="28" s="1"/>
  <c r="D57" i="28"/>
  <c r="AG56" i="28"/>
  <c r="Z55" i="28"/>
  <c r="V55" i="28"/>
  <c r="AB54" i="28"/>
  <c r="AA54" i="28"/>
  <c r="Z54" i="28"/>
  <c r="Y54" i="28"/>
  <c r="X54" i="28"/>
  <c r="W54" i="28"/>
  <c r="V54" i="28"/>
  <c r="U54" i="28"/>
  <c r="T54" i="28"/>
  <c r="S54" i="28"/>
  <c r="R54" i="28"/>
  <c r="Q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AB53" i="28"/>
  <c r="AA53" i="28"/>
  <c r="Z53" i="28"/>
  <c r="Y53" i="28"/>
  <c r="X53" i="28"/>
  <c r="W53" i="28"/>
  <c r="V53" i="28"/>
  <c r="U53" i="28"/>
  <c r="T53" i="28"/>
  <c r="S53" i="28"/>
  <c r="R53" i="28"/>
  <c r="Q53" i="28"/>
  <c r="O53" i="28"/>
  <c r="N53" i="28"/>
  <c r="M53" i="28"/>
  <c r="L53" i="28"/>
  <c r="K53" i="28"/>
  <c r="J53" i="28"/>
  <c r="I53" i="28"/>
  <c r="H53" i="28"/>
  <c r="G53" i="28"/>
  <c r="F53" i="28"/>
  <c r="E53" i="28"/>
  <c r="D53" i="28"/>
  <c r="P53" i="28" s="1"/>
  <c r="AB52" i="28"/>
  <c r="AA52" i="28"/>
  <c r="Z52" i="28"/>
  <c r="Y52" i="28"/>
  <c r="X52" i="28"/>
  <c r="W52" i="28"/>
  <c r="V52" i="28"/>
  <c r="U52" i="28"/>
  <c r="T52" i="28"/>
  <c r="S52" i="28"/>
  <c r="R52" i="28"/>
  <c r="Q52" i="28"/>
  <c r="AC52" i="28" s="1"/>
  <c r="O52" i="28"/>
  <c r="N52" i="28"/>
  <c r="M52" i="28"/>
  <c r="L52" i="28"/>
  <c r="K52" i="28"/>
  <c r="J52" i="28"/>
  <c r="I52" i="28"/>
  <c r="H52" i="28"/>
  <c r="G52" i="28"/>
  <c r="F52" i="28"/>
  <c r="E52" i="28"/>
  <c r="D52" i="28"/>
  <c r="AB51" i="28"/>
  <c r="AB55" i="28" s="1"/>
  <c r="AA51" i="28"/>
  <c r="Z51" i="28"/>
  <c r="Y51" i="28"/>
  <c r="X51" i="28"/>
  <c r="X55" i="28" s="1"/>
  <c r="W51" i="28"/>
  <c r="V51" i="28"/>
  <c r="U51" i="28"/>
  <c r="T51" i="28"/>
  <c r="T55" i="28" s="1"/>
  <c r="S51" i="28"/>
  <c r="R51" i="28"/>
  <c r="Q51" i="28"/>
  <c r="AB50" i="28"/>
  <c r="AA50" i="28"/>
  <c r="Z50" i="28"/>
  <c r="Y50" i="28"/>
  <c r="X50" i="28"/>
  <c r="W50" i="28"/>
  <c r="V50" i="28"/>
  <c r="U50" i="28"/>
  <c r="T50" i="28"/>
  <c r="S50" i="28"/>
  <c r="R50" i="28"/>
  <c r="R55" i="28" s="1"/>
  <c r="Q50" i="28"/>
  <c r="AC50" i="28" s="1"/>
  <c r="O50" i="28"/>
  <c r="N50" i="28"/>
  <c r="M50" i="28"/>
  <c r="L50" i="28"/>
  <c r="K50" i="28"/>
  <c r="J50" i="28"/>
  <c r="I50" i="28"/>
  <c r="H50" i="28"/>
  <c r="G50" i="28"/>
  <c r="F50" i="28"/>
  <c r="E50" i="28"/>
  <c r="D50" i="28"/>
  <c r="AG49" i="28"/>
  <c r="AB48" i="28"/>
  <c r="Y48" i="28"/>
  <c r="X48" i="28"/>
  <c r="T48" i="28"/>
  <c r="Q48" i="28"/>
  <c r="L48" i="28"/>
  <c r="I48" i="28"/>
  <c r="H48" i="28"/>
  <c r="D48" i="28"/>
  <c r="AB47" i="28"/>
  <c r="AA47" i="28"/>
  <c r="Z47" i="28"/>
  <c r="Y47" i="28"/>
  <c r="X47" i="28"/>
  <c r="W47" i="28"/>
  <c r="V47" i="28"/>
  <c r="U47" i="28"/>
  <c r="U48" i="28" s="1"/>
  <c r="T47" i="28"/>
  <c r="S47" i="28"/>
  <c r="R47" i="28"/>
  <c r="Q47" i="28"/>
  <c r="AC47" i="28" s="1"/>
  <c r="O47" i="28"/>
  <c r="N47" i="28"/>
  <c r="M47" i="28"/>
  <c r="M48" i="28" s="1"/>
  <c r="L47" i="28"/>
  <c r="K47" i="28"/>
  <c r="J47" i="28"/>
  <c r="I47" i="28"/>
  <c r="H47" i="28"/>
  <c r="G47" i="28"/>
  <c r="F47" i="28"/>
  <c r="E47" i="28"/>
  <c r="E48" i="28" s="1"/>
  <c r="D47" i="28"/>
  <c r="AB46" i="28"/>
  <c r="AA46" i="28"/>
  <c r="AA48" i="28" s="1"/>
  <c r="Z46" i="28"/>
  <c r="Y46" i="28"/>
  <c r="X46" i="28"/>
  <c r="W46" i="28"/>
  <c r="W48" i="28" s="1"/>
  <c r="V46" i="28"/>
  <c r="U46" i="28"/>
  <c r="T46" i="28"/>
  <c r="S46" i="28"/>
  <c r="S48" i="28" s="1"/>
  <c r="R46" i="28"/>
  <c r="Q46" i="28"/>
  <c r="AC46" i="28" s="1"/>
  <c r="AC48" i="28" s="1"/>
  <c r="O46" i="28"/>
  <c r="O48" i="28" s="1"/>
  <c r="N46" i="28"/>
  <c r="M46" i="28"/>
  <c r="L46" i="28"/>
  <c r="K46" i="28"/>
  <c r="K48" i="28" s="1"/>
  <c r="J46" i="28"/>
  <c r="I46" i="28"/>
  <c r="H46" i="28"/>
  <c r="G46" i="28"/>
  <c r="G48" i="28" s="1"/>
  <c r="F46" i="28"/>
  <c r="E46" i="28"/>
  <c r="D46" i="28"/>
  <c r="E41" i="28"/>
  <c r="Z40" i="28"/>
  <c r="R40" i="28"/>
  <c r="W39" i="28"/>
  <c r="O39" i="28"/>
  <c r="G39" i="28"/>
  <c r="T38" i="28"/>
  <c r="Y37" i="28"/>
  <c r="Q37" i="28"/>
  <c r="V36" i="28"/>
  <c r="AA35" i="28"/>
  <c r="S35" i="28"/>
  <c r="AB33" i="28"/>
  <c r="Y33" i="28"/>
  <c r="X33" i="28"/>
  <c r="U33" i="28"/>
  <c r="T33" i="28"/>
  <c r="Q33" i="28"/>
  <c r="M33" i="28"/>
  <c r="L33" i="28"/>
  <c r="H33" i="28"/>
  <c r="E33" i="28"/>
  <c r="D33" i="28"/>
  <c r="AB29" i="28"/>
  <c r="AA29" i="28"/>
  <c r="Z29" i="28"/>
  <c r="Y29" i="28"/>
  <c r="X29" i="28"/>
  <c r="W29" i="28"/>
  <c r="V29" i="28"/>
  <c r="U29" i="28"/>
  <c r="T29" i="28"/>
  <c r="S29" i="28"/>
  <c r="R29" i="28"/>
  <c r="Q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AB28" i="28"/>
  <c r="AA28" i="28"/>
  <c r="Z28" i="28"/>
  <c r="Y28" i="28"/>
  <c r="X28" i="28"/>
  <c r="W28" i="28"/>
  <c r="V28" i="28"/>
  <c r="U28" i="28"/>
  <c r="T28" i="28"/>
  <c r="S28" i="28"/>
  <c r="R28" i="28"/>
  <c r="Q28" i="28"/>
  <c r="AB27" i="28"/>
  <c r="AA27" i="28"/>
  <c r="Z27" i="28"/>
  <c r="Y27" i="28"/>
  <c r="X27" i="28"/>
  <c r="W27" i="28"/>
  <c r="V27" i="28"/>
  <c r="U27" i="28"/>
  <c r="AC27" i="28" s="1"/>
  <c r="AD27" i="28" s="1"/>
  <c r="AE27" i="28" s="1"/>
  <c r="T27" i="28"/>
  <c r="R27" i="28"/>
  <c r="Q27" i="28"/>
  <c r="P27" i="28"/>
  <c r="AG27" i="28" s="1"/>
  <c r="N27" i="28"/>
  <c r="L27" i="28"/>
  <c r="J27" i="28"/>
  <c r="H27" i="28"/>
  <c r="F27" i="28"/>
  <c r="E27" i="28"/>
  <c r="D27" i="28"/>
  <c r="AA26" i="28"/>
  <c r="Z26" i="28"/>
  <c r="Y26" i="28"/>
  <c r="W26" i="28"/>
  <c r="V26" i="28"/>
  <c r="U26" i="28"/>
  <c r="S26" i="28"/>
  <c r="R26" i="28"/>
  <c r="Q26" i="28"/>
  <c r="AC26" i="28" s="1"/>
  <c r="AA25" i="28"/>
  <c r="Z25" i="28"/>
  <c r="W25" i="28"/>
  <c r="V25" i="28"/>
  <c r="S25" i="28"/>
  <c r="R25" i="28"/>
  <c r="AB24" i="28"/>
  <c r="AA24" i="28"/>
  <c r="Z24" i="28"/>
  <c r="Y24" i="28"/>
  <c r="X24" i="28"/>
  <c r="W24" i="28"/>
  <c r="V24" i="28"/>
  <c r="U24" i="28"/>
  <c r="T24" i="28"/>
  <c r="S24" i="28"/>
  <c r="R24" i="28"/>
  <c r="Q24" i="28"/>
  <c r="AB23" i="28"/>
  <c r="AA23" i="28"/>
  <c r="Z23" i="28"/>
  <c r="Y23" i="28"/>
  <c r="X23" i="28"/>
  <c r="W23" i="28"/>
  <c r="V23" i="28"/>
  <c r="U23" i="28"/>
  <c r="T23" i="28"/>
  <c r="S23" i="28"/>
  <c r="R23" i="28"/>
  <c r="Q23" i="28"/>
  <c r="AA22" i="28"/>
  <c r="Z22" i="28"/>
  <c r="Y22" i="28"/>
  <c r="W22" i="28"/>
  <c r="V22" i="28"/>
  <c r="U22" i="28"/>
  <c r="U30" i="28" s="1"/>
  <c r="S22" i="28"/>
  <c r="R22" i="28"/>
  <c r="AC22" i="28" s="1"/>
  <c r="Q22" i="28"/>
  <c r="Q30" i="28" s="1"/>
  <c r="AB21" i="28"/>
  <c r="AA21" i="28"/>
  <c r="Z21" i="28"/>
  <c r="Z30" i="28" s="1"/>
  <c r="Y21" i="28"/>
  <c r="X21" i="28"/>
  <c r="W21" i="28"/>
  <c r="V21" i="28"/>
  <c r="V30" i="28" s="1"/>
  <c r="U21" i="28"/>
  <c r="T21" i="28"/>
  <c r="S21" i="28"/>
  <c r="R21" i="28"/>
  <c r="R30" i="28" s="1"/>
  <c r="Q21" i="28"/>
  <c r="X18" i="28"/>
  <c r="AB17" i="28"/>
  <c r="AB41" i="28" s="1"/>
  <c r="AA17" i="28"/>
  <c r="AA41" i="28" s="1"/>
  <c r="Z17" i="28"/>
  <c r="Y17" i="28"/>
  <c r="Y41" i="28" s="1"/>
  <c r="X17" i="28"/>
  <c r="X41" i="28" s="1"/>
  <c r="W17" i="28"/>
  <c r="W41" i="28" s="1"/>
  <c r="V17" i="28"/>
  <c r="U17" i="28"/>
  <c r="U41" i="28" s="1"/>
  <c r="T17" i="28"/>
  <c r="T41" i="28" s="1"/>
  <c r="S17" i="28"/>
  <c r="S41" i="28" s="1"/>
  <c r="R17" i="28"/>
  <c r="Q17" i="28"/>
  <c r="Q41" i="28" s="1"/>
  <c r="O17" i="28"/>
  <c r="O41" i="28" s="1"/>
  <c r="N17" i="28"/>
  <c r="N41" i="28" s="1"/>
  <c r="M17" i="28"/>
  <c r="M41" i="28" s="1"/>
  <c r="L17" i="28"/>
  <c r="L41" i="28" s="1"/>
  <c r="K17" i="28"/>
  <c r="K41" i="28" s="1"/>
  <c r="J17" i="28"/>
  <c r="J41" i="28" s="1"/>
  <c r="G17" i="28"/>
  <c r="G41" i="28" s="1"/>
  <c r="F17" i="28"/>
  <c r="F41" i="28" s="1"/>
  <c r="E17" i="28"/>
  <c r="D17" i="28"/>
  <c r="D41" i="28" s="1"/>
  <c r="AB16" i="28"/>
  <c r="AB40" i="28" s="1"/>
  <c r="AA16" i="28"/>
  <c r="AA40" i="28" s="1"/>
  <c r="Z16" i="28"/>
  <c r="Y16" i="28"/>
  <c r="Y40" i="28" s="1"/>
  <c r="X16" i="28"/>
  <c r="X40" i="28" s="1"/>
  <c r="W16" i="28"/>
  <c r="W40" i="28" s="1"/>
  <c r="V16" i="28"/>
  <c r="V40" i="28" s="1"/>
  <c r="U16" i="28"/>
  <c r="U40" i="28" s="1"/>
  <c r="T16" i="28"/>
  <c r="T40" i="28" s="1"/>
  <c r="S16" i="28"/>
  <c r="S40" i="28" s="1"/>
  <c r="R16" i="28"/>
  <c r="Q16" i="28"/>
  <c r="Q40" i="28" s="1"/>
  <c r="O16" i="28"/>
  <c r="N16" i="28"/>
  <c r="M16" i="28"/>
  <c r="L16" i="28"/>
  <c r="K16" i="28"/>
  <c r="J16" i="28"/>
  <c r="I16" i="28"/>
  <c r="H16" i="28"/>
  <c r="G16" i="28"/>
  <c r="F16" i="28"/>
  <c r="E16" i="28"/>
  <c r="D16" i="28"/>
  <c r="AB15" i="28"/>
  <c r="AB39" i="28" s="1"/>
  <c r="AA15" i="28"/>
  <c r="AA39" i="28" s="1"/>
  <c r="Z15" i="28"/>
  <c r="Z39" i="28" s="1"/>
  <c r="Y15" i="28"/>
  <c r="X15" i="28"/>
  <c r="X39" i="28" s="1"/>
  <c r="W15" i="28"/>
  <c r="V15" i="28"/>
  <c r="V39" i="28" s="1"/>
  <c r="U15" i="28"/>
  <c r="T15" i="28"/>
  <c r="T39" i="28" s="1"/>
  <c r="S15" i="28"/>
  <c r="S39" i="28" s="1"/>
  <c r="R15" i="28"/>
  <c r="R39" i="28" s="1"/>
  <c r="Q15" i="28"/>
  <c r="Q39" i="28" s="1"/>
  <c r="O15" i="28"/>
  <c r="N15" i="28"/>
  <c r="N39" i="28" s="1"/>
  <c r="M15" i="28"/>
  <c r="M39" i="28" s="1"/>
  <c r="L15" i="28"/>
  <c r="L39" i="28" s="1"/>
  <c r="K15" i="28"/>
  <c r="K39" i="28" s="1"/>
  <c r="J15" i="28"/>
  <c r="J39" i="28" s="1"/>
  <c r="I15" i="28"/>
  <c r="I39" i="28" s="1"/>
  <c r="H15" i="28"/>
  <c r="H39" i="28" s="1"/>
  <c r="G15" i="28"/>
  <c r="F15" i="28"/>
  <c r="F39" i="28" s="1"/>
  <c r="E15" i="28"/>
  <c r="D15" i="28"/>
  <c r="D39" i="28" s="1"/>
  <c r="AB14" i="28"/>
  <c r="AB38" i="28" s="1"/>
  <c r="Z14" i="28"/>
  <c r="Z38" i="28" s="1"/>
  <c r="Y14" i="28"/>
  <c r="Y38" i="28" s="1"/>
  <c r="X14" i="28"/>
  <c r="X38" i="28" s="1"/>
  <c r="V14" i="28"/>
  <c r="U14" i="28"/>
  <c r="U38" i="28" s="1"/>
  <c r="T14" i="28"/>
  <c r="R14" i="28"/>
  <c r="R38" i="28" s="1"/>
  <c r="Q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P14" i="28" s="1"/>
  <c r="AB13" i="28"/>
  <c r="AB37" i="28" s="1"/>
  <c r="AA13" i="28"/>
  <c r="AA37" i="28" s="1"/>
  <c r="Z13" i="28"/>
  <c r="Z37" i="28" s="1"/>
  <c r="Y13" i="28"/>
  <c r="X13" i="28"/>
  <c r="X37" i="28" s="1"/>
  <c r="W13" i="28"/>
  <c r="W37" i="28" s="1"/>
  <c r="V13" i="28"/>
  <c r="U13" i="28"/>
  <c r="U37" i="28" s="1"/>
  <c r="T13" i="28"/>
  <c r="T37" i="28" s="1"/>
  <c r="S13" i="28"/>
  <c r="S37" i="28" s="1"/>
  <c r="R13" i="28"/>
  <c r="R37" i="28" s="1"/>
  <c r="Q13" i="28"/>
  <c r="AC13" i="28" s="1"/>
  <c r="O13" i="28"/>
  <c r="N13" i="28"/>
  <c r="M13" i="28"/>
  <c r="L13" i="28"/>
  <c r="K13" i="28"/>
  <c r="J13" i="28"/>
  <c r="I13" i="28"/>
  <c r="H13" i="28"/>
  <c r="G13" i="28"/>
  <c r="F13" i="28"/>
  <c r="E13" i="28"/>
  <c r="D13" i="28"/>
  <c r="AB12" i="28"/>
  <c r="AB36" i="28" s="1"/>
  <c r="Z12" i="28"/>
  <c r="Z36" i="28" s="1"/>
  <c r="Y12" i="28"/>
  <c r="Y36" i="28" s="1"/>
  <c r="X12" i="28"/>
  <c r="X36" i="28" s="1"/>
  <c r="V12" i="28"/>
  <c r="U12" i="28"/>
  <c r="U36" i="28" s="1"/>
  <c r="T12" i="28"/>
  <c r="T36" i="28" s="1"/>
  <c r="R12" i="28"/>
  <c r="Q12" i="28"/>
  <c r="Q36" i="28" s="1"/>
  <c r="N12" i="28"/>
  <c r="M12" i="28"/>
  <c r="L12" i="28"/>
  <c r="J12" i="28"/>
  <c r="I12" i="28"/>
  <c r="H12" i="28"/>
  <c r="F12" i="28"/>
  <c r="E12" i="28"/>
  <c r="D12" i="28"/>
  <c r="AB11" i="28"/>
  <c r="AA11" i="28"/>
  <c r="Z11" i="28"/>
  <c r="Z35" i="28" s="1"/>
  <c r="Y11" i="28"/>
  <c r="Y35" i="28" s="1"/>
  <c r="X11" i="28"/>
  <c r="W11" i="28"/>
  <c r="W35" i="28" s="1"/>
  <c r="V11" i="28"/>
  <c r="V35" i="28" s="1"/>
  <c r="U11" i="28"/>
  <c r="U35" i="28" s="1"/>
  <c r="T11" i="28"/>
  <c r="S11" i="28"/>
  <c r="R11" i="28"/>
  <c r="R35" i="28" s="1"/>
  <c r="Q11" i="28"/>
  <c r="Q35" i="28" s="1"/>
  <c r="O11" i="28"/>
  <c r="N11" i="28"/>
  <c r="M11" i="28"/>
  <c r="L11" i="28"/>
  <c r="K11" i="28"/>
  <c r="J11" i="28"/>
  <c r="I11" i="28"/>
  <c r="H11" i="28"/>
  <c r="G11" i="28"/>
  <c r="F11" i="28"/>
  <c r="E11" i="28"/>
  <c r="D11" i="28"/>
  <c r="AB10" i="28"/>
  <c r="AA10" i="28"/>
  <c r="AA34" i="28" s="1"/>
  <c r="Z10" i="28"/>
  <c r="Z34" i="28" s="1"/>
  <c r="Y10" i="28"/>
  <c r="Y34" i="28" s="1"/>
  <c r="X10" i="28"/>
  <c r="X34" i="28" s="1"/>
  <c r="W10" i="28"/>
  <c r="W34" i="28" s="1"/>
  <c r="V10" i="28"/>
  <c r="V34" i="28" s="1"/>
  <c r="U10" i="28"/>
  <c r="U34" i="28" s="1"/>
  <c r="T10" i="28"/>
  <c r="S10" i="28"/>
  <c r="S34" i="28" s="1"/>
  <c r="R10" i="28"/>
  <c r="Q10" i="28"/>
  <c r="Q34" i="28" s="1"/>
  <c r="O10" i="28"/>
  <c r="N10" i="28"/>
  <c r="M10" i="28"/>
  <c r="L10" i="28"/>
  <c r="K10" i="28"/>
  <c r="J10" i="28"/>
  <c r="I10" i="28"/>
  <c r="H10" i="28"/>
  <c r="G10" i="28"/>
  <c r="F10" i="28"/>
  <c r="E10" i="28"/>
  <c r="D10" i="28"/>
  <c r="AB9" i="28"/>
  <c r="AA9" i="28"/>
  <c r="AA33" i="28" s="1"/>
  <c r="Z9" i="28"/>
  <c r="Y9" i="28"/>
  <c r="X9" i="28"/>
  <c r="W9" i="28"/>
  <c r="W33" i="28" s="1"/>
  <c r="V9" i="28"/>
  <c r="U9" i="28"/>
  <c r="T9" i="28"/>
  <c r="S9" i="28"/>
  <c r="S33" i="28" s="1"/>
  <c r="R9" i="28"/>
  <c r="Q9" i="28"/>
  <c r="O9" i="28"/>
  <c r="N9" i="28"/>
  <c r="M9" i="28"/>
  <c r="M18" i="28" s="1"/>
  <c r="L9" i="28"/>
  <c r="K9" i="28"/>
  <c r="J9" i="28"/>
  <c r="I9" i="28"/>
  <c r="H9" i="28"/>
  <c r="G9" i="28"/>
  <c r="F9" i="28"/>
  <c r="E9" i="28"/>
  <c r="E18" i="28" s="1"/>
  <c r="D9" i="28"/>
  <c r="AC7" i="28"/>
  <c r="AB7" i="28"/>
  <c r="AA7" i="28"/>
  <c r="AA7" i="31" s="1"/>
  <c r="Z7" i="28"/>
  <c r="Y7" i="28"/>
  <c r="Z7" i="36" s="1"/>
  <c r="X7" i="28"/>
  <c r="W7" i="28"/>
  <c r="X7" i="38" s="1"/>
  <c r="V7" i="28"/>
  <c r="U7" i="28"/>
  <c r="V7" i="34" s="1"/>
  <c r="T7" i="28"/>
  <c r="S7" i="28"/>
  <c r="S7" i="31" s="1"/>
  <c r="R7" i="28"/>
  <c r="Q7" i="28"/>
  <c r="P7" i="28"/>
  <c r="O7" i="28"/>
  <c r="P7" i="38" s="1"/>
  <c r="N7" i="28"/>
  <c r="M7" i="28"/>
  <c r="L7" i="28"/>
  <c r="K7" i="28"/>
  <c r="K7" i="31" s="1"/>
  <c r="J7" i="28"/>
  <c r="I7" i="28"/>
  <c r="J7" i="36" s="1"/>
  <c r="H7" i="28"/>
  <c r="G7" i="28"/>
  <c r="H7" i="38" s="1"/>
  <c r="F7" i="28"/>
  <c r="E7" i="28"/>
  <c r="F7" i="34" s="1"/>
  <c r="D7" i="28"/>
  <c r="AC6" i="28"/>
  <c r="AC6" i="31" s="1"/>
  <c r="AB6" i="28"/>
  <c r="AA6" i="28"/>
  <c r="Z6" i="28"/>
  <c r="Y6" i="28"/>
  <c r="Z6" i="38" s="1"/>
  <c r="X6" i="28"/>
  <c r="W6" i="28"/>
  <c r="V6" i="28"/>
  <c r="U6" i="28"/>
  <c r="U6" i="31" s="1"/>
  <c r="T6" i="28"/>
  <c r="S6" i="28"/>
  <c r="T6" i="36" s="1"/>
  <c r="R6" i="28"/>
  <c r="Q6" i="28"/>
  <c r="R6" i="38" s="1"/>
  <c r="P6" i="28"/>
  <c r="O6" i="28"/>
  <c r="P6" i="34" s="1"/>
  <c r="N6" i="28"/>
  <c r="M6" i="28"/>
  <c r="M6" i="31" s="1"/>
  <c r="L6" i="28"/>
  <c r="K6" i="28"/>
  <c r="J6" i="28"/>
  <c r="I6" i="28"/>
  <c r="J6" i="38" s="1"/>
  <c r="H6" i="28"/>
  <c r="G6" i="28"/>
  <c r="F6" i="28"/>
  <c r="E6" i="28"/>
  <c r="E6" i="31" s="1"/>
  <c r="D6" i="28"/>
  <c r="C4" i="28"/>
  <c r="AE117" i="27"/>
  <c r="AC117" i="27"/>
  <c r="P117" i="27"/>
  <c r="AD117" i="27" s="1"/>
  <c r="AB115" i="27"/>
  <c r="AB16" i="27" s="1"/>
  <c r="AA115" i="27"/>
  <c r="AA16" i="27" s="1"/>
  <c r="AA62" i="27" s="1"/>
  <c r="AA63" i="27" s="1"/>
  <c r="T115" i="27"/>
  <c r="T16" i="27" s="1"/>
  <c r="L115" i="27"/>
  <c r="L16" i="27" s="1"/>
  <c r="K115" i="27"/>
  <c r="K16" i="27" s="1"/>
  <c r="D115" i="27"/>
  <c r="D16" i="27" s="1"/>
  <c r="AB114" i="27"/>
  <c r="AA114" i="27"/>
  <c r="Z114" i="27"/>
  <c r="Y114" i="27"/>
  <c r="X114" i="27"/>
  <c r="X115" i="27" s="1"/>
  <c r="X16" i="27" s="1"/>
  <c r="W114" i="27"/>
  <c r="V114" i="27"/>
  <c r="U114" i="27"/>
  <c r="T114" i="27"/>
  <c r="S114" i="27"/>
  <c r="R114" i="27"/>
  <c r="Q114" i="27"/>
  <c r="O114" i="27"/>
  <c r="N114" i="27"/>
  <c r="M114" i="27"/>
  <c r="L114" i="27"/>
  <c r="K114" i="27"/>
  <c r="J114" i="27"/>
  <c r="I114" i="27"/>
  <c r="H114" i="27"/>
  <c r="H115" i="27" s="1"/>
  <c r="H16" i="27" s="1"/>
  <c r="G114" i="27"/>
  <c r="F114" i="27"/>
  <c r="E114" i="27"/>
  <c r="D114" i="27"/>
  <c r="AC113" i="27"/>
  <c r="P113" i="27"/>
  <c r="AD113" i="27" s="1"/>
  <c r="AE113" i="27" s="1"/>
  <c r="AC112" i="27"/>
  <c r="P112" i="27"/>
  <c r="AD112" i="27" s="1"/>
  <c r="AE112" i="27" s="1"/>
  <c r="AE111" i="27"/>
  <c r="AC111" i="27"/>
  <c r="P111" i="27"/>
  <c r="AD111" i="27" s="1"/>
  <c r="AE110" i="27"/>
  <c r="AC110" i="27"/>
  <c r="P110" i="27"/>
  <c r="AD110" i="27" s="1"/>
  <c r="AC109" i="27"/>
  <c r="P109" i="27"/>
  <c r="AD109" i="27" s="1"/>
  <c r="AE109" i="27" s="1"/>
  <c r="AC108" i="27"/>
  <c r="P108" i="27"/>
  <c r="AD108" i="27" s="1"/>
  <c r="AE108" i="27" s="1"/>
  <c r="AE107" i="27"/>
  <c r="AC107" i="27"/>
  <c r="P107" i="27"/>
  <c r="AD107" i="27" s="1"/>
  <c r="AE106" i="27"/>
  <c r="AC106" i="27"/>
  <c r="P106" i="27"/>
  <c r="AD106" i="27" s="1"/>
  <c r="AE105" i="27"/>
  <c r="AD105" i="27"/>
  <c r="AC105" i="27"/>
  <c r="AC114" i="27" s="1"/>
  <c r="AB103" i="27"/>
  <c r="AA103" i="27"/>
  <c r="Z103" i="27"/>
  <c r="Y103" i="27"/>
  <c r="X103" i="27"/>
  <c r="W103" i="27"/>
  <c r="V103" i="27"/>
  <c r="U103" i="27"/>
  <c r="T103" i="27"/>
  <c r="S103" i="27"/>
  <c r="R103" i="27"/>
  <c r="Q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AD102" i="27"/>
  <c r="AE102" i="27" s="1"/>
  <c r="AC102" i="27"/>
  <c r="P102" i="27"/>
  <c r="AD101" i="27"/>
  <c r="AE101" i="27" s="1"/>
  <c r="AC101" i="27"/>
  <c r="P101" i="27"/>
  <c r="AD100" i="27"/>
  <c r="AE100" i="27" s="1"/>
  <c r="AC100" i="27"/>
  <c r="P100" i="27"/>
  <c r="AD99" i="27"/>
  <c r="AE99" i="27" s="1"/>
  <c r="AC99" i="27"/>
  <c r="P99" i="27"/>
  <c r="AD98" i="27"/>
  <c r="AE98" i="27" s="1"/>
  <c r="AC98" i="27"/>
  <c r="P98" i="27"/>
  <c r="AD97" i="27"/>
  <c r="AE97" i="27" s="1"/>
  <c r="AC97" i="27"/>
  <c r="P97" i="27"/>
  <c r="AD96" i="27"/>
  <c r="AE96" i="27" s="1"/>
  <c r="AC96" i="27"/>
  <c r="P96" i="27"/>
  <c r="AD95" i="27"/>
  <c r="AE95" i="27" s="1"/>
  <c r="AC95" i="27"/>
  <c r="AC103" i="27" s="1"/>
  <c r="AD103" i="27" s="1"/>
  <c r="AE103" i="27" s="1"/>
  <c r="P95" i="27"/>
  <c r="P103" i="27" s="1"/>
  <c r="AB93" i="27"/>
  <c r="AA93" i="27"/>
  <c r="Z93" i="27"/>
  <c r="Y93" i="27"/>
  <c r="X93" i="27"/>
  <c r="W93" i="27"/>
  <c r="V93" i="27"/>
  <c r="U93" i="27"/>
  <c r="T93" i="27"/>
  <c r="S93" i="27"/>
  <c r="R93" i="27"/>
  <c r="Q93" i="27"/>
  <c r="O93" i="27"/>
  <c r="N93" i="27"/>
  <c r="M93" i="27"/>
  <c r="L93" i="27"/>
  <c r="K93" i="27"/>
  <c r="J93" i="27"/>
  <c r="I93" i="27"/>
  <c r="H93" i="27"/>
  <c r="G93" i="27"/>
  <c r="F93" i="27"/>
  <c r="E93" i="27"/>
  <c r="D93" i="27"/>
  <c r="AD92" i="27"/>
  <c r="AE92" i="27" s="1"/>
  <c r="AC92" i="27"/>
  <c r="P92" i="27"/>
  <c r="AD91" i="27"/>
  <c r="AE91" i="27" s="1"/>
  <c r="AC91" i="27"/>
  <c r="P91" i="27"/>
  <c r="AD90" i="27"/>
  <c r="AE90" i="27" s="1"/>
  <c r="AC90" i="27"/>
  <c r="P90" i="27"/>
  <c r="AD89" i="27"/>
  <c r="AE89" i="27" s="1"/>
  <c r="AC89" i="27"/>
  <c r="P89" i="27"/>
  <c r="AD88" i="27"/>
  <c r="AE88" i="27" s="1"/>
  <c r="AC88" i="27"/>
  <c r="AC93" i="27" s="1"/>
  <c r="P88" i="27"/>
  <c r="P93" i="27" s="1"/>
  <c r="AD93" i="27" s="1"/>
  <c r="AE93" i="27" s="1"/>
  <c r="AB86" i="27"/>
  <c r="AA86" i="27"/>
  <c r="Z86" i="27"/>
  <c r="Y86" i="27"/>
  <c r="Y115" i="27" s="1"/>
  <c r="Y16" i="27" s="1"/>
  <c r="X86" i="27"/>
  <c r="W86" i="27"/>
  <c r="W115" i="27" s="1"/>
  <c r="W16" i="27" s="1"/>
  <c r="V86" i="27"/>
  <c r="U86" i="27"/>
  <c r="U115" i="27" s="1"/>
  <c r="U16" i="27" s="1"/>
  <c r="T86" i="27"/>
  <c r="S86" i="27"/>
  <c r="S115" i="27" s="1"/>
  <c r="S16" i="27" s="1"/>
  <c r="S62" i="27" s="1"/>
  <c r="S63" i="27" s="1"/>
  <c r="R86" i="27"/>
  <c r="Q86" i="27"/>
  <c r="Q115" i="27" s="1"/>
  <c r="Q16" i="27" s="1"/>
  <c r="O86" i="27"/>
  <c r="O115" i="27" s="1"/>
  <c r="O16" i="27" s="1"/>
  <c r="N86" i="27"/>
  <c r="N115" i="27" s="1"/>
  <c r="N16" i="27" s="1"/>
  <c r="M86" i="27"/>
  <c r="M115" i="27" s="1"/>
  <c r="M16" i="27" s="1"/>
  <c r="L86" i="27"/>
  <c r="K86" i="27"/>
  <c r="J86" i="27"/>
  <c r="J115" i="27" s="1"/>
  <c r="J16" i="27" s="1"/>
  <c r="I86" i="27"/>
  <c r="I115" i="27" s="1"/>
  <c r="I16" i="27" s="1"/>
  <c r="H86" i="27"/>
  <c r="G86" i="27"/>
  <c r="G115" i="27" s="1"/>
  <c r="G16" i="27" s="1"/>
  <c r="F86" i="27"/>
  <c r="F115" i="27" s="1"/>
  <c r="F16" i="27" s="1"/>
  <c r="E86" i="27"/>
  <c r="E115" i="27" s="1"/>
  <c r="E16" i="27" s="1"/>
  <c r="D86" i="27"/>
  <c r="AD85" i="27"/>
  <c r="AE85" i="27" s="1"/>
  <c r="AC85" i="27"/>
  <c r="P85" i="27"/>
  <c r="AD84" i="27"/>
  <c r="AE84" i="27" s="1"/>
  <c r="AC84" i="27"/>
  <c r="P84" i="27"/>
  <c r="AD83" i="27"/>
  <c r="AE83" i="27" s="1"/>
  <c r="AC83" i="27"/>
  <c r="AC86" i="27" s="1"/>
  <c r="AD86" i="27" s="1"/>
  <c r="AE86" i="27" s="1"/>
  <c r="P83" i="27"/>
  <c r="P86" i="27" s="1"/>
  <c r="AA79" i="27"/>
  <c r="Z79" i="27"/>
  <c r="W79" i="27"/>
  <c r="V79" i="27"/>
  <c r="S79" i="27"/>
  <c r="R79" i="27"/>
  <c r="O79" i="27"/>
  <c r="N79" i="27"/>
  <c r="K79" i="27"/>
  <c r="J79" i="27"/>
  <c r="G79" i="27"/>
  <c r="F79" i="27"/>
  <c r="V78" i="27"/>
  <c r="U78" i="27"/>
  <c r="T78" i="27"/>
  <c r="S78" i="27"/>
  <c r="R78" i="27"/>
  <c r="Q78" i="27"/>
  <c r="O78" i="27"/>
  <c r="N78" i="27"/>
  <c r="M78" i="27"/>
  <c r="L78" i="27"/>
  <c r="K78" i="27"/>
  <c r="J78" i="27"/>
  <c r="I78" i="27"/>
  <c r="H78" i="27"/>
  <c r="G78" i="27"/>
  <c r="F78" i="27"/>
  <c r="E78" i="27"/>
  <c r="D78" i="27"/>
  <c r="V77" i="27"/>
  <c r="U77" i="27"/>
  <c r="T77" i="27"/>
  <c r="S77" i="27"/>
  <c r="R77" i="27"/>
  <c r="Q77" i="27"/>
  <c r="O77" i="27"/>
  <c r="N77" i="27"/>
  <c r="M77" i="27"/>
  <c r="L77" i="27"/>
  <c r="K77" i="27"/>
  <c r="J77" i="27"/>
  <c r="I77" i="27"/>
  <c r="H77" i="27"/>
  <c r="G77" i="27"/>
  <c r="F77" i="27"/>
  <c r="E77" i="27"/>
  <c r="D77" i="27"/>
  <c r="V76" i="27"/>
  <c r="U76" i="27"/>
  <c r="T76" i="27"/>
  <c r="S76" i="27"/>
  <c r="R76" i="27"/>
  <c r="Q76" i="27"/>
  <c r="O76" i="27"/>
  <c r="N76" i="27"/>
  <c r="M76" i="27"/>
  <c r="L76" i="27"/>
  <c r="K76" i="27"/>
  <c r="J76" i="27"/>
  <c r="I76" i="27"/>
  <c r="H76" i="27"/>
  <c r="G76" i="27"/>
  <c r="F76" i="27"/>
  <c r="E76" i="27"/>
  <c r="D76" i="27"/>
  <c r="V75" i="27"/>
  <c r="U75" i="27"/>
  <c r="T75" i="27"/>
  <c r="S75" i="27"/>
  <c r="R75" i="27"/>
  <c r="Q75" i="27"/>
  <c r="O75" i="27"/>
  <c r="N75" i="27"/>
  <c r="M75" i="27"/>
  <c r="L75" i="27"/>
  <c r="K75" i="27"/>
  <c r="J75" i="27"/>
  <c r="I75" i="27"/>
  <c r="H75" i="27"/>
  <c r="G75" i="27"/>
  <c r="F75" i="27"/>
  <c r="E75" i="27"/>
  <c r="D75" i="27"/>
  <c r="V74" i="27"/>
  <c r="U74" i="27"/>
  <c r="T74" i="27"/>
  <c r="S74" i="27"/>
  <c r="R74" i="27"/>
  <c r="Q74" i="27"/>
  <c r="O74" i="27"/>
  <c r="N74" i="27"/>
  <c r="M74" i="27"/>
  <c r="L74" i="27"/>
  <c r="K74" i="27"/>
  <c r="J74" i="27"/>
  <c r="I74" i="27"/>
  <c r="H74" i="27"/>
  <c r="G74" i="27"/>
  <c r="F74" i="27"/>
  <c r="E74" i="27"/>
  <c r="D74" i="27"/>
  <c r="AB71" i="27"/>
  <c r="AB79" i="27" s="1"/>
  <c r="AA71" i="27"/>
  <c r="Z71" i="27"/>
  <c r="Y71" i="27"/>
  <c r="Y79" i="27" s="1"/>
  <c r="X71" i="27"/>
  <c r="X79" i="27" s="1"/>
  <c r="W71" i="27"/>
  <c r="V71" i="27"/>
  <c r="U71" i="27"/>
  <c r="U79" i="27" s="1"/>
  <c r="T71" i="27"/>
  <c r="T79" i="27" s="1"/>
  <c r="S71" i="27"/>
  <c r="R71" i="27"/>
  <c r="Q71" i="27"/>
  <c r="Q79" i="27" s="1"/>
  <c r="O71" i="27"/>
  <c r="N71" i="27"/>
  <c r="M71" i="27"/>
  <c r="M79" i="27" s="1"/>
  <c r="L71" i="27"/>
  <c r="L79" i="27" s="1"/>
  <c r="K71" i="27"/>
  <c r="J71" i="27"/>
  <c r="I71" i="27"/>
  <c r="I79" i="27" s="1"/>
  <c r="H71" i="27"/>
  <c r="H79" i="27" s="1"/>
  <c r="G71" i="27"/>
  <c r="F71" i="27"/>
  <c r="E71" i="27"/>
  <c r="E79" i="27" s="1"/>
  <c r="D71" i="27"/>
  <c r="D79" i="27" s="1"/>
  <c r="AC70" i="27"/>
  <c r="AC78" i="27" s="1"/>
  <c r="P70" i="27"/>
  <c r="AC69" i="27"/>
  <c r="AC77" i="27" s="1"/>
  <c r="P69" i="27"/>
  <c r="AC68" i="27"/>
  <c r="AC76" i="27" s="1"/>
  <c r="P68" i="27"/>
  <c r="AC67" i="27"/>
  <c r="AC75" i="27" s="1"/>
  <c r="P67" i="27"/>
  <c r="AC66" i="27"/>
  <c r="P66" i="27"/>
  <c r="P71" i="27" s="1"/>
  <c r="AB61" i="27"/>
  <c r="AA61" i="27"/>
  <c r="Z61" i="27"/>
  <c r="Y61" i="27"/>
  <c r="X61" i="27"/>
  <c r="W61" i="27"/>
  <c r="V61" i="27"/>
  <c r="U61" i="27"/>
  <c r="T61" i="27"/>
  <c r="S61" i="27"/>
  <c r="R61" i="27"/>
  <c r="Q61" i="27"/>
  <c r="O61" i="27"/>
  <c r="N61" i="27"/>
  <c r="M61" i="27"/>
  <c r="L61" i="27"/>
  <c r="K61" i="27"/>
  <c r="J61" i="27"/>
  <c r="I61" i="27"/>
  <c r="H61" i="27"/>
  <c r="G61" i="27"/>
  <c r="F61" i="27"/>
  <c r="E61" i="27"/>
  <c r="D61" i="27"/>
  <c r="AD60" i="27"/>
  <c r="AE60" i="27" s="1"/>
  <c r="AC60" i="27"/>
  <c r="P60" i="27"/>
  <c r="AD59" i="27"/>
  <c r="AE59" i="27" s="1"/>
  <c r="AC59" i="27"/>
  <c r="P59" i="27"/>
  <c r="AD58" i="27"/>
  <c r="AE58" i="27" s="1"/>
  <c r="AC58" i="27"/>
  <c r="P58" i="27"/>
  <c r="AD57" i="27"/>
  <c r="AE57" i="27" s="1"/>
  <c r="AC57" i="27"/>
  <c r="P57" i="27"/>
  <c r="AD56" i="27"/>
  <c r="AE56" i="27" s="1"/>
  <c r="AC56" i="27"/>
  <c r="P56" i="27"/>
  <c r="AD55" i="27"/>
  <c r="AE55" i="27" s="1"/>
  <c r="AC55" i="27"/>
  <c r="P55" i="27"/>
  <c r="AD54" i="27"/>
  <c r="AE54" i="27" s="1"/>
  <c r="AC54" i="27"/>
  <c r="P54" i="27"/>
  <c r="AD53" i="27"/>
  <c r="AE53" i="27" s="1"/>
  <c r="AC53" i="27"/>
  <c r="P53" i="27"/>
  <c r="AD52" i="27"/>
  <c r="AE52" i="27" s="1"/>
  <c r="AC52" i="27"/>
  <c r="P52" i="27"/>
  <c r="AD51" i="27"/>
  <c r="AE51" i="27" s="1"/>
  <c r="AC51" i="27"/>
  <c r="P51" i="27"/>
  <c r="AD50" i="27"/>
  <c r="AE50" i="27" s="1"/>
  <c r="AC50" i="27"/>
  <c r="P50" i="27"/>
  <c r="AD49" i="27"/>
  <c r="AE49" i="27" s="1"/>
  <c r="AC49" i="27"/>
  <c r="P49" i="27"/>
  <c r="AD48" i="27"/>
  <c r="AE48" i="27" s="1"/>
  <c r="AC48" i="27"/>
  <c r="P48" i="27"/>
  <c r="AD47" i="27"/>
  <c r="AE47" i="27" s="1"/>
  <c r="AC47" i="27"/>
  <c r="P47" i="27"/>
  <c r="AD46" i="27"/>
  <c r="AE46" i="27" s="1"/>
  <c r="AC46" i="27"/>
  <c r="P46" i="27"/>
  <c r="AD45" i="27"/>
  <c r="AE45" i="27" s="1"/>
  <c r="AC45" i="27"/>
  <c r="P45" i="27"/>
  <c r="AD44" i="27"/>
  <c r="AE44" i="27" s="1"/>
  <c r="AC44" i="27"/>
  <c r="P44" i="27"/>
  <c r="AD43" i="27"/>
  <c r="AE43" i="27" s="1"/>
  <c r="AC43" i="27"/>
  <c r="P43" i="27"/>
  <c r="AD42" i="27"/>
  <c r="AE42" i="27" s="1"/>
  <c r="AC42" i="27"/>
  <c r="P42" i="27"/>
  <c r="AD41" i="27"/>
  <c r="AE41" i="27" s="1"/>
  <c r="AC41" i="27"/>
  <c r="P41" i="27"/>
  <c r="AD40" i="27"/>
  <c r="AE40" i="27" s="1"/>
  <c r="AC40" i="27"/>
  <c r="P40" i="27"/>
  <c r="AD39" i="27"/>
  <c r="AE39" i="27" s="1"/>
  <c r="AC39" i="27"/>
  <c r="P39" i="27"/>
  <c r="AD38" i="27"/>
  <c r="AE38" i="27" s="1"/>
  <c r="AC38" i="27"/>
  <c r="P38" i="27"/>
  <c r="AD37" i="27"/>
  <c r="AE37" i="27" s="1"/>
  <c r="AC37" i="27"/>
  <c r="P37" i="27"/>
  <c r="AD36" i="27"/>
  <c r="AE36" i="27" s="1"/>
  <c r="AC36" i="27"/>
  <c r="P36" i="27"/>
  <c r="AD35" i="27"/>
  <c r="AE35" i="27" s="1"/>
  <c r="AC35" i="27"/>
  <c r="P35" i="27"/>
  <c r="AD34" i="27"/>
  <c r="AE34" i="27" s="1"/>
  <c r="AC34" i="27"/>
  <c r="P34" i="27"/>
  <c r="AD33" i="27"/>
  <c r="AE33" i="27" s="1"/>
  <c r="AC33" i="27"/>
  <c r="P33" i="27"/>
  <c r="AD32" i="27"/>
  <c r="AE32" i="27" s="1"/>
  <c r="AC32" i="27"/>
  <c r="P32" i="27"/>
  <c r="AD31" i="27"/>
  <c r="AE31" i="27" s="1"/>
  <c r="AC31" i="27"/>
  <c r="P31" i="27"/>
  <c r="AD30" i="27"/>
  <c r="AE30" i="27" s="1"/>
  <c r="AC30" i="27"/>
  <c r="P30" i="27"/>
  <c r="AD29" i="27"/>
  <c r="AE29" i="27" s="1"/>
  <c r="AC29" i="27"/>
  <c r="P29" i="27"/>
  <c r="AD28" i="27"/>
  <c r="AE28" i="27" s="1"/>
  <c r="AC28" i="27"/>
  <c r="P28" i="27"/>
  <c r="AD27" i="27"/>
  <c r="AE27" i="27" s="1"/>
  <c r="AC27" i="27"/>
  <c r="P27" i="27"/>
  <c r="AD26" i="27"/>
  <c r="AE26" i="27" s="1"/>
  <c r="AC26" i="27"/>
  <c r="P26" i="27"/>
  <c r="AD25" i="27"/>
  <c r="AE25" i="27" s="1"/>
  <c r="AC25" i="27"/>
  <c r="P25" i="27"/>
  <c r="AD24" i="27"/>
  <c r="AE24" i="27" s="1"/>
  <c r="AC24" i="27"/>
  <c r="P24" i="27"/>
  <c r="AD23" i="27"/>
  <c r="AE23" i="27" s="1"/>
  <c r="AC23" i="27"/>
  <c r="P23" i="27"/>
  <c r="AD22" i="27"/>
  <c r="AE22" i="27" s="1"/>
  <c r="AC22" i="27"/>
  <c r="P22" i="27"/>
  <c r="AD21" i="27"/>
  <c r="AE21" i="27" s="1"/>
  <c r="AC21" i="27"/>
  <c r="P21" i="27"/>
  <c r="AD20" i="27"/>
  <c r="AE20" i="27" s="1"/>
  <c r="AC20" i="27"/>
  <c r="P20" i="27"/>
  <c r="AD19" i="27"/>
  <c r="AE19" i="27" s="1"/>
  <c r="AC19" i="27"/>
  <c r="P19" i="27"/>
  <c r="P61" i="27" s="1"/>
  <c r="AE14" i="27"/>
  <c r="AB14" i="27"/>
  <c r="AA14" i="27"/>
  <c r="Z14" i="27"/>
  <c r="Y14" i="27"/>
  <c r="X14" i="27"/>
  <c r="W14" i="27"/>
  <c r="V14" i="27"/>
  <c r="U14" i="27"/>
  <c r="T14" i="27"/>
  <c r="S14" i="27"/>
  <c r="R14" i="27"/>
  <c r="Q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AD13" i="27"/>
  <c r="AE13" i="27" s="1"/>
  <c r="AC13" i="27"/>
  <c r="AC14" i="27" s="1"/>
  <c r="AD14" i="27" s="1"/>
  <c r="P13" i="27"/>
  <c r="P14" i="27" s="1"/>
  <c r="AD10" i="27"/>
  <c r="AE10" i="27" s="1"/>
  <c r="AB10" i="27"/>
  <c r="AB62" i="27" s="1"/>
  <c r="AB63" i="27" s="1"/>
  <c r="AA10" i="27"/>
  <c r="Z10" i="27"/>
  <c r="Y10" i="27"/>
  <c r="Y62" i="27" s="1"/>
  <c r="Y63" i="27" s="1"/>
  <c r="X10" i="27"/>
  <c r="W10" i="27"/>
  <c r="V10" i="27"/>
  <c r="U10" i="27"/>
  <c r="U62" i="27" s="1"/>
  <c r="U63" i="27" s="1"/>
  <c r="T10" i="27"/>
  <c r="T62" i="27" s="1"/>
  <c r="T63" i="27" s="1"/>
  <c r="S10" i="27"/>
  <c r="R10" i="27"/>
  <c r="Q10" i="27"/>
  <c r="Q62" i="27" s="1"/>
  <c r="Q63" i="27" s="1"/>
  <c r="O10" i="27"/>
  <c r="O62" i="27" s="1"/>
  <c r="O63" i="27" s="1"/>
  <c r="N10" i="27"/>
  <c r="M10" i="27"/>
  <c r="M62" i="27" s="1"/>
  <c r="M63" i="27" s="1"/>
  <c r="L10" i="27"/>
  <c r="L62" i="27" s="1"/>
  <c r="L63" i="27" s="1"/>
  <c r="K10" i="27"/>
  <c r="J10" i="27"/>
  <c r="I10" i="27"/>
  <c r="I62" i="27" s="1"/>
  <c r="I63" i="27" s="1"/>
  <c r="H10" i="27"/>
  <c r="G10" i="27"/>
  <c r="G62" i="27" s="1"/>
  <c r="G63" i="27" s="1"/>
  <c r="F10" i="27"/>
  <c r="E10" i="27"/>
  <c r="E62" i="27" s="1"/>
  <c r="E63" i="27" s="1"/>
  <c r="D10" i="27"/>
  <c r="D62" i="27" s="1"/>
  <c r="D63" i="27" s="1"/>
  <c r="AE9" i="27"/>
  <c r="AC9" i="27"/>
  <c r="AC10" i="27" s="1"/>
  <c r="P9" i="27"/>
  <c r="P10" i="27" s="1"/>
  <c r="C4" i="27"/>
  <c r="O2" i="27"/>
  <c r="N2" i="27"/>
  <c r="M2" i="27"/>
  <c r="L2" i="27"/>
  <c r="K2" i="27"/>
  <c r="J2" i="27"/>
  <c r="I2" i="27"/>
  <c r="H2" i="27"/>
  <c r="G2" i="27"/>
  <c r="F2" i="27"/>
  <c r="E2" i="27"/>
  <c r="D2" i="27"/>
  <c r="O1" i="27"/>
  <c r="N1" i="27"/>
  <c r="M1" i="27"/>
  <c r="L1" i="27"/>
  <c r="K1" i="27"/>
  <c r="J1" i="27"/>
  <c r="I1" i="27"/>
  <c r="H1" i="27"/>
  <c r="G1" i="27"/>
  <c r="F1" i="27"/>
  <c r="E1" i="27"/>
  <c r="D1" i="27"/>
  <c r="P141" i="26"/>
  <c r="O141" i="26"/>
  <c r="N141" i="26"/>
  <c r="M141" i="26"/>
  <c r="L141" i="26"/>
  <c r="K141" i="26"/>
  <c r="J141" i="26"/>
  <c r="I141" i="26"/>
  <c r="H141" i="26"/>
  <c r="G141" i="26"/>
  <c r="F141" i="26"/>
  <c r="E141" i="26"/>
  <c r="D141" i="26"/>
  <c r="P140" i="26"/>
  <c r="P139" i="26"/>
  <c r="P138" i="26"/>
  <c r="AG136" i="26"/>
  <c r="AE136" i="26"/>
  <c r="AC136" i="26"/>
  <c r="P136" i="26"/>
  <c r="AD136" i="26" s="1"/>
  <c r="AG135" i="26"/>
  <c r="Y134" i="26"/>
  <c r="Y35" i="26" s="1"/>
  <c r="V134" i="26"/>
  <c r="V35" i="26" s="1"/>
  <c r="Q134" i="26"/>
  <c r="Q35" i="26" s="1"/>
  <c r="I134" i="26"/>
  <c r="I35" i="26" s="1"/>
  <c r="AB133" i="26"/>
  <c r="AA133" i="26"/>
  <c r="Z133" i="26"/>
  <c r="Y133" i="26"/>
  <c r="X133" i="26"/>
  <c r="W133" i="26"/>
  <c r="V133" i="26"/>
  <c r="U133" i="26"/>
  <c r="T133" i="26"/>
  <c r="S133" i="26"/>
  <c r="R133" i="26"/>
  <c r="Q133" i="26"/>
  <c r="O133" i="26"/>
  <c r="N133" i="26"/>
  <c r="M133" i="26"/>
  <c r="L133" i="26"/>
  <c r="K133" i="26"/>
  <c r="J133" i="26"/>
  <c r="I133" i="26"/>
  <c r="H133" i="26"/>
  <c r="G133" i="26"/>
  <c r="F133" i="26"/>
  <c r="E133" i="26"/>
  <c r="D133" i="26"/>
  <c r="AC132" i="26"/>
  <c r="P132" i="26"/>
  <c r="AG131" i="26"/>
  <c r="AC131" i="26"/>
  <c r="P131" i="26"/>
  <c r="AD131" i="26" s="1"/>
  <c r="AE131" i="26" s="1"/>
  <c r="AD130" i="26"/>
  <c r="AE130" i="26" s="1"/>
  <c r="AC130" i="26"/>
  <c r="P130" i="26"/>
  <c r="AG130" i="26" s="1"/>
  <c r="AD129" i="26"/>
  <c r="AE129" i="26" s="1"/>
  <c r="AC129" i="26"/>
  <c r="P129" i="26"/>
  <c r="AG129" i="26" s="1"/>
  <c r="AG128" i="26"/>
  <c r="AE128" i="26"/>
  <c r="AC128" i="26"/>
  <c r="P128" i="26"/>
  <c r="AD128" i="26" s="1"/>
  <c r="AC127" i="26"/>
  <c r="P127" i="26"/>
  <c r="AC126" i="26"/>
  <c r="AD126" i="26" s="1"/>
  <c r="AE126" i="26" s="1"/>
  <c r="P126" i="26"/>
  <c r="AG126" i="26" s="1"/>
  <c r="AE125" i="26"/>
  <c r="AD125" i="26"/>
  <c r="AC125" i="26"/>
  <c r="P125" i="26"/>
  <c r="AG125" i="26" s="1"/>
  <c r="AC124" i="26"/>
  <c r="P124" i="26"/>
  <c r="AG123" i="26"/>
  <c r="AB122" i="26"/>
  <c r="AA122" i="26"/>
  <c r="Z122" i="26"/>
  <c r="Y122" i="26"/>
  <c r="X122" i="26"/>
  <c r="W122" i="26"/>
  <c r="V122" i="26"/>
  <c r="U122" i="26"/>
  <c r="U134" i="26" s="1"/>
  <c r="U35" i="26" s="1"/>
  <c r="T122" i="26"/>
  <c r="S122" i="26"/>
  <c r="R122" i="26"/>
  <c r="Q122" i="26"/>
  <c r="O122" i="26"/>
  <c r="N122" i="26"/>
  <c r="M122" i="26"/>
  <c r="M134" i="26" s="1"/>
  <c r="L122" i="26"/>
  <c r="K122" i="26"/>
  <c r="J122" i="26"/>
  <c r="I122" i="26"/>
  <c r="H122" i="26"/>
  <c r="G122" i="26"/>
  <c r="F122" i="26"/>
  <c r="E122" i="26"/>
  <c r="E134" i="26" s="1"/>
  <c r="E35" i="26" s="1"/>
  <c r="D122" i="26"/>
  <c r="AD121" i="26"/>
  <c r="AE121" i="26" s="1"/>
  <c r="AC121" i="26"/>
  <c r="P121" i="26"/>
  <c r="AG121" i="26" s="1"/>
  <c r="AG120" i="26"/>
  <c r="AE120" i="26"/>
  <c r="AC120" i="26"/>
  <c r="P120" i="26"/>
  <c r="AD120" i="26" s="1"/>
  <c r="AG119" i="26"/>
  <c r="AC119" i="26"/>
  <c r="P119" i="26"/>
  <c r="AC118" i="26"/>
  <c r="AD118" i="26" s="1"/>
  <c r="AE118" i="26" s="1"/>
  <c r="P118" i="26"/>
  <c r="AG118" i="26" s="1"/>
  <c r="AE117" i="26"/>
  <c r="AD117" i="26"/>
  <c r="AC117" i="26"/>
  <c r="P117" i="26"/>
  <c r="AG117" i="26" s="1"/>
  <c r="AC116" i="26"/>
  <c r="P116" i="26"/>
  <c r="AC115" i="26"/>
  <c r="P115" i="26"/>
  <c r="AD114" i="26"/>
  <c r="AE114" i="26" s="1"/>
  <c r="AC114" i="26"/>
  <c r="AC122" i="26" s="1"/>
  <c r="P114" i="26"/>
  <c r="AG113" i="26"/>
  <c r="AB112" i="26"/>
  <c r="AA112" i="26"/>
  <c r="Z112" i="26"/>
  <c r="Y112" i="26"/>
  <c r="X112" i="26"/>
  <c r="W112" i="26"/>
  <c r="V112" i="26"/>
  <c r="U112" i="26"/>
  <c r="T112" i="26"/>
  <c r="S112" i="26"/>
  <c r="R112" i="26"/>
  <c r="Q112" i="26"/>
  <c r="O112" i="26"/>
  <c r="N112" i="26"/>
  <c r="M112" i="26"/>
  <c r="L112" i="26"/>
  <c r="K112" i="26"/>
  <c r="J112" i="26"/>
  <c r="I112" i="26"/>
  <c r="H112" i="26"/>
  <c r="G112" i="26"/>
  <c r="F112" i="26"/>
  <c r="E112" i="26"/>
  <c r="D112" i="26"/>
  <c r="AG111" i="26"/>
  <c r="AC111" i="26"/>
  <c r="P111" i="26"/>
  <c r="AC110" i="26"/>
  <c r="AD110" i="26" s="1"/>
  <c r="AE110" i="26" s="1"/>
  <c r="P110" i="26"/>
  <c r="AG110" i="26" s="1"/>
  <c r="AD109" i="26"/>
  <c r="AE109" i="26" s="1"/>
  <c r="AC109" i="26"/>
  <c r="P109" i="26"/>
  <c r="AG109" i="26" s="1"/>
  <c r="AC108" i="26"/>
  <c r="P108" i="26"/>
  <c r="AC107" i="26"/>
  <c r="P107" i="26"/>
  <c r="AG106" i="26"/>
  <c r="AB105" i="26"/>
  <c r="AB134" i="26" s="1"/>
  <c r="AB35" i="26" s="1"/>
  <c r="AA105" i="26"/>
  <c r="Z105" i="26"/>
  <c r="Z134" i="26" s="1"/>
  <c r="Z35" i="26" s="1"/>
  <c r="Y105" i="26"/>
  <c r="X105" i="26"/>
  <c r="X134" i="26" s="1"/>
  <c r="X35" i="26" s="1"/>
  <c r="W105" i="26"/>
  <c r="V105" i="26"/>
  <c r="U105" i="26"/>
  <c r="T105" i="26"/>
  <c r="T134" i="26" s="1"/>
  <c r="T35" i="26" s="1"/>
  <c r="S105" i="26"/>
  <c r="R105" i="26"/>
  <c r="R134" i="26" s="1"/>
  <c r="Q105" i="26"/>
  <c r="O105" i="26"/>
  <c r="N105" i="26"/>
  <c r="M105" i="26"/>
  <c r="L105" i="26"/>
  <c r="L134" i="26" s="1"/>
  <c r="L35" i="26" s="1"/>
  <c r="K105" i="26"/>
  <c r="J105" i="26"/>
  <c r="I105" i="26"/>
  <c r="H105" i="26"/>
  <c r="H134" i="26" s="1"/>
  <c r="H35" i="26" s="1"/>
  <c r="G105" i="26"/>
  <c r="F105" i="26"/>
  <c r="E105" i="26"/>
  <c r="D105" i="26"/>
  <c r="D134" i="26" s="1"/>
  <c r="D35" i="26" s="1"/>
  <c r="AG104" i="26"/>
  <c r="AE104" i="26"/>
  <c r="AC104" i="26"/>
  <c r="P104" i="26"/>
  <c r="AD104" i="26" s="1"/>
  <c r="AG103" i="26"/>
  <c r="AC103" i="26"/>
  <c r="P103" i="26"/>
  <c r="AC102" i="26"/>
  <c r="P102" i="26"/>
  <c r="AG102" i="26" s="1"/>
  <c r="Z98" i="26"/>
  <c r="V98" i="26"/>
  <c r="R98" i="26"/>
  <c r="K98" i="26"/>
  <c r="V97" i="26"/>
  <c r="U97" i="26"/>
  <c r="T97" i="26"/>
  <c r="S97" i="26"/>
  <c r="R97" i="26"/>
  <c r="Q97" i="26"/>
  <c r="V96" i="26"/>
  <c r="U96" i="26"/>
  <c r="T96" i="26"/>
  <c r="S96" i="26"/>
  <c r="R96" i="26"/>
  <c r="Q96" i="26"/>
  <c r="AC95" i="26"/>
  <c r="V95" i="26"/>
  <c r="U95" i="26"/>
  <c r="T95" i="26"/>
  <c r="S95" i="26"/>
  <c r="R95" i="26"/>
  <c r="Q95" i="26"/>
  <c r="V94" i="26"/>
  <c r="U94" i="26"/>
  <c r="T94" i="26"/>
  <c r="S94" i="26"/>
  <c r="R94" i="26"/>
  <c r="Q94" i="26"/>
  <c r="V93" i="26"/>
  <c r="U93" i="26"/>
  <c r="T93" i="26"/>
  <c r="S93" i="26"/>
  <c r="R93" i="26"/>
  <c r="Q93" i="26"/>
  <c r="AG92" i="26"/>
  <c r="AG91" i="26"/>
  <c r="AB90" i="26"/>
  <c r="AA90" i="26"/>
  <c r="Z90" i="26"/>
  <c r="Y90" i="26"/>
  <c r="X90" i="26"/>
  <c r="W90" i="26"/>
  <c r="V90" i="26"/>
  <c r="U90" i="26"/>
  <c r="T90" i="26"/>
  <c r="S90" i="26"/>
  <c r="R90" i="26"/>
  <c r="Q90" i="26"/>
  <c r="O90" i="26"/>
  <c r="N90" i="26"/>
  <c r="M90" i="26"/>
  <c r="L90" i="26"/>
  <c r="K90" i="26"/>
  <c r="J90" i="26"/>
  <c r="I90" i="26"/>
  <c r="H90" i="26"/>
  <c r="G90" i="26"/>
  <c r="F90" i="26"/>
  <c r="E90" i="26"/>
  <c r="D90" i="26"/>
  <c r="AC89" i="26"/>
  <c r="AD89" i="26" s="1"/>
  <c r="AE89" i="26" s="1"/>
  <c r="P89" i="26"/>
  <c r="AG89" i="26" s="1"/>
  <c r="AD88" i="26"/>
  <c r="AE88" i="26" s="1"/>
  <c r="AC88" i="26"/>
  <c r="P88" i="26"/>
  <c r="AG88" i="26" s="1"/>
  <c r="AC87" i="26"/>
  <c r="P87" i="26"/>
  <c r="AC86" i="26"/>
  <c r="AC94" i="26" s="1"/>
  <c r="P86" i="26"/>
  <c r="AD85" i="26"/>
  <c r="AE85" i="26" s="1"/>
  <c r="AC85" i="26"/>
  <c r="P85" i="26"/>
  <c r="AG85" i="26" s="1"/>
  <c r="AB80" i="26"/>
  <c r="AA80" i="26"/>
  <c r="Z80" i="26"/>
  <c r="Y80" i="26"/>
  <c r="X80" i="26"/>
  <c r="W80" i="26"/>
  <c r="V80" i="26"/>
  <c r="U80" i="26"/>
  <c r="T80" i="26"/>
  <c r="S80" i="26"/>
  <c r="R80" i="26"/>
  <c r="Q80" i="26"/>
  <c r="AC79" i="26"/>
  <c r="AD79" i="26" s="1"/>
  <c r="AE79" i="26" s="1"/>
  <c r="P79" i="26"/>
  <c r="AG79" i="26" s="1"/>
  <c r="AE78" i="26"/>
  <c r="AD78" i="26"/>
  <c r="AC78" i="26"/>
  <c r="P78" i="26"/>
  <c r="AG78" i="26" s="1"/>
  <c r="AC77" i="26"/>
  <c r="P77" i="26"/>
  <c r="AD77" i="26" s="1"/>
  <c r="AE77" i="26" s="1"/>
  <c r="AG76" i="26"/>
  <c r="AC76" i="26"/>
  <c r="P76" i="26"/>
  <c r="AD76" i="26" s="1"/>
  <c r="AE76" i="26" s="1"/>
  <c r="AC75" i="26"/>
  <c r="AD75" i="26" s="1"/>
  <c r="AE75" i="26" s="1"/>
  <c r="P75" i="26"/>
  <c r="AG75" i="26" s="1"/>
  <c r="AC74" i="26"/>
  <c r="O74" i="26"/>
  <c r="N74" i="26"/>
  <c r="M74" i="26"/>
  <c r="L74" i="26"/>
  <c r="K74" i="26"/>
  <c r="J74" i="26"/>
  <c r="I74" i="26"/>
  <c r="H74" i="26"/>
  <c r="G74" i="26"/>
  <c r="F74" i="26"/>
  <c r="E74" i="26"/>
  <c r="D74" i="26"/>
  <c r="P74" i="26" s="1"/>
  <c r="AG74" i="26" s="1"/>
  <c r="AC73" i="26"/>
  <c r="P73" i="26"/>
  <c r="AC72" i="26"/>
  <c r="AC71" i="26"/>
  <c r="AD71" i="26" s="1"/>
  <c r="AE71" i="26" s="1"/>
  <c r="P71" i="26"/>
  <c r="AG71" i="26" s="1"/>
  <c r="AE70" i="26"/>
  <c r="AD70" i="26"/>
  <c r="AC70" i="26"/>
  <c r="P70" i="26"/>
  <c r="AG70" i="26" s="1"/>
  <c r="AC69" i="26"/>
  <c r="P69" i="26"/>
  <c r="AC68" i="26"/>
  <c r="P68" i="26"/>
  <c r="AD67" i="26"/>
  <c r="AE67" i="26" s="1"/>
  <c r="AC67" i="26"/>
  <c r="P67" i="26"/>
  <c r="AG67" i="26" s="1"/>
  <c r="AE66" i="26"/>
  <c r="AD66" i="26"/>
  <c r="AC66" i="26"/>
  <c r="P66" i="26"/>
  <c r="AG66" i="26" s="1"/>
  <c r="AG65" i="26"/>
  <c r="AE65" i="26"/>
  <c r="AC65" i="26"/>
  <c r="P65" i="26"/>
  <c r="AD65" i="26" s="1"/>
  <c r="AG64" i="26"/>
  <c r="AC64" i="26"/>
  <c r="P64" i="26"/>
  <c r="AC63" i="26"/>
  <c r="AD63" i="26" s="1"/>
  <c r="AE63" i="26" s="1"/>
  <c r="P63" i="26"/>
  <c r="AG63" i="26" s="1"/>
  <c r="AE62" i="26"/>
  <c r="AD62" i="26"/>
  <c r="AC62" i="26"/>
  <c r="P62" i="26"/>
  <c r="AG62" i="26" s="1"/>
  <c r="AC61" i="26"/>
  <c r="P61" i="26"/>
  <c r="AC60" i="26"/>
  <c r="P60" i="26"/>
  <c r="AD59" i="26"/>
  <c r="AE59" i="26" s="1"/>
  <c r="AC59" i="26"/>
  <c r="P59" i="26"/>
  <c r="AG59" i="26" s="1"/>
  <c r="AE58" i="26"/>
  <c r="AD58" i="26"/>
  <c r="AC58" i="26"/>
  <c r="P58" i="26"/>
  <c r="AG58" i="26" s="1"/>
  <c r="AG57" i="26"/>
  <c r="AE57" i="26"/>
  <c r="AC57" i="26"/>
  <c r="P57" i="26"/>
  <c r="AD57" i="26" s="1"/>
  <c r="AG56" i="26"/>
  <c r="AC56" i="26"/>
  <c r="P56" i="26"/>
  <c r="AC55" i="26"/>
  <c r="AD55" i="26" s="1"/>
  <c r="AE55" i="26" s="1"/>
  <c r="P55" i="26"/>
  <c r="AG55" i="26" s="1"/>
  <c r="AE54" i="26"/>
  <c r="AD54" i="26"/>
  <c r="AC54" i="26"/>
  <c r="P54" i="26"/>
  <c r="AG54" i="26" s="1"/>
  <c r="AC53" i="26"/>
  <c r="P53" i="26"/>
  <c r="AC52" i="26"/>
  <c r="P52" i="26"/>
  <c r="AD51" i="26"/>
  <c r="AE51" i="26" s="1"/>
  <c r="AC51" i="26"/>
  <c r="P51" i="26"/>
  <c r="AG51" i="26" s="1"/>
  <c r="AE50" i="26"/>
  <c r="AD50" i="26"/>
  <c r="AC50" i="26"/>
  <c r="P50" i="26"/>
  <c r="AG50" i="26" s="1"/>
  <c r="AG49" i="26"/>
  <c r="AE49" i="26"/>
  <c r="AC49" i="26"/>
  <c r="P49" i="26"/>
  <c r="AD49" i="26" s="1"/>
  <c r="AG48" i="26"/>
  <c r="AC48" i="26"/>
  <c r="P48" i="26"/>
  <c r="AC47" i="26"/>
  <c r="AD47" i="26" s="1"/>
  <c r="AE47" i="26" s="1"/>
  <c r="P47" i="26"/>
  <c r="AG47" i="26" s="1"/>
  <c r="AE46" i="26"/>
  <c r="AD46" i="26"/>
  <c r="AC46" i="26"/>
  <c r="P46" i="26"/>
  <c r="AG46" i="26" s="1"/>
  <c r="AC45" i="26"/>
  <c r="P45" i="26"/>
  <c r="AC44" i="26"/>
  <c r="P44" i="26"/>
  <c r="AC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AD42" i="26"/>
  <c r="AE42" i="26" s="1"/>
  <c r="AC42" i="26"/>
  <c r="P42" i="26"/>
  <c r="AG42" i="26" s="1"/>
  <c r="AE41" i="26"/>
  <c r="AC41" i="26"/>
  <c r="P41" i="26"/>
  <c r="AD41" i="26" s="1"/>
  <c r="AC40" i="26"/>
  <c r="P40" i="26"/>
  <c r="AD39" i="26"/>
  <c r="AE39" i="26" s="1"/>
  <c r="AC39" i="26"/>
  <c r="P39" i="26"/>
  <c r="AG39" i="26" s="1"/>
  <c r="AE38" i="26"/>
  <c r="AD38" i="26"/>
  <c r="AC38" i="26"/>
  <c r="P38" i="26"/>
  <c r="AG38" i="26" s="1"/>
  <c r="AG37" i="26"/>
  <c r="AG36" i="26"/>
  <c r="R35" i="26"/>
  <c r="M35" i="26"/>
  <c r="AG34" i="26"/>
  <c r="AB33" i="26"/>
  <c r="AA33" i="26"/>
  <c r="Z33" i="26"/>
  <c r="Y33" i="26"/>
  <c r="X33" i="26"/>
  <c r="W33" i="26"/>
  <c r="V33" i="26"/>
  <c r="U33" i="26"/>
  <c r="T33" i="26"/>
  <c r="S33" i="26"/>
  <c r="R33" i="26"/>
  <c r="Q33" i="26"/>
  <c r="P33" i="26"/>
  <c r="O33" i="26"/>
  <c r="N33" i="26"/>
  <c r="M33" i="26"/>
  <c r="L33" i="26"/>
  <c r="K33" i="26"/>
  <c r="J33" i="26"/>
  <c r="I33" i="26"/>
  <c r="H33" i="26"/>
  <c r="G33" i="26"/>
  <c r="F33" i="26"/>
  <c r="E33" i="26"/>
  <c r="D33" i="26"/>
  <c r="AG32" i="26"/>
  <c r="AC32" i="26"/>
  <c r="P32" i="26"/>
  <c r="AD31" i="26"/>
  <c r="AE31" i="26" s="1"/>
  <c r="AC31" i="26"/>
  <c r="P31" i="26"/>
  <c r="AG31" i="26" s="1"/>
  <c r="AD30" i="26"/>
  <c r="AE30" i="26" s="1"/>
  <c r="AC30" i="26"/>
  <c r="AC33" i="26" s="1"/>
  <c r="P30" i="26"/>
  <c r="AG30" i="26" s="1"/>
  <c r="AB27" i="26"/>
  <c r="AB81" i="26" s="1"/>
  <c r="AB82" i="26" s="1"/>
  <c r="W27" i="26"/>
  <c r="T27" i="26"/>
  <c r="T81" i="26" s="1"/>
  <c r="T82" i="26" s="1"/>
  <c r="G27" i="26"/>
  <c r="AC26" i="26"/>
  <c r="P26" i="26"/>
  <c r="AD25" i="26"/>
  <c r="AE25" i="26" s="1"/>
  <c r="AC25" i="26"/>
  <c r="P25" i="26"/>
  <c r="AG25" i="26" s="1"/>
  <c r="AC24" i="26"/>
  <c r="AE24" i="26" s="1"/>
  <c r="P24" i="26"/>
  <c r="AG24" i="26" s="1"/>
  <c r="AG23" i="26"/>
  <c r="AB22" i="26"/>
  <c r="AA22" i="26"/>
  <c r="Z22" i="26"/>
  <c r="Y22" i="26"/>
  <c r="X22" i="26"/>
  <c r="W22" i="26"/>
  <c r="V22" i="26"/>
  <c r="U22" i="26"/>
  <c r="T22" i="26"/>
  <c r="S22" i="26"/>
  <c r="R22" i="26"/>
  <c r="Q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AC21" i="26"/>
  <c r="P21" i="26"/>
  <c r="AD20" i="26"/>
  <c r="AE20" i="26" s="1"/>
  <c r="AC20" i="26"/>
  <c r="P20" i="26"/>
  <c r="AG20" i="26" s="1"/>
  <c r="AE19" i="26"/>
  <c r="AD19" i="26"/>
  <c r="AC19" i="26"/>
  <c r="P19" i="26"/>
  <c r="AG19" i="26" s="1"/>
  <c r="AC18" i="26"/>
  <c r="P18" i="26"/>
  <c r="AG17" i="26"/>
  <c r="AC17" i="26"/>
  <c r="P17" i="26"/>
  <c r="AG16" i="26"/>
  <c r="AG15" i="26"/>
  <c r="AB14" i="26"/>
  <c r="AB98" i="26" s="1"/>
  <c r="AA14" i="26"/>
  <c r="AA27" i="26" s="1"/>
  <c r="Z14" i="26"/>
  <c r="Z27" i="26" s="1"/>
  <c r="Y14" i="26"/>
  <c r="X14" i="26"/>
  <c r="W14" i="26"/>
  <c r="W98" i="26" s="1"/>
  <c r="V14" i="26"/>
  <c r="V27" i="26" s="1"/>
  <c r="U14" i="26"/>
  <c r="T14" i="26"/>
  <c r="T98" i="26" s="1"/>
  <c r="S14" i="26"/>
  <c r="S27" i="26" s="1"/>
  <c r="R14" i="26"/>
  <c r="R27" i="26" s="1"/>
  <c r="Q14" i="26"/>
  <c r="O14" i="26"/>
  <c r="O98" i="26" s="1"/>
  <c r="H14" i="26"/>
  <c r="G14" i="26"/>
  <c r="G98" i="26" s="1"/>
  <c r="AC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P13" i="26" s="1"/>
  <c r="AC12" i="26"/>
  <c r="AC96" i="26" s="1"/>
  <c r="O12" i="26"/>
  <c r="N12" i="26"/>
  <c r="M12" i="26"/>
  <c r="L12" i="26"/>
  <c r="K12" i="26"/>
  <c r="J12" i="26"/>
  <c r="I12" i="26"/>
  <c r="H12" i="26"/>
  <c r="G12" i="26"/>
  <c r="F12" i="26"/>
  <c r="E12" i="26"/>
  <c r="D12" i="26"/>
  <c r="AC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AC10" i="26"/>
  <c r="O10" i="26"/>
  <c r="N10" i="26"/>
  <c r="M10" i="26"/>
  <c r="L10" i="26"/>
  <c r="K10" i="26"/>
  <c r="K14" i="26" s="1"/>
  <c r="K27" i="26" s="1"/>
  <c r="J10" i="26"/>
  <c r="I10" i="26"/>
  <c r="H10" i="26"/>
  <c r="G10" i="26"/>
  <c r="F10" i="26"/>
  <c r="E10" i="26"/>
  <c r="D10" i="26"/>
  <c r="P10" i="26" s="1"/>
  <c r="AC9" i="26"/>
  <c r="O9" i="26"/>
  <c r="N9" i="26"/>
  <c r="M9" i="26"/>
  <c r="M14" i="26" s="1"/>
  <c r="L9" i="26"/>
  <c r="L14" i="26" s="1"/>
  <c r="L98" i="26" s="1"/>
  <c r="K9" i="26"/>
  <c r="J9" i="26"/>
  <c r="I9" i="26"/>
  <c r="I14" i="26" s="1"/>
  <c r="H9" i="26"/>
  <c r="G9" i="26"/>
  <c r="F9" i="26"/>
  <c r="E9" i="26"/>
  <c r="E14" i="26" s="1"/>
  <c r="D9" i="26"/>
  <c r="D14" i="26" s="1"/>
  <c r="D98" i="26" s="1"/>
  <c r="C4" i="26"/>
  <c r="O2" i="26"/>
  <c r="N2" i="26"/>
  <c r="M2" i="26"/>
  <c r="L2" i="26"/>
  <c r="K2" i="26"/>
  <c r="J2" i="26"/>
  <c r="I2" i="26"/>
  <c r="H2" i="26"/>
  <c r="G2" i="26"/>
  <c r="F2" i="26"/>
  <c r="E2" i="26"/>
  <c r="D2" i="26"/>
  <c r="O1" i="26"/>
  <c r="N1" i="26"/>
  <c r="M1" i="26"/>
  <c r="L1" i="26"/>
  <c r="K1" i="26"/>
  <c r="J1" i="26"/>
  <c r="I1" i="26"/>
  <c r="H1" i="26"/>
  <c r="G1" i="26"/>
  <c r="F1" i="26"/>
  <c r="E1" i="26"/>
  <c r="D1" i="26"/>
  <c r="P141" i="25"/>
  <c r="O141" i="25"/>
  <c r="N141" i="25"/>
  <c r="M141" i="25"/>
  <c r="L141" i="25"/>
  <c r="K141" i="25"/>
  <c r="J141" i="25"/>
  <c r="I141" i="25"/>
  <c r="H141" i="25"/>
  <c r="G141" i="25"/>
  <c r="F141" i="25"/>
  <c r="E141" i="25"/>
  <c r="D141" i="25"/>
  <c r="P140" i="25"/>
  <c r="P139" i="25"/>
  <c r="P138" i="25"/>
  <c r="AG136" i="25"/>
  <c r="AC136" i="25"/>
  <c r="P136" i="25"/>
  <c r="AG135" i="25"/>
  <c r="N134" i="25"/>
  <c r="N35" i="25" s="1"/>
  <c r="F134" i="25"/>
  <c r="F35" i="25" s="1"/>
  <c r="AB133" i="25"/>
  <c r="AA133" i="25"/>
  <c r="Z133" i="25"/>
  <c r="Y133" i="25"/>
  <c r="X133" i="25"/>
  <c r="W133" i="25"/>
  <c r="V133" i="25"/>
  <c r="U133" i="25"/>
  <c r="T133" i="25"/>
  <c r="S133" i="25"/>
  <c r="R133" i="25"/>
  <c r="Q133" i="25"/>
  <c r="O133" i="25"/>
  <c r="N133" i="25"/>
  <c r="M133" i="25"/>
  <c r="L133" i="25"/>
  <c r="K133" i="25"/>
  <c r="J133" i="25"/>
  <c r="I133" i="25"/>
  <c r="H133" i="25"/>
  <c r="G133" i="25"/>
  <c r="F133" i="25"/>
  <c r="E133" i="25"/>
  <c r="D133" i="25"/>
  <c r="AG132" i="25"/>
  <c r="AC132" i="25"/>
  <c r="P132" i="25"/>
  <c r="AC131" i="25"/>
  <c r="AD131" i="25" s="1"/>
  <c r="AE131" i="25" s="1"/>
  <c r="P131" i="25"/>
  <c r="AG131" i="25" s="1"/>
  <c r="AD130" i="25"/>
  <c r="AE130" i="25" s="1"/>
  <c r="AC130" i="25"/>
  <c r="P130" i="25"/>
  <c r="AG130" i="25" s="1"/>
  <c r="AE129" i="25"/>
  <c r="AC129" i="25"/>
  <c r="P129" i="25"/>
  <c r="AD129" i="25" s="1"/>
  <c r="AC128" i="25"/>
  <c r="P128" i="25"/>
  <c r="AD127" i="25"/>
  <c r="AE127" i="25" s="1"/>
  <c r="AC127" i="25"/>
  <c r="P127" i="25"/>
  <c r="AG127" i="25" s="1"/>
  <c r="AE126" i="25"/>
  <c r="AD126" i="25"/>
  <c r="AC126" i="25"/>
  <c r="P126" i="25"/>
  <c r="AG126" i="25" s="1"/>
  <c r="AG125" i="25"/>
  <c r="AC125" i="25"/>
  <c r="P125" i="25"/>
  <c r="AD125" i="25" s="1"/>
  <c r="AE125" i="25" s="1"/>
  <c r="AG124" i="25"/>
  <c r="AC124" i="25"/>
  <c r="P124" i="25"/>
  <c r="AG123" i="25"/>
  <c r="AB122" i="25"/>
  <c r="AA122" i="25"/>
  <c r="Z122" i="25"/>
  <c r="Z134" i="25" s="1"/>
  <c r="Z35" i="25" s="1"/>
  <c r="Y122" i="25"/>
  <c r="X122" i="25"/>
  <c r="W122" i="25"/>
  <c r="V122" i="25"/>
  <c r="V134" i="25" s="1"/>
  <c r="V35" i="25" s="1"/>
  <c r="U122" i="25"/>
  <c r="T122" i="25"/>
  <c r="S122" i="25"/>
  <c r="R122" i="25"/>
  <c r="R134" i="25" s="1"/>
  <c r="R35" i="25" s="1"/>
  <c r="Q122" i="25"/>
  <c r="O122" i="25"/>
  <c r="N122" i="25"/>
  <c r="M122" i="25"/>
  <c r="L122" i="25"/>
  <c r="K122" i="25"/>
  <c r="J122" i="25"/>
  <c r="J134" i="25" s="1"/>
  <c r="J35" i="25" s="1"/>
  <c r="I122" i="25"/>
  <c r="H122" i="25"/>
  <c r="G122" i="25"/>
  <c r="F122" i="25"/>
  <c r="E122" i="25"/>
  <c r="D122" i="25"/>
  <c r="AE121" i="25"/>
  <c r="AC121" i="25"/>
  <c r="P121" i="25"/>
  <c r="AD121" i="25" s="1"/>
  <c r="AC120" i="25"/>
  <c r="P120" i="25"/>
  <c r="AD119" i="25"/>
  <c r="AE119" i="25" s="1"/>
  <c r="AC119" i="25"/>
  <c r="P119" i="25"/>
  <c r="AG119" i="25" s="1"/>
  <c r="AE118" i="25"/>
  <c r="AD118" i="25"/>
  <c r="AC118" i="25"/>
  <c r="P118" i="25"/>
  <c r="AG118" i="25" s="1"/>
  <c r="AG117" i="25"/>
  <c r="AC117" i="25"/>
  <c r="P117" i="25"/>
  <c r="AD117" i="25" s="1"/>
  <c r="AE117" i="25" s="1"/>
  <c r="AG116" i="25"/>
  <c r="AC116" i="25"/>
  <c r="P116" i="25"/>
  <c r="AC115" i="25"/>
  <c r="AD115" i="25" s="1"/>
  <c r="AE115" i="25" s="1"/>
  <c r="P115" i="25"/>
  <c r="AG115" i="25" s="1"/>
  <c r="AD114" i="25"/>
  <c r="AE114" i="25" s="1"/>
  <c r="AC114" i="25"/>
  <c r="P114" i="25"/>
  <c r="AG113" i="25"/>
  <c r="AC112" i="25"/>
  <c r="AB112" i="25"/>
  <c r="AA112" i="25"/>
  <c r="Z112" i="25"/>
  <c r="Y112" i="25"/>
  <c r="X112" i="25"/>
  <c r="W112" i="25"/>
  <c r="V112" i="25"/>
  <c r="U112" i="25"/>
  <c r="T112" i="25"/>
  <c r="S112" i="25"/>
  <c r="R112" i="25"/>
  <c r="Q112" i="25"/>
  <c r="O112" i="25"/>
  <c r="N112" i="25"/>
  <c r="M112" i="25"/>
  <c r="L112" i="25"/>
  <c r="K112" i="25"/>
  <c r="J112" i="25"/>
  <c r="I112" i="25"/>
  <c r="H112" i="25"/>
  <c r="G112" i="25"/>
  <c r="F112" i="25"/>
  <c r="E112" i="25"/>
  <c r="D112" i="25"/>
  <c r="AC111" i="25"/>
  <c r="AD111" i="25" s="1"/>
  <c r="AE111" i="25" s="1"/>
  <c r="P111" i="25"/>
  <c r="AG111" i="25" s="1"/>
  <c r="AE110" i="25"/>
  <c r="AD110" i="25"/>
  <c r="AC110" i="25"/>
  <c r="P110" i="25"/>
  <c r="AG110" i="25" s="1"/>
  <c r="AC109" i="25"/>
  <c r="P109" i="25"/>
  <c r="AC108" i="25"/>
  <c r="P108" i="25"/>
  <c r="AD108" i="25" s="1"/>
  <c r="AE108" i="25" s="1"/>
  <c r="AD107" i="25"/>
  <c r="AE107" i="25" s="1"/>
  <c r="AC107" i="25"/>
  <c r="P107" i="25"/>
  <c r="AG107" i="25" s="1"/>
  <c r="AG106" i="25"/>
  <c r="AG105" i="25"/>
  <c r="AB105" i="25"/>
  <c r="AA105" i="25"/>
  <c r="AA134" i="25" s="1"/>
  <c r="AA35" i="25" s="1"/>
  <c r="Z105" i="25"/>
  <c r="Y105" i="25"/>
  <c r="X105" i="25"/>
  <c r="W105" i="25"/>
  <c r="W134" i="25" s="1"/>
  <c r="V105" i="25"/>
  <c r="U105" i="25"/>
  <c r="T105" i="25"/>
  <c r="S105" i="25"/>
  <c r="S134" i="25" s="1"/>
  <c r="S35" i="25" s="1"/>
  <c r="R105" i="25"/>
  <c r="Q105" i="25"/>
  <c r="O105" i="25"/>
  <c r="O134" i="25" s="1"/>
  <c r="O35" i="25" s="1"/>
  <c r="N105" i="25"/>
  <c r="M105" i="25"/>
  <c r="L105" i="25"/>
  <c r="K105" i="25"/>
  <c r="K134" i="25" s="1"/>
  <c r="K35" i="25" s="1"/>
  <c r="J105" i="25"/>
  <c r="I105" i="25"/>
  <c r="H105" i="25"/>
  <c r="G105" i="25"/>
  <c r="G134" i="25" s="1"/>
  <c r="F105" i="25"/>
  <c r="E105" i="25"/>
  <c r="D105" i="25"/>
  <c r="AG104" i="25"/>
  <c r="AC104" i="25"/>
  <c r="P104" i="25"/>
  <c r="P105" i="25" s="1"/>
  <c r="AC103" i="25"/>
  <c r="AD103" i="25" s="1"/>
  <c r="AE103" i="25" s="1"/>
  <c r="P103" i="25"/>
  <c r="AG103" i="25" s="1"/>
  <c r="AE102" i="25"/>
  <c r="AD102" i="25"/>
  <c r="AC102" i="25"/>
  <c r="P102" i="25"/>
  <c r="AG102" i="25" s="1"/>
  <c r="AA98" i="25"/>
  <c r="W98" i="25"/>
  <c r="S98" i="25"/>
  <c r="V97" i="25"/>
  <c r="U97" i="25"/>
  <c r="T97" i="25"/>
  <c r="S97" i="25"/>
  <c r="R97" i="25"/>
  <c r="Q97" i="25"/>
  <c r="V96" i="25"/>
  <c r="U96" i="25"/>
  <c r="T96" i="25"/>
  <c r="S96" i="25"/>
  <c r="R96" i="25"/>
  <c r="Q96" i="25"/>
  <c r="V95" i="25"/>
  <c r="U95" i="25"/>
  <c r="T95" i="25"/>
  <c r="S95" i="25"/>
  <c r="R95" i="25"/>
  <c r="Q95" i="25"/>
  <c r="P95" i="25"/>
  <c r="V94" i="25"/>
  <c r="U94" i="25"/>
  <c r="T94" i="25"/>
  <c r="S94" i="25"/>
  <c r="R94" i="25"/>
  <c r="Q94" i="25"/>
  <c r="V93" i="25"/>
  <c r="U93" i="25"/>
  <c r="T93" i="25"/>
  <c r="S93" i="25"/>
  <c r="R93" i="25"/>
  <c r="Q93" i="25"/>
  <c r="AG92" i="25"/>
  <c r="AG91" i="25"/>
  <c r="AB90" i="25"/>
  <c r="AA90" i="25"/>
  <c r="Z90" i="25"/>
  <c r="Y90" i="25"/>
  <c r="X90" i="25"/>
  <c r="W90" i="25"/>
  <c r="V90" i="25"/>
  <c r="U90" i="25"/>
  <c r="T90" i="25"/>
  <c r="S90" i="25"/>
  <c r="R90" i="25"/>
  <c r="Q90" i="25"/>
  <c r="O90" i="25"/>
  <c r="N90" i="25"/>
  <c r="M90" i="25"/>
  <c r="L90" i="25"/>
  <c r="K90" i="25"/>
  <c r="J90" i="25"/>
  <c r="I90" i="25"/>
  <c r="H90" i="25"/>
  <c r="G90" i="25"/>
  <c r="F90" i="25"/>
  <c r="E90" i="25"/>
  <c r="D90" i="25"/>
  <c r="AD89" i="25"/>
  <c r="AE89" i="25" s="1"/>
  <c r="AC89" i="25"/>
  <c r="P89" i="25"/>
  <c r="AG89" i="25" s="1"/>
  <c r="AE88" i="25"/>
  <c r="AC88" i="25"/>
  <c r="AC96" i="25" s="1"/>
  <c r="P88" i="25"/>
  <c r="AD88" i="25" s="1"/>
  <c r="AC87" i="25"/>
  <c r="AC90" i="25" s="1"/>
  <c r="P87" i="25"/>
  <c r="AD86" i="25"/>
  <c r="AE86" i="25" s="1"/>
  <c r="AC86" i="25"/>
  <c r="P86" i="25"/>
  <c r="AG86" i="25" s="1"/>
  <c r="AE85" i="25"/>
  <c r="AD85" i="25"/>
  <c r="AC85" i="25"/>
  <c r="P85" i="25"/>
  <c r="AB80" i="25"/>
  <c r="AA80" i="25"/>
  <c r="Z80" i="25"/>
  <c r="Y80" i="25"/>
  <c r="X80" i="25"/>
  <c r="W80" i="25"/>
  <c r="V80" i="25"/>
  <c r="U80" i="25"/>
  <c r="T80" i="25"/>
  <c r="S80" i="25"/>
  <c r="R80" i="25"/>
  <c r="Q80" i="25"/>
  <c r="AD79" i="25"/>
  <c r="AE79" i="25" s="1"/>
  <c r="AC79" i="25"/>
  <c r="P79" i="25"/>
  <c r="AG79" i="25" s="1"/>
  <c r="AE78" i="25"/>
  <c r="AC78" i="25"/>
  <c r="P78" i="25"/>
  <c r="AD78" i="25" s="1"/>
  <c r="AC77" i="25"/>
  <c r="P77" i="25"/>
  <c r="AD76" i="25"/>
  <c r="AE76" i="25" s="1"/>
  <c r="AC76" i="25"/>
  <c r="P76" i="25"/>
  <c r="AG76" i="25" s="1"/>
  <c r="AE75" i="25"/>
  <c r="AD75" i="25"/>
  <c r="AC75" i="25"/>
  <c r="P75" i="25"/>
  <c r="AG75" i="25" s="1"/>
  <c r="AG74" i="25"/>
  <c r="AC74" i="25"/>
  <c r="P74" i="25"/>
  <c r="AD74" i="25" s="1"/>
  <c r="AE74" i="25" s="1"/>
  <c r="AG73" i="25"/>
  <c r="AC73" i="25"/>
  <c r="P73" i="25"/>
  <c r="AC72" i="25"/>
  <c r="AD71" i="25"/>
  <c r="AE71" i="25" s="1"/>
  <c r="AC71" i="25"/>
  <c r="P71" i="25"/>
  <c r="AG71" i="25" s="1"/>
  <c r="AG70" i="25"/>
  <c r="AE70" i="25"/>
  <c r="AC70" i="25"/>
  <c r="P70" i="25"/>
  <c r="AD70" i="25" s="1"/>
  <c r="AG69" i="25"/>
  <c r="AC69" i="25"/>
  <c r="P69" i="25"/>
  <c r="AC68" i="25"/>
  <c r="AD68" i="25" s="1"/>
  <c r="AE68" i="25" s="1"/>
  <c r="P68" i="25"/>
  <c r="AG68" i="25" s="1"/>
  <c r="AE67" i="25"/>
  <c r="AD67" i="25"/>
  <c r="AC67" i="25"/>
  <c r="P67" i="25"/>
  <c r="AG67" i="25" s="1"/>
  <c r="AC66" i="25"/>
  <c r="P66" i="25"/>
  <c r="AC65" i="25"/>
  <c r="P65" i="25"/>
  <c r="AD65" i="25" s="1"/>
  <c r="AE65" i="25" s="1"/>
  <c r="AD64" i="25"/>
  <c r="AE64" i="25" s="1"/>
  <c r="AC64" i="25"/>
  <c r="P64" i="25"/>
  <c r="AG64" i="25" s="1"/>
  <c r="AD63" i="25"/>
  <c r="AE63" i="25" s="1"/>
  <c r="AC63" i="25"/>
  <c r="P63" i="25"/>
  <c r="AG63" i="25" s="1"/>
  <c r="AG62" i="25"/>
  <c r="AE62" i="25"/>
  <c r="AC62" i="25"/>
  <c r="P62" i="25"/>
  <c r="AD62" i="25" s="1"/>
  <c r="AG61" i="25"/>
  <c r="AC61" i="25"/>
  <c r="P61" i="25"/>
  <c r="AC60" i="25"/>
  <c r="AD60" i="25" s="1"/>
  <c r="AE60" i="25" s="1"/>
  <c r="P60" i="25"/>
  <c r="AG60" i="25" s="1"/>
  <c r="AE59" i="25"/>
  <c r="AD59" i="25"/>
  <c r="AC59" i="25"/>
  <c r="P59" i="25"/>
  <c r="AG59" i="25" s="1"/>
  <c r="AC58" i="25"/>
  <c r="P58" i="25"/>
  <c r="AC57" i="25"/>
  <c r="P57" i="25"/>
  <c r="AD57" i="25" s="1"/>
  <c r="AE57" i="25" s="1"/>
  <c r="AD56" i="25"/>
  <c r="AE56" i="25" s="1"/>
  <c r="AC56" i="25"/>
  <c r="P56" i="25"/>
  <c r="AG56" i="25" s="1"/>
  <c r="AD55" i="25"/>
  <c r="AE55" i="25" s="1"/>
  <c r="AC55" i="25"/>
  <c r="P55" i="25"/>
  <c r="AG55" i="25" s="1"/>
  <c r="AG54" i="25"/>
  <c r="AE54" i="25"/>
  <c r="AC54" i="25"/>
  <c r="P54" i="25"/>
  <c r="AD54" i="25" s="1"/>
  <c r="AG53" i="25"/>
  <c r="AC53" i="25"/>
  <c r="P53" i="25"/>
  <c r="AC52" i="25"/>
  <c r="AD52" i="25" s="1"/>
  <c r="AE52" i="25" s="1"/>
  <c r="P52" i="25"/>
  <c r="AG52" i="25" s="1"/>
  <c r="AE51" i="25"/>
  <c r="AD51" i="25"/>
  <c r="AC51" i="25"/>
  <c r="P51" i="25"/>
  <c r="AG51" i="25" s="1"/>
  <c r="AC50" i="25"/>
  <c r="P50" i="25"/>
  <c r="AC49" i="25"/>
  <c r="P49" i="25"/>
  <c r="AD49" i="25" s="1"/>
  <c r="AE49" i="25" s="1"/>
  <c r="AD48" i="25"/>
  <c r="AE48" i="25" s="1"/>
  <c r="AC48" i="25"/>
  <c r="P48" i="25"/>
  <c r="AG48" i="25" s="1"/>
  <c r="AD47" i="25"/>
  <c r="AE47" i="25" s="1"/>
  <c r="AC47" i="25"/>
  <c r="P47" i="25"/>
  <c r="AG47" i="25" s="1"/>
  <c r="AG46" i="25"/>
  <c r="AE46" i="25"/>
  <c r="AC46" i="25"/>
  <c r="P46" i="25"/>
  <c r="AD46" i="25" s="1"/>
  <c r="AG45" i="25"/>
  <c r="AC45" i="25"/>
  <c r="P45" i="25"/>
  <c r="AC44" i="25"/>
  <c r="AD44" i="25" s="1"/>
  <c r="AE44" i="25" s="1"/>
  <c r="P44" i="25"/>
  <c r="AG44" i="25" s="1"/>
  <c r="AC43" i="25"/>
  <c r="O43" i="25"/>
  <c r="N43" i="25"/>
  <c r="M43" i="25"/>
  <c r="L43" i="25"/>
  <c r="K43" i="25"/>
  <c r="J43" i="25"/>
  <c r="I43" i="25"/>
  <c r="H43" i="25"/>
  <c r="G43" i="25"/>
  <c r="F43" i="25"/>
  <c r="E43" i="25"/>
  <c r="D43" i="25"/>
  <c r="AG42" i="25"/>
  <c r="AC42" i="25"/>
  <c r="P42" i="25"/>
  <c r="AD42" i="25" s="1"/>
  <c r="AE42" i="25" s="1"/>
  <c r="AG41" i="25"/>
  <c r="AC41" i="25"/>
  <c r="P41" i="25"/>
  <c r="AC40" i="25"/>
  <c r="P40" i="25"/>
  <c r="AG40" i="25" s="1"/>
  <c r="AD39" i="25"/>
  <c r="AE39" i="25" s="1"/>
  <c r="AC39" i="25"/>
  <c r="P39" i="25"/>
  <c r="AG39" i="25" s="1"/>
  <c r="AC38" i="25"/>
  <c r="P38" i="25"/>
  <c r="AG38" i="25" s="1"/>
  <c r="AG37" i="25"/>
  <c r="AG36" i="25"/>
  <c r="W35" i="25"/>
  <c r="G35" i="25"/>
  <c r="AG34" i="25"/>
  <c r="AC33" i="25"/>
  <c r="AB33" i="25"/>
  <c r="AA33" i="25"/>
  <c r="Z33" i="25"/>
  <c r="Y33" i="25"/>
  <c r="X33" i="25"/>
  <c r="W33" i="25"/>
  <c r="V33" i="25"/>
  <c r="U33" i="25"/>
  <c r="T33" i="25"/>
  <c r="S33" i="25"/>
  <c r="R33" i="25"/>
  <c r="Q33" i="25"/>
  <c r="O33" i="25"/>
  <c r="N33" i="25"/>
  <c r="M33" i="25"/>
  <c r="L33" i="25"/>
  <c r="K33" i="25"/>
  <c r="J33" i="25"/>
  <c r="I33" i="25"/>
  <c r="H33" i="25"/>
  <c r="G33" i="25"/>
  <c r="F33" i="25"/>
  <c r="E33" i="25"/>
  <c r="D33" i="25"/>
  <c r="AC32" i="25"/>
  <c r="AD32" i="25" s="1"/>
  <c r="AE32" i="25" s="1"/>
  <c r="P32" i="25"/>
  <c r="AG32" i="25" s="1"/>
  <c r="AE31" i="25"/>
  <c r="AD31" i="25"/>
  <c r="AC31" i="25"/>
  <c r="P31" i="25"/>
  <c r="AG31" i="25" s="1"/>
  <c r="AC30" i="25"/>
  <c r="P30" i="25"/>
  <c r="Y27" i="25"/>
  <c r="Q27" i="25"/>
  <c r="AD26" i="25"/>
  <c r="AE26" i="25" s="1"/>
  <c r="AC26" i="25"/>
  <c r="P26" i="25"/>
  <c r="AG26" i="25" s="1"/>
  <c r="AD25" i="25"/>
  <c r="AE25" i="25" s="1"/>
  <c r="AC25" i="25"/>
  <c r="P25" i="25"/>
  <c r="AG25" i="25" s="1"/>
  <c r="AG24" i="25"/>
  <c r="AE24" i="25"/>
  <c r="AC24" i="25"/>
  <c r="P24" i="25"/>
  <c r="AG23" i="25"/>
  <c r="AB22" i="25"/>
  <c r="AA22" i="25"/>
  <c r="Z22" i="25"/>
  <c r="Y22" i="25"/>
  <c r="X22" i="25"/>
  <c r="W22" i="25"/>
  <c r="V22" i="25"/>
  <c r="U22" i="25"/>
  <c r="T22" i="25"/>
  <c r="S22" i="25"/>
  <c r="R22" i="25"/>
  <c r="Q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AC21" i="25"/>
  <c r="AD21" i="25" s="1"/>
  <c r="AE21" i="25" s="1"/>
  <c r="P21" i="25"/>
  <c r="AG21" i="25" s="1"/>
  <c r="AD20" i="25"/>
  <c r="AE20" i="25" s="1"/>
  <c r="AC20" i="25"/>
  <c r="P20" i="25"/>
  <c r="AG20" i="25" s="1"/>
  <c r="AE19" i="25"/>
  <c r="AC19" i="25"/>
  <c r="P19" i="25"/>
  <c r="AD19" i="25" s="1"/>
  <c r="AC18" i="25"/>
  <c r="AC22" i="25" s="1"/>
  <c r="P18" i="25"/>
  <c r="AD17" i="25"/>
  <c r="AE17" i="25" s="1"/>
  <c r="AC17" i="25"/>
  <c r="P17" i="25"/>
  <c r="AG17" i="25" s="1"/>
  <c r="AG16" i="25"/>
  <c r="AG15" i="25"/>
  <c r="AB14" i="25"/>
  <c r="AA14" i="25"/>
  <c r="AA27" i="25" s="1"/>
  <c r="Z14" i="25"/>
  <c r="Y14" i="25"/>
  <c r="Y98" i="25" s="1"/>
  <c r="X14" i="25"/>
  <c r="W14" i="25"/>
  <c r="W27" i="25" s="1"/>
  <c r="V14" i="25"/>
  <c r="U14" i="25"/>
  <c r="U98" i="25" s="1"/>
  <c r="T14" i="25"/>
  <c r="S14" i="25"/>
  <c r="S27" i="25" s="1"/>
  <c r="R14" i="25"/>
  <c r="Q14" i="25"/>
  <c r="Q98" i="25" s="1"/>
  <c r="H14" i="25"/>
  <c r="AC13" i="25"/>
  <c r="AC97" i="25" s="1"/>
  <c r="O13" i="25"/>
  <c r="N13" i="25"/>
  <c r="M13" i="25"/>
  <c r="L13" i="25"/>
  <c r="K13" i="25"/>
  <c r="J13" i="25"/>
  <c r="I13" i="25"/>
  <c r="H13" i="25"/>
  <c r="G13" i="25"/>
  <c r="F13" i="25"/>
  <c r="E13" i="25"/>
  <c r="D13" i="25"/>
  <c r="P13" i="25" s="1"/>
  <c r="AC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AG11" i="25"/>
  <c r="AC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P11" i="25" s="1"/>
  <c r="AD11" i="25" s="1"/>
  <c r="AE11" i="25" s="1"/>
  <c r="AC10" i="25"/>
  <c r="AC94" i="25" s="1"/>
  <c r="O10" i="25"/>
  <c r="N10" i="25"/>
  <c r="M10" i="25"/>
  <c r="L10" i="25"/>
  <c r="L14" i="25" s="1"/>
  <c r="K10" i="25"/>
  <c r="J10" i="25"/>
  <c r="I10" i="25"/>
  <c r="H10" i="25"/>
  <c r="G10" i="25"/>
  <c r="F10" i="25"/>
  <c r="E10" i="25"/>
  <c r="D10" i="25"/>
  <c r="D14" i="25" s="1"/>
  <c r="AC9" i="25"/>
  <c r="O9" i="25"/>
  <c r="N9" i="25"/>
  <c r="M9" i="25"/>
  <c r="M14" i="25" s="1"/>
  <c r="L9" i="25"/>
  <c r="K9" i="25"/>
  <c r="J9" i="25"/>
  <c r="I9" i="25"/>
  <c r="I14" i="25" s="1"/>
  <c r="I98" i="25" s="1"/>
  <c r="H9" i="25"/>
  <c r="G9" i="25"/>
  <c r="F9" i="25"/>
  <c r="E9" i="25"/>
  <c r="E14" i="25" s="1"/>
  <c r="D9" i="25"/>
  <c r="P9" i="25" s="1"/>
  <c r="C4" i="25"/>
  <c r="O2" i="25"/>
  <c r="N2" i="25"/>
  <c r="M2" i="25"/>
  <c r="L2" i="25"/>
  <c r="K2" i="25"/>
  <c r="J2" i="25"/>
  <c r="I2" i="25"/>
  <c r="H2" i="25"/>
  <c r="G2" i="25"/>
  <c r="F2" i="25"/>
  <c r="E2" i="25"/>
  <c r="D2" i="25"/>
  <c r="O1" i="25"/>
  <c r="N1" i="25"/>
  <c r="M1" i="25"/>
  <c r="L1" i="25"/>
  <c r="K1" i="25"/>
  <c r="J1" i="25"/>
  <c r="I1" i="25"/>
  <c r="H1" i="25"/>
  <c r="G1" i="25"/>
  <c r="F1" i="25"/>
  <c r="E1" i="25"/>
  <c r="D1" i="25"/>
  <c r="T142" i="24"/>
  <c r="P141" i="24"/>
  <c r="O141" i="24"/>
  <c r="N141" i="24"/>
  <c r="M141" i="24"/>
  <c r="L141" i="24"/>
  <c r="K141" i="24"/>
  <c r="J141" i="24"/>
  <c r="I141" i="24"/>
  <c r="H141" i="24"/>
  <c r="G141" i="24"/>
  <c r="F141" i="24"/>
  <c r="E141" i="24"/>
  <c r="D141" i="24"/>
  <c r="P140" i="24"/>
  <c r="P139" i="24"/>
  <c r="P138" i="24"/>
  <c r="AG136" i="24"/>
  <c r="AC136" i="24"/>
  <c r="P136" i="24"/>
  <c r="AG135" i="24"/>
  <c r="V134" i="24"/>
  <c r="N134" i="24"/>
  <c r="F134" i="24"/>
  <c r="AB133" i="24"/>
  <c r="AA133" i="24"/>
  <c r="Z133" i="24"/>
  <c r="Y133" i="24"/>
  <c r="X133" i="24"/>
  <c r="W133" i="24"/>
  <c r="V133" i="24"/>
  <c r="U133" i="24"/>
  <c r="T133" i="24"/>
  <c r="S133" i="24"/>
  <c r="R133" i="24"/>
  <c r="Q133" i="24"/>
  <c r="O133" i="24"/>
  <c r="N133" i="24"/>
  <c r="M133" i="24"/>
  <c r="L133" i="24"/>
  <c r="K133" i="24"/>
  <c r="J133" i="24"/>
  <c r="I133" i="24"/>
  <c r="H133" i="24"/>
  <c r="G133" i="24"/>
  <c r="F133" i="24"/>
  <c r="E133" i="24"/>
  <c r="D133" i="24"/>
  <c r="AG132" i="24"/>
  <c r="AC132" i="24"/>
  <c r="P132" i="24"/>
  <c r="AC131" i="24"/>
  <c r="AD131" i="24" s="1"/>
  <c r="AE131" i="24" s="1"/>
  <c r="P131" i="24"/>
  <c r="AG131" i="24" s="1"/>
  <c r="AD130" i="24"/>
  <c r="AE130" i="24" s="1"/>
  <c r="AC130" i="24"/>
  <c r="P130" i="24"/>
  <c r="AG130" i="24" s="1"/>
  <c r="AE129" i="24"/>
  <c r="AC129" i="24"/>
  <c r="P129" i="24"/>
  <c r="AD129" i="24" s="1"/>
  <c r="AC128" i="24"/>
  <c r="P128" i="24"/>
  <c r="AD127" i="24"/>
  <c r="AE127" i="24" s="1"/>
  <c r="AC127" i="24"/>
  <c r="P127" i="24"/>
  <c r="AG127" i="24" s="1"/>
  <c r="AE126" i="24"/>
  <c r="AD126" i="24"/>
  <c r="AC126" i="24"/>
  <c r="P126" i="24"/>
  <c r="AG126" i="24" s="1"/>
  <c r="AG125" i="24"/>
  <c r="AC125" i="24"/>
  <c r="P125" i="24"/>
  <c r="AD125" i="24" s="1"/>
  <c r="AE125" i="24" s="1"/>
  <c r="AG124" i="24"/>
  <c r="AC124" i="24"/>
  <c r="P124" i="24"/>
  <c r="AG123" i="24"/>
  <c r="AB122" i="24"/>
  <c r="AA122" i="24"/>
  <c r="Z122" i="24"/>
  <c r="Z134" i="24" s="1"/>
  <c r="Z35" i="24" s="1"/>
  <c r="Y122" i="24"/>
  <c r="X122" i="24"/>
  <c r="W122" i="24"/>
  <c r="V122" i="24"/>
  <c r="U122" i="24"/>
  <c r="T122" i="24"/>
  <c r="S122" i="24"/>
  <c r="R122" i="24"/>
  <c r="R134" i="24" s="1"/>
  <c r="R35" i="24" s="1"/>
  <c r="Q122" i="24"/>
  <c r="O122" i="24"/>
  <c r="N122" i="24"/>
  <c r="M122" i="24"/>
  <c r="L122" i="24"/>
  <c r="K122" i="24"/>
  <c r="J122" i="24"/>
  <c r="J134" i="24" s="1"/>
  <c r="J35" i="24" s="1"/>
  <c r="I122" i="24"/>
  <c r="H122" i="24"/>
  <c r="G122" i="24"/>
  <c r="F122" i="24"/>
  <c r="E122" i="24"/>
  <c r="D122" i="24"/>
  <c r="AE121" i="24"/>
  <c r="AC121" i="24"/>
  <c r="P121" i="24"/>
  <c r="AD121" i="24" s="1"/>
  <c r="AC120" i="24"/>
  <c r="P120" i="24"/>
  <c r="AD119" i="24"/>
  <c r="AE119" i="24" s="1"/>
  <c r="AC119" i="24"/>
  <c r="P119" i="24"/>
  <c r="AG119" i="24" s="1"/>
  <c r="AE118" i="24"/>
  <c r="AD118" i="24"/>
  <c r="AC118" i="24"/>
  <c r="P118" i="24"/>
  <c r="AG118" i="24" s="1"/>
  <c r="AG117" i="24"/>
  <c r="AC117" i="24"/>
  <c r="P117" i="24"/>
  <c r="AD117" i="24" s="1"/>
  <c r="AE117" i="24" s="1"/>
  <c r="AG116" i="24"/>
  <c r="AC116" i="24"/>
  <c r="P116" i="24"/>
  <c r="AC115" i="24"/>
  <c r="AD115" i="24" s="1"/>
  <c r="AE115" i="24" s="1"/>
  <c r="P115" i="24"/>
  <c r="AG115" i="24" s="1"/>
  <c r="AD114" i="24"/>
  <c r="AE114" i="24" s="1"/>
  <c r="AC114" i="24"/>
  <c r="AC122" i="24" s="1"/>
  <c r="P114" i="24"/>
  <c r="AG113" i="24"/>
  <c r="AC112" i="24"/>
  <c r="AB112" i="24"/>
  <c r="AA112" i="24"/>
  <c r="Z112" i="24"/>
  <c r="Y112" i="24"/>
  <c r="X112" i="24"/>
  <c r="W112" i="24"/>
  <c r="V112" i="24"/>
  <c r="U112" i="24"/>
  <c r="T112" i="24"/>
  <c r="S112" i="24"/>
  <c r="R112" i="24"/>
  <c r="Q112" i="24"/>
  <c r="O112" i="24"/>
  <c r="N112" i="24"/>
  <c r="M112" i="24"/>
  <c r="L112" i="24"/>
  <c r="K112" i="24"/>
  <c r="J112" i="24"/>
  <c r="I112" i="24"/>
  <c r="H112" i="24"/>
  <c r="G112" i="24"/>
  <c r="F112" i="24"/>
  <c r="E112" i="24"/>
  <c r="D112" i="24"/>
  <c r="AC111" i="24"/>
  <c r="AD111" i="24" s="1"/>
  <c r="AE111" i="24" s="1"/>
  <c r="P111" i="24"/>
  <c r="AG111" i="24" s="1"/>
  <c r="AE110" i="24"/>
  <c r="AD110" i="24"/>
  <c r="AC110" i="24"/>
  <c r="P110" i="24"/>
  <c r="AG110" i="24" s="1"/>
  <c r="AC109" i="24"/>
  <c r="P109" i="24"/>
  <c r="AC108" i="24"/>
  <c r="P108" i="24"/>
  <c r="AD108" i="24" s="1"/>
  <c r="AE108" i="24" s="1"/>
  <c r="AD107" i="24"/>
  <c r="AE107" i="24" s="1"/>
  <c r="AC107" i="24"/>
  <c r="P107" i="24"/>
  <c r="AG107" i="24" s="1"/>
  <c r="AG106" i="24"/>
  <c r="AB105" i="24"/>
  <c r="AA105" i="24"/>
  <c r="AA134" i="24" s="1"/>
  <c r="AA35" i="24" s="1"/>
  <c r="Z105" i="24"/>
  <c r="Y105" i="24"/>
  <c r="X105" i="24"/>
  <c r="W105" i="24"/>
  <c r="W134" i="24" s="1"/>
  <c r="W35" i="24" s="1"/>
  <c r="V105" i="24"/>
  <c r="U105" i="24"/>
  <c r="T105" i="24"/>
  <c r="S105" i="24"/>
  <c r="S134" i="24" s="1"/>
  <c r="S35" i="24" s="1"/>
  <c r="R105" i="24"/>
  <c r="Q105" i="24"/>
  <c r="O105" i="24"/>
  <c r="N105" i="24"/>
  <c r="M105" i="24"/>
  <c r="L105" i="24"/>
  <c r="K105" i="24"/>
  <c r="J105" i="24"/>
  <c r="I105" i="24"/>
  <c r="H105" i="24"/>
  <c r="G105" i="24"/>
  <c r="F105" i="24"/>
  <c r="E105" i="24"/>
  <c r="D105" i="24"/>
  <c r="AG104" i="24"/>
  <c r="AC104" i="24"/>
  <c r="P104" i="24"/>
  <c r="P105" i="24" s="1"/>
  <c r="AG105" i="24" s="1"/>
  <c r="AC103" i="24"/>
  <c r="P103" i="24"/>
  <c r="AG103" i="24" s="1"/>
  <c r="AE102" i="24"/>
  <c r="AD102" i="24"/>
  <c r="AC102" i="24"/>
  <c r="P102" i="24"/>
  <c r="AG102" i="24" s="1"/>
  <c r="AA98" i="24"/>
  <c r="W98" i="24"/>
  <c r="S98" i="24"/>
  <c r="V97" i="24"/>
  <c r="U97" i="24"/>
  <c r="T97" i="24"/>
  <c r="S97" i="24"/>
  <c r="R97" i="24"/>
  <c r="Q97" i="24"/>
  <c r="V96" i="24"/>
  <c r="U96" i="24"/>
  <c r="T96" i="24"/>
  <c r="S96" i="24"/>
  <c r="R96" i="24"/>
  <c r="Q96" i="24"/>
  <c r="V95" i="24"/>
  <c r="U95" i="24"/>
  <c r="T95" i="24"/>
  <c r="S95" i="24"/>
  <c r="R95" i="24"/>
  <c r="Q95" i="24"/>
  <c r="V94" i="24"/>
  <c r="U94" i="24"/>
  <c r="T94" i="24"/>
  <c r="S94" i="24"/>
  <c r="R94" i="24"/>
  <c r="Q94" i="24"/>
  <c r="V93" i="24"/>
  <c r="U93" i="24"/>
  <c r="T93" i="24"/>
  <c r="S93" i="24"/>
  <c r="R93" i="24"/>
  <c r="Q93" i="24"/>
  <c r="AG92" i="24"/>
  <c r="AG91" i="24"/>
  <c r="AB90" i="24"/>
  <c r="AA90" i="24"/>
  <c r="Z90" i="24"/>
  <c r="Y90" i="24"/>
  <c r="X90" i="24"/>
  <c r="W90" i="24"/>
  <c r="V90" i="24"/>
  <c r="U90" i="24"/>
  <c r="T90" i="24"/>
  <c r="S90" i="24"/>
  <c r="R90" i="24"/>
  <c r="Q90" i="24"/>
  <c r="O90" i="24"/>
  <c r="N90" i="24"/>
  <c r="M90" i="24"/>
  <c r="L90" i="24"/>
  <c r="K90" i="24"/>
  <c r="J90" i="24"/>
  <c r="I90" i="24"/>
  <c r="H90" i="24"/>
  <c r="G90" i="24"/>
  <c r="F90" i="24"/>
  <c r="E90" i="24"/>
  <c r="D90" i="24"/>
  <c r="AD89" i="24"/>
  <c r="AE89" i="24" s="1"/>
  <c r="AC89" i="24"/>
  <c r="P89" i="24"/>
  <c r="AG89" i="24" s="1"/>
  <c r="AE88" i="24"/>
  <c r="AC88" i="24"/>
  <c r="AC96" i="24" s="1"/>
  <c r="P88" i="24"/>
  <c r="AD88" i="24" s="1"/>
  <c r="AC87" i="24"/>
  <c r="AC90" i="24" s="1"/>
  <c r="P87" i="24"/>
  <c r="AD86" i="24"/>
  <c r="AE86" i="24" s="1"/>
  <c r="AC86" i="24"/>
  <c r="P86" i="24"/>
  <c r="AG86" i="24" s="1"/>
  <c r="AE85" i="24"/>
  <c r="AD85" i="24"/>
  <c r="AC85" i="24"/>
  <c r="P85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AD79" i="24"/>
  <c r="AE79" i="24" s="1"/>
  <c r="AC79" i="24"/>
  <c r="P79" i="24"/>
  <c r="AG79" i="24" s="1"/>
  <c r="AE78" i="24"/>
  <c r="AC78" i="24"/>
  <c r="P78" i="24"/>
  <c r="AD78" i="24" s="1"/>
  <c r="AC77" i="24"/>
  <c r="P77" i="24"/>
  <c r="AD76" i="24"/>
  <c r="AE76" i="24" s="1"/>
  <c r="AC76" i="24"/>
  <c r="P76" i="24"/>
  <c r="AG76" i="24" s="1"/>
  <c r="AC75" i="24"/>
  <c r="O75" i="24"/>
  <c r="N75" i="24"/>
  <c r="M75" i="24"/>
  <c r="L75" i="24"/>
  <c r="K75" i="24"/>
  <c r="J75" i="24"/>
  <c r="I75" i="24"/>
  <c r="H75" i="24"/>
  <c r="G75" i="24"/>
  <c r="F75" i="24"/>
  <c r="E75" i="24"/>
  <c r="D75" i="24"/>
  <c r="AC74" i="24"/>
  <c r="O74" i="24"/>
  <c r="N74" i="24"/>
  <c r="M74" i="24"/>
  <c r="L74" i="24"/>
  <c r="K74" i="24"/>
  <c r="J74" i="24"/>
  <c r="I74" i="24"/>
  <c r="H74" i="24"/>
  <c r="G74" i="24"/>
  <c r="F74" i="24"/>
  <c r="E74" i="24"/>
  <c r="D74" i="24"/>
  <c r="P74" i="24" s="1"/>
  <c r="AG73" i="24"/>
  <c r="AC73" i="24"/>
  <c r="P73" i="24"/>
  <c r="AC72" i="24"/>
  <c r="AD71" i="24"/>
  <c r="AE71" i="24" s="1"/>
  <c r="AC71" i="24"/>
  <c r="P71" i="24"/>
  <c r="AG71" i="24" s="1"/>
  <c r="AE70" i="24"/>
  <c r="AC70" i="24"/>
  <c r="P70" i="24"/>
  <c r="AD70" i="24" s="1"/>
  <c r="AC69" i="24"/>
  <c r="P69" i="24"/>
  <c r="AD68" i="24"/>
  <c r="AE68" i="24" s="1"/>
  <c r="AC68" i="24"/>
  <c r="P68" i="24"/>
  <c r="AG68" i="24" s="1"/>
  <c r="AE67" i="24"/>
  <c r="AD67" i="24"/>
  <c r="AC67" i="24"/>
  <c r="P67" i="24"/>
  <c r="AG67" i="24" s="1"/>
  <c r="AG66" i="24"/>
  <c r="AC66" i="24"/>
  <c r="P66" i="24"/>
  <c r="AD66" i="24" s="1"/>
  <c r="AE66" i="24" s="1"/>
  <c r="AG65" i="24"/>
  <c r="AC65" i="24"/>
  <c r="P65" i="24"/>
  <c r="AC64" i="24"/>
  <c r="AD64" i="24" s="1"/>
  <c r="AE64" i="24" s="1"/>
  <c r="P64" i="24"/>
  <c r="AG64" i="24" s="1"/>
  <c r="AD63" i="24"/>
  <c r="AE63" i="24" s="1"/>
  <c r="AC63" i="24"/>
  <c r="P63" i="24"/>
  <c r="AG63" i="24" s="1"/>
  <c r="AE62" i="24"/>
  <c r="AC62" i="24"/>
  <c r="P62" i="24"/>
  <c r="AD62" i="24" s="1"/>
  <c r="AC61" i="24"/>
  <c r="P61" i="24"/>
  <c r="AD60" i="24"/>
  <c r="AE60" i="24" s="1"/>
  <c r="AC60" i="24"/>
  <c r="P60" i="24"/>
  <c r="AG60" i="24" s="1"/>
  <c r="AE59" i="24"/>
  <c r="AD59" i="24"/>
  <c r="AC59" i="24"/>
  <c r="P59" i="24"/>
  <c r="AG59" i="24" s="1"/>
  <c r="AG58" i="24"/>
  <c r="AC58" i="24"/>
  <c r="P58" i="24"/>
  <c r="AD58" i="24" s="1"/>
  <c r="AE58" i="24" s="1"/>
  <c r="AG57" i="24"/>
  <c r="AC57" i="24"/>
  <c r="P57" i="24"/>
  <c r="AC56" i="24"/>
  <c r="AD56" i="24" s="1"/>
  <c r="AE56" i="24" s="1"/>
  <c r="P56" i="24"/>
  <c r="AG56" i="24" s="1"/>
  <c r="AD55" i="24"/>
  <c r="AE55" i="24" s="1"/>
  <c r="AC55" i="24"/>
  <c r="P55" i="24"/>
  <c r="AG55" i="24" s="1"/>
  <c r="AE54" i="24"/>
  <c r="AC54" i="24"/>
  <c r="P54" i="24"/>
  <c r="AD54" i="24" s="1"/>
  <c r="AC53" i="24"/>
  <c r="P53" i="24"/>
  <c r="AD52" i="24"/>
  <c r="AE52" i="24" s="1"/>
  <c r="AC52" i="24"/>
  <c r="P52" i="24"/>
  <c r="AG52" i="24" s="1"/>
  <c r="AE51" i="24"/>
  <c r="AD51" i="24"/>
  <c r="AC51" i="24"/>
  <c r="P51" i="24"/>
  <c r="AG51" i="24" s="1"/>
  <c r="AG50" i="24"/>
  <c r="AC50" i="24"/>
  <c r="P50" i="24"/>
  <c r="AD50" i="24" s="1"/>
  <c r="AE50" i="24" s="1"/>
  <c r="AG49" i="24"/>
  <c r="AC49" i="24"/>
  <c r="P49" i="24"/>
  <c r="AC48" i="24"/>
  <c r="AD48" i="24" s="1"/>
  <c r="AE48" i="24" s="1"/>
  <c r="P48" i="24"/>
  <c r="AG48" i="24" s="1"/>
  <c r="AD47" i="24"/>
  <c r="AE47" i="24" s="1"/>
  <c r="AC47" i="24"/>
  <c r="P47" i="24"/>
  <c r="AG47" i="24" s="1"/>
  <c r="AE46" i="24"/>
  <c r="AC46" i="24"/>
  <c r="P46" i="24"/>
  <c r="AD46" i="24" s="1"/>
  <c r="AC45" i="24"/>
  <c r="P45" i="24"/>
  <c r="AD44" i="24"/>
  <c r="AE44" i="24" s="1"/>
  <c r="AC44" i="24"/>
  <c r="P44" i="24"/>
  <c r="AG44" i="24" s="1"/>
  <c r="AC43" i="24"/>
  <c r="O43" i="24"/>
  <c r="N43" i="24"/>
  <c r="M43" i="24"/>
  <c r="L43" i="24"/>
  <c r="K43" i="24"/>
  <c r="J43" i="24"/>
  <c r="I43" i="24"/>
  <c r="H43" i="24"/>
  <c r="G43" i="24"/>
  <c r="F43" i="24"/>
  <c r="E43" i="24"/>
  <c r="D43" i="24"/>
  <c r="AG42" i="24"/>
  <c r="AE42" i="24"/>
  <c r="AC42" i="24"/>
  <c r="P42" i="24"/>
  <c r="AD42" i="24" s="1"/>
  <c r="AG41" i="24"/>
  <c r="AC41" i="24"/>
  <c r="P41" i="24"/>
  <c r="AC40" i="24"/>
  <c r="AD40" i="24" s="1"/>
  <c r="AE40" i="24" s="1"/>
  <c r="P40" i="24"/>
  <c r="AG40" i="24" s="1"/>
  <c r="AE39" i="24"/>
  <c r="AD39" i="24"/>
  <c r="AC39" i="24"/>
  <c r="P39" i="24"/>
  <c r="AG39" i="24" s="1"/>
  <c r="AC38" i="24"/>
  <c r="P38" i="24"/>
  <c r="AG37" i="24"/>
  <c r="AG36" i="24"/>
  <c r="V35" i="24"/>
  <c r="N35" i="24"/>
  <c r="F35" i="24"/>
  <c r="AG34" i="24"/>
  <c r="AC33" i="24"/>
  <c r="AB33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I33" i="24"/>
  <c r="H33" i="24"/>
  <c r="G33" i="24"/>
  <c r="F33" i="24"/>
  <c r="E33" i="24"/>
  <c r="D33" i="24"/>
  <c r="AD32" i="24"/>
  <c r="AE32" i="24" s="1"/>
  <c r="AC32" i="24"/>
  <c r="P32" i="24"/>
  <c r="AG32" i="24" s="1"/>
  <c r="AE31" i="24"/>
  <c r="AD31" i="24"/>
  <c r="AC31" i="24"/>
  <c r="P31" i="24"/>
  <c r="AG31" i="24" s="1"/>
  <c r="AG30" i="24"/>
  <c r="AC30" i="24"/>
  <c r="P30" i="24"/>
  <c r="AD30" i="24" s="1"/>
  <c r="AE30" i="24" s="1"/>
  <c r="X27" i="24"/>
  <c r="H27" i="24"/>
  <c r="AC26" i="24"/>
  <c r="AD26" i="24" s="1"/>
  <c r="AE26" i="24" s="1"/>
  <c r="P26" i="24"/>
  <c r="AG26" i="24" s="1"/>
  <c r="AD25" i="24"/>
  <c r="AE25" i="24" s="1"/>
  <c r="AC25" i="24"/>
  <c r="P25" i="24"/>
  <c r="AG25" i="24" s="1"/>
  <c r="AG24" i="24"/>
  <c r="AE24" i="24"/>
  <c r="AC24" i="24"/>
  <c r="P24" i="24"/>
  <c r="AG23" i="24"/>
  <c r="AC22" i="24"/>
  <c r="AB22" i="24"/>
  <c r="AA22" i="24"/>
  <c r="Z22" i="24"/>
  <c r="Y22" i="24"/>
  <c r="Y27" i="24" s="1"/>
  <c r="X22" i="24"/>
  <c r="W22" i="24"/>
  <c r="V22" i="24"/>
  <c r="U22" i="24"/>
  <c r="U27" i="24" s="1"/>
  <c r="T22" i="24"/>
  <c r="S22" i="24"/>
  <c r="R22" i="24"/>
  <c r="Q22" i="24"/>
  <c r="Q27" i="24" s="1"/>
  <c r="O22" i="24"/>
  <c r="N22" i="24"/>
  <c r="M22" i="24"/>
  <c r="L22" i="24"/>
  <c r="K22" i="24"/>
  <c r="J22" i="24"/>
  <c r="I22" i="24"/>
  <c r="H22" i="24"/>
  <c r="G22" i="24"/>
  <c r="F22" i="24"/>
  <c r="E22" i="24"/>
  <c r="D22" i="24"/>
  <c r="AC21" i="24"/>
  <c r="AD21" i="24" s="1"/>
  <c r="AE21" i="24" s="1"/>
  <c r="P21" i="24"/>
  <c r="AG21" i="24" s="1"/>
  <c r="AE20" i="24"/>
  <c r="AD20" i="24"/>
  <c r="AC20" i="24"/>
  <c r="P20" i="24"/>
  <c r="AG20" i="24" s="1"/>
  <c r="AC19" i="24"/>
  <c r="P19" i="24"/>
  <c r="AC18" i="24"/>
  <c r="P18" i="24"/>
  <c r="AD18" i="24" s="1"/>
  <c r="AE18" i="24" s="1"/>
  <c r="AD17" i="24"/>
  <c r="AE17" i="24" s="1"/>
  <c r="AC17" i="24"/>
  <c r="P17" i="24"/>
  <c r="AG17" i="24" s="1"/>
  <c r="AG16" i="24"/>
  <c r="AG15" i="24"/>
  <c r="AB14" i="24"/>
  <c r="AB27" i="24" s="1"/>
  <c r="AA14" i="24"/>
  <c r="AA27" i="24" s="1"/>
  <c r="Z14" i="24"/>
  <c r="Y14" i="24"/>
  <c r="X14" i="24"/>
  <c r="X98" i="24" s="1"/>
  <c r="W14" i="24"/>
  <c r="W27" i="24" s="1"/>
  <c r="V14" i="24"/>
  <c r="U14" i="24"/>
  <c r="T14" i="24"/>
  <c r="T27" i="24" s="1"/>
  <c r="S14" i="24"/>
  <c r="S27" i="24" s="1"/>
  <c r="R14" i="24"/>
  <c r="Q14" i="24"/>
  <c r="H14" i="24"/>
  <c r="H98" i="24" s="1"/>
  <c r="AC13" i="24"/>
  <c r="AC97" i="24" s="1"/>
  <c r="O13" i="24"/>
  <c r="N13" i="24"/>
  <c r="M13" i="24"/>
  <c r="L13" i="24"/>
  <c r="K13" i="24"/>
  <c r="J13" i="24"/>
  <c r="I13" i="24"/>
  <c r="H13" i="24"/>
  <c r="G13" i="24"/>
  <c r="F13" i="24"/>
  <c r="E13" i="24"/>
  <c r="D13" i="24"/>
  <c r="P13" i="24" s="1"/>
  <c r="AC12" i="24"/>
  <c r="O12" i="24"/>
  <c r="N12" i="24"/>
  <c r="M12" i="24"/>
  <c r="L12" i="24"/>
  <c r="K12" i="24"/>
  <c r="J12" i="24"/>
  <c r="I12" i="24"/>
  <c r="H12" i="24"/>
  <c r="G12" i="24"/>
  <c r="F12" i="24"/>
  <c r="E12" i="24"/>
  <c r="D12" i="24"/>
  <c r="AC11" i="24"/>
  <c r="O11" i="24"/>
  <c r="N11" i="24"/>
  <c r="M11" i="24"/>
  <c r="L11" i="24"/>
  <c r="K11" i="24"/>
  <c r="J11" i="24"/>
  <c r="I11" i="24"/>
  <c r="H11" i="24"/>
  <c r="G11" i="24"/>
  <c r="F11" i="24"/>
  <c r="E11" i="24"/>
  <c r="D11" i="24"/>
  <c r="P11" i="24" s="1"/>
  <c r="AC10" i="24"/>
  <c r="AC94" i="24" s="1"/>
  <c r="O10" i="24"/>
  <c r="N10" i="24"/>
  <c r="M10" i="24"/>
  <c r="M14" i="24" s="1"/>
  <c r="L10" i="24"/>
  <c r="L14" i="24" s="1"/>
  <c r="K10" i="24"/>
  <c r="J10" i="24"/>
  <c r="I10" i="24"/>
  <c r="H10" i="24"/>
  <c r="G10" i="24"/>
  <c r="F10" i="24"/>
  <c r="E10" i="24"/>
  <c r="E14" i="24" s="1"/>
  <c r="D10" i="24"/>
  <c r="D14" i="24" s="1"/>
  <c r="AC9" i="24"/>
  <c r="O9" i="24"/>
  <c r="O14" i="24" s="1"/>
  <c r="N9" i="24"/>
  <c r="M9" i="24"/>
  <c r="L9" i="24"/>
  <c r="K9" i="24"/>
  <c r="K14" i="24" s="1"/>
  <c r="J9" i="24"/>
  <c r="I9" i="24"/>
  <c r="H9" i="24"/>
  <c r="G9" i="24"/>
  <c r="G14" i="24" s="1"/>
  <c r="F9" i="24"/>
  <c r="E9" i="24"/>
  <c r="D9" i="24"/>
  <c r="P9" i="24" s="1"/>
  <c r="AB7" i="24"/>
  <c r="C4" i="24"/>
  <c r="O2" i="24"/>
  <c r="N2" i="24"/>
  <c r="M2" i="24"/>
  <c r="L2" i="24"/>
  <c r="K2" i="24"/>
  <c r="J2" i="24"/>
  <c r="I2" i="24"/>
  <c r="H2" i="24"/>
  <c r="G2" i="24"/>
  <c r="F2" i="24"/>
  <c r="E2" i="24"/>
  <c r="D2" i="24"/>
  <c r="O1" i="24"/>
  <c r="N1" i="24"/>
  <c r="M1" i="24"/>
  <c r="L1" i="24"/>
  <c r="K1" i="24"/>
  <c r="J1" i="24"/>
  <c r="I1" i="24"/>
  <c r="H1" i="24"/>
  <c r="G1" i="24"/>
  <c r="F1" i="24"/>
  <c r="E1" i="24"/>
  <c r="D1" i="24"/>
  <c r="O141" i="23"/>
  <c r="N141" i="23"/>
  <c r="M141" i="23"/>
  <c r="L141" i="23"/>
  <c r="K141" i="23"/>
  <c r="J141" i="23"/>
  <c r="I141" i="23"/>
  <c r="H141" i="23"/>
  <c r="G141" i="23"/>
  <c r="F141" i="23"/>
  <c r="E141" i="23"/>
  <c r="D141" i="23"/>
  <c r="P140" i="23"/>
  <c r="P141" i="23" s="1"/>
  <c r="P139" i="23"/>
  <c r="P138" i="23"/>
  <c r="AG136" i="23"/>
  <c r="AE136" i="23"/>
  <c r="AC136" i="23"/>
  <c r="P136" i="23"/>
  <c r="AD136" i="23" s="1"/>
  <c r="AG135" i="23"/>
  <c r="Y134" i="23"/>
  <c r="V134" i="23"/>
  <c r="V35" i="23" s="1"/>
  <c r="U134" i="23"/>
  <c r="Q134" i="23"/>
  <c r="I134" i="23"/>
  <c r="AB133" i="23"/>
  <c r="AA133" i="23"/>
  <c r="Z133" i="23"/>
  <c r="Y133" i="23"/>
  <c r="X133" i="23"/>
  <c r="W133" i="23"/>
  <c r="V133" i="23"/>
  <c r="U133" i="23"/>
  <c r="T133" i="23"/>
  <c r="S133" i="23"/>
  <c r="R133" i="23"/>
  <c r="Q133" i="23"/>
  <c r="O133" i="23"/>
  <c r="N133" i="23"/>
  <c r="M133" i="23"/>
  <c r="L133" i="23"/>
  <c r="K133" i="23"/>
  <c r="J133" i="23"/>
  <c r="I133" i="23"/>
  <c r="H133" i="23"/>
  <c r="G133" i="23"/>
  <c r="F133" i="23"/>
  <c r="E133" i="23"/>
  <c r="D133" i="23"/>
  <c r="AG132" i="23"/>
  <c r="AC132" i="23"/>
  <c r="P132" i="23"/>
  <c r="AD132" i="23" s="1"/>
  <c r="AE132" i="23" s="1"/>
  <c r="AG131" i="23"/>
  <c r="AC131" i="23"/>
  <c r="P131" i="23"/>
  <c r="AC130" i="23"/>
  <c r="AD130" i="23" s="1"/>
  <c r="AE130" i="23" s="1"/>
  <c r="P130" i="23"/>
  <c r="AG130" i="23" s="1"/>
  <c r="AD129" i="23"/>
  <c r="AE129" i="23" s="1"/>
  <c r="AC129" i="23"/>
  <c r="P129" i="23"/>
  <c r="AG129" i="23" s="1"/>
  <c r="AE128" i="23"/>
  <c r="AC128" i="23"/>
  <c r="P128" i="23"/>
  <c r="AD128" i="23" s="1"/>
  <c r="AC127" i="23"/>
  <c r="P127" i="23"/>
  <c r="AD126" i="23"/>
  <c r="AE126" i="23" s="1"/>
  <c r="AC126" i="23"/>
  <c r="P126" i="23"/>
  <c r="AG126" i="23" s="1"/>
  <c r="AE125" i="23"/>
  <c r="AD125" i="23"/>
  <c r="AC125" i="23"/>
  <c r="P125" i="23"/>
  <c r="AG125" i="23" s="1"/>
  <c r="AG124" i="23"/>
  <c r="AC124" i="23"/>
  <c r="P124" i="23"/>
  <c r="AG123" i="23"/>
  <c r="AB122" i="23"/>
  <c r="AA122" i="23"/>
  <c r="Z122" i="23"/>
  <c r="Y122" i="23"/>
  <c r="X122" i="23"/>
  <c r="W122" i="23"/>
  <c r="V122" i="23"/>
  <c r="U122" i="23"/>
  <c r="T122" i="23"/>
  <c r="S122" i="23"/>
  <c r="R122" i="23"/>
  <c r="Q122" i="23"/>
  <c r="O122" i="23"/>
  <c r="N122" i="23"/>
  <c r="N134" i="23" s="1"/>
  <c r="N35" i="23" s="1"/>
  <c r="M122" i="23"/>
  <c r="M134" i="23" s="1"/>
  <c r="M35" i="23" s="1"/>
  <c r="L122" i="23"/>
  <c r="K122" i="23"/>
  <c r="J122" i="23"/>
  <c r="I122" i="23"/>
  <c r="H122" i="23"/>
  <c r="G122" i="23"/>
  <c r="F122" i="23"/>
  <c r="E122" i="23"/>
  <c r="E134" i="23" s="1"/>
  <c r="E35" i="23" s="1"/>
  <c r="D122" i="23"/>
  <c r="AD121" i="23"/>
  <c r="AE121" i="23" s="1"/>
  <c r="AC121" i="23"/>
  <c r="P121" i="23"/>
  <c r="AG121" i="23" s="1"/>
  <c r="AG120" i="23"/>
  <c r="AE120" i="23"/>
  <c r="AC120" i="23"/>
  <c r="P120" i="23"/>
  <c r="AD120" i="23" s="1"/>
  <c r="AG119" i="23"/>
  <c r="AC119" i="23"/>
  <c r="P119" i="23"/>
  <c r="AC118" i="23"/>
  <c r="AD118" i="23" s="1"/>
  <c r="AE118" i="23" s="1"/>
  <c r="P118" i="23"/>
  <c r="AG118" i="23" s="1"/>
  <c r="AE117" i="23"/>
  <c r="AD117" i="23"/>
  <c r="AC117" i="23"/>
  <c r="P117" i="23"/>
  <c r="AG117" i="23" s="1"/>
  <c r="AC116" i="23"/>
  <c r="P116" i="23"/>
  <c r="AC115" i="23"/>
  <c r="P115" i="23"/>
  <c r="AD115" i="23" s="1"/>
  <c r="AE115" i="23" s="1"/>
  <c r="AD114" i="23"/>
  <c r="AE114" i="23" s="1"/>
  <c r="AC114" i="23"/>
  <c r="AC122" i="23" s="1"/>
  <c r="P114" i="23"/>
  <c r="AG113" i="23"/>
  <c r="AB112" i="23"/>
  <c r="AA112" i="23"/>
  <c r="Z112" i="23"/>
  <c r="Y112" i="23"/>
  <c r="X112" i="23"/>
  <c r="W112" i="23"/>
  <c r="V112" i="23"/>
  <c r="U112" i="23"/>
  <c r="T112" i="23"/>
  <c r="S112" i="23"/>
  <c r="R112" i="23"/>
  <c r="Q112" i="23"/>
  <c r="O112" i="23"/>
  <c r="N112" i="23"/>
  <c r="M112" i="23"/>
  <c r="L112" i="23"/>
  <c r="K112" i="23"/>
  <c r="J112" i="23"/>
  <c r="I112" i="23"/>
  <c r="H112" i="23"/>
  <c r="G112" i="23"/>
  <c r="F112" i="23"/>
  <c r="E112" i="23"/>
  <c r="D112" i="23"/>
  <c r="AG111" i="23"/>
  <c r="AC111" i="23"/>
  <c r="P111" i="23"/>
  <c r="AC110" i="23"/>
  <c r="AD110" i="23" s="1"/>
  <c r="AE110" i="23" s="1"/>
  <c r="P110" i="23"/>
  <c r="AG110" i="23" s="1"/>
  <c r="AE109" i="23"/>
  <c r="AD109" i="23"/>
  <c r="AC109" i="23"/>
  <c r="P109" i="23"/>
  <c r="AG109" i="23" s="1"/>
  <c r="AC108" i="23"/>
  <c r="P108" i="23"/>
  <c r="AC107" i="23"/>
  <c r="P107" i="23"/>
  <c r="AD107" i="23" s="1"/>
  <c r="AE107" i="23" s="1"/>
  <c r="AG106" i="23"/>
  <c r="AB105" i="23"/>
  <c r="AB134" i="23" s="1"/>
  <c r="AB35" i="23" s="1"/>
  <c r="AA105" i="23"/>
  <c r="AA134" i="23" s="1"/>
  <c r="AA35" i="23" s="1"/>
  <c r="Z105" i="23"/>
  <c r="Z134" i="23" s="1"/>
  <c r="Z35" i="23" s="1"/>
  <c r="Y105" i="23"/>
  <c r="X105" i="23"/>
  <c r="X134" i="23" s="1"/>
  <c r="X35" i="23" s="1"/>
  <c r="W105" i="23"/>
  <c r="W134" i="23" s="1"/>
  <c r="W35" i="23" s="1"/>
  <c r="V105" i="23"/>
  <c r="U105" i="23"/>
  <c r="T105" i="23"/>
  <c r="T134" i="23" s="1"/>
  <c r="T35" i="23" s="1"/>
  <c r="S105" i="23"/>
  <c r="S134" i="23" s="1"/>
  <c r="S35" i="23" s="1"/>
  <c r="R105" i="23"/>
  <c r="R134" i="23" s="1"/>
  <c r="R35" i="23" s="1"/>
  <c r="Q105" i="23"/>
  <c r="O105" i="23"/>
  <c r="N105" i="23"/>
  <c r="M105" i="23"/>
  <c r="L105" i="23"/>
  <c r="L134" i="23" s="1"/>
  <c r="L35" i="23" s="1"/>
  <c r="K105" i="23"/>
  <c r="J105" i="23"/>
  <c r="I105" i="23"/>
  <c r="H105" i="23"/>
  <c r="H134" i="23" s="1"/>
  <c r="H35" i="23" s="1"/>
  <c r="G105" i="23"/>
  <c r="F105" i="23"/>
  <c r="E105" i="23"/>
  <c r="D105" i="23"/>
  <c r="D134" i="23" s="1"/>
  <c r="D35" i="23" s="1"/>
  <c r="AG104" i="23"/>
  <c r="AE104" i="23"/>
  <c r="AC104" i="23"/>
  <c r="P104" i="23"/>
  <c r="AD104" i="23" s="1"/>
  <c r="AG103" i="23"/>
  <c r="AC103" i="23"/>
  <c r="P103" i="23"/>
  <c r="AC102" i="23"/>
  <c r="P102" i="23"/>
  <c r="AG102" i="23" s="1"/>
  <c r="AA98" i="23"/>
  <c r="Z98" i="23"/>
  <c r="V98" i="23"/>
  <c r="S98" i="23"/>
  <c r="R98" i="23"/>
  <c r="V97" i="23"/>
  <c r="U97" i="23"/>
  <c r="T97" i="23"/>
  <c r="S97" i="23"/>
  <c r="R97" i="23"/>
  <c r="Q97" i="23"/>
  <c r="V96" i="23"/>
  <c r="U96" i="23"/>
  <c r="T96" i="23"/>
  <c r="S96" i="23"/>
  <c r="R96" i="23"/>
  <c r="Q96" i="23"/>
  <c r="AC95" i="23"/>
  <c r="V95" i="23"/>
  <c r="U95" i="23"/>
  <c r="T95" i="23"/>
  <c r="S95" i="23"/>
  <c r="R95" i="23"/>
  <c r="Q95" i="23"/>
  <c r="V94" i="23"/>
  <c r="U94" i="23"/>
  <c r="T94" i="23"/>
  <c r="S94" i="23"/>
  <c r="R94" i="23"/>
  <c r="Q94" i="23"/>
  <c r="V93" i="23"/>
  <c r="U93" i="23"/>
  <c r="T93" i="23"/>
  <c r="S93" i="23"/>
  <c r="R93" i="23"/>
  <c r="Q93" i="23"/>
  <c r="AG92" i="23"/>
  <c r="AG91" i="23"/>
  <c r="AC90" i="23"/>
  <c r="AB90" i="23"/>
  <c r="AA90" i="23"/>
  <c r="Z90" i="23"/>
  <c r="Y90" i="23"/>
  <c r="X90" i="23"/>
  <c r="W90" i="23"/>
  <c r="V90" i="23"/>
  <c r="U90" i="23"/>
  <c r="T90" i="23"/>
  <c r="S90" i="23"/>
  <c r="R90" i="23"/>
  <c r="Q90" i="23"/>
  <c r="O90" i="23"/>
  <c r="N90" i="23"/>
  <c r="M90" i="23"/>
  <c r="L90" i="23"/>
  <c r="K90" i="23"/>
  <c r="J90" i="23"/>
  <c r="I90" i="23"/>
  <c r="H90" i="23"/>
  <c r="G90" i="23"/>
  <c r="F90" i="23"/>
  <c r="E90" i="23"/>
  <c r="D90" i="23"/>
  <c r="AC89" i="23"/>
  <c r="AD89" i="23" s="1"/>
  <c r="AE89" i="23" s="1"/>
  <c r="P89" i="23"/>
  <c r="AG89" i="23" s="1"/>
  <c r="AE88" i="23"/>
  <c r="AD88" i="23"/>
  <c r="AC88" i="23"/>
  <c r="P88" i="23"/>
  <c r="AG88" i="23" s="1"/>
  <c r="AC87" i="23"/>
  <c r="P87" i="23"/>
  <c r="AC86" i="23"/>
  <c r="AC94" i="23" s="1"/>
  <c r="P86" i="23"/>
  <c r="AD86" i="23" s="1"/>
  <c r="AE86" i="23" s="1"/>
  <c r="AD85" i="23"/>
  <c r="AE85" i="23" s="1"/>
  <c r="AC85" i="23"/>
  <c r="P85" i="23"/>
  <c r="AG85" i="23" s="1"/>
  <c r="S81" i="23"/>
  <c r="S82" i="23" s="1"/>
  <c r="AB80" i="23"/>
  <c r="AA80" i="23"/>
  <c r="Z80" i="23"/>
  <c r="Y80" i="23"/>
  <c r="X80" i="23"/>
  <c r="W80" i="23"/>
  <c r="V80" i="23"/>
  <c r="U80" i="23"/>
  <c r="T80" i="23"/>
  <c r="S80" i="23"/>
  <c r="R80" i="23"/>
  <c r="Q80" i="23"/>
  <c r="AC79" i="23"/>
  <c r="AE78" i="23"/>
  <c r="AD78" i="23"/>
  <c r="AC78" i="23"/>
  <c r="P78" i="23"/>
  <c r="AG78" i="23" s="1"/>
  <c r="AC77" i="23"/>
  <c r="P77" i="23"/>
  <c r="AC76" i="23"/>
  <c r="P76" i="23"/>
  <c r="AD76" i="23" s="1"/>
  <c r="AE76" i="23" s="1"/>
  <c r="AD75" i="23"/>
  <c r="AE75" i="23" s="1"/>
  <c r="AC75" i="23"/>
  <c r="P75" i="23"/>
  <c r="AG75" i="23" s="1"/>
  <c r="AD74" i="23"/>
  <c r="AE74" i="23" s="1"/>
  <c r="AC74" i="23"/>
  <c r="P74" i="23"/>
  <c r="AG74" i="23" s="1"/>
  <c r="AG73" i="23"/>
  <c r="AE73" i="23"/>
  <c r="AC73" i="23"/>
  <c r="P73" i="23"/>
  <c r="AD73" i="23" s="1"/>
  <c r="AC72" i="23"/>
  <c r="AD71" i="23"/>
  <c r="AE71" i="23" s="1"/>
  <c r="AC71" i="23"/>
  <c r="P71" i="23"/>
  <c r="AG71" i="23" s="1"/>
  <c r="AD70" i="23"/>
  <c r="AE70" i="23" s="1"/>
  <c r="AC70" i="23"/>
  <c r="P70" i="23"/>
  <c r="AG70" i="23" s="1"/>
  <c r="AG69" i="23"/>
  <c r="AE69" i="23"/>
  <c r="AC69" i="23"/>
  <c r="P69" i="23"/>
  <c r="AD69" i="23" s="1"/>
  <c r="AG68" i="23"/>
  <c r="AC68" i="23"/>
  <c r="P68" i="23"/>
  <c r="AC67" i="23"/>
  <c r="AD67" i="23" s="1"/>
  <c r="AE67" i="23" s="1"/>
  <c r="P67" i="23"/>
  <c r="AG67" i="23" s="1"/>
  <c r="AE66" i="23"/>
  <c r="AD66" i="23"/>
  <c r="AC66" i="23"/>
  <c r="P66" i="23"/>
  <c r="AG66" i="23" s="1"/>
  <c r="AC65" i="23"/>
  <c r="P65" i="23"/>
  <c r="AC64" i="23"/>
  <c r="P64" i="23"/>
  <c r="AD64" i="23" s="1"/>
  <c r="AE64" i="23" s="1"/>
  <c r="AD63" i="23"/>
  <c r="AE63" i="23" s="1"/>
  <c r="AC63" i="23"/>
  <c r="P63" i="23"/>
  <c r="AG63" i="23" s="1"/>
  <c r="AD62" i="23"/>
  <c r="AE62" i="23" s="1"/>
  <c r="AC62" i="23"/>
  <c r="P62" i="23"/>
  <c r="AG62" i="23" s="1"/>
  <c r="AG61" i="23"/>
  <c r="AE61" i="23"/>
  <c r="AC61" i="23"/>
  <c r="P61" i="23"/>
  <c r="AD61" i="23" s="1"/>
  <c r="AG60" i="23"/>
  <c r="AC60" i="23"/>
  <c r="P60" i="23"/>
  <c r="AC59" i="23"/>
  <c r="AD59" i="23" s="1"/>
  <c r="AE59" i="23" s="1"/>
  <c r="P59" i="23"/>
  <c r="AG59" i="23" s="1"/>
  <c r="AE58" i="23"/>
  <c r="AD58" i="23"/>
  <c r="AC58" i="23"/>
  <c r="P58" i="23"/>
  <c r="AG58" i="23" s="1"/>
  <c r="AC57" i="23"/>
  <c r="P57" i="23"/>
  <c r="AC56" i="23"/>
  <c r="P56" i="23"/>
  <c r="AD56" i="23" s="1"/>
  <c r="AE56" i="23" s="1"/>
  <c r="AD55" i="23"/>
  <c r="AE55" i="23" s="1"/>
  <c r="AC55" i="23"/>
  <c r="P55" i="23"/>
  <c r="AG55" i="23" s="1"/>
  <c r="AD54" i="23"/>
  <c r="AE54" i="23" s="1"/>
  <c r="AC54" i="23"/>
  <c r="P54" i="23"/>
  <c r="AG54" i="23" s="1"/>
  <c r="AG53" i="23"/>
  <c r="AE53" i="23"/>
  <c r="AC53" i="23"/>
  <c r="P53" i="23"/>
  <c r="AD53" i="23" s="1"/>
  <c r="AG52" i="23"/>
  <c r="AC52" i="23"/>
  <c r="P52" i="23"/>
  <c r="AC51" i="23"/>
  <c r="AD51" i="23" s="1"/>
  <c r="AE51" i="23" s="1"/>
  <c r="P51" i="23"/>
  <c r="AG51" i="23" s="1"/>
  <c r="AE50" i="23"/>
  <c r="AD50" i="23"/>
  <c r="AC50" i="23"/>
  <c r="P50" i="23"/>
  <c r="AG50" i="23" s="1"/>
  <c r="AC49" i="23"/>
  <c r="P49" i="23"/>
  <c r="AC48" i="23"/>
  <c r="P48" i="23"/>
  <c r="AD48" i="23" s="1"/>
  <c r="AE48" i="23" s="1"/>
  <c r="AD47" i="23"/>
  <c r="AE47" i="23" s="1"/>
  <c r="AC47" i="23"/>
  <c r="P47" i="23"/>
  <c r="AG47" i="23" s="1"/>
  <c r="AD46" i="23"/>
  <c r="AE46" i="23" s="1"/>
  <c r="AC46" i="23"/>
  <c r="P46" i="23"/>
  <c r="AG46" i="23" s="1"/>
  <c r="AG45" i="23"/>
  <c r="AE45" i="23"/>
  <c r="AC45" i="23"/>
  <c r="P45" i="23"/>
  <c r="AD45" i="23" s="1"/>
  <c r="AG44" i="23"/>
  <c r="AC44" i="23"/>
  <c r="P44" i="23"/>
  <c r="AC43" i="23"/>
  <c r="O43" i="23"/>
  <c r="N43" i="23"/>
  <c r="M43" i="23"/>
  <c r="L43" i="23"/>
  <c r="K43" i="23"/>
  <c r="J43" i="23"/>
  <c r="I43" i="23"/>
  <c r="H43" i="23"/>
  <c r="G43" i="23"/>
  <c r="F43" i="23"/>
  <c r="E43" i="23"/>
  <c r="D43" i="23"/>
  <c r="P43" i="23" s="1"/>
  <c r="AG43" i="23" s="1"/>
  <c r="AE42" i="23"/>
  <c r="AD42" i="23"/>
  <c r="AC42" i="23"/>
  <c r="P42" i="23"/>
  <c r="AG42" i="23" s="1"/>
  <c r="AG41" i="23"/>
  <c r="AC41" i="23"/>
  <c r="P41" i="23"/>
  <c r="AD41" i="23" s="1"/>
  <c r="AE41" i="23" s="1"/>
  <c r="AG40" i="23"/>
  <c r="AC40" i="23"/>
  <c r="P40" i="23"/>
  <c r="AC39" i="23"/>
  <c r="P39" i="23"/>
  <c r="AG39" i="23" s="1"/>
  <c r="AD38" i="23"/>
  <c r="AE38" i="23" s="1"/>
  <c r="AC38" i="23"/>
  <c r="P38" i="23"/>
  <c r="AG38" i="23" s="1"/>
  <c r="AG37" i="23"/>
  <c r="AG36" i="23"/>
  <c r="Y35" i="23"/>
  <c r="U35" i="23"/>
  <c r="Q35" i="23"/>
  <c r="AC35" i="23" s="1"/>
  <c r="I35" i="23"/>
  <c r="AG34" i="23"/>
  <c r="AB33" i="23"/>
  <c r="AA33" i="23"/>
  <c r="Z33" i="23"/>
  <c r="Y33" i="23"/>
  <c r="X33" i="23"/>
  <c r="W33" i="23"/>
  <c r="V33" i="23"/>
  <c r="U33" i="23"/>
  <c r="T33" i="23"/>
  <c r="S33" i="23"/>
  <c r="R33" i="23"/>
  <c r="Q33" i="23"/>
  <c r="AG32" i="23"/>
  <c r="AC32" i="23"/>
  <c r="P32" i="23"/>
  <c r="AC31" i="23"/>
  <c r="N31" i="23"/>
  <c r="N29" i="23" s="1"/>
  <c r="M31" i="23"/>
  <c r="J31" i="23"/>
  <c r="I31" i="23"/>
  <c r="I29" i="23" s="1"/>
  <c r="F31" i="23"/>
  <c r="F29" i="23" s="1"/>
  <c r="E31" i="23"/>
  <c r="AC30" i="23"/>
  <c r="K30" i="23"/>
  <c r="K33" i="23" s="1"/>
  <c r="AF29" i="23"/>
  <c r="M29" i="23"/>
  <c r="J29" i="23"/>
  <c r="E29" i="23"/>
  <c r="X27" i="23"/>
  <c r="X81" i="23" s="1"/>
  <c r="X82" i="23" s="1"/>
  <c r="AC26" i="23"/>
  <c r="AD25" i="23"/>
  <c r="AE25" i="23" s="1"/>
  <c r="AC25" i="23"/>
  <c r="P25" i="23"/>
  <c r="AG25" i="23" s="1"/>
  <c r="AG24" i="23"/>
  <c r="AE24" i="23"/>
  <c r="AC24" i="23"/>
  <c r="P24" i="23"/>
  <c r="AG23" i="23"/>
  <c r="AB22" i="23"/>
  <c r="AA22" i="23"/>
  <c r="AA27" i="23" s="1"/>
  <c r="AA81" i="23" s="1"/>
  <c r="AA82" i="23" s="1"/>
  <c r="Z22" i="23"/>
  <c r="Y22" i="23"/>
  <c r="X22" i="23"/>
  <c r="W22" i="23"/>
  <c r="V22" i="23"/>
  <c r="U22" i="23"/>
  <c r="T22" i="23"/>
  <c r="S22" i="23"/>
  <c r="S27" i="23" s="1"/>
  <c r="R22" i="23"/>
  <c r="Q22" i="23"/>
  <c r="O22" i="23"/>
  <c r="O31" i="23" s="1"/>
  <c r="O29" i="23" s="1"/>
  <c r="N22" i="23"/>
  <c r="M22" i="23"/>
  <c r="L22" i="23"/>
  <c r="L31" i="23" s="1"/>
  <c r="L29" i="23" s="1"/>
  <c r="K22" i="23"/>
  <c r="K31" i="23" s="1"/>
  <c r="K29" i="23" s="1"/>
  <c r="J22" i="23"/>
  <c r="I22" i="23"/>
  <c r="H22" i="23"/>
  <c r="H31" i="23" s="1"/>
  <c r="H29" i="23" s="1"/>
  <c r="G22" i="23"/>
  <c r="G31" i="23" s="1"/>
  <c r="G29" i="23" s="1"/>
  <c r="F22" i="23"/>
  <c r="E22" i="23"/>
  <c r="D22" i="23"/>
  <c r="D31" i="23" s="1"/>
  <c r="AG21" i="23"/>
  <c r="AC21" i="23"/>
  <c r="P21" i="23"/>
  <c r="AC20" i="23"/>
  <c r="AD20" i="23" s="1"/>
  <c r="AE20" i="23" s="1"/>
  <c r="P20" i="23"/>
  <c r="AG20" i="23" s="1"/>
  <c r="AE19" i="23"/>
  <c r="AD19" i="23"/>
  <c r="AC19" i="23"/>
  <c r="P19" i="23"/>
  <c r="AG19" i="23" s="1"/>
  <c r="AC18" i="23"/>
  <c r="P18" i="23"/>
  <c r="AC17" i="23"/>
  <c r="P17" i="23"/>
  <c r="AD17" i="23" s="1"/>
  <c r="AE17" i="23" s="1"/>
  <c r="AG16" i="23"/>
  <c r="AG15" i="23"/>
  <c r="AB14" i="23"/>
  <c r="AA14" i="23"/>
  <c r="Z14" i="23"/>
  <c r="Z27" i="23" s="1"/>
  <c r="Y14" i="23"/>
  <c r="X14" i="23"/>
  <c r="X98" i="23" s="1"/>
  <c r="W14" i="23"/>
  <c r="W98" i="23" s="1"/>
  <c r="V14" i="23"/>
  <c r="V27" i="23" s="1"/>
  <c r="U14" i="23"/>
  <c r="T14" i="23"/>
  <c r="S14" i="23"/>
  <c r="R14" i="23"/>
  <c r="R27" i="23" s="1"/>
  <c r="Q14" i="23"/>
  <c r="H14" i="23"/>
  <c r="AC13" i="23"/>
  <c r="AC97" i="23" s="1"/>
  <c r="O13" i="23"/>
  <c r="N13" i="23"/>
  <c r="M13" i="23"/>
  <c r="L13" i="23"/>
  <c r="K13" i="23"/>
  <c r="J13" i="23"/>
  <c r="I13" i="23"/>
  <c r="H13" i="23"/>
  <c r="G13" i="23"/>
  <c r="F13" i="23"/>
  <c r="E13" i="23"/>
  <c r="D13" i="23"/>
  <c r="P13" i="23" s="1"/>
  <c r="AC12" i="23"/>
  <c r="AC96" i="23" s="1"/>
  <c r="O12" i="23"/>
  <c r="N12" i="23"/>
  <c r="M12" i="23"/>
  <c r="L12" i="23"/>
  <c r="K12" i="23"/>
  <c r="J12" i="23"/>
  <c r="I12" i="23"/>
  <c r="H12" i="23"/>
  <c r="G12" i="23"/>
  <c r="F12" i="23"/>
  <c r="E12" i="23"/>
  <c r="D12" i="23"/>
  <c r="P12" i="23" s="1"/>
  <c r="AG12" i="23" s="1"/>
  <c r="AC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AC10" i="23"/>
  <c r="O10" i="23"/>
  <c r="O14" i="23" s="1"/>
  <c r="N10" i="23"/>
  <c r="M10" i="23"/>
  <c r="L10" i="23"/>
  <c r="K10" i="23"/>
  <c r="K14" i="23" s="1"/>
  <c r="J10" i="23"/>
  <c r="I10" i="23"/>
  <c r="H10" i="23"/>
  <c r="G10" i="23"/>
  <c r="G14" i="23" s="1"/>
  <c r="F10" i="23"/>
  <c r="E10" i="23"/>
  <c r="D10" i="23"/>
  <c r="P10" i="23" s="1"/>
  <c r="AC9" i="23"/>
  <c r="O9" i="23"/>
  <c r="N9" i="23"/>
  <c r="M9" i="23"/>
  <c r="L9" i="23"/>
  <c r="L14" i="23" s="1"/>
  <c r="K9" i="23"/>
  <c r="J9" i="23"/>
  <c r="I9" i="23"/>
  <c r="H9" i="23"/>
  <c r="G9" i="23"/>
  <c r="F9" i="23"/>
  <c r="E9" i="23"/>
  <c r="D9" i="23"/>
  <c r="Q6" i="23"/>
  <c r="C4" i="23"/>
  <c r="O2" i="23"/>
  <c r="N2" i="23"/>
  <c r="M2" i="23"/>
  <c r="L2" i="23"/>
  <c r="K2" i="23"/>
  <c r="J2" i="23"/>
  <c r="I2" i="23"/>
  <c r="H2" i="23"/>
  <c r="G2" i="23"/>
  <c r="F2" i="23"/>
  <c r="E2" i="23"/>
  <c r="D2" i="23"/>
  <c r="O1" i="23"/>
  <c r="N1" i="23"/>
  <c r="M1" i="23"/>
  <c r="L1" i="23"/>
  <c r="K1" i="23"/>
  <c r="J1" i="23"/>
  <c r="I1" i="23"/>
  <c r="H1" i="23"/>
  <c r="G1" i="23"/>
  <c r="F1" i="23"/>
  <c r="E1" i="23"/>
  <c r="D1" i="23"/>
  <c r="O141" i="22"/>
  <c r="N141" i="22"/>
  <c r="M141" i="22"/>
  <c r="L141" i="22"/>
  <c r="K141" i="22"/>
  <c r="J141" i="22"/>
  <c r="I141" i="22"/>
  <c r="H141" i="22"/>
  <c r="G141" i="22"/>
  <c r="F141" i="22"/>
  <c r="E141" i="22"/>
  <c r="D141" i="22"/>
  <c r="P140" i="22"/>
  <c r="P139" i="22"/>
  <c r="P138" i="22"/>
  <c r="AE136" i="22"/>
  <c r="AD136" i="22"/>
  <c r="AC136" i="22"/>
  <c r="P136" i="22"/>
  <c r="AG136" i="22" s="1"/>
  <c r="AG135" i="22"/>
  <c r="AB134" i="22"/>
  <c r="AB35" i="22" s="1"/>
  <c r="X134" i="22"/>
  <c r="X35" i="22" s="1"/>
  <c r="T134" i="22"/>
  <c r="T35" i="22" s="1"/>
  <c r="AB133" i="22"/>
  <c r="AA133" i="22"/>
  <c r="Z133" i="22"/>
  <c r="Y133" i="22"/>
  <c r="X133" i="22"/>
  <c r="W133" i="22"/>
  <c r="V133" i="22"/>
  <c r="U133" i="22"/>
  <c r="T133" i="22"/>
  <c r="S133" i="22"/>
  <c r="R133" i="22"/>
  <c r="Q133" i="22"/>
  <c r="AE132" i="22"/>
  <c r="AD132" i="22"/>
  <c r="AC132" i="22"/>
  <c r="P132" i="22"/>
  <c r="AG132" i="22" s="1"/>
  <c r="AG131" i="22"/>
  <c r="AC131" i="22"/>
  <c r="P131" i="22"/>
  <c r="AD131" i="22" s="1"/>
  <c r="AE131" i="22" s="1"/>
  <c r="AC130" i="22"/>
  <c r="AC129" i="22"/>
  <c r="AE128" i="22"/>
  <c r="AD128" i="22"/>
  <c r="AC128" i="22"/>
  <c r="P128" i="22"/>
  <c r="AG128" i="22" s="1"/>
  <c r="AC127" i="22"/>
  <c r="P127" i="22"/>
  <c r="AC126" i="22"/>
  <c r="P126" i="22"/>
  <c r="AD126" i="22" s="1"/>
  <c r="AE126" i="22" s="1"/>
  <c r="AD125" i="22"/>
  <c r="AE125" i="22" s="1"/>
  <c r="AC125" i="22"/>
  <c r="AC133" i="22" s="1"/>
  <c r="P125" i="22"/>
  <c r="AG124" i="22"/>
  <c r="AE124" i="22"/>
  <c r="AD124" i="22"/>
  <c r="AC124" i="22"/>
  <c r="AG123" i="22"/>
  <c r="AB122" i="22"/>
  <c r="AA122" i="22"/>
  <c r="Z122" i="22"/>
  <c r="Y122" i="22"/>
  <c r="X122" i="22"/>
  <c r="W122" i="22"/>
  <c r="V122" i="22"/>
  <c r="U122" i="22"/>
  <c r="T122" i="22"/>
  <c r="S122" i="22"/>
  <c r="R122" i="22"/>
  <c r="Q122" i="22"/>
  <c r="AC121" i="22"/>
  <c r="E121" i="22"/>
  <c r="AC120" i="22"/>
  <c r="AC119" i="22"/>
  <c r="F119" i="22"/>
  <c r="G119" i="22" s="1"/>
  <c r="H119" i="22" s="1"/>
  <c r="I119" i="22" s="1"/>
  <c r="J119" i="22" s="1"/>
  <c r="K119" i="22" s="1"/>
  <c r="L119" i="22" s="1"/>
  <c r="M119" i="22" s="1"/>
  <c r="N119" i="22" s="1"/>
  <c r="O119" i="22" s="1"/>
  <c r="E119" i="22"/>
  <c r="AC118" i="22"/>
  <c r="F118" i="22"/>
  <c r="E118" i="22"/>
  <c r="AC117" i="22"/>
  <c r="F117" i="22"/>
  <c r="G117" i="22" s="1"/>
  <c r="H117" i="22" s="1"/>
  <c r="I117" i="22" s="1"/>
  <c r="J117" i="22" s="1"/>
  <c r="K117" i="22" s="1"/>
  <c r="L117" i="22" s="1"/>
  <c r="M117" i="22" s="1"/>
  <c r="N117" i="22" s="1"/>
  <c r="O117" i="22" s="1"/>
  <c r="E117" i="22"/>
  <c r="AC116" i="22"/>
  <c r="F116" i="22"/>
  <c r="G116" i="22" s="1"/>
  <c r="H116" i="22" s="1"/>
  <c r="I116" i="22" s="1"/>
  <c r="J116" i="22" s="1"/>
  <c r="K116" i="22" s="1"/>
  <c r="L116" i="22" s="1"/>
  <c r="M116" i="22" s="1"/>
  <c r="N116" i="22" s="1"/>
  <c r="O116" i="22" s="1"/>
  <c r="E116" i="22"/>
  <c r="AC115" i="22"/>
  <c r="I115" i="22"/>
  <c r="J115" i="22" s="1"/>
  <c r="K115" i="22" s="1"/>
  <c r="L115" i="22" s="1"/>
  <c r="M115" i="22" s="1"/>
  <c r="N115" i="22" s="1"/>
  <c r="O115" i="22" s="1"/>
  <c r="F115" i="22"/>
  <c r="G115" i="22" s="1"/>
  <c r="H115" i="22" s="1"/>
  <c r="E115" i="22"/>
  <c r="AC114" i="22"/>
  <c r="AC122" i="22" s="1"/>
  <c r="F114" i="22"/>
  <c r="E114" i="22"/>
  <c r="AG113" i="22"/>
  <c r="AB112" i="22"/>
  <c r="AA112" i="22"/>
  <c r="Z112" i="22"/>
  <c r="Y112" i="22"/>
  <c r="X112" i="22"/>
  <c r="W112" i="22"/>
  <c r="V112" i="22"/>
  <c r="U112" i="22"/>
  <c r="T112" i="22"/>
  <c r="S112" i="22"/>
  <c r="R112" i="22"/>
  <c r="Q112" i="22"/>
  <c r="AG111" i="22"/>
  <c r="AE111" i="22"/>
  <c r="AC111" i="22"/>
  <c r="P111" i="22"/>
  <c r="AD111" i="22" s="1"/>
  <c r="AG110" i="22"/>
  <c r="AC110" i="22"/>
  <c r="P110" i="22"/>
  <c r="AC109" i="22"/>
  <c r="AD109" i="22" s="1"/>
  <c r="AE109" i="22" s="1"/>
  <c r="P109" i="22"/>
  <c r="AG109" i="22" s="1"/>
  <c r="AC108" i="22"/>
  <c r="AC107" i="22"/>
  <c r="P107" i="22"/>
  <c r="AG107" i="22" s="1"/>
  <c r="AG106" i="22"/>
  <c r="AC105" i="22"/>
  <c r="AB105" i="22"/>
  <c r="AA105" i="22"/>
  <c r="Z105" i="22"/>
  <c r="Y105" i="22"/>
  <c r="Y134" i="22" s="1"/>
  <c r="Y35" i="22" s="1"/>
  <c r="X105" i="22"/>
  <c r="W105" i="22"/>
  <c r="V105" i="22"/>
  <c r="U105" i="22"/>
  <c r="U134" i="22" s="1"/>
  <c r="U35" i="22" s="1"/>
  <c r="T105" i="22"/>
  <c r="S105" i="22"/>
  <c r="R105" i="22"/>
  <c r="Q105" i="22"/>
  <c r="Q134" i="22" s="1"/>
  <c r="Q35" i="22" s="1"/>
  <c r="E105" i="22"/>
  <c r="D105" i="22"/>
  <c r="AC104" i="22"/>
  <c r="G104" i="22"/>
  <c r="H104" i="22" s="1"/>
  <c r="I104" i="22" s="1"/>
  <c r="J104" i="22" s="1"/>
  <c r="K104" i="22" s="1"/>
  <c r="L104" i="22" s="1"/>
  <c r="M104" i="22" s="1"/>
  <c r="N104" i="22" s="1"/>
  <c r="O104" i="22" s="1"/>
  <c r="F104" i="22"/>
  <c r="E104" i="22"/>
  <c r="AC103" i="22"/>
  <c r="K103" i="22"/>
  <c r="L103" i="22" s="1"/>
  <c r="M103" i="22" s="1"/>
  <c r="N103" i="22" s="1"/>
  <c r="O103" i="22" s="1"/>
  <c r="J103" i="22"/>
  <c r="G103" i="22"/>
  <c r="H103" i="22" s="1"/>
  <c r="I103" i="22" s="1"/>
  <c r="F103" i="22"/>
  <c r="E103" i="22"/>
  <c r="AC102" i="22"/>
  <c r="F102" i="22"/>
  <c r="E102" i="22"/>
  <c r="AA98" i="22"/>
  <c r="Z98" i="22"/>
  <c r="V98" i="22"/>
  <c r="S98" i="22"/>
  <c r="R98" i="22"/>
  <c r="N98" i="22"/>
  <c r="V97" i="22"/>
  <c r="U97" i="22"/>
  <c r="T97" i="22"/>
  <c r="S97" i="22"/>
  <c r="R97" i="22"/>
  <c r="Q97" i="22"/>
  <c r="V96" i="22"/>
  <c r="U96" i="22"/>
  <c r="T96" i="22"/>
  <c r="S96" i="22"/>
  <c r="R96" i="22"/>
  <c r="Q96" i="22"/>
  <c r="AC95" i="22"/>
  <c r="V95" i="22"/>
  <c r="U95" i="22"/>
  <c r="T95" i="22"/>
  <c r="S95" i="22"/>
  <c r="R95" i="22"/>
  <c r="Q95" i="22"/>
  <c r="AC94" i="22"/>
  <c r="V94" i="22"/>
  <c r="U94" i="22"/>
  <c r="T94" i="22"/>
  <c r="S94" i="22"/>
  <c r="R94" i="22"/>
  <c r="Q94" i="22"/>
  <c r="V93" i="22"/>
  <c r="U93" i="22"/>
  <c r="T93" i="22"/>
  <c r="S93" i="22"/>
  <c r="R93" i="22"/>
  <c r="Q93" i="22"/>
  <c r="AG92" i="22"/>
  <c r="AG91" i="22"/>
  <c r="AB90" i="22"/>
  <c r="AA90" i="22"/>
  <c r="Z90" i="22"/>
  <c r="Y90" i="22"/>
  <c r="X90" i="22"/>
  <c r="W90" i="22"/>
  <c r="V90" i="22"/>
  <c r="U90" i="22"/>
  <c r="T90" i="22"/>
  <c r="S90" i="22"/>
  <c r="R90" i="22"/>
  <c r="Q90" i="22"/>
  <c r="O90" i="22"/>
  <c r="N90" i="22"/>
  <c r="M90" i="22"/>
  <c r="L90" i="22"/>
  <c r="K90" i="22"/>
  <c r="J90" i="22"/>
  <c r="I90" i="22"/>
  <c r="H90" i="22"/>
  <c r="G90" i="22"/>
  <c r="F90" i="22"/>
  <c r="E90" i="22"/>
  <c r="D90" i="22"/>
  <c r="AD89" i="22"/>
  <c r="AE89" i="22" s="1"/>
  <c r="AC89" i="22"/>
  <c r="P89" i="22"/>
  <c r="AG89" i="22" s="1"/>
  <c r="AD88" i="22"/>
  <c r="AE88" i="22" s="1"/>
  <c r="AC88" i="22"/>
  <c r="P88" i="22"/>
  <c r="AG88" i="22" s="1"/>
  <c r="AE87" i="22"/>
  <c r="AC87" i="22"/>
  <c r="P87" i="22"/>
  <c r="AD87" i="22" s="1"/>
  <c r="AC86" i="22"/>
  <c r="AC90" i="22" s="1"/>
  <c r="P86" i="22"/>
  <c r="AD85" i="22"/>
  <c r="AE85" i="22" s="1"/>
  <c r="AC85" i="22"/>
  <c r="P85" i="22"/>
  <c r="AG85" i="22" s="1"/>
  <c r="AB80" i="22"/>
  <c r="AA80" i="22"/>
  <c r="Z80" i="22"/>
  <c r="Y80" i="22"/>
  <c r="X80" i="22"/>
  <c r="W80" i="22"/>
  <c r="V80" i="22"/>
  <c r="U80" i="22"/>
  <c r="T80" i="22"/>
  <c r="S80" i="22"/>
  <c r="R80" i="22"/>
  <c r="Q80" i="22"/>
  <c r="AC79" i="22"/>
  <c r="AD78" i="22"/>
  <c r="AE78" i="22" s="1"/>
  <c r="AC78" i="22"/>
  <c r="P78" i="22"/>
  <c r="AG78" i="22" s="1"/>
  <c r="AE77" i="22"/>
  <c r="AC77" i="22"/>
  <c r="P77" i="22"/>
  <c r="AD77" i="22" s="1"/>
  <c r="AC76" i="22"/>
  <c r="P76" i="22"/>
  <c r="AD75" i="22"/>
  <c r="AE75" i="22" s="1"/>
  <c r="AC75" i="22"/>
  <c r="P75" i="22"/>
  <c r="AG75" i="22" s="1"/>
  <c r="AE74" i="22"/>
  <c r="AD74" i="22"/>
  <c r="AC74" i="22"/>
  <c r="P74" i="22"/>
  <c r="AG74" i="22" s="1"/>
  <c r="AC73" i="22"/>
  <c r="P73" i="22"/>
  <c r="AG72" i="22"/>
  <c r="AC72" i="22"/>
  <c r="P72" i="22"/>
  <c r="AD71" i="22"/>
  <c r="AE71" i="22" s="1"/>
  <c r="AC71" i="22"/>
  <c r="P71" i="22"/>
  <c r="AG71" i="22" s="1"/>
  <c r="AD70" i="22"/>
  <c r="AE70" i="22" s="1"/>
  <c r="AC70" i="22"/>
  <c r="P70" i="22"/>
  <c r="AG70" i="22" s="1"/>
  <c r="AE69" i="22"/>
  <c r="AC69" i="22"/>
  <c r="P69" i="22"/>
  <c r="AD69" i="22" s="1"/>
  <c r="AC68" i="22"/>
  <c r="P68" i="22"/>
  <c r="AD67" i="22"/>
  <c r="AE67" i="22" s="1"/>
  <c r="AC67" i="22"/>
  <c r="P67" i="22"/>
  <c r="AG67" i="22" s="1"/>
  <c r="AE66" i="22"/>
  <c r="AD66" i="22"/>
  <c r="AC66" i="22"/>
  <c r="P66" i="22"/>
  <c r="AG66" i="22" s="1"/>
  <c r="AC65" i="22"/>
  <c r="P65" i="22"/>
  <c r="AG64" i="22"/>
  <c r="AC64" i="22"/>
  <c r="P64" i="22"/>
  <c r="AC63" i="22"/>
  <c r="AD63" i="22" s="1"/>
  <c r="AE63" i="22" s="1"/>
  <c r="P63" i="22"/>
  <c r="AG63" i="22" s="1"/>
  <c r="AD62" i="22"/>
  <c r="AE62" i="22" s="1"/>
  <c r="AC62" i="22"/>
  <c r="P62" i="22"/>
  <c r="AG62" i="22" s="1"/>
  <c r="AE61" i="22"/>
  <c r="AC61" i="22"/>
  <c r="P61" i="22"/>
  <c r="AD61" i="22" s="1"/>
  <c r="AC60" i="22"/>
  <c r="P60" i="22"/>
  <c r="AD59" i="22"/>
  <c r="AE59" i="22" s="1"/>
  <c r="AC59" i="22"/>
  <c r="P59" i="22"/>
  <c r="AG59" i="22" s="1"/>
  <c r="AE58" i="22"/>
  <c r="AD58" i="22"/>
  <c r="AC58" i="22"/>
  <c r="P58" i="22"/>
  <c r="AG58" i="22" s="1"/>
  <c r="AC57" i="22"/>
  <c r="P57" i="22"/>
  <c r="AG56" i="22"/>
  <c r="AC56" i="22"/>
  <c r="P56" i="22"/>
  <c r="AC55" i="22"/>
  <c r="AD55" i="22" s="1"/>
  <c r="AE55" i="22" s="1"/>
  <c r="P55" i="22"/>
  <c r="AG55" i="22" s="1"/>
  <c r="AD54" i="22"/>
  <c r="AE54" i="22" s="1"/>
  <c r="AC54" i="22"/>
  <c r="P54" i="22"/>
  <c r="AG54" i="22" s="1"/>
  <c r="AE53" i="22"/>
  <c r="AC53" i="22"/>
  <c r="P53" i="22"/>
  <c r="AD53" i="22" s="1"/>
  <c r="AC52" i="22"/>
  <c r="P52" i="22"/>
  <c r="AD51" i="22"/>
  <c r="AE51" i="22" s="1"/>
  <c r="AC51" i="22"/>
  <c r="P51" i="22"/>
  <c r="AG51" i="22" s="1"/>
  <c r="AE50" i="22"/>
  <c r="AD50" i="22"/>
  <c r="AC50" i="22"/>
  <c r="P50" i="22"/>
  <c r="AG50" i="22" s="1"/>
  <c r="AC49" i="22"/>
  <c r="P49" i="22"/>
  <c r="AG48" i="22"/>
  <c r="AC48" i="22"/>
  <c r="P48" i="22"/>
  <c r="AD47" i="22"/>
  <c r="AE47" i="22" s="1"/>
  <c r="AC47" i="22"/>
  <c r="P47" i="22"/>
  <c r="AG47" i="22" s="1"/>
  <c r="AD46" i="22"/>
  <c r="AE46" i="22" s="1"/>
  <c r="AC46" i="22"/>
  <c r="P46" i="22"/>
  <c r="AG46" i="22" s="1"/>
  <c r="AE45" i="22"/>
  <c r="AC45" i="22"/>
  <c r="P45" i="22"/>
  <c r="AD45" i="22" s="1"/>
  <c r="AC44" i="22"/>
  <c r="P44" i="22"/>
  <c r="AC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AE42" i="22"/>
  <c r="AD42" i="22"/>
  <c r="AC42" i="22"/>
  <c r="P42" i="22"/>
  <c r="AG42" i="22" s="1"/>
  <c r="AG41" i="22"/>
  <c r="AE41" i="22"/>
  <c r="AC41" i="22"/>
  <c r="P41" i="22"/>
  <c r="AD41" i="22" s="1"/>
  <c r="AG40" i="22"/>
  <c r="AC40" i="22"/>
  <c r="P40" i="22"/>
  <c r="AC39" i="22"/>
  <c r="P39" i="22"/>
  <c r="AG39" i="22" s="1"/>
  <c r="AE38" i="22"/>
  <c r="AD38" i="22"/>
  <c r="AC38" i="22"/>
  <c r="P38" i="22"/>
  <c r="AG38" i="22" s="1"/>
  <c r="AG37" i="22"/>
  <c r="AG36" i="22"/>
  <c r="AG34" i="22"/>
  <c r="AB33" i="22"/>
  <c r="AA33" i="22"/>
  <c r="Z33" i="22"/>
  <c r="Y33" i="22"/>
  <c r="X33" i="22"/>
  <c r="W33" i="22"/>
  <c r="V33" i="22"/>
  <c r="U33" i="22"/>
  <c r="T33" i="22"/>
  <c r="S33" i="22"/>
  <c r="R33" i="22"/>
  <c r="Q33" i="22"/>
  <c r="P33" i="22"/>
  <c r="O33" i="22"/>
  <c r="N33" i="22"/>
  <c r="M33" i="22"/>
  <c r="L33" i="22"/>
  <c r="K33" i="22"/>
  <c r="J33" i="22"/>
  <c r="I33" i="22"/>
  <c r="H33" i="22"/>
  <c r="G33" i="22"/>
  <c r="F33" i="22"/>
  <c r="E33" i="22"/>
  <c r="D33" i="22"/>
  <c r="AC32" i="22"/>
  <c r="P32" i="22"/>
  <c r="AD31" i="22"/>
  <c r="AE31" i="22" s="1"/>
  <c r="AC31" i="22"/>
  <c r="AC33" i="22" s="1"/>
  <c r="P31" i="22"/>
  <c r="AG31" i="22" s="1"/>
  <c r="AD30" i="22"/>
  <c r="AE30" i="22" s="1"/>
  <c r="AC30" i="22"/>
  <c r="P30" i="22"/>
  <c r="AG30" i="22" s="1"/>
  <c r="X27" i="22"/>
  <c r="X81" i="22" s="1"/>
  <c r="X82" i="22" s="1"/>
  <c r="AC26" i="22"/>
  <c r="P26" i="22"/>
  <c r="AD25" i="22"/>
  <c r="AE25" i="22" s="1"/>
  <c r="AC25" i="22"/>
  <c r="P25" i="22"/>
  <c r="AG25" i="22" s="1"/>
  <c r="AG24" i="22"/>
  <c r="AE24" i="22"/>
  <c r="AC24" i="22"/>
  <c r="P24" i="22"/>
  <c r="AG23" i="22"/>
  <c r="AB22" i="22"/>
  <c r="AA22" i="22"/>
  <c r="Z22" i="22"/>
  <c r="Y22" i="22"/>
  <c r="X22" i="22"/>
  <c r="W22" i="22"/>
  <c r="W27" i="22" s="1"/>
  <c r="V22" i="22"/>
  <c r="U22" i="22"/>
  <c r="T22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H27" i="22" s="1"/>
  <c r="G22" i="22"/>
  <c r="F22" i="22"/>
  <c r="E22" i="22"/>
  <c r="D22" i="22"/>
  <c r="AG21" i="22"/>
  <c r="AC21" i="22"/>
  <c r="P21" i="22"/>
  <c r="AD20" i="22"/>
  <c r="AE20" i="22" s="1"/>
  <c r="AC20" i="22"/>
  <c r="P20" i="22"/>
  <c r="AG20" i="22" s="1"/>
  <c r="AD19" i="22"/>
  <c r="AE19" i="22" s="1"/>
  <c r="AC19" i="22"/>
  <c r="P19" i="22"/>
  <c r="AG19" i="22" s="1"/>
  <c r="AE18" i="22"/>
  <c r="AC18" i="22"/>
  <c r="P18" i="22"/>
  <c r="AD18" i="22" s="1"/>
  <c r="AC17" i="22"/>
  <c r="AC22" i="22" s="1"/>
  <c r="P17" i="22"/>
  <c r="AG16" i="22"/>
  <c r="AG15" i="22"/>
  <c r="AB14" i="22"/>
  <c r="AB98" i="22" s="1"/>
  <c r="AA14" i="22"/>
  <c r="AA27" i="22" s="1"/>
  <c r="Z14" i="22"/>
  <c r="Z27" i="22" s="1"/>
  <c r="Y14" i="22"/>
  <c r="Y98" i="22" s="1"/>
  <c r="X14" i="22"/>
  <c r="X98" i="22" s="1"/>
  <c r="W14" i="22"/>
  <c r="W98" i="22" s="1"/>
  <c r="V14" i="22"/>
  <c r="V27" i="22" s="1"/>
  <c r="U14" i="22"/>
  <c r="U98" i="22" s="1"/>
  <c r="T14" i="22"/>
  <c r="T98" i="22" s="1"/>
  <c r="S14" i="22"/>
  <c r="S27" i="22" s="1"/>
  <c r="R14" i="22"/>
  <c r="R27" i="22" s="1"/>
  <c r="Q14" i="22"/>
  <c r="Q98" i="22" s="1"/>
  <c r="L14" i="22"/>
  <c r="AC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P13" i="22" s="1"/>
  <c r="AC12" i="22"/>
  <c r="AC96" i="22" s="1"/>
  <c r="O12" i="22"/>
  <c r="N12" i="22"/>
  <c r="M12" i="22"/>
  <c r="L12" i="22"/>
  <c r="K12" i="22"/>
  <c r="J12" i="22"/>
  <c r="I12" i="22"/>
  <c r="H12" i="22"/>
  <c r="G12" i="22"/>
  <c r="F12" i="22"/>
  <c r="E12" i="22"/>
  <c r="D12" i="22"/>
  <c r="AC11" i="22"/>
  <c r="O11" i="22"/>
  <c r="N11" i="22"/>
  <c r="M11" i="22"/>
  <c r="L11" i="22"/>
  <c r="K11" i="22"/>
  <c r="K14" i="22" s="1"/>
  <c r="J11" i="22"/>
  <c r="I11" i="22"/>
  <c r="H11" i="22"/>
  <c r="G11" i="22"/>
  <c r="F11" i="22"/>
  <c r="E11" i="22"/>
  <c r="D11" i="22"/>
  <c r="AC10" i="22"/>
  <c r="O10" i="22"/>
  <c r="N10" i="22"/>
  <c r="M10" i="22"/>
  <c r="L10" i="22"/>
  <c r="K10" i="22"/>
  <c r="J10" i="22"/>
  <c r="I10" i="22"/>
  <c r="H10" i="22"/>
  <c r="H14" i="22" s="1"/>
  <c r="H98" i="22" s="1"/>
  <c r="G10" i="22"/>
  <c r="F10" i="22"/>
  <c r="E10" i="22"/>
  <c r="D10" i="22"/>
  <c r="D14" i="22" s="1"/>
  <c r="AC9" i="22"/>
  <c r="O9" i="22"/>
  <c r="N9" i="22"/>
  <c r="N14" i="22" s="1"/>
  <c r="N27" i="22" s="1"/>
  <c r="M9" i="22"/>
  <c r="L9" i="22"/>
  <c r="K9" i="22"/>
  <c r="J9" i="22"/>
  <c r="J14" i="22" s="1"/>
  <c r="I9" i="22"/>
  <c r="H9" i="22"/>
  <c r="G9" i="22"/>
  <c r="F9" i="22"/>
  <c r="F14" i="22" s="1"/>
  <c r="F27" i="22" s="1"/>
  <c r="E9" i="22"/>
  <c r="D9" i="22"/>
  <c r="P9" i="22" s="1"/>
  <c r="R7" i="22"/>
  <c r="L6" i="22"/>
  <c r="C4" i="22"/>
  <c r="O2" i="22"/>
  <c r="N2" i="22"/>
  <c r="M2" i="22"/>
  <c r="L2" i="22"/>
  <c r="K2" i="22"/>
  <c r="J2" i="22"/>
  <c r="I2" i="22"/>
  <c r="H2" i="22"/>
  <c r="G2" i="22"/>
  <c r="F2" i="22"/>
  <c r="E2" i="22"/>
  <c r="D2" i="22"/>
  <c r="O1" i="22"/>
  <c r="N1" i="22"/>
  <c r="M1" i="22"/>
  <c r="L1" i="22"/>
  <c r="K1" i="22"/>
  <c r="J1" i="22"/>
  <c r="I1" i="22"/>
  <c r="H1" i="22"/>
  <c r="G1" i="22"/>
  <c r="F1" i="22"/>
  <c r="E1" i="22"/>
  <c r="D1" i="22"/>
  <c r="O141" i="21"/>
  <c r="N141" i="21"/>
  <c r="M141" i="21"/>
  <c r="L141" i="21"/>
  <c r="K141" i="21"/>
  <c r="J141" i="21"/>
  <c r="I141" i="21"/>
  <c r="H141" i="21"/>
  <c r="G141" i="21"/>
  <c r="F141" i="21"/>
  <c r="E141" i="21"/>
  <c r="D141" i="21"/>
  <c r="P140" i="21"/>
  <c r="P139" i="21"/>
  <c r="P141" i="21" s="1"/>
  <c r="P138" i="21"/>
  <c r="AC136" i="21"/>
  <c r="P136" i="21"/>
  <c r="AG135" i="21"/>
  <c r="V134" i="21"/>
  <c r="V35" i="21" s="1"/>
  <c r="N134" i="21"/>
  <c r="J134" i="21"/>
  <c r="F134" i="21"/>
  <c r="F35" i="21" s="1"/>
  <c r="AB133" i="21"/>
  <c r="AA133" i="21"/>
  <c r="AA134" i="21" s="1"/>
  <c r="Z133" i="21"/>
  <c r="Y133" i="21"/>
  <c r="X133" i="21"/>
  <c r="W133" i="21"/>
  <c r="V133" i="21"/>
  <c r="U133" i="21"/>
  <c r="T133" i="21"/>
  <c r="S133" i="21"/>
  <c r="S134" i="21" s="1"/>
  <c r="R133" i="21"/>
  <c r="Q133" i="21"/>
  <c r="O133" i="21"/>
  <c r="N133" i="21"/>
  <c r="M133" i="21"/>
  <c r="L133" i="21"/>
  <c r="K133" i="21"/>
  <c r="K134" i="21" s="1"/>
  <c r="J133" i="21"/>
  <c r="I133" i="21"/>
  <c r="H133" i="21"/>
  <c r="G133" i="21"/>
  <c r="F133" i="21"/>
  <c r="E133" i="21"/>
  <c r="D133" i="21"/>
  <c r="AG132" i="21"/>
  <c r="AC132" i="21"/>
  <c r="P132" i="21"/>
  <c r="AC131" i="21"/>
  <c r="AD131" i="21" s="1"/>
  <c r="AE131" i="21" s="1"/>
  <c r="P131" i="21"/>
  <c r="AG131" i="21" s="1"/>
  <c r="AE130" i="21"/>
  <c r="AD130" i="21"/>
  <c r="AC130" i="21"/>
  <c r="P130" i="21"/>
  <c r="AG130" i="21" s="1"/>
  <c r="AC129" i="21"/>
  <c r="P129" i="21"/>
  <c r="AC128" i="21"/>
  <c r="P128" i="21"/>
  <c r="AD127" i="21"/>
  <c r="AE127" i="21" s="1"/>
  <c r="AC127" i="21"/>
  <c r="P127" i="21"/>
  <c r="AG127" i="21" s="1"/>
  <c r="AD126" i="21"/>
  <c r="AE126" i="21" s="1"/>
  <c r="AC126" i="21"/>
  <c r="P126" i="21"/>
  <c r="AG126" i="21" s="1"/>
  <c r="AG125" i="21"/>
  <c r="AE125" i="21"/>
  <c r="AC125" i="21"/>
  <c r="P125" i="21"/>
  <c r="AD125" i="21" s="1"/>
  <c r="AG124" i="21"/>
  <c r="AC124" i="21"/>
  <c r="P124" i="21"/>
  <c r="AG123" i="21"/>
  <c r="AB122" i="21"/>
  <c r="AA122" i="21"/>
  <c r="Z122" i="21"/>
  <c r="Z134" i="21" s="1"/>
  <c r="Y122" i="21"/>
  <c r="X122" i="21"/>
  <c r="W122" i="21"/>
  <c r="V122" i="21"/>
  <c r="U122" i="21"/>
  <c r="T122" i="21"/>
  <c r="S122" i="21"/>
  <c r="R122" i="21"/>
  <c r="R134" i="21" s="1"/>
  <c r="Q122" i="21"/>
  <c r="O122" i="21"/>
  <c r="N122" i="21"/>
  <c r="M122" i="21"/>
  <c r="L122" i="21"/>
  <c r="K122" i="21"/>
  <c r="J122" i="21"/>
  <c r="I122" i="21"/>
  <c r="H122" i="21"/>
  <c r="G122" i="21"/>
  <c r="F122" i="21"/>
  <c r="E122" i="21"/>
  <c r="D122" i="21"/>
  <c r="AC121" i="21"/>
  <c r="P121" i="21"/>
  <c r="AC120" i="21"/>
  <c r="P120" i="21"/>
  <c r="AD119" i="21"/>
  <c r="AE119" i="21" s="1"/>
  <c r="AC119" i="21"/>
  <c r="P119" i="21"/>
  <c r="AG119" i="21" s="1"/>
  <c r="AE118" i="21"/>
  <c r="AD118" i="21"/>
  <c r="AC118" i="21"/>
  <c r="P118" i="21"/>
  <c r="AG118" i="21" s="1"/>
  <c r="AG117" i="21"/>
  <c r="AE117" i="21"/>
  <c r="AC117" i="21"/>
  <c r="P117" i="21"/>
  <c r="AD117" i="21" s="1"/>
  <c r="AG116" i="21"/>
  <c r="AC116" i="21"/>
  <c r="P116" i="21"/>
  <c r="AC115" i="21"/>
  <c r="AD115" i="21" s="1"/>
  <c r="AE115" i="21" s="1"/>
  <c r="P115" i="21"/>
  <c r="AG115" i="21" s="1"/>
  <c r="AE114" i="21"/>
  <c r="AD114" i="21"/>
  <c r="AC114" i="21"/>
  <c r="P114" i="21"/>
  <c r="P122" i="21" s="1"/>
  <c r="AG122" i="21" s="1"/>
  <c r="AG113" i="21"/>
  <c r="AB112" i="21"/>
  <c r="AA112" i="21"/>
  <c r="Z112" i="21"/>
  <c r="Y112" i="21"/>
  <c r="X112" i="21"/>
  <c r="W112" i="21"/>
  <c r="V112" i="21"/>
  <c r="U112" i="21"/>
  <c r="T112" i="21"/>
  <c r="S112" i="21"/>
  <c r="R112" i="21"/>
  <c r="Q112" i="21"/>
  <c r="O112" i="21"/>
  <c r="N112" i="21"/>
  <c r="M112" i="21"/>
  <c r="L112" i="21"/>
  <c r="K112" i="21"/>
  <c r="J112" i="21"/>
  <c r="I112" i="21"/>
  <c r="H112" i="21"/>
  <c r="G112" i="21"/>
  <c r="F112" i="21"/>
  <c r="E112" i="21"/>
  <c r="D112" i="21"/>
  <c r="AD111" i="21"/>
  <c r="AE111" i="21" s="1"/>
  <c r="AC111" i="21"/>
  <c r="P111" i="21"/>
  <c r="AG111" i="21" s="1"/>
  <c r="AE110" i="21"/>
  <c r="AD110" i="21"/>
  <c r="AC110" i="21"/>
  <c r="P110" i="21"/>
  <c r="AG110" i="21" s="1"/>
  <c r="AC109" i="21"/>
  <c r="P109" i="21"/>
  <c r="AG108" i="21"/>
  <c r="AC108" i="21"/>
  <c r="P108" i="21"/>
  <c r="AD107" i="21"/>
  <c r="AE107" i="21" s="1"/>
  <c r="AC107" i="21"/>
  <c r="AC112" i="21" s="1"/>
  <c r="P107" i="21"/>
  <c r="AG107" i="21" s="1"/>
  <c r="AG106" i="21"/>
  <c r="AB105" i="21"/>
  <c r="AA105" i="21"/>
  <c r="Z105" i="21"/>
  <c r="Y105" i="21"/>
  <c r="Y134" i="21" s="1"/>
  <c r="Y35" i="21" s="1"/>
  <c r="X105" i="21"/>
  <c r="W105" i="21"/>
  <c r="W134" i="21" s="1"/>
  <c r="W35" i="21" s="1"/>
  <c r="V105" i="21"/>
  <c r="U105" i="21"/>
  <c r="U134" i="21" s="1"/>
  <c r="U35" i="21" s="1"/>
  <c r="T105" i="21"/>
  <c r="S105" i="21"/>
  <c r="R105" i="21"/>
  <c r="Q105" i="21"/>
  <c r="Q134" i="21" s="1"/>
  <c r="Q35" i="21" s="1"/>
  <c r="O105" i="21"/>
  <c r="O134" i="21" s="1"/>
  <c r="N105" i="21"/>
  <c r="M105" i="21"/>
  <c r="M134" i="21" s="1"/>
  <c r="M35" i="21" s="1"/>
  <c r="L105" i="21"/>
  <c r="K105" i="21"/>
  <c r="J105" i="21"/>
  <c r="I105" i="21"/>
  <c r="I134" i="21" s="1"/>
  <c r="I35" i="21" s="1"/>
  <c r="H105" i="21"/>
  <c r="G105" i="21"/>
  <c r="G134" i="21" s="1"/>
  <c r="F105" i="21"/>
  <c r="E105" i="21"/>
  <c r="E134" i="21" s="1"/>
  <c r="E35" i="21" s="1"/>
  <c r="D105" i="21"/>
  <c r="AC104" i="21"/>
  <c r="P104" i="21"/>
  <c r="AD103" i="21"/>
  <c r="AE103" i="21" s="1"/>
  <c r="AC103" i="21"/>
  <c r="P103" i="21"/>
  <c r="AG103" i="21" s="1"/>
  <c r="AE102" i="21"/>
  <c r="AD102" i="21"/>
  <c r="AC102" i="21"/>
  <c r="P102" i="21"/>
  <c r="AG102" i="21" s="1"/>
  <c r="V97" i="21"/>
  <c r="U97" i="21"/>
  <c r="T97" i="21"/>
  <c r="S97" i="21"/>
  <c r="R97" i="21"/>
  <c r="Q97" i="21"/>
  <c r="V96" i="21"/>
  <c r="U96" i="21"/>
  <c r="T96" i="21"/>
  <c r="S96" i="21"/>
  <c r="R96" i="21"/>
  <c r="Q96" i="21"/>
  <c r="V95" i="21"/>
  <c r="U95" i="21"/>
  <c r="T95" i="21"/>
  <c r="S95" i="21"/>
  <c r="R95" i="21"/>
  <c r="Q95" i="21"/>
  <c r="V94" i="21"/>
  <c r="U94" i="21"/>
  <c r="T94" i="21"/>
  <c r="S94" i="21"/>
  <c r="R94" i="21"/>
  <c r="Q94" i="21"/>
  <c r="V93" i="21"/>
  <c r="U93" i="21"/>
  <c r="T93" i="21"/>
  <c r="S93" i="21"/>
  <c r="R93" i="21"/>
  <c r="Q93" i="21"/>
  <c r="AG92" i="21"/>
  <c r="AG91" i="21"/>
  <c r="AC90" i="21"/>
  <c r="AB90" i="21"/>
  <c r="AA90" i="21"/>
  <c r="Z90" i="21"/>
  <c r="Y90" i="21"/>
  <c r="X90" i="21"/>
  <c r="W90" i="21"/>
  <c r="V90" i="21"/>
  <c r="U90" i="21"/>
  <c r="T90" i="21"/>
  <c r="S90" i="21"/>
  <c r="R90" i="21"/>
  <c r="Q90" i="21"/>
  <c r="O90" i="21"/>
  <c r="N90" i="21"/>
  <c r="M90" i="21"/>
  <c r="L90" i="21"/>
  <c r="K90" i="21"/>
  <c r="J90" i="21"/>
  <c r="I90" i="21"/>
  <c r="H90" i="21"/>
  <c r="G90" i="21"/>
  <c r="F90" i="21"/>
  <c r="E90" i="21"/>
  <c r="D90" i="21"/>
  <c r="AE89" i="21"/>
  <c r="AD89" i="21"/>
  <c r="AC89" i="21"/>
  <c r="P89" i="21"/>
  <c r="AG89" i="21" s="1"/>
  <c r="AC88" i="21"/>
  <c r="P88" i="21"/>
  <c r="AC87" i="21"/>
  <c r="P87" i="21"/>
  <c r="AD86" i="21"/>
  <c r="AE86" i="21" s="1"/>
  <c r="AC86" i="21"/>
  <c r="AC94" i="21" s="1"/>
  <c r="P86" i="21"/>
  <c r="AG86" i="21" s="1"/>
  <c r="AE85" i="21"/>
  <c r="AD85" i="21"/>
  <c r="AC85" i="21"/>
  <c r="P85" i="21"/>
  <c r="U82" i="21"/>
  <c r="V81" i="21"/>
  <c r="V82" i="21" s="1"/>
  <c r="AB80" i="21"/>
  <c r="AA80" i="21"/>
  <c r="Z80" i="21"/>
  <c r="Y80" i="21"/>
  <c r="X80" i="21"/>
  <c r="W80" i="21"/>
  <c r="V80" i="21"/>
  <c r="U80" i="21"/>
  <c r="T80" i="21"/>
  <c r="S80" i="21"/>
  <c r="R80" i="21"/>
  <c r="Q80" i="21"/>
  <c r="AC79" i="21"/>
  <c r="AG78" i="21"/>
  <c r="AE78" i="21"/>
  <c r="AC78" i="21"/>
  <c r="P78" i="21"/>
  <c r="AD78" i="21" s="1"/>
  <c r="AG77" i="21"/>
  <c r="AC77" i="21"/>
  <c r="P77" i="21"/>
  <c r="AC76" i="21"/>
  <c r="AD76" i="21" s="1"/>
  <c r="AE76" i="21" s="1"/>
  <c r="P76" i="21"/>
  <c r="AG76" i="21" s="1"/>
  <c r="AD75" i="21"/>
  <c r="AE75" i="21" s="1"/>
  <c r="AC75" i="21"/>
  <c r="P75" i="21"/>
  <c r="AG75" i="21" s="1"/>
  <c r="AC74" i="21"/>
  <c r="P74" i="21"/>
  <c r="AC73" i="21"/>
  <c r="P73" i="21"/>
  <c r="AC72" i="21"/>
  <c r="AE71" i="21"/>
  <c r="AD71" i="21"/>
  <c r="AC71" i="21"/>
  <c r="P71" i="21"/>
  <c r="AG71" i="21" s="1"/>
  <c r="AC70" i="21"/>
  <c r="P70" i="21"/>
  <c r="AG69" i="21"/>
  <c r="AC69" i="21"/>
  <c r="P69" i="21"/>
  <c r="AD69" i="21" s="1"/>
  <c r="AE69" i="21" s="1"/>
  <c r="AD68" i="21"/>
  <c r="AE68" i="21" s="1"/>
  <c r="AC68" i="21"/>
  <c r="P68" i="21"/>
  <c r="AG68" i="21" s="1"/>
  <c r="AD67" i="21"/>
  <c r="AE67" i="21" s="1"/>
  <c r="AC67" i="21"/>
  <c r="P67" i="21"/>
  <c r="AG67" i="21" s="1"/>
  <c r="AG66" i="21"/>
  <c r="AE66" i="21"/>
  <c r="AC66" i="21"/>
  <c r="P66" i="21"/>
  <c r="AD66" i="21" s="1"/>
  <c r="AC65" i="21"/>
  <c r="P65" i="21"/>
  <c r="AC64" i="21"/>
  <c r="AD64" i="21" s="1"/>
  <c r="AE64" i="21" s="1"/>
  <c r="P64" i="21"/>
  <c r="AG64" i="21" s="1"/>
  <c r="AE63" i="21"/>
  <c r="AD63" i="21"/>
  <c r="AC63" i="21"/>
  <c r="P63" i="21"/>
  <c r="AG63" i="21" s="1"/>
  <c r="AC62" i="21"/>
  <c r="P62" i="21"/>
  <c r="AG61" i="21"/>
  <c r="AC61" i="21"/>
  <c r="P61" i="21"/>
  <c r="AD61" i="21" s="1"/>
  <c r="AE61" i="21" s="1"/>
  <c r="AD60" i="21"/>
  <c r="AE60" i="21" s="1"/>
  <c r="AC60" i="21"/>
  <c r="P60" i="21"/>
  <c r="AG60" i="21" s="1"/>
  <c r="AD59" i="21"/>
  <c r="AE59" i="21" s="1"/>
  <c r="AC59" i="21"/>
  <c r="P59" i="21"/>
  <c r="AG59" i="21" s="1"/>
  <c r="AG58" i="21"/>
  <c r="AE58" i="21"/>
  <c r="AC58" i="21"/>
  <c r="P58" i="21"/>
  <c r="AD58" i="21" s="1"/>
  <c r="AC57" i="21"/>
  <c r="P57" i="21"/>
  <c r="AC56" i="21"/>
  <c r="AD56" i="21" s="1"/>
  <c r="AE56" i="21" s="1"/>
  <c r="P56" i="21"/>
  <c r="AG56" i="21" s="1"/>
  <c r="AE55" i="21"/>
  <c r="AD55" i="21"/>
  <c r="AC55" i="21"/>
  <c r="P55" i="21"/>
  <c r="AG55" i="21" s="1"/>
  <c r="AC54" i="21"/>
  <c r="P54" i="21"/>
  <c r="AG53" i="21"/>
  <c r="AC53" i="21"/>
  <c r="P53" i="21"/>
  <c r="AD53" i="21" s="1"/>
  <c r="AE53" i="21" s="1"/>
  <c r="AD52" i="21"/>
  <c r="AE52" i="21" s="1"/>
  <c r="AC52" i="21"/>
  <c r="P52" i="21"/>
  <c r="AG52" i="21" s="1"/>
  <c r="AD51" i="21"/>
  <c r="AE51" i="21" s="1"/>
  <c r="AC51" i="21"/>
  <c r="P51" i="21"/>
  <c r="AG51" i="21" s="1"/>
  <c r="AG50" i="21"/>
  <c r="AE50" i="21"/>
  <c r="AC50" i="21"/>
  <c r="P50" i="21"/>
  <c r="AD50" i="21" s="1"/>
  <c r="AC49" i="21"/>
  <c r="P49" i="21"/>
  <c r="AC48" i="21"/>
  <c r="AD48" i="21" s="1"/>
  <c r="AE48" i="21" s="1"/>
  <c r="P48" i="21"/>
  <c r="AG48" i="21" s="1"/>
  <c r="AE47" i="21"/>
  <c r="AD47" i="21"/>
  <c r="AC47" i="21"/>
  <c r="P47" i="21"/>
  <c r="AG47" i="21" s="1"/>
  <c r="AC46" i="21"/>
  <c r="P46" i="21"/>
  <c r="AG45" i="21"/>
  <c r="AC45" i="21"/>
  <c r="P45" i="21"/>
  <c r="AD45" i="21" s="1"/>
  <c r="AE45" i="21" s="1"/>
  <c r="AD44" i="21"/>
  <c r="AE44" i="21" s="1"/>
  <c r="AC44" i="21"/>
  <c r="P44" i="21"/>
  <c r="AG44" i="21" s="1"/>
  <c r="AC43" i="21"/>
  <c r="O43" i="21"/>
  <c r="N43" i="21"/>
  <c r="M43" i="21"/>
  <c r="L43" i="21"/>
  <c r="K43" i="21"/>
  <c r="J43" i="21"/>
  <c r="I43" i="21"/>
  <c r="H43" i="21"/>
  <c r="G43" i="21"/>
  <c r="F43" i="21"/>
  <c r="E43" i="21"/>
  <c r="D43" i="21"/>
  <c r="P43" i="21" s="1"/>
  <c r="AC42" i="21"/>
  <c r="P42" i="21"/>
  <c r="AC41" i="21"/>
  <c r="P41" i="21"/>
  <c r="AD40" i="21"/>
  <c r="AE40" i="21" s="1"/>
  <c r="AC40" i="21"/>
  <c r="P40" i="21"/>
  <c r="AG40" i="21" s="1"/>
  <c r="AE39" i="21"/>
  <c r="AD39" i="21"/>
  <c r="AC39" i="21"/>
  <c r="P39" i="21"/>
  <c r="AG39" i="21" s="1"/>
  <c r="AG38" i="21"/>
  <c r="AC38" i="21"/>
  <c r="P38" i="21"/>
  <c r="AG37" i="21"/>
  <c r="AG36" i="21"/>
  <c r="AA35" i="21"/>
  <c r="Z35" i="21"/>
  <c r="S35" i="21"/>
  <c r="R35" i="21"/>
  <c r="O35" i="21"/>
  <c r="N35" i="21"/>
  <c r="K35" i="21"/>
  <c r="J35" i="21"/>
  <c r="G35" i="21"/>
  <c r="AG34" i="21"/>
  <c r="AB33" i="21"/>
  <c r="AA33" i="21"/>
  <c r="Z33" i="21"/>
  <c r="Y33" i="21"/>
  <c r="X33" i="21"/>
  <c r="W33" i="21"/>
  <c r="V33" i="21"/>
  <c r="U33" i="21"/>
  <c r="T33" i="21"/>
  <c r="S33" i="21"/>
  <c r="R33" i="21"/>
  <c r="Q33" i="21"/>
  <c r="Q81" i="21" s="1"/>
  <c r="Q82" i="21" s="1"/>
  <c r="AC32" i="21"/>
  <c r="AC33" i="21" s="1"/>
  <c r="P32" i="21"/>
  <c r="AG32" i="21" s="1"/>
  <c r="AC31" i="21"/>
  <c r="O31" i="21"/>
  <c r="N31" i="21"/>
  <c r="M31" i="21"/>
  <c r="J31" i="21"/>
  <c r="I31" i="21"/>
  <c r="F31" i="21"/>
  <c r="E31" i="21"/>
  <c r="AC30" i="21"/>
  <c r="Z27" i="21"/>
  <c r="Y27" i="21"/>
  <c r="Y81" i="21" s="1"/>
  <c r="Y82" i="21" s="1"/>
  <c r="V27" i="21"/>
  <c r="U27" i="21"/>
  <c r="U81" i="21" s="1"/>
  <c r="R27" i="21"/>
  <c r="R81" i="21" s="1"/>
  <c r="R82" i="21" s="1"/>
  <c r="Q27" i="21"/>
  <c r="N27" i="21"/>
  <c r="AC26" i="21"/>
  <c r="P26" i="21"/>
  <c r="AD26" i="21" s="1"/>
  <c r="AE26" i="21" s="1"/>
  <c r="AG25" i="21"/>
  <c r="AC25" i="21"/>
  <c r="P25" i="21"/>
  <c r="AD25" i="21" s="1"/>
  <c r="AE25" i="21" s="1"/>
  <c r="AD24" i="21"/>
  <c r="AE24" i="21" s="1"/>
  <c r="AC24" i="21"/>
  <c r="P24" i="21"/>
  <c r="AG24" i="21" s="1"/>
  <c r="AG23" i="21"/>
  <c r="AB22" i="21"/>
  <c r="AA22" i="21"/>
  <c r="Z22" i="21"/>
  <c r="Y22" i="21"/>
  <c r="X22" i="21"/>
  <c r="W22" i="21"/>
  <c r="V22" i="21"/>
  <c r="U22" i="21"/>
  <c r="T22" i="21"/>
  <c r="S22" i="21"/>
  <c r="R22" i="21"/>
  <c r="Q22" i="21"/>
  <c r="O22" i="21"/>
  <c r="N22" i="21"/>
  <c r="M22" i="21"/>
  <c r="L22" i="21"/>
  <c r="L31" i="21" s="1"/>
  <c r="K22" i="21"/>
  <c r="K31" i="21" s="1"/>
  <c r="J22" i="21"/>
  <c r="I22" i="21"/>
  <c r="H22" i="21"/>
  <c r="H31" i="21" s="1"/>
  <c r="G22" i="21"/>
  <c r="G31" i="21" s="1"/>
  <c r="F22" i="21"/>
  <c r="E22" i="21"/>
  <c r="D22" i="21"/>
  <c r="D31" i="21" s="1"/>
  <c r="AC21" i="21"/>
  <c r="P21" i="21"/>
  <c r="AC20" i="21"/>
  <c r="AD20" i="21" s="1"/>
  <c r="AE20" i="21" s="1"/>
  <c r="P20" i="21"/>
  <c r="AG20" i="21" s="1"/>
  <c r="AE19" i="21"/>
  <c r="AD19" i="21"/>
  <c r="AC19" i="21"/>
  <c r="P19" i="21"/>
  <c r="AG19" i="21" s="1"/>
  <c r="AC18" i="21"/>
  <c r="P18" i="21"/>
  <c r="AD18" i="21" s="1"/>
  <c r="AE18" i="21" s="1"/>
  <c r="AG17" i="21"/>
  <c r="AC17" i="21"/>
  <c r="P17" i="21"/>
  <c r="AD17" i="21" s="1"/>
  <c r="AE17" i="21" s="1"/>
  <c r="AG16" i="21"/>
  <c r="AG15" i="21"/>
  <c r="AB14" i="21"/>
  <c r="AA14" i="21"/>
  <c r="Z14" i="21"/>
  <c r="Y14" i="21"/>
  <c r="X14" i="21"/>
  <c r="W14" i="21"/>
  <c r="V14" i="21"/>
  <c r="U14" i="21"/>
  <c r="T14" i="21"/>
  <c r="S14" i="21"/>
  <c r="R14" i="21"/>
  <c r="Q14" i="21"/>
  <c r="AC13" i="21"/>
  <c r="AC97" i="21" s="1"/>
  <c r="O13" i="21"/>
  <c r="N13" i="21"/>
  <c r="M13" i="21"/>
  <c r="L13" i="21"/>
  <c r="K13" i="21"/>
  <c r="J13" i="21"/>
  <c r="I13" i="21"/>
  <c r="H13" i="21"/>
  <c r="H14" i="21" s="1"/>
  <c r="G13" i="21"/>
  <c r="F13" i="21"/>
  <c r="E13" i="21"/>
  <c r="D13" i="21"/>
  <c r="P13" i="21" s="1"/>
  <c r="AC12" i="21"/>
  <c r="AC96" i="21" s="1"/>
  <c r="O12" i="21"/>
  <c r="N12" i="21"/>
  <c r="M12" i="21"/>
  <c r="L12" i="21"/>
  <c r="K12" i="21"/>
  <c r="J12" i="21"/>
  <c r="I12" i="21"/>
  <c r="H12" i="21"/>
  <c r="G12" i="21"/>
  <c r="F12" i="21"/>
  <c r="E12" i="21"/>
  <c r="D12" i="21"/>
  <c r="AC11" i="21"/>
  <c r="AC95" i="21" s="1"/>
  <c r="O11" i="21"/>
  <c r="N11" i="21"/>
  <c r="M11" i="21"/>
  <c r="L11" i="21"/>
  <c r="K11" i="21"/>
  <c r="J11" i="21"/>
  <c r="I11" i="21"/>
  <c r="H11" i="21"/>
  <c r="G11" i="21"/>
  <c r="F11" i="21"/>
  <c r="E11" i="21"/>
  <c r="D11" i="21"/>
  <c r="AC10" i="21"/>
  <c r="O10" i="21"/>
  <c r="O14" i="21" s="1"/>
  <c r="N10" i="21"/>
  <c r="N14" i="21" s="1"/>
  <c r="M10" i="21"/>
  <c r="L10" i="21"/>
  <c r="K10" i="21"/>
  <c r="J10" i="21"/>
  <c r="J14" i="21" s="1"/>
  <c r="I10" i="21"/>
  <c r="H10" i="21"/>
  <c r="G10" i="21"/>
  <c r="F10" i="21"/>
  <c r="F14" i="21" s="1"/>
  <c r="F27" i="21" s="1"/>
  <c r="E10" i="21"/>
  <c r="D10" i="21"/>
  <c r="AC9" i="21"/>
  <c r="O9" i="21"/>
  <c r="N9" i="21"/>
  <c r="M9" i="21"/>
  <c r="L9" i="21"/>
  <c r="K9" i="21"/>
  <c r="J9" i="21"/>
  <c r="I9" i="21"/>
  <c r="H9" i="21"/>
  <c r="G9" i="21"/>
  <c r="F9" i="21"/>
  <c r="E9" i="21"/>
  <c r="D9" i="21"/>
  <c r="AA7" i="21"/>
  <c r="F7" i="21"/>
  <c r="U6" i="21"/>
  <c r="C4" i="21"/>
  <c r="O2" i="21"/>
  <c r="N2" i="21"/>
  <c r="M2" i="21"/>
  <c r="L2" i="21"/>
  <c r="K2" i="21"/>
  <c r="J2" i="21"/>
  <c r="I2" i="21"/>
  <c r="H2" i="21"/>
  <c r="G2" i="21"/>
  <c r="F2" i="21"/>
  <c r="E2" i="21"/>
  <c r="D2" i="21"/>
  <c r="O1" i="21"/>
  <c r="N1" i="21"/>
  <c r="M1" i="21"/>
  <c r="L1" i="21"/>
  <c r="K1" i="21"/>
  <c r="J1" i="21"/>
  <c r="I1" i="21"/>
  <c r="H1" i="21"/>
  <c r="G1" i="21"/>
  <c r="F1" i="21"/>
  <c r="E1" i="21"/>
  <c r="D1" i="21"/>
  <c r="O141" i="20"/>
  <c r="N141" i="20"/>
  <c r="M141" i="20"/>
  <c r="L141" i="20"/>
  <c r="K141" i="20"/>
  <c r="J141" i="20"/>
  <c r="I141" i="20"/>
  <c r="H141" i="20"/>
  <c r="G141" i="20"/>
  <c r="F141" i="20"/>
  <c r="E141" i="20"/>
  <c r="D141" i="20"/>
  <c r="P140" i="20"/>
  <c r="P139" i="20"/>
  <c r="P138" i="20"/>
  <c r="AC136" i="20"/>
  <c r="AD136" i="20" s="1"/>
  <c r="AE136" i="20" s="1"/>
  <c r="P136" i="20"/>
  <c r="AG136" i="20" s="1"/>
  <c r="AG135" i="20"/>
  <c r="I134" i="20"/>
  <c r="I35" i="20" s="1"/>
  <c r="E134" i="20"/>
  <c r="E35" i="20" s="1"/>
  <c r="AB133" i="20"/>
  <c r="AA133" i="20"/>
  <c r="Z133" i="20"/>
  <c r="Y133" i="20"/>
  <c r="X133" i="20"/>
  <c r="W133" i="20"/>
  <c r="V133" i="20"/>
  <c r="U133" i="20"/>
  <c r="T133" i="20"/>
  <c r="T134" i="20" s="1"/>
  <c r="T35" i="20" s="1"/>
  <c r="S133" i="20"/>
  <c r="R133" i="20"/>
  <c r="Q133" i="20"/>
  <c r="P133" i="20"/>
  <c r="O133" i="20"/>
  <c r="N133" i="20"/>
  <c r="M133" i="20"/>
  <c r="L133" i="20"/>
  <c r="K133" i="20"/>
  <c r="J133" i="20"/>
  <c r="I133" i="20"/>
  <c r="H133" i="20"/>
  <c r="G133" i="20"/>
  <c r="F133" i="20"/>
  <c r="E133" i="20"/>
  <c r="D133" i="20"/>
  <c r="AC132" i="20"/>
  <c r="AD132" i="20" s="1"/>
  <c r="AE132" i="20" s="1"/>
  <c r="P132" i="20"/>
  <c r="AG132" i="20" s="1"/>
  <c r="AD131" i="20"/>
  <c r="AE131" i="20" s="1"/>
  <c r="AC131" i="20"/>
  <c r="P131" i="20"/>
  <c r="AG131" i="20" s="1"/>
  <c r="AG130" i="20"/>
  <c r="AC130" i="20"/>
  <c r="P130" i="20"/>
  <c r="AG129" i="20"/>
  <c r="AC129" i="20"/>
  <c r="AD129" i="20" s="1"/>
  <c r="AE129" i="20" s="1"/>
  <c r="P129" i="20"/>
  <c r="AC128" i="20"/>
  <c r="AD128" i="20" s="1"/>
  <c r="AE128" i="20" s="1"/>
  <c r="P128" i="20"/>
  <c r="AG128" i="20" s="1"/>
  <c r="AE127" i="20"/>
  <c r="AD127" i="20"/>
  <c r="AC127" i="20"/>
  <c r="P127" i="20"/>
  <c r="AG127" i="20" s="1"/>
  <c r="AG126" i="20"/>
  <c r="AE126" i="20"/>
  <c r="AC126" i="20"/>
  <c r="P126" i="20"/>
  <c r="AD126" i="20" s="1"/>
  <c r="AG125" i="20"/>
  <c r="AD125" i="20"/>
  <c r="AE125" i="20" s="1"/>
  <c r="AC125" i="20"/>
  <c r="P125" i="20"/>
  <c r="AE124" i="20"/>
  <c r="AD124" i="20"/>
  <c r="AC124" i="20"/>
  <c r="P124" i="20"/>
  <c r="AG124" i="20" s="1"/>
  <c r="AG123" i="20"/>
  <c r="AB122" i="20"/>
  <c r="AA122" i="20"/>
  <c r="AA134" i="20" s="1"/>
  <c r="AA35" i="20" s="1"/>
  <c r="Z122" i="20"/>
  <c r="Y122" i="20"/>
  <c r="X122" i="20"/>
  <c r="W122" i="20"/>
  <c r="V122" i="20"/>
  <c r="U122" i="20"/>
  <c r="T122" i="20"/>
  <c r="S122" i="20"/>
  <c r="R122" i="20"/>
  <c r="Q122" i="20"/>
  <c r="O122" i="20"/>
  <c r="O134" i="20" s="1"/>
  <c r="O35" i="20" s="1"/>
  <c r="N122" i="20"/>
  <c r="M122" i="20"/>
  <c r="L122" i="20"/>
  <c r="K122" i="20"/>
  <c r="K134" i="20" s="1"/>
  <c r="K35" i="20" s="1"/>
  <c r="J122" i="20"/>
  <c r="I122" i="20"/>
  <c r="H122" i="20"/>
  <c r="G122" i="20"/>
  <c r="F122" i="20"/>
  <c r="E122" i="20"/>
  <c r="D122" i="20"/>
  <c r="AG121" i="20"/>
  <c r="AC121" i="20"/>
  <c r="P121" i="20"/>
  <c r="AD121" i="20" s="1"/>
  <c r="AE121" i="20" s="1"/>
  <c r="AC120" i="20"/>
  <c r="AD120" i="20" s="1"/>
  <c r="AE120" i="20" s="1"/>
  <c r="P120" i="20"/>
  <c r="AG120" i="20" s="1"/>
  <c r="AC119" i="20"/>
  <c r="P119" i="20"/>
  <c r="AC118" i="20"/>
  <c r="P118" i="20"/>
  <c r="AC117" i="20"/>
  <c r="P117" i="20"/>
  <c r="AC116" i="20"/>
  <c r="AD116" i="20" s="1"/>
  <c r="AE116" i="20" s="1"/>
  <c r="P116" i="20"/>
  <c r="AG116" i="20" s="1"/>
  <c r="AD115" i="20"/>
  <c r="AE115" i="20" s="1"/>
  <c r="AC115" i="20"/>
  <c r="P115" i="20"/>
  <c r="AG115" i="20" s="1"/>
  <c r="AG114" i="20"/>
  <c r="AC114" i="20"/>
  <c r="AC122" i="20" s="1"/>
  <c r="P114" i="20"/>
  <c r="AG113" i="20"/>
  <c r="AB112" i="20"/>
  <c r="AA112" i="20"/>
  <c r="Z112" i="20"/>
  <c r="Y112" i="20"/>
  <c r="X112" i="20"/>
  <c r="W112" i="20"/>
  <c r="V112" i="20"/>
  <c r="U112" i="20"/>
  <c r="T112" i="20"/>
  <c r="S112" i="20"/>
  <c r="R112" i="20"/>
  <c r="Q112" i="20"/>
  <c r="O112" i="20"/>
  <c r="N112" i="20"/>
  <c r="M112" i="20"/>
  <c r="L112" i="20"/>
  <c r="K112" i="20"/>
  <c r="J112" i="20"/>
  <c r="I112" i="20"/>
  <c r="H112" i="20"/>
  <c r="G112" i="20"/>
  <c r="F112" i="20"/>
  <c r="E112" i="20"/>
  <c r="D112" i="20"/>
  <c r="AE111" i="20"/>
  <c r="AD111" i="20"/>
  <c r="AC111" i="20"/>
  <c r="P111" i="20"/>
  <c r="AG111" i="20" s="1"/>
  <c r="AG110" i="20"/>
  <c r="AE110" i="20"/>
  <c r="AC110" i="20"/>
  <c r="P110" i="20"/>
  <c r="AD110" i="20" s="1"/>
  <c r="AG109" i="20"/>
  <c r="AD109" i="20"/>
  <c r="AE109" i="20" s="1"/>
  <c r="AC109" i="20"/>
  <c r="P109" i="20"/>
  <c r="AE108" i="20"/>
  <c r="AD108" i="20"/>
  <c r="AC108" i="20"/>
  <c r="AC112" i="20" s="1"/>
  <c r="P108" i="20"/>
  <c r="AG108" i="20" s="1"/>
  <c r="AC107" i="20"/>
  <c r="P107" i="20"/>
  <c r="AG106" i="20"/>
  <c r="AB105" i="20"/>
  <c r="AA105" i="20"/>
  <c r="Z105" i="20"/>
  <c r="Y105" i="20"/>
  <c r="Y134" i="20" s="1"/>
  <c r="Y35" i="20" s="1"/>
  <c r="X105" i="20"/>
  <c r="W105" i="20"/>
  <c r="V105" i="20"/>
  <c r="U105" i="20"/>
  <c r="U134" i="20" s="1"/>
  <c r="U35" i="20" s="1"/>
  <c r="T105" i="20"/>
  <c r="S105" i="20"/>
  <c r="R105" i="20"/>
  <c r="Q105" i="20"/>
  <c r="Q134" i="20" s="1"/>
  <c r="Q35" i="20" s="1"/>
  <c r="P105" i="20"/>
  <c r="O105" i="20"/>
  <c r="N105" i="20"/>
  <c r="M105" i="20"/>
  <c r="L105" i="20"/>
  <c r="K105" i="20"/>
  <c r="J105" i="20"/>
  <c r="I105" i="20"/>
  <c r="H105" i="20"/>
  <c r="G105" i="20"/>
  <c r="F105" i="20"/>
  <c r="E105" i="20"/>
  <c r="D105" i="20"/>
  <c r="D134" i="20" s="1"/>
  <c r="D35" i="20" s="1"/>
  <c r="AC104" i="20"/>
  <c r="AD104" i="20" s="1"/>
  <c r="AE104" i="20" s="1"/>
  <c r="P104" i="20"/>
  <c r="AG104" i="20" s="1"/>
  <c r="AD103" i="20"/>
  <c r="AE103" i="20" s="1"/>
  <c r="AC103" i="20"/>
  <c r="P103" i="20"/>
  <c r="AG103" i="20" s="1"/>
  <c r="AG102" i="20"/>
  <c r="AC102" i="20"/>
  <c r="AC105" i="20" s="1"/>
  <c r="P102" i="20"/>
  <c r="X98" i="20"/>
  <c r="T98" i="20"/>
  <c r="H98" i="20"/>
  <c r="D98" i="20"/>
  <c r="AC97" i="20"/>
  <c r="V97" i="20"/>
  <c r="U97" i="20"/>
  <c r="T97" i="20"/>
  <c r="S97" i="20"/>
  <c r="R97" i="20"/>
  <c r="Q97" i="20"/>
  <c r="AC96" i="20"/>
  <c r="V96" i="20"/>
  <c r="U96" i="20"/>
  <c r="T96" i="20"/>
  <c r="S96" i="20"/>
  <c r="R96" i="20"/>
  <c r="Q96" i="20"/>
  <c r="V95" i="20"/>
  <c r="U95" i="20"/>
  <c r="T95" i="20"/>
  <c r="S95" i="20"/>
  <c r="R95" i="20"/>
  <c r="Q95" i="20"/>
  <c r="V94" i="20"/>
  <c r="U94" i="20"/>
  <c r="T94" i="20"/>
  <c r="S94" i="20"/>
  <c r="R94" i="20"/>
  <c r="Q94" i="20"/>
  <c r="V93" i="20"/>
  <c r="U93" i="20"/>
  <c r="T93" i="20"/>
  <c r="S93" i="20"/>
  <c r="R93" i="20"/>
  <c r="Q93" i="20"/>
  <c r="AG92" i="20"/>
  <c r="AG91" i="20"/>
  <c r="AB90" i="20"/>
  <c r="AB98" i="20" s="1"/>
  <c r="AA90" i="20"/>
  <c r="Z90" i="20"/>
  <c r="Y90" i="20"/>
  <c r="X90" i="20"/>
  <c r="W90" i="20"/>
  <c r="V90" i="20"/>
  <c r="U90" i="20"/>
  <c r="T90" i="20"/>
  <c r="S90" i="20"/>
  <c r="R90" i="20"/>
  <c r="Q90" i="20"/>
  <c r="O90" i="20"/>
  <c r="O117" i="10" s="1"/>
  <c r="N90" i="20"/>
  <c r="M90" i="20"/>
  <c r="L90" i="20"/>
  <c r="K90" i="20"/>
  <c r="K117" i="10" s="1"/>
  <c r="J90" i="20"/>
  <c r="I90" i="20"/>
  <c r="H90" i="20"/>
  <c r="G90" i="20"/>
  <c r="G117" i="10" s="1"/>
  <c r="F90" i="20"/>
  <c r="E90" i="20"/>
  <c r="D90" i="20"/>
  <c r="AG89" i="20"/>
  <c r="AE89" i="20"/>
  <c r="AC89" i="20"/>
  <c r="P89" i="20"/>
  <c r="AD89" i="20" s="1"/>
  <c r="AG88" i="20"/>
  <c r="AD88" i="20"/>
  <c r="AE88" i="20" s="1"/>
  <c r="AC88" i="20"/>
  <c r="P88" i="20"/>
  <c r="AE87" i="20"/>
  <c r="AD87" i="20"/>
  <c r="AC87" i="20"/>
  <c r="P87" i="20"/>
  <c r="AG87" i="20" s="1"/>
  <c r="AG86" i="20"/>
  <c r="AE86" i="20"/>
  <c r="AC86" i="20"/>
  <c r="P86" i="20"/>
  <c r="AD86" i="20" s="1"/>
  <c r="AG85" i="20"/>
  <c r="AC85" i="20"/>
  <c r="AC90" i="20" s="1"/>
  <c r="P85" i="20"/>
  <c r="AB80" i="20"/>
  <c r="AA80" i="20"/>
  <c r="Z80" i="20"/>
  <c r="Y80" i="20"/>
  <c r="X80" i="20"/>
  <c r="W80" i="20"/>
  <c r="V80" i="20"/>
  <c r="U80" i="20"/>
  <c r="T80" i="20"/>
  <c r="S80" i="20"/>
  <c r="R80" i="20"/>
  <c r="Q80" i="20"/>
  <c r="AC79" i="20"/>
  <c r="AC78" i="20"/>
  <c r="P78" i="20"/>
  <c r="AC77" i="20"/>
  <c r="AD77" i="20" s="1"/>
  <c r="AE77" i="20" s="1"/>
  <c r="P77" i="20"/>
  <c r="AG77" i="20" s="1"/>
  <c r="AD76" i="20"/>
  <c r="AE76" i="20" s="1"/>
  <c r="AC76" i="20"/>
  <c r="P76" i="20"/>
  <c r="AG76" i="20" s="1"/>
  <c r="AG75" i="20"/>
  <c r="AC75" i="20"/>
  <c r="P75" i="20"/>
  <c r="AG74" i="20"/>
  <c r="AC74" i="20"/>
  <c r="AD74" i="20" s="1"/>
  <c r="AE74" i="20" s="1"/>
  <c r="P74" i="20"/>
  <c r="AC73" i="20"/>
  <c r="AD73" i="20" s="1"/>
  <c r="AE73" i="20" s="1"/>
  <c r="P73" i="20"/>
  <c r="AG73" i="20" s="1"/>
  <c r="AC72" i="20"/>
  <c r="AG71" i="20"/>
  <c r="AC71" i="20"/>
  <c r="P71" i="20"/>
  <c r="AD71" i="20" s="1"/>
  <c r="AE71" i="20" s="1"/>
  <c r="AG70" i="20"/>
  <c r="AC70" i="20"/>
  <c r="P70" i="20"/>
  <c r="AD70" i="20" s="1"/>
  <c r="AE70" i="20" s="1"/>
  <c r="AC69" i="20"/>
  <c r="AD69" i="20" s="1"/>
  <c r="AE69" i="20" s="1"/>
  <c r="P69" i="20"/>
  <c r="AG69" i="20" s="1"/>
  <c r="AC68" i="20"/>
  <c r="P68" i="20"/>
  <c r="AC67" i="20"/>
  <c r="P67" i="20"/>
  <c r="AC66" i="20"/>
  <c r="P66" i="20"/>
  <c r="AC65" i="20"/>
  <c r="AD65" i="20" s="1"/>
  <c r="AE65" i="20" s="1"/>
  <c r="P65" i="20"/>
  <c r="AG65" i="20" s="1"/>
  <c r="AD64" i="20"/>
  <c r="AE64" i="20" s="1"/>
  <c r="AC64" i="20"/>
  <c r="P64" i="20"/>
  <c r="AG64" i="20" s="1"/>
  <c r="AG63" i="20"/>
  <c r="AC63" i="20"/>
  <c r="P63" i="20"/>
  <c r="AG62" i="20"/>
  <c r="AC62" i="20"/>
  <c r="AD62" i="20" s="1"/>
  <c r="AE62" i="20" s="1"/>
  <c r="P62" i="20"/>
  <c r="AC61" i="20"/>
  <c r="AD61" i="20" s="1"/>
  <c r="AE61" i="20" s="1"/>
  <c r="P61" i="20"/>
  <c r="AG61" i="20" s="1"/>
  <c r="AE60" i="20"/>
  <c r="AD60" i="20"/>
  <c r="AC60" i="20"/>
  <c r="P60" i="20"/>
  <c r="AG60" i="20" s="1"/>
  <c r="AG59" i="20"/>
  <c r="AE59" i="20"/>
  <c r="AC59" i="20"/>
  <c r="P59" i="20"/>
  <c r="AD59" i="20" s="1"/>
  <c r="AG58" i="20"/>
  <c r="AD58" i="20"/>
  <c r="AE58" i="20" s="1"/>
  <c r="AC58" i="20"/>
  <c r="P58" i="20"/>
  <c r="AE57" i="20"/>
  <c r="AD57" i="20"/>
  <c r="AC57" i="20"/>
  <c r="P57" i="20"/>
  <c r="AG57" i="20" s="1"/>
  <c r="AC56" i="20"/>
  <c r="P56" i="20"/>
  <c r="AG55" i="20"/>
  <c r="AC55" i="20"/>
  <c r="P55" i="20"/>
  <c r="AD55" i="20" s="1"/>
  <c r="AE55" i="20" s="1"/>
  <c r="AG54" i="20"/>
  <c r="AC54" i="20"/>
  <c r="P54" i="20"/>
  <c r="AD54" i="20" s="1"/>
  <c r="AE54" i="20" s="1"/>
  <c r="AC53" i="20"/>
  <c r="AD53" i="20" s="1"/>
  <c r="AE53" i="20" s="1"/>
  <c r="P53" i="20"/>
  <c r="AG53" i="20" s="1"/>
  <c r="AC52" i="20"/>
  <c r="P52" i="20"/>
  <c r="AC51" i="20"/>
  <c r="P51" i="20"/>
  <c r="AC50" i="20"/>
  <c r="P50" i="20"/>
  <c r="AC49" i="20"/>
  <c r="AD49" i="20" s="1"/>
  <c r="AE49" i="20" s="1"/>
  <c r="P49" i="20"/>
  <c r="AG49" i="20" s="1"/>
  <c r="AD48" i="20"/>
  <c r="AE48" i="20" s="1"/>
  <c r="AC48" i="20"/>
  <c r="P48" i="20"/>
  <c r="AG48" i="20" s="1"/>
  <c r="AG47" i="20"/>
  <c r="AC47" i="20"/>
  <c r="P47" i="20"/>
  <c r="AG46" i="20"/>
  <c r="AC46" i="20"/>
  <c r="AD46" i="20" s="1"/>
  <c r="AE46" i="20" s="1"/>
  <c r="P46" i="20"/>
  <c r="AC45" i="20"/>
  <c r="AD45" i="20" s="1"/>
  <c r="AE45" i="20" s="1"/>
  <c r="P45" i="20"/>
  <c r="AG45" i="20" s="1"/>
  <c r="AE44" i="20"/>
  <c r="AD44" i="20"/>
  <c r="AC44" i="20"/>
  <c r="P44" i="20"/>
  <c r="AG44" i="20" s="1"/>
  <c r="AC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AG42" i="20"/>
  <c r="AD42" i="20"/>
  <c r="AE42" i="20" s="1"/>
  <c r="AC42" i="20"/>
  <c r="P42" i="20"/>
  <c r="AE41" i="20"/>
  <c r="AD41" i="20"/>
  <c r="AC41" i="20"/>
  <c r="P41" i="20"/>
  <c r="AG41" i="20" s="1"/>
  <c r="AG40" i="20"/>
  <c r="AE40" i="20"/>
  <c r="AC40" i="20"/>
  <c r="P40" i="20"/>
  <c r="AD40" i="20" s="1"/>
  <c r="AG39" i="20"/>
  <c r="AC39" i="20"/>
  <c r="P39" i="20"/>
  <c r="AD39" i="20" s="1"/>
  <c r="AE39" i="20" s="1"/>
  <c r="AC38" i="20"/>
  <c r="P38" i="20"/>
  <c r="AG38" i="20" s="1"/>
  <c r="AG37" i="20"/>
  <c r="AG36" i="20"/>
  <c r="AG34" i="20"/>
  <c r="AC33" i="20"/>
  <c r="AB33" i="20"/>
  <c r="AA33" i="20"/>
  <c r="Z33" i="20"/>
  <c r="Y33" i="20"/>
  <c r="Y81" i="20" s="1"/>
  <c r="Y82" i="20" s="1"/>
  <c r="X33" i="20"/>
  <c r="W33" i="20"/>
  <c r="V33" i="20"/>
  <c r="U33" i="20"/>
  <c r="T33" i="20"/>
  <c r="S33" i="20"/>
  <c r="R33" i="20"/>
  <c r="Q33" i="20"/>
  <c r="AD32" i="20"/>
  <c r="AE32" i="20" s="1"/>
  <c r="AC32" i="20"/>
  <c r="P32" i="20"/>
  <c r="AG32" i="20" s="1"/>
  <c r="AC31" i="20"/>
  <c r="L31" i="20"/>
  <c r="L29" i="20" s="1"/>
  <c r="H31" i="20"/>
  <c r="H29" i="20" s="1"/>
  <c r="G31" i="20"/>
  <c r="D31" i="20"/>
  <c r="AC30" i="20"/>
  <c r="H30" i="20"/>
  <c r="D30" i="20"/>
  <c r="G29" i="20"/>
  <c r="Q27" i="20"/>
  <c r="Q81" i="20" s="1"/>
  <c r="Q82" i="20" s="1"/>
  <c r="AE26" i="20"/>
  <c r="AD26" i="20"/>
  <c r="AC26" i="20"/>
  <c r="P26" i="20"/>
  <c r="AG26" i="20" s="1"/>
  <c r="AG25" i="20"/>
  <c r="AE25" i="20"/>
  <c r="AC25" i="20"/>
  <c r="P25" i="20"/>
  <c r="AD25" i="20" s="1"/>
  <c r="AG24" i="20"/>
  <c r="AC24" i="20"/>
  <c r="AE24" i="20" s="1"/>
  <c r="P24" i="20"/>
  <c r="AG23" i="20"/>
  <c r="AB22" i="20"/>
  <c r="AA22" i="20"/>
  <c r="AA38" i="10" s="1"/>
  <c r="Z22" i="20"/>
  <c r="Y22" i="20"/>
  <c r="X22" i="20"/>
  <c r="W22" i="20"/>
  <c r="V22" i="20"/>
  <c r="U22" i="20"/>
  <c r="T22" i="20"/>
  <c r="S22" i="20"/>
  <c r="S38" i="10" s="1"/>
  <c r="R22" i="20"/>
  <c r="Q22" i="20"/>
  <c r="O22" i="20"/>
  <c r="O31" i="20" s="1"/>
  <c r="O29" i="20" s="1"/>
  <c r="N22" i="20"/>
  <c r="M22" i="20"/>
  <c r="M31" i="20" s="1"/>
  <c r="M29" i="20" s="1"/>
  <c r="L22" i="20"/>
  <c r="K22" i="20"/>
  <c r="K31" i="20" s="1"/>
  <c r="K29" i="20" s="1"/>
  <c r="J22" i="20"/>
  <c r="I22" i="20"/>
  <c r="I31" i="20" s="1"/>
  <c r="I29" i="20" s="1"/>
  <c r="H22" i="20"/>
  <c r="G22" i="20"/>
  <c r="F22" i="20"/>
  <c r="E22" i="20"/>
  <c r="E31" i="20" s="1"/>
  <c r="E29" i="20" s="1"/>
  <c r="D22" i="20"/>
  <c r="AD21" i="20"/>
  <c r="AE21" i="20" s="1"/>
  <c r="AC21" i="20"/>
  <c r="P21" i="20"/>
  <c r="AG21" i="20" s="1"/>
  <c r="AG20" i="20"/>
  <c r="AE20" i="20"/>
  <c r="AC20" i="20"/>
  <c r="P20" i="20"/>
  <c r="AD20" i="20" s="1"/>
  <c r="AG19" i="20"/>
  <c r="AD19" i="20"/>
  <c r="AE19" i="20" s="1"/>
  <c r="AC19" i="20"/>
  <c r="P19" i="20"/>
  <c r="AD18" i="20"/>
  <c r="AE18" i="20" s="1"/>
  <c r="AC18" i="20"/>
  <c r="AC22" i="20" s="1"/>
  <c r="AC27" i="20" s="1"/>
  <c r="P18" i="20"/>
  <c r="AG18" i="20" s="1"/>
  <c r="AG17" i="20"/>
  <c r="AC17" i="20"/>
  <c r="P17" i="20"/>
  <c r="AG16" i="20"/>
  <c r="AG15" i="20"/>
  <c r="AC14" i="20"/>
  <c r="AC28" i="20" s="1"/>
  <c r="AB14" i="20"/>
  <c r="AB27" i="20" s="1"/>
  <c r="AA14" i="20"/>
  <c r="Z14" i="20"/>
  <c r="Y14" i="20"/>
  <c r="Y27" i="20" s="1"/>
  <c r="X14" i="20"/>
  <c r="X27" i="20" s="1"/>
  <c r="W14" i="20"/>
  <c r="V14" i="20"/>
  <c r="V98" i="20" s="1"/>
  <c r="U14" i="20"/>
  <c r="T14" i="20"/>
  <c r="T27" i="20" s="1"/>
  <c r="S14" i="20"/>
  <c r="R14" i="20"/>
  <c r="R98" i="20" s="1"/>
  <c r="Q14" i="20"/>
  <c r="Q98" i="20" s="1"/>
  <c r="K14" i="20"/>
  <c r="AD13" i="20"/>
  <c r="AE13" i="20" s="1"/>
  <c r="AC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P13" i="20" s="1"/>
  <c r="AC12" i="20"/>
  <c r="O12" i="20"/>
  <c r="N12" i="20"/>
  <c r="M12" i="20"/>
  <c r="L12" i="20"/>
  <c r="K12" i="20"/>
  <c r="J12" i="20"/>
  <c r="I12" i="20"/>
  <c r="H12" i="20"/>
  <c r="G12" i="20"/>
  <c r="G14" i="20" s="1"/>
  <c r="F12" i="20"/>
  <c r="E12" i="20"/>
  <c r="D12" i="20"/>
  <c r="P12" i="20" s="1"/>
  <c r="P96" i="20" s="1"/>
  <c r="AC11" i="20"/>
  <c r="AC95" i="20" s="1"/>
  <c r="O11" i="20"/>
  <c r="N11" i="20"/>
  <c r="M11" i="20"/>
  <c r="L11" i="20"/>
  <c r="K11" i="20"/>
  <c r="J11" i="20"/>
  <c r="I11" i="20"/>
  <c r="H11" i="20"/>
  <c r="G11" i="20"/>
  <c r="F11" i="20"/>
  <c r="E11" i="20"/>
  <c r="D11" i="20"/>
  <c r="AC10" i="20"/>
  <c r="AC94" i="20" s="1"/>
  <c r="O10" i="20"/>
  <c r="N10" i="20"/>
  <c r="M10" i="20"/>
  <c r="M14" i="20" s="1"/>
  <c r="L10" i="20"/>
  <c r="K10" i="20"/>
  <c r="J10" i="20"/>
  <c r="I10" i="20"/>
  <c r="I14" i="20" s="1"/>
  <c r="I27" i="20" s="1"/>
  <c r="H10" i="20"/>
  <c r="G10" i="20"/>
  <c r="F10" i="20"/>
  <c r="E10" i="20"/>
  <c r="E14" i="20" s="1"/>
  <c r="D10" i="20"/>
  <c r="AC9" i="20"/>
  <c r="O9" i="20"/>
  <c r="N9" i="20"/>
  <c r="M9" i="20"/>
  <c r="L9" i="20"/>
  <c r="L14" i="20" s="1"/>
  <c r="L27" i="20" s="1"/>
  <c r="K9" i="20"/>
  <c r="J9" i="20"/>
  <c r="I9" i="20"/>
  <c r="H9" i="20"/>
  <c r="H14" i="20" s="1"/>
  <c r="H27" i="20" s="1"/>
  <c r="G9" i="20"/>
  <c r="F9" i="20"/>
  <c r="F14" i="20" s="1"/>
  <c r="E9" i="20"/>
  <c r="D9" i="20"/>
  <c r="D14" i="20" s="1"/>
  <c r="D27" i="20" s="1"/>
  <c r="X7" i="20"/>
  <c r="AB6" i="20"/>
  <c r="R6" i="20"/>
  <c r="G6" i="20"/>
  <c r="C4" i="20"/>
  <c r="O2" i="20"/>
  <c r="N2" i="20"/>
  <c r="M2" i="20"/>
  <c r="L2" i="20"/>
  <c r="K2" i="20"/>
  <c r="J2" i="20"/>
  <c r="I2" i="20"/>
  <c r="H2" i="20"/>
  <c r="G2" i="20"/>
  <c r="F2" i="20"/>
  <c r="E2" i="20"/>
  <c r="D2" i="20"/>
  <c r="O1" i="20"/>
  <c r="N1" i="20"/>
  <c r="M1" i="20"/>
  <c r="L1" i="20"/>
  <c r="K1" i="20"/>
  <c r="J1" i="20"/>
  <c r="I1" i="20"/>
  <c r="H1" i="20"/>
  <c r="G1" i="20"/>
  <c r="F1" i="20"/>
  <c r="E1" i="20"/>
  <c r="D1" i="20"/>
  <c r="P141" i="19"/>
  <c r="O141" i="19"/>
  <c r="N141" i="19"/>
  <c r="M141" i="19"/>
  <c r="L141" i="19"/>
  <c r="K141" i="19"/>
  <c r="J141" i="19"/>
  <c r="I141" i="19"/>
  <c r="H141" i="19"/>
  <c r="G141" i="19"/>
  <c r="F141" i="19"/>
  <c r="E141" i="19"/>
  <c r="D141" i="19"/>
  <c r="P140" i="19"/>
  <c r="P139" i="19"/>
  <c r="P138" i="19"/>
  <c r="AG136" i="19"/>
  <c r="AD136" i="19"/>
  <c r="AE136" i="19" s="1"/>
  <c r="AC136" i="19"/>
  <c r="P136" i="19"/>
  <c r="AG135" i="19"/>
  <c r="V134" i="19"/>
  <c r="V35" i="19" s="1"/>
  <c r="AC133" i="19"/>
  <c r="AB133" i="19"/>
  <c r="AA133" i="19"/>
  <c r="Z133" i="19"/>
  <c r="Y133" i="19"/>
  <c r="X133" i="19"/>
  <c r="W133" i="19"/>
  <c r="V133" i="19"/>
  <c r="U133" i="19"/>
  <c r="T133" i="19"/>
  <c r="S133" i="19"/>
  <c r="R133" i="19"/>
  <c r="Q133" i="19"/>
  <c r="AG132" i="19"/>
  <c r="AD132" i="19"/>
  <c r="AE132" i="19" s="1"/>
  <c r="AC132" i="19"/>
  <c r="P132" i="19"/>
  <c r="AE131" i="19"/>
  <c r="AD131" i="19"/>
  <c r="AC131" i="19"/>
  <c r="P131" i="19"/>
  <c r="AG131" i="19" s="1"/>
  <c r="AC130" i="19"/>
  <c r="AC129" i="19"/>
  <c r="AG128" i="19"/>
  <c r="AD128" i="19"/>
  <c r="AE128" i="19" s="1"/>
  <c r="AC128" i="19"/>
  <c r="P128" i="19"/>
  <c r="AD127" i="19"/>
  <c r="AE127" i="19" s="1"/>
  <c r="AC127" i="19"/>
  <c r="P127" i="19"/>
  <c r="AG127" i="19" s="1"/>
  <c r="AD126" i="19"/>
  <c r="AE126" i="19" s="1"/>
  <c r="AC126" i="19"/>
  <c r="P126" i="19"/>
  <c r="AG126" i="19" s="1"/>
  <c r="AG125" i="19"/>
  <c r="AE125" i="19"/>
  <c r="AC125" i="19"/>
  <c r="P125" i="19"/>
  <c r="AD125" i="19" s="1"/>
  <c r="AG124" i="19"/>
  <c r="AD124" i="19"/>
  <c r="AE124" i="19" s="1"/>
  <c r="AC124" i="19"/>
  <c r="P124" i="19"/>
  <c r="AG123" i="19"/>
  <c r="AB122" i="19"/>
  <c r="AB134" i="19" s="1"/>
  <c r="AB35" i="19" s="1"/>
  <c r="AA122" i="19"/>
  <c r="Z122" i="19"/>
  <c r="Y122" i="19"/>
  <c r="X122" i="19"/>
  <c r="X134" i="19" s="1"/>
  <c r="W122" i="19"/>
  <c r="V122" i="19"/>
  <c r="U122" i="19"/>
  <c r="T122" i="19"/>
  <c r="S122" i="19"/>
  <c r="R122" i="19"/>
  <c r="Q122" i="19"/>
  <c r="AC121" i="19"/>
  <c r="E121" i="19"/>
  <c r="AC120" i="19"/>
  <c r="AC119" i="19"/>
  <c r="F119" i="19"/>
  <c r="G119" i="19" s="1"/>
  <c r="H119" i="19" s="1"/>
  <c r="I119" i="19" s="1"/>
  <c r="J119" i="19" s="1"/>
  <c r="K119" i="19" s="1"/>
  <c r="L119" i="19" s="1"/>
  <c r="M119" i="19" s="1"/>
  <c r="N119" i="19" s="1"/>
  <c r="O119" i="19" s="1"/>
  <c r="E119" i="19"/>
  <c r="AC118" i="19"/>
  <c r="F118" i="19"/>
  <c r="G118" i="19" s="1"/>
  <c r="H118" i="19" s="1"/>
  <c r="I118" i="19" s="1"/>
  <c r="J118" i="19" s="1"/>
  <c r="K118" i="19" s="1"/>
  <c r="L118" i="19" s="1"/>
  <c r="M118" i="19" s="1"/>
  <c r="N118" i="19" s="1"/>
  <c r="O118" i="19" s="1"/>
  <c r="E118" i="19"/>
  <c r="AC117" i="19"/>
  <c r="L117" i="19"/>
  <c r="M117" i="19" s="1"/>
  <c r="N117" i="19" s="1"/>
  <c r="O117" i="19" s="1"/>
  <c r="H117" i="19"/>
  <c r="I117" i="19" s="1"/>
  <c r="J117" i="19" s="1"/>
  <c r="K117" i="19" s="1"/>
  <c r="F117" i="19"/>
  <c r="G117" i="19" s="1"/>
  <c r="E117" i="19"/>
  <c r="AC116" i="19"/>
  <c r="H116" i="19"/>
  <c r="F116" i="19"/>
  <c r="G116" i="19" s="1"/>
  <c r="E116" i="19"/>
  <c r="AC115" i="19"/>
  <c r="F115" i="19"/>
  <c r="E115" i="19"/>
  <c r="AC114" i="19"/>
  <c r="F114" i="19"/>
  <c r="G114" i="19" s="1"/>
  <c r="E114" i="19"/>
  <c r="AG113" i="19"/>
  <c r="AB112" i="19"/>
  <c r="AA112" i="19"/>
  <c r="AA134" i="19" s="1"/>
  <c r="AA35" i="19" s="1"/>
  <c r="Z112" i="19"/>
  <c r="Y112" i="19"/>
  <c r="X112" i="19"/>
  <c r="W112" i="19"/>
  <c r="W134" i="19" s="1"/>
  <c r="W35" i="19" s="1"/>
  <c r="W81" i="19" s="1"/>
  <c r="W82" i="19" s="1"/>
  <c r="V112" i="19"/>
  <c r="U112" i="19"/>
  <c r="T112" i="19"/>
  <c r="S112" i="19"/>
  <c r="S134" i="19" s="1"/>
  <c r="S35" i="19" s="1"/>
  <c r="R112" i="19"/>
  <c r="Q112" i="19"/>
  <c r="AG111" i="19"/>
  <c r="AE111" i="19"/>
  <c r="AC111" i="19"/>
  <c r="P111" i="19"/>
  <c r="AD111" i="19" s="1"/>
  <c r="AG110" i="19"/>
  <c r="AC110" i="19"/>
  <c r="P110" i="19"/>
  <c r="AD110" i="19" s="1"/>
  <c r="AE110" i="19" s="1"/>
  <c r="AC109" i="19"/>
  <c r="P109" i="19"/>
  <c r="AD109" i="19" s="1"/>
  <c r="AE109" i="19" s="1"/>
  <c r="AC108" i="19"/>
  <c r="AC112" i="19" s="1"/>
  <c r="AG107" i="19"/>
  <c r="AC107" i="19"/>
  <c r="P107" i="19"/>
  <c r="AG106" i="19"/>
  <c r="AC105" i="19"/>
  <c r="AB105" i="19"/>
  <c r="AA105" i="19"/>
  <c r="Z105" i="19"/>
  <c r="Z134" i="19" s="1"/>
  <c r="Z35" i="19" s="1"/>
  <c r="Y105" i="19"/>
  <c r="X105" i="19"/>
  <c r="W105" i="19"/>
  <c r="V105" i="19"/>
  <c r="U105" i="19"/>
  <c r="T105" i="19"/>
  <c r="S105" i="19"/>
  <c r="R105" i="19"/>
  <c r="R134" i="19" s="1"/>
  <c r="R35" i="19" s="1"/>
  <c r="Q105" i="19"/>
  <c r="D105" i="19"/>
  <c r="AC104" i="19"/>
  <c r="E104" i="19"/>
  <c r="AC103" i="19"/>
  <c r="E103" i="19"/>
  <c r="AC102" i="19"/>
  <c r="E102" i="19"/>
  <c r="Z98" i="19"/>
  <c r="U98" i="19"/>
  <c r="J98" i="19"/>
  <c r="V97" i="19"/>
  <c r="U97" i="19"/>
  <c r="T97" i="19"/>
  <c r="S97" i="19"/>
  <c r="R97" i="19"/>
  <c r="Q97" i="19"/>
  <c r="AC96" i="19"/>
  <c r="V96" i="19"/>
  <c r="U96" i="19"/>
  <c r="T96" i="19"/>
  <c r="S96" i="19"/>
  <c r="R96" i="19"/>
  <c r="Q96" i="19"/>
  <c r="V95" i="19"/>
  <c r="U95" i="19"/>
  <c r="T95" i="19"/>
  <c r="S95" i="19"/>
  <c r="R95" i="19"/>
  <c r="Q95" i="19"/>
  <c r="V94" i="19"/>
  <c r="U94" i="19"/>
  <c r="T94" i="19"/>
  <c r="S94" i="19"/>
  <c r="R94" i="19"/>
  <c r="Q94" i="19"/>
  <c r="V93" i="19"/>
  <c r="U93" i="19"/>
  <c r="T93" i="19"/>
  <c r="S93" i="19"/>
  <c r="R93" i="19"/>
  <c r="Q93" i="19"/>
  <c r="AG92" i="19"/>
  <c r="AG91" i="19"/>
  <c r="AB90" i="19"/>
  <c r="AA90" i="19"/>
  <c r="Z90" i="19"/>
  <c r="Y90" i="19"/>
  <c r="X90" i="19"/>
  <c r="W90" i="19"/>
  <c r="V90" i="19"/>
  <c r="U90" i="19"/>
  <c r="T90" i="19"/>
  <c r="S90" i="19"/>
  <c r="R90" i="19"/>
  <c r="Q90" i="19"/>
  <c r="O90" i="19"/>
  <c r="N90" i="19"/>
  <c r="M90" i="19"/>
  <c r="L90" i="19"/>
  <c r="K90" i="19"/>
  <c r="J90" i="19"/>
  <c r="I90" i="19"/>
  <c r="H90" i="19"/>
  <c r="G90" i="19"/>
  <c r="F90" i="19"/>
  <c r="E90" i="19"/>
  <c r="D90" i="19"/>
  <c r="AG89" i="19"/>
  <c r="AD89" i="19"/>
  <c r="AE89" i="19" s="1"/>
  <c r="AC89" i="19"/>
  <c r="P89" i="19"/>
  <c r="AD88" i="19"/>
  <c r="AE88" i="19" s="1"/>
  <c r="AC88" i="19"/>
  <c r="P88" i="19"/>
  <c r="AG88" i="19" s="1"/>
  <c r="AG87" i="19"/>
  <c r="AE87" i="19"/>
  <c r="AC87" i="19"/>
  <c r="P87" i="19"/>
  <c r="AD87" i="19" s="1"/>
  <c r="AC86" i="19"/>
  <c r="P86" i="19"/>
  <c r="AD86" i="19" s="1"/>
  <c r="AE86" i="19" s="1"/>
  <c r="AC85" i="19"/>
  <c r="AC90" i="19" s="1"/>
  <c r="P85" i="19"/>
  <c r="S81" i="19"/>
  <c r="S82" i="19" s="1"/>
  <c r="AB80" i="19"/>
  <c r="AA80" i="19"/>
  <c r="Z80" i="19"/>
  <c r="Y80" i="19"/>
  <c r="X80" i="19"/>
  <c r="W80" i="19"/>
  <c r="V80" i="19"/>
  <c r="U80" i="19"/>
  <c r="T80" i="19"/>
  <c r="S80" i="19"/>
  <c r="R80" i="19"/>
  <c r="Q80" i="19"/>
  <c r="AC79" i="19"/>
  <c r="AC78" i="19"/>
  <c r="AD78" i="19" s="1"/>
  <c r="AE78" i="19" s="1"/>
  <c r="P78" i="19"/>
  <c r="AG78" i="19" s="1"/>
  <c r="AD77" i="19"/>
  <c r="AE77" i="19" s="1"/>
  <c r="AC77" i="19"/>
  <c r="P77" i="19"/>
  <c r="AG77" i="19" s="1"/>
  <c r="AG76" i="19"/>
  <c r="AC76" i="19"/>
  <c r="P76" i="19"/>
  <c r="AG75" i="19"/>
  <c r="AC75" i="19"/>
  <c r="AD75" i="19" s="1"/>
  <c r="AE75" i="19" s="1"/>
  <c r="P75" i="19"/>
  <c r="AC74" i="19"/>
  <c r="AD74" i="19" s="1"/>
  <c r="AE74" i="19" s="1"/>
  <c r="P74" i="19"/>
  <c r="AG74" i="19" s="1"/>
  <c r="AE73" i="19"/>
  <c r="AD73" i="19"/>
  <c r="AC73" i="19"/>
  <c r="P73" i="19"/>
  <c r="AG73" i="19" s="1"/>
  <c r="AC72" i="19"/>
  <c r="AG71" i="19"/>
  <c r="AC71" i="19"/>
  <c r="P71" i="19"/>
  <c r="AD71" i="19" s="1"/>
  <c r="AE71" i="19" s="1"/>
  <c r="AE70" i="19"/>
  <c r="AC70" i="19"/>
  <c r="AD70" i="19" s="1"/>
  <c r="P70" i="19"/>
  <c r="AG70" i="19" s="1"/>
  <c r="AC69" i="19"/>
  <c r="P69" i="19"/>
  <c r="AD69" i="19" s="1"/>
  <c r="AE69" i="19" s="1"/>
  <c r="AC68" i="19"/>
  <c r="P68" i="19"/>
  <c r="AC67" i="19"/>
  <c r="P67" i="19"/>
  <c r="AC66" i="19"/>
  <c r="AD66" i="19" s="1"/>
  <c r="AE66" i="19" s="1"/>
  <c r="P66" i="19"/>
  <c r="AG66" i="19" s="1"/>
  <c r="AD65" i="19"/>
  <c r="AE65" i="19" s="1"/>
  <c r="AC65" i="19"/>
  <c r="P65" i="19"/>
  <c r="AG65" i="19" s="1"/>
  <c r="AG64" i="19"/>
  <c r="AC64" i="19"/>
  <c r="P64" i="19"/>
  <c r="AG63" i="19"/>
  <c r="AD63" i="19"/>
  <c r="AE63" i="19" s="1"/>
  <c r="AC63" i="19"/>
  <c r="P63" i="19"/>
  <c r="AC62" i="19"/>
  <c r="AD62" i="19" s="1"/>
  <c r="AE62" i="19" s="1"/>
  <c r="P62" i="19"/>
  <c r="AG62" i="19" s="1"/>
  <c r="AD61" i="19"/>
  <c r="AE61" i="19" s="1"/>
  <c r="AC61" i="19"/>
  <c r="P61" i="19"/>
  <c r="AG61" i="19" s="1"/>
  <c r="AG60" i="19"/>
  <c r="AE60" i="19"/>
  <c r="AC60" i="19"/>
  <c r="P60" i="19"/>
  <c r="AD60" i="19" s="1"/>
  <c r="AG59" i="19"/>
  <c r="AD59" i="19"/>
  <c r="AE59" i="19" s="1"/>
  <c r="AC59" i="19"/>
  <c r="P59" i="19"/>
  <c r="AD58" i="19"/>
  <c r="AE58" i="19" s="1"/>
  <c r="AC58" i="19"/>
  <c r="P58" i="19"/>
  <c r="AG58" i="19" s="1"/>
  <c r="AC57" i="19"/>
  <c r="P57" i="19"/>
  <c r="AD57" i="19" s="1"/>
  <c r="AE57" i="19" s="1"/>
  <c r="AC56" i="19"/>
  <c r="P56" i="19"/>
  <c r="AG55" i="19"/>
  <c r="AC55" i="19"/>
  <c r="P55" i="19"/>
  <c r="AD55" i="19" s="1"/>
  <c r="AE55" i="19" s="1"/>
  <c r="AE54" i="19"/>
  <c r="AC54" i="19"/>
  <c r="AD54" i="19" s="1"/>
  <c r="P54" i="19"/>
  <c r="AG54" i="19" s="1"/>
  <c r="AC53" i="19"/>
  <c r="P53" i="19"/>
  <c r="AD53" i="19" s="1"/>
  <c r="AE53" i="19" s="1"/>
  <c r="AC52" i="19"/>
  <c r="P52" i="19"/>
  <c r="AC51" i="19"/>
  <c r="P51" i="19"/>
  <c r="AC50" i="19"/>
  <c r="AD50" i="19" s="1"/>
  <c r="AE50" i="19" s="1"/>
  <c r="P50" i="19"/>
  <c r="AG50" i="19" s="1"/>
  <c r="AD49" i="19"/>
  <c r="AE49" i="19" s="1"/>
  <c r="AC49" i="19"/>
  <c r="P49" i="19"/>
  <c r="AG49" i="19" s="1"/>
  <c r="AG48" i="19"/>
  <c r="AC48" i="19"/>
  <c r="P48" i="19"/>
  <c r="AG47" i="19"/>
  <c r="AD47" i="19"/>
  <c r="AE47" i="19" s="1"/>
  <c r="AC47" i="19"/>
  <c r="P47" i="19"/>
  <c r="AC46" i="19"/>
  <c r="AD46" i="19" s="1"/>
  <c r="AE46" i="19" s="1"/>
  <c r="P46" i="19"/>
  <c r="AG46" i="19" s="1"/>
  <c r="AD45" i="19"/>
  <c r="AE45" i="19" s="1"/>
  <c r="AC45" i="19"/>
  <c r="P45" i="19"/>
  <c r="AG45" i="19" s="1"/>
  <c r="AG44" i="19"/>
  <c r="AE44" i="19"/>
  <c r="AC44" i="19"/>
  <c r="P44" i="19"/>
  <c r="AD44" i="19" s="1"/>
  <c r="AC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P43" i="19" s="1"/>
  <c r="AE42" i="19"/>
  <c r="AD42" i="19"/>
  <c r="AC42" i="19"/>
  <c r="P42" i="19"/>
  <c r="AG42" i="19" s="1"/>
  <c r="AC41" i="19"/>
  <c r="P41" i="19"/>
  <c r="AG40" i="19"/>
  <c r="AC40" i="19"/>
  <c r="P40" i="19"/>
  <c r="AD40" i="19" s="1"/>
  <c r="AE40" i="19" s="1"/>
  <c r="AG39" i="19"/>
  <c r="AC39" i="19"/>
  <c r="P39" i="19"/>
  <c r="AC38" i="19"/>
  <c r="P38" i="19"/>
  <c r="AG38" i="19" s="1"/>
  <c r="AG37" i="19"/>
  <c r="AG36" i="19"/>
  <c r="X35" i="19"/>
  <c r="AG34" i="19"/>
  <c r="AB33" i="19"/>
  <c r="AA33" i="19"/>
  <c r="Z33" i="19"/>
  <c r="Y33" i="19"/>
  <c r="X33" i="19"/>
  <c r="W33" i="19"/>
  <c r="V33" i="19"/>
  <c r="U33" i="19"/>
  <c r="T33" i="19"/>
  <c r="S33" i="19"/>
  <c r="R33" i="19"/>
  <c r="Q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AC32" i="19"/>
  <c r="P32" i="19"/>
  <c r="AC31" i="19"/>
  <c r="AC29" i="19" s="1"/>
  <c r="P31" i="19"/>
  <c r="AC30" i="19"/>
  <c r="P30" i="19"/>
  <c r="AG30" i="19" s="1"/>
  <c r="AA27" i="19"/>
  <c r="X27" i="19"/>
  <c r="X81" i="19" s="1"/>
  <c r="X82" i="19" s="1"/>
  <c r="W27" i="19"/>
  <c r="S27" i="19"/>
  <c r="H27" i="19"/>
  <c r="AG26" i="19"/>
  <c r="AC26" i="19"/>
  <c r="P26" i="19"/>
  <c r="AD26" i="19" s="1"/>
  <c r="AE26" i="19" s="1"/>
  <c r="AE25" i="19"/>
  <c r="AC25" i="19"/>
  <c r="AD25" i="19" s="1"/>
  <c r="P25" i="19"/>
  <c r="AG25" i="19" s="1"/>
  <c r="AC24" i="19"/>
  <c r="P24" i="19"/>
  <c r="AD24" i="19" s="1"/>
  <c r="AE24" i="19" s="1"/>
  <c r="AG23" i="19"/>
  <c r="AC22" i="19"/>
  <c r="AB22" i="19"/>
  <c r="AA22" i="19"/>
  <c r="Z22" i="19"/>
  <c r="Y22" i="19"/>
  <c r="X22" i="19"/>
  <c r="W22" i="19"/>
  <c r="V22" i="19"/>
  <c r="U22" i="19"/>
  <c r="T22" i="19"/>
  <c r="S22" i="19"/>
  <c r="R22" i="19"/>
  <c r="Q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AD21" i="19"/>
  <c r="AE21" i="19" s="1"/>
  <c r="AC21" i="19"/>
  <c r="P21" i="19"/>
  <c r="AG21" i="19" s="1"/>
  <c r="AE20" i="19"/>
  <c r="AD20" i="19"/>
  <c r="AC20" i="19"/>
  <c r="P20" i="19"/>
  <c r="AG20" i="19" s="1"/>
  <c r="AG19" i="19"/>
  <c r="AE19" i="19"/>
  <c r="AC19" i="19"/>
  <c r="P19" i="19"/>
  <c r="AD19" i="19" s="1"/>
  <c r="AG18" i="19"/>
  <c r="AD18" i="19"/>
  <c r="AE18" i="19" s="1"/>
  <c r="AC18" i="19"/>
  <c r="P18" i="19"/>
  <c r="P22" i="19" s="1"/>
  <c r="AG22" i="19" s="1"/>
  <c r="AE17" i="19"/>
  <c r="AD17" i="19"/>
  <c r="AC17" i="19"/>
  <c r="P17" i="19"/>
  <c r="AG17" i="19" s="1"/>
  <c r="AG16" i="19"/>
  <c r="AG15" i="19"/>
  <c r="AB14" i="19"/>
  <c r="AA14" i="19"/>
  <c r="Z14" i="19"/>
  <c r="Y14" i="19"/>
  <c r="Y98" i="19" s="1"/>
  <c r="X14" i="19"/>
  <c r="X98" i="19" s="1"/>
  <c r="W14" i="19"/>
  <c r="V14" i="19"/>
  <c r="U14" i="19"/>
  <c r="T14" i="19"/>
  <c r="T98" i="19" s="1"/>
  <c r="S14" i="19"/>
  <c r="R14" i="19"/>
  <c r="Q14" i="19"/>
  <c r="L14" i="19"/>
  <c r="J14" i="19"/>
  <c r="J27" i="19" s="1"/>
  <c r="H14" i="19"/>
  <c r="H98" i="19" s="1"/>
  <c r="F14" i="19"/>
  <c r="E14" i="19"/>
  <c r="AC13" i="19"/>
  <c r="AC97" i="19" s="1"/>
  <c r="O13" i="19"/>
  <c r="N13" i="19"/>
  <c r="M13" i="19"/>
  <c r="L13" i="19"/>
  <c r="K13" i="19"/>
  <c r="J13" i="19"/>
  <c r="I13" i="19"/>
  <c r="H13" i="19"/>
  <c r="G13" i="19"/>
  <c r="F13" i="19"/>
  <c r="E13" i="19"/>
  <c r="D13" i="19"/>
  <c r="AC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P12" i="19" s="1"/>
  <c r="AC11" i="19"/>
  <c r="AC95" i="19" s="1"/>
  <c r="O11" i="19"/>
  <c r="N11" i="19"/>
  <c r="M11" i="19"/>
  <c r="L11" i="19"/>
  <c r="K11" i="19"/>
  <c r="J11" i="19"/>
  <c r="I11" i="19"/>
  <c r="H11" i="19"/>
  <c r="G11" i="19"/>
  <c r="F11" i="19"/>
  <c r="E11" i="19"/>
  <c r="D11" i="19"/>
  <c r="AC10" i="19"/>
  <c r="AC94" i="19" s="1"/>
  <c r="O10" i="19"/>
  <c r="N10" i="19"/>
  <c r="M10" i="19"/>
  <c r="L10" i="19"/>
  <c r="K10" i="19"/>
  <c r="J10" i="19"/>
  <c r="I10" i="19"/>
  <c r="H10" i="19"/>
  <c r="G10" i="19"/>
  <c r="F10" i="19"/>
  <c r="E10" i="19"/>
  <c r="D10" i="19"/>
  <c r="D14" i="19" s="1"/>
  <c r="AC9" i="19"/>
  <c r="AC93" i="19" s="1"/>
  <c r="O9" i="19"/>
  <c r="N9" i="19"/>
  <c r="N14" i="19" s="1"/>
  <c r="M9" i="19"/>
  <c r="M14" i="19" s="1"/>
  <c r="M98" i="19" s="1"/>
  <c r="L9" i="19"/>
  <c r="K9" i="19"/>
  <c r="J9" i="19"/>
  <c r="I9" i="19"/>
  <c r="I14" i="19" s="1"/>
  <c r="I98" i="19" s="1"/>
  <c r="H9" i="19"/>
  <c r="G9" i="19"/>
  <c r="F9" i="19"/>
  <c r="E9" i="19"/>
  <c r="D9" i="19"/>
  <c r="O7" i="19"/>
  <c r="D7" i="19"/>
  <c r="I6" i="19"/>
  <c r="C4" i="19"/>
  <c r="O2" i="19"/>
  <c r="N2" i="19"/>
  <c r="M2" i="19"/>
  <c r="L2" i="19"/>
  <c r="K2" i="19"/>
  <c r="J2" i="19"/>
  <c r="I2" i="19"/>
  <c r="H2" i="19"/>
  <c r="G2" i="19"/>
  <c r="F2" i="19"/>
  <c r="E2" i="19"/>
  <c r="D2" i="19"/>
  <c r="O1" i="19"/>
  <c r="N1" i="19"/>
  <c r="M1" i="19"/>
  <c r="L1" i="19"/>
  <c r="K1" i="19"/>
  <c r="J1" i="19"/>
  <c r="I1" i="19"/>
  <c r="H1" i="19"/>
  <c r="G1" i="19"/>
  <c r="F1" i="19"/>
  <c r="E1" i="19"/>
  <c r="D1" i="19"/>
  <c r="O141" i="18"/>
  <c r="N141" i="18"/>
  <c r="M141" i="18"/>
  <c r="L141" i="18"/>
  <c r="K141" i="18"/>
  <c r="J141" i="18"/>
  <c r="I141" i="18"/>
  <c r="H141" i="18"/>
  <c r="G141" i="18"/>
  <c r="F141" i="18"/>
  <c r="E141" i="18"/>
  <c r="D141" i="18"/>
  <c r="P140" i="18"/>
  <c r="P139" i="18"/>
  <c r="P138" i="18"/>
  <c r="P141" i="18" s="1"/>
  <c r="AC136" i="18"/>
  <c r="P136" i="18"/>
  <c r="AG135" i="18"/>
  <c r="W134" i="18"/>
  <c r="W35" i="18" s="1"/>
  <c r="S134" i="18"/>
  <c r="AB133" i="18"/>
  <c r="AA133" i="18"/>
  <c r="Z133" i="18"/>
  <c r="Y133" i="18"/>
  <c r="X133" i="18"/>
  <c r="W133" i="18"/>
  <c r="V133" i="18"/>
  <c r="U133" i="18"/>
  <c r="T133" i="18"/>
  <c r="S133" i="18"/>
  <c r="R133" i="18"/>
  <c r="Q133" i="18"/>
  <c r="AC132" i="18"/>
  <c r="P132" i="18"/>
  <c r="AG131" i="18"/>
  <c r="AC131" i="18"/>
  <c r="P131" i="18"/>
  <c r="AD131" i="18" s="1"/>
  <c r="AE131" i="18" s="1"/>
  <c r="AC130" i="18"/>
  <c r="AC129" i="18"/>
  <c r="AG128" i="18"/>
  <c r="AC128" i="18"/>
  <c r="P128" i="18"/>
  <c r="AG127" i="18"/>
  <c r="AC127" i="18"/>
  <c r="AD127" i="18" s="1"/>
  <c r="AE127" i="18" s="1"/>
  <c r="P127" i="18"/>
  <c r="AC126" i="18"/>
  <c r="AD126" i="18" s="1"/>
  <c r="AE126" i="18" s="1"/>
  <c r="P126" i="18"/>
  <c r="AG126" i="18" s="1"/>
  <c r="AE125" i="18"/>
  <c r="AD125" i="18"/>
  <c r="AC125" i="18"/>
  <c r="P125" i="18"/>
  <c r="AG124" i="18"/>
  <c r="AC124" i="18"/>
  <c r="AG123" i="18"/>
  <c r="AB122" i="18"/>
  <c r="AA122" i="18"/>
  <c r="Z122" i="18"/>
  <c r="Y122" i="18"/>
  <c r="X122" i="18"/>
  <c r="W122" i="18"/>
  <c r="V122" i="18"/>
  <c r="U122" i="18"/>
  <c r="T122" i="18"/>
  <c r="S122" i="18"/>
  <c r="R122" i="18"/>
  <c r="R134" i="18" s="1"/>
  <c r="R35" i="18" s="1"/>
  <c r="Q122" i="18"/>
  <c r="AC121" i="18"/>
  <c r="E121" i="18"/>
  <c r="AC120" i="18"/>
  <c r="AC122" i="18" s="1"/>
  <c r="AC119" i="18"/>
  <c r="F119" i="18"/>
  <c r="E119" i="18"/>
  <c r="AC118" i="18"/>
  <c r="H118" i="18"/>
  <c r="F118" i="18"/>
  <c r="G118" i="18" s="1"/>
  <c r="E118" i="18"/>
  <c r="AC117" i="18"/>
  <c r="G117" i="18"/>
  <c r="F117" i="18"/>
  <c r="E117" i="18"/>
  <c r="AC116" i="18"/>
  <c r="J116" i="18"/>
  <c r="H116" i="18"/>
  <c r="I116" i="18" s="1"/>
  <c r="F116" i="18"/>
  <c r="G116" i="18" s="1"/>
  <c r="E116" i="18"/>
  <c r="AC115" i="18"/>
  <c r="K115" i="18"/>
  <c r="G115" i="18"/>
  <c r="H115" i="18" s="1"/>
  <c r="I115" i="18" s="1"/>
  <c r="J115" i="18" s="1"/>
  <c r="F115" i="18"/>
  <c r="E115" i="18"/>
  <c r="AC114" i="18"/>
  <c r="F114" i="18"/>
  <c r="E114" i="18"/>
  <c r="AG113" i="18"/>
  <c r="AB112" i="18"/>
  <c r="AA112" i="18"/>
  <c r="Z112" i="18"/>
  <c r="Y112" i="18"/>
  <c r="Y134" i="18" s="1"/>
  <c r="Y35" i="18" s="1"/>
  <c r="X112" i="18"/>
  <c r="W112" i="18"/>
  <c r="V112" i="18"/>
  <c r="U112" i="18"/>
  <c r="U134" i="18" s="1"/>
  <c r="U35" i="18" s="1"/>
  <c r="T112" i="18"/>
  <c r="S112" i="18"/>
  <c r="R112" i="18"/>
  <c r="Q112" i="18"/>
  <c r="Q134" i="18" s="1"/>
  <c r="Q35" i="18" s="1"/>
  <c r="AG111" i="18"/>
  <c r="AD111" i="18"/>
  <c r="AE111" i="18" s="1"/>
  <c r="AC111" i="18"/>
  <c r="P111" i="18"/>
  <c r="AD110" i="18"/>
  <c r="AE110" i="18" s="1"/>
  <c r="AC110" i="18"/>
  <c r="AC112" i="18" s="1"/>
  <c r="P110" i="18"/>
  <c r="AG110" i="18" s="1"/>
  <c r="AD109" i="18"/>
  <c r="AE109" i="18" s="1"/>
  <c r="AC109" i="18"/>
  <c r="P109" i="18"/>
  <c r="AG109" i="18" s="1"/>
  <c r="AC108" i="18"/>
  <c r="AC107" i="18"/>
  <c r="P107" i="18"/>
  <c r="AD107" i="18" s="1"/>
  <c r="AE107" i="18" s="1"/>
  <c r="AG106" i="18"/>
  <c r="AB105" i="18"/>
  <c r="AB134" i="18" s="1"/>
  <c r="AB35" i="18" s="1"/>
  <c r="AA105" i="18"/>
  <c r="AA134" i="18" s="1"/>
  <c r="AA35" i="18" s="1"/>
  <c r="Z105" i="18"/>
  <c r="Y105" i="18"/>
  <c r="X105" i="18"/>
  <c r="X134" i="18" s="1"/>
  <c r="X35" i="18" s="1"/>
  <c r="W105" i="18"/>
  <c r="V105" i="18"/>
  <c r="U105" i="18"/>
  <c r="T105" i="18"/>
  <c r="T134" i="18" s="1"/>
  <c r="T35" i="18" s="1"/>
  <c r="S105" i="18"/>
  <c r="R105" i="18"/>
  <c r="Q105" i="18"/>
  <c r="D105" i="18"/>
  <c r="AC104" i="18"/>
  <c r="M104" i="18"/>
  <c r="N104" i="18" s="1"/>
  <c r="L104" i="18"/>
  <c r="H104" i="18"/>
  <c r="I104" i="18" s="1"/>
  <c r="J104" i="18" s="1"/>
  <c r="K104" i="18" s="1"/>
  <c r="G104" i="18"/>
  <c r="E104" i="18"/>
  <c r="F104" i="18" s="1"/>
  <c r="AC103" i="18"/>
  <c r="L103" i="18"/>
  <c r="H103" i="18"/>
  <c r="I103" i="18" s="1"/>
  <c r="J103" i="18" s="1"/>
  <c r="K103" i="18" s="1"/>
  <c r="G103" i="18"/>
  <c r="E103" i="18"/>
  <c r="F103" i="18" s="1"/>
  <c r="AC102" i="18"/>
  <c r="AC105" i="18" s="1"/>
  <c r="E102" i="18"/>
  <c r="S98" i="18"/>
  <c r="H98" i="18"/>
  <c r="V97" i="18"/>
  <c r="U97" i="18"/>
  <c r="T97" i="18"/>
  <c r="S97" i="18"/>
  <c r="R97" i="18"/>
  <c r="Q97" i="18"/>
  <c r="AC96" i="18"/>
  <c r="V96" i="18"/>
  <c r="U96" i="18"/>
  <c r="T96" i="18"/>
  <c r="S96" i="18"/>
  <c r="R96" i="18"/>
  <c r="Q96" i="18"/>
  <c r="V95" i="18"/>
  <c r="U95" i="18"/>
  <c r="T95" i="18"/>
  <c r="S95" i="18"/>
  <c r="R95" i="18"/>
  <c r="Q95" i="18"/>
  <c r="V94" i="18"/>
  <c r="U94" i="18"/>
  <c r="T94" i="18"/>
  <c r="S94" i="18"/>
  <c r="R94" i="18"/>
  <c r="Q94" i="18"/>
  <c r="V93" i="18"/>
  <c r="U93" i="18"/>
  <c r="T93" i="18"/>
  <c r="S93" i="18"/>
  <c r="R93" i="18"/>
  <c r="Q93" i="18"/>
  <c r="AG92" i="18"/>
  <c r="AG91" i="18"/>
  <c r="AB90" i="18"/>
  <c r="AA90" i="18"/>
  <c r="AA98" i="18" s="1"/>
  <c r="Z90" i="18"/>
  <c r="Z114" i="10" s="1"/>
  <c r="Z132" i="10" s="1"/>
  <c r="Y90" i="18"/>
  <c r="X90" i="18"/>
  <c r="W90" i="18"/>
  <c r="W98" i="18" s="1"/>
  <c r="V90" i="18"/>
  <c r="V114" i="10" s="1"/>
  <c r="V132" i="10" s="1"/>
  <c r="U90" i="18"/>
  <c r="T90" i="18"/>
  <c r="S90" i="18"/>
  <c r="R90" i="18"/>
  <c r="R114" i="10" s="1"/>
  <c r="R132" i="10" s="1"/>
  <c r="Q90" i="18"/>
  <c r="O90" i="18"/>
  <c r="N90" i="18"/>
  <c r="M90" i="18"/>
  <c r="M114" i="10" s="1"/>
  <c r="M132" i="10" s="1"/>
  <c r="L90" i="18"/>
  <c r="K90" i="18"/>
  <c r="J90" i="18"/>
  <c r="I90" i="18"/>
  <c r="I114" i="10" s="1"/>
  <c r="I132" i="10" s="1"/>
  <c r="H90" i="18"/>
  <c r="G90" i="18"/>
  <c r="F90" i="18"/>
  <c r="E90" i="18"/>
  <c r="E114" i="10" s="1"/>
  <c r="E132" i="10" s="1"/>
  <c r="D90" i="18"/>
  <c r="AE89" i="18"/>
  <c r="AD89" i="18"/>
  <c r="AC89" i="18"/>
  <c r="P89" i="18"/>
  <c r="AG89" i="18" s="1"/>
  <c r="AG88" i="18"/>
  <c r="AE88" i="18"/>
  <c r="AC88" i="18"/>
  <c r="P88" i="18"/>
  <c r="AD88" i="18" s="1"/>
  <c r="AG87" i="18"/>
  <c r="AD87" i="18"/>
  <c r="AE87" i="18" s="1"/>
  <c r="AC87" i="18"/>
  <c r="P87" i="18"/>
  <c r="AE86" i="18"/>
  <c r="AD86" i="18"/>
  <c r="AC86" i="18"/>
  <c r="AC90" i="18" s="1"/>
  <c r="P86" i="18"/>
  <c r="AG86" i="18" s="1"/>
  <c r="AC85" i="18"/>
  <c r="P85" i="18"/>
  <c r="AG85" i="18" s="1"/>
  <c r="AB80" i="18"/>
  <c r="AA80" i="18"/>
  <c r="Z80" i="18"/>
  <c r="Y80" i="18"/>
  <c r="X80" i="18"/>
  <c r="W80" i="18"/>
  <c r="V80" i="18"/>
  <c r="U80" i="18"/>
  <c r="T80" i="18"/>
  <c r="S80" i="18"/>
  <c r="R80" i="18"/>
  <c r="Q80" i="18"/>
  <c r="AC79" i="18"/>
  <c r="AG78" i="18"/>
  <c r="AC78" i="18"/>
  <c r="P78" i="18"/>
  <c r="AG77" i="18"/>
  <c r="AD77" i="18"/>
  <c r="AE77" i="18" s="1"/>
  <c r="AC77" i="18"/>
  <c r="P77" i="18"/>
  <c r="AD76" i="18"/>
  <c r="AE76" i="18" s="1"/>
  <c r="AC76" i="18"/>
  <c r="P76" i="18"/>
  <c r="AG76" i="18" s="1"/>
  <c r="AE75" i="18"/>
  <c r="AD75" i="18"/>
  <c r="AC75" i="18"/>
  <c r="P75" i="18"/>
  <c r="AG75" i="18" s="1"/>
  <c r="AG74" i="18"/>
  <c r="AE74" i="18"/>
  <c r="AC74" i="18"/>
  <c r="P74" i="18"/>
  <c r="AD74" i="18" s="1"/>
  <c r="AG73" i="18"/>
  <c r="AD73" i="18"/>
  <c r="AE73" i="18" s="1"/>
  <c r="AC73" i="18"/>
  <c r="P73" i="18"/>
  <c r="AC72" i="18"/>
  <c r="AE71" i="18"/>
  <c r="AC71" i="18"/>
  <c r="P71" i="18"/>
  <c r="AD71" i="18" s="1"/>
  <c r="AC70" i="18"/>
  <c r="P70" i="18"/>
  <c r="AD70" i="18" s="1"/>
  <c r="AE70" i="18" s="1"/>
  <c r="AC69" i="18"/>
  <c r="P69" i="18"/>
  <c r="AE68" i="18"/>
  <c r="AC68" i="18"/>
  <c r="AD68" i="18" s="1"/>
  <c r="P68" i="18"/>
  <c r="AG68" i="18" s="1"/>
  <c r="AG67" i="18"/>
  <c r="AC67" i="18"/>
  <c r="P67" i="18"/>
  <c r="AD67" i="18" s="1"/>
  <c r="AE67" i="18" s="1"/>
  <c r="AC66" i="18"/>
  <c r="P66" i="18"/>
  <c r="AC65" i="18"/>
  <c r="P65" i="18"/>
  <c r="AC64" i="18"/>
  <c r="AD64" i="18" s="1"/>
  <c r="AE64" i="18" s="1"/>
  <c r="P64" i="18"/>
  <c r="AG64" i="18" s="1"/>
  <c r="AD63" i="18"/>
  <c r="AE63" i="18" s="1"/>
  <c r="AC63" i="18"/>
  <c r="P63" i="18"/>
  <c r="AG63" i="18" s="1"/>
  <c r="AG62" i="18"/>
  <c r="AC62" i="18"/>
  <c r="P62" i="18"/>
  <c r="AG61" i="18"/>
  <c r="AD61" i="18"/>
  <c r="AE61" i="18" s="1"/>
  <c r="AC61" i="18"/>
  <c r="P61" i="18"/>
  <c r="AD60" i="18"/>
  <c r="AE60" i="18" s="1"/>
  <c r="AC60" i="18"/>
  <c r="P60" i="18"/>
  <c r="AG60" i="18" s="1"/>
  <c r="AD59" i="18"/>
  <c r="AE59" i="18" s="1"/>
  <c r="AC59" i="18"/>
  <c r="P59" i="18"/>
  <c r="AG59" i="18" s="1"/>
  <c r="AG58" i="18"/>
  <c r="AE58" i="18"/>
  <c r="AC58" i="18"/>
  <c r="P58" i="18"/>
  <c r="AD58" i="18" s="1"/>
  <c r="AG57" i="18"/>
  <c r="AD57" i="18"/>
  <c r="AE57" i="18" s="1"/>
  <c r="AC57" i="18"/>
  <c r="P57" i="18"/>
  <c r="AD56" i="18"/>
  <c r="AE56" i="18" s="1"/>
  <c r="AC56" i="18"/>
  <c r="P56" i="18"/>
  <c r="AG56" i="18" s="1"/>
  <c r="AE55" i="18"/>
  <c r="AC55" i="18"/>
  <c r="P55" i="18"/>
  <c r="AD55" i="18" s="1"/>
  <c r="AC54" i="18"/>
  <c r="P54" i="18"/>
  <c r="AD54" i="18" s="1"/>
  <c r="AE54" i="18" s="1"/>
  <c r="AC53" i="18"/>
  <c r="P53" i="18"/>
  <c r="AE52" i="18"/>
  <c r="AC52" i="18"/>
  <c r="AD52" i="18" s="1"/>
  <c r="P52" i="18"/>
  <c r="AG52" i="18" s="1"/>
  <c r="AG51" i="18"/>
  <c r="AC51" i="18"/>
  <c r="P51" i="18"/>
  <c r="AD51" i="18" s="1"/>
  <c r="AE51" i="18" s="1"/>
  <c r="AC50" i="18"/>
  <c r="P50" i="18"/>
  <c r="AC49" i="18"/>
  <c r="P49" i="18"/>
  <c r="AC48" i="18"/>
  <c r="AD48" i="18" s="1"/>
  <c r="AE48" i="18" s="1"/>
  <c r="P48" i="18"/>
  <c r="AG48" i="18" s="1"/>
  <c r="AD47" i="18"/>
  <c r="AE47" i="18" s="1"/>
  <c r="AC47" i="18"/>
  <c r="P47" i="18"/>
  <c r="AG47" i="18" s="1"/>
  <c r="AG46" i="18"/>
  <c r="AC46" i="18"/>
  <c r="P46" i="18"/>
  <c r="AG45" i="18"/>
  <c r="AD45" i="18"/>
  <c r="AE45" i="18" s="1"/>
  <c r="AC45" i="18"/>
  <c r="P45" i="18"/>
  <c r="AD44" i="18"/>
  <c r="AE44" i="18" s="1"/>
  <c r="AC44" i="18"/>
  <c r="P44" i="18"/>
  <c r="AG44" i="18" s="1"/>
  <c r="AC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AG42" i="18"/>
  <c r="AE42" i="18"/>
  <c r="AC42" i="18"/>
  <c r="P42" i="18"/>
  <c r="AD42" i="18" s="1"/>
  <c r="AG41" i="18"/>
  <c r="AD41" i="18"/>
  <c r="AE41" i="18" s="1"/>
  <c r="AC41" i="18"/>
  <c r="P41" i="18"/>
  <c r="AE40" i="18"/>
  <c r="AD40" i="18"/>
  <c r="AC40" i="18"/>
  <c r="P40" i="18"/>
  <c r="AG40" i="18" s="1"/>
  <c r="AC39" i="18"/>
  <c r="P39" i="18"/>
  <c r="AD39" i="18" s="1"/>
  <c r="AE39" i="18" s="1"/>
  <c r="AC38" i="18"/>
  <c r="P38" i="18"/>
  <c r="AG37" i="18"/>
  <c r="AG36" i="18"/>
  <c r="S35" i="18"/>
  <c r="AG34" i="18"/>
  <c r="AB33" i="18"/>
  <c r="AA33" i="18"/>
  <c r="Z33" i="18"/>
  <c r="Y33" i="18"/>
  <c r="X33" i="18"/>
  <c r="X81" i="18" s="1"/>
  <c r="X82" i="18" s="1"/>
  <c r="W33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AC32" i="18"/>
  <c r="AD32" i="18" s="1"/>
  <c r="AE32" i="18" s="1"/>
  <c r="P32" i="18"/>
  <c r="AG32" i="18" s="1"/>
  <c r="AD31" i="18"/>
  <c r="AE31" i="18" s="1"/>
  <c r="AC31" i="18"/>
  <c r="P31" i="18"/>
  <c r="AG31" i="18" s="1"/>
  <c r="AG30" i="18"/>
  <c r="AC30" i="18"/>
  <c r="AC33" i="18" s="1"/>
  <c r="P30" i="18"/>
  <c r="X27" i="18"/>
  <c r="N27" i="18"/>
  <c r="H27" i="18"/>
  <c r="AE26" i="18"/>
  <c r="AC26" i="18"/>
  <c r="AD26" i="18" s="1"/>
  <c r="P26" i="18"/>
  <c r="AG26" i="18" s="1"/>
  <c r="AG25" i="18"/>
  <c r="AC25" i="18"/>
  <c r="P25" i="18"/>
  <c r="AD25" i="18" s="1"/>
  <c r="AE25" i="18" s="1"/>
  <c r="AE24" i="18"/>
  <c r="AC24" i="18"/>
  <c r="P24" i="18"/>
  <c r="AG24" i="18" s="1"/>
  <c r="AG23" i="18"/>
  <c r="AC22" i="18"/>
  <c r="AB22" i="18"/>
  <c r="AA22" i="18"/>
  <c r="Z22" i="18"/>
  <c r="Y22" i="18"/>
  <c r="Y35" i="10" s="1"/>
  <c r="X22" i="18"/>
  <c r="W22" i="18"/>
  <c r="V22" i="18"/>
  <c r="U22" i="18"/>
  <c r="U35" i="10" s="1"/>
  <c r="T22" i="18"/>
  <c r="S22" i="18"/>
  <c r="R22" i="18"/>
  <c r="R27" i="18" s="1"/>
  <c r="R81" i="18" s="1"/>
  <c r="R82" i="18" s="1"/>
  <c r="Q22" i="18"/>
  <c r="Q35" i="10" s="1"/>
  <c r="O22" i="18"/>
  <c r="N22" i="18"/>
  <c r="M22" i="18"/>
  <c r="L22" i="18"/>
  <c r="K22" i="18"/>
  <c r="J22" i="18"/>
  <c r="I22" i="18"/>
  <c r="H22" i="18"/>
  <c r="G22" i="18"/>
  <c r="F22" i="18"/>
  <c r="E22" i="18"/>
  <c r="D22" i="18"/>
  <c r="AD21" i="18"/>
  <c r="AE21" i="18" s="1"/>
  <c r="AC21" i="18"/>
  <c r="P21" i="18"/>
  <c r="AG21" i="18" s="1"/>
  <c r="AE20" i="18"/>
  <c r="AD20" i="18"/>
  <c r="AC20" i="18"/>
  <c r="P20" i="18"/>
  <c r="AG20" i="18" s="1"/>
  <c r="AG19" i="18"/>
  <c r="AE19" i="18"/>
  <c r="AC19" i="18"/>
  <c r="P19" i="18"/>
  <c r="AD19" i="18" s="1"/>
  <c r="AG18" i="18"/>
  <c r="AD18" i="18"/>
  <c r="AE18" i="18" s="1"/>
  <c r="AC18" i="18"/>
  <c r="P18" i="18"/>
  <c r="P22" i="18" s="1"/>
  <c r="AG22" i="18" s="1"/>
  <c r="AE17" i="18"/>
  <c r="AD17" i="18"/>
  <c r="AC17" i="18"/>
  <c r="P17" i="18"/>
  <c r="AG17" i="18" s="1"/>
  <c r="AG16" i="18"/>
  <c r="AG15" i="18"/>
  <c r="AB14" i="18"/>
  <c r="AA14" i="18"/>
  <c r="AA27" i="18" s="1"/>
  <c r="Z14" i="18"/>
  <c r="Y14" i="18"/>
  <c r="Y98" i="18" s="1"/>
  <c r="X14" i="18"/>
  <c r="X98" i="18" s="1"/>
  <c r="W14" i="18"/>
  <c r="W27" i="18" s="1"/>
  <c r="V14" i="18"/>
  <c r="U14" i="18"/>
  <c r="T14" i="18"/>
  <c r="T27" i="18" s="1"/>
  <c r="S14" i="18"/>
  <c r="S27" i="18" s="1"/>
  <c r="R14" i="18"/>
  <c r="Q14" i="18"/>
  <c r="L14" i="18"/>
  <c r="J14" i="18"/>
  <c r="H14" i="18"/>
  <c r="E14" i="18"/>
  <c r="AC13" i="18"/>
  <c r="AC97" i="18" s="1"/>
  <c r="O13" i="18"/>
  <c r="N13" i="18"/>
  <c r="M13" i="18"/>
  <c r="L13" i="18"/>
  <c r="K13" i="18"/>
  <c r="J13" i="18"/>
  <c r="I13" i="18"/>
  <c r="H13" i="18"/>
  <c r="G13" i="18"/>
  <c r="F13" i="18"/>
  <c r="E13" i="18"/>
  <c r="D13" i="18"/>
  <c r="AC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P12" i="18" s="1"/>
  <c r="AC11" i="18"/>
  <c r="AC95" i="18" s="1"/>
  <c r="O11" i="18"/>
  <c r="N11" i="18"/>
  <c r="M11" i="18"/>
  <c r="L11" i="18"/>
  <c r="K11" i="18"/>
  <c r="J11" i="18"/>
  <c r="I11" i="18"/>
  <c r="H11" i="18"/>
  <c r="G11" i="18"/>
  <c r="F11" i="18"/>
  <c r="E11" i="18"/>
  <c r="D11" i="18"/>
  <c r="AC10" i="18"/>
  <c r="AC94" i="18" s="1"/>
  <c r="O10" i="18"/>
  <c r="N10" i="18"/>
  <c r="M10" i="18"/>
  <c r="L10" i="18"/>
  <c r="K10" i="18"/>
  <c r="J10" i="18"/>
  <c r="I10" i="18"/>
  <c r="H10" i="18"/>
  <c r="G10" i="18"/>
  <c r="F10" i="18"/>
  <c r="F14" i="18" s="1"/>
  <c r="E10" i="18"/>
  <c r="D10" i="18"/>
  <c r="D14" i="18" s="1"/>
  <c r="AC9" i="18"/>
  <c r="AC93" i="18" s="1"/>
  <c r="O9" i="18"/>
  <c r="N9" i="18"/>
  <c r="N14" i="18" s="1"/>
  <c r="M9" i="18"/>
  <c r="M14" i="18" s="1"/>
  <c r="M27" i="18" s="1"/>
  <c r="L9" i="18"/>
  <c r="K9" i="18"/>
  <c r="J9" i="18"/>
  <c r="I9" i="18"/>
  <c r="I14" i="18" s="1"/>
  <c r="I27" i="18" s="1"/>
  <c r="H9" i="18"/>
  <c r="G9" i="18"/>
  <c r="F9" i="18"/>
  <c r="E9" i="18"/>
  <c r="D9" i="18"/>
  <c r="Y7" i="18"/>
  <c r="O7" i="18"/>
  <c r="D7" i="18"/>
  <c r="I6" i="18"/>
  <c r="C4" i="18"/>
  <c r="O2" i="18"/>
  <c r="N2" i="18"/>
  <c r="M2" i="18"/>
  <c r="L2" i="18"/>
  <c r="K2" i="18"/>
  <c r="J2" i="18"/>
  <c r="I2" i="18"/>
  <c r="H2" i="18"/>
  <c r="G2" i="18"/>
  <c r="F2" i="18"/>
  <c r="E2" i="18"/>
  <c r="D2" i="18"/>
  <c r="O1" i="18"/>
  <c r="N1" i="18"/>
  <c r="M1" i="18"/>
  <c r="L1" i="18"/>
  <c r="K1" i="18"/>
  <c r="J1" i="18"/>
  <c r="I1" i="18"/>
  <c r="H1" i="18"/>
  <c r="G1" i="18"/>
  <c r="F1" i="18"/>
  <c r="E1" i="18"/>
  <c r="D1" i="18"/>
  <c r="O141" i="17"/>
  <c r="N141" i="17"/>
  <c r="M141" i="17"/>
  <c r="L141" i="17"/>
  <c r="K141" i="17"/>
  <c r="J141" i="17"/>
  <c r="I141" i="17"/>
  <c r="H141" i="17"/>
  <c r="G141" i="17"/>
  <c r="F141" i="17"/>
  <c r="E141" i="17"/>
  <c r="D141" i="17"/>
  <c r="P140" i="17"/>
  <c r="P139" i="17"/>
  <c r="P138" i="17"/>
  <c r="P141" i="17" s="1"/>
  <c r="AC136" i="17"/>
  <c r="P136" i="17"/>
  <c r="AG135" i="17"/>
  <c r="W134" i="17"/>
  <c r="W35" i="17" s="1"/>
  <c r="S134" i="17"/>
  <c r="S35" i="17" s="1"/>
  <c r="AB133" i="17"/>
  <c r="AA133" i="17"/>
  <c r="Z133" i="17"/>
  <c r="Y133" i="17"/>
  <c r="X133" i="17"/>
  <c r="W133" i="17"/>
  <c r="V133" i="17"/>
  <c r="U133" i="17"/>
  <c r="T133" i="17"/>
  <c r="S133" i="17"/>
  <c r="R133" i="17"/>
  <c r="Q133" i="17"/>
  <c r="O133" i="17"/>
  <c r="N133" i="17"/>
  <c r="M133" i="17"/>
  <c r="L133" i="17"/>
  <c r="K133" i="17"/>
  <c r="J133" i="17"/>
  <c r="I133" i="17"/>
  <c r="H133" i="17"/>
  <c r="G133" i="17"/>
  <c r="G134" i="17" s="1"/>
  <c r="G35" i="17" s="1"/>
  <c r="F133" i="17"/>
  <c r="E133" i="17"/>
  <c r="D133" i="17"/>
  <c r="AG132" i="17"/>
  <c r="AE132" i="17"/>
  <c r="AC132" i="17"/>
  <c r="P132" i="17"/>
  <c r="AD132" i="17" s="1"/>
  <c r="AG131" i="17"/>
  <c r="AD131" i="17"/>
  <c r="AE131" i="17" s="1"/>
  <c r="AC131" i="17"/>
  <c r="P131" i="17"/>
  <c r="AE130" i="17"/>
  <c r="AD130" i="17"/>
  <c r="AC130" i="17"/>
  <c r="P130" i="17"/>
  <c r="AG130" i="17" s="1"/>
  <c r="AC129" i="17"/>
  <c r="P129" i="17"/>
  <c r="AG128" i="17"/>
  <c r="AC128" i="17"/>
  <c r="P128" i="17"/>
  <c r="AD128" i="17" s="1"/>
  <c r="AE128" i="17" s="1"/>
  <c r="AG127" i="17"/>
  <c r="AC127" i="17"/>
  <c r="P127" i="17"/>
  <c r="AD127" i="17" s="1"/>
  <c r="AE127" i="17" s="1"/>
  <c r="AC126" i="17"/>
  <c r="AD126" i="17" s="1"/>
  <c r="AE126" i="17" s="1"/>
  <c r="P126" i="17"/>
  <c r="AG126" i="17" s="1"/>
  <c r="AC125" i="17"/>
  <c r="P125" i="17"/>
  <c r="AC124" i="17"/>
  <c r="AC133" i="17" s="1"/>
  <c r="P124" i="17"/>
  <c r="AG123" i="17"/>
  <c r="AD122" i="17"/>
  <c r="AE122" i="17" s="1"/>
  <c r="AC122" i="17"/>
  <c r="AB122" i="17"/>
  <c r="AA122" i="17"/>
  <c r="Z122" i="17"/>
  <c r="Y122" i="17"/>
  <c r="Y134" i="17" s="1"/>
  <c r="Y35" i="17" s="1"/>
  <c r="X122" i="17"/>
  <c r="W122" i="17"/>
  <c r="V122" i="17"/>
  <c r="U122" i="17"/>
  <c r="T122" i="17"/>
  <c r="S122" i="17"/>
  <c r="R122" i="17"/>
  <c r="Q122" i="17"/>
  <c r="O122" i="17"/>
  <c r="N122" i="17"/>
  <c r="M122" i="17"/>
  <c r="M134" i="17" s="1"/>
  <c r="M35" i="17" s="1"/>
  <c r="L122" i="17"/>
  <c r="K122" i="17"/>
  <c r="J122" i="17"/>
  <c r="I122" i="17"/>
  <c r="I134" i="17" s="1"/>
  <c r="I35" i="17" s="1"/>
  <c r="H122" i="17"/>
  <c r="G122" i="17"/>
  <c r="F122" i="17"/>
  <c r="E122" i="17"/>
  <c r="D122" i="17"/>
  <c r="AD121" i="17"/>
  <c r="AE121" i="17" s="1"/>
  <c r="AC121" i="17"/>
  <c r="P121" i="17"/>
  <c r="AG121" i="17" s="1"/>
  <c r="AG120" i="17"/>
  <c r="AC120" i="17"/>
  <c r="P120" i="17"/>
  <c r="AG119" i="17"/>
  <c r="AD119" i="17"/>
  <c r="AE119" i="17" s="1"/>
  <c r="AC119" i="17"/>
  <c r="P119" i="17"/>
  <c r="AD118" i="17"/>
  <c r="AE118" i="17" s="1"/>
  <c r="AC118" i="17"/>
  <c r="P118" i="17"/>
  <c r="AG118" i="17" s="1"/>
  <c r="AE117" i="17"/>
  <c r="AD117" i="17"/>
  <c r="AC117" i="17"/>
  <c r="P117" i="17"/>
  <c r="AG117" i="17" s="1"/>
  <c r="AG116" i="17"/>
  <c r="AE116" i="17"/>
  <c r="AC116" i="17"/>
  <c r="P116" i="17"/>
  <c r="AD116" i="17" s="1"/>
  <c r="AG115" i="17"/>
  <c r="AD115" i="17"/>
  <c r="AE115" i="17" s="1"/>
  <c r="AC115" i="17"/>
  <c r="P115" i="17"/>
  <c r="AE114" i="17"/>
  <c r="AD114" i="17"/>
  <c r="AC114" i="17"/>
  <c r="P114" i="17"/>
  <c r="P122" i="17" s="1"/>
  <c r="AG122" i="17" s="1"/>
  <c r="AG113" i="17"/>
  <c r="AB112" i="17"/>
  <c r="AA112" i="17"/>
  <c r="Z112" i="17"/>
  <c r="Y112" i="17"/>
  <c r="X112" i="17"/>
  <c r="W112" i="17"/>
  <c r="V112" i="17"/>
  <c r="U112" i="17"/>
  <c r="U134" i="17" s="1"/>
  <c r="U35" i="17" s="1"/>
  <c r="T112" i="17"/>
  <c r="S112" i="17"/>
  <c r="R112" i="17"/>
  <c r="Q112" i="17"/>
  <c r="Q134" i="17" s="1"/>
  <c r="O112" i="17"/>
  <c r="N112" i="17"/>
  <c r="M112" i="17"/>
  <c r="L112" i="17"/>
  <c r="K112" i="17"/>
  <c r="J112" i="17"/>
  <c r="I112" i="17"/>
  <c r="H112" i="17"/>
  <c r="G112" i="17"/>
  <c r="F112" i="17"/>
  <c r="E112" i="17"/>
  <c r="D112" i="17"/>
  <c r="AC111" i="17"/>
  <c r="P111" i="17"/>
  <c r="AD111" i="17" s="1"/>
  <c r="AE111" i="17" s="1"/>
  <c r="AE110" i="17"/>
  <c r="AC110" i="17"/>
  <c r="AD110" i="17" s="1"/>
  <c r="P110" i="17"/>
  <c r="AG110" i="17" s="1"/>
  <c r="AG109" i="17"/>
  <c r="AC109" i="17"/>
  <c r="P109" i="17"/>
  <c r="AD109" i="17" s="1"/>
  <c r="AE109" i="17" s="1"/>
  <c r="AC108" i="17"/>
  <c r="P108" i="17"/>
  <c r="P112" i="17" s="1"/>
  <c r="AC107" i="17"/>
  <c r="P107" i="17"/>
  <c r="AG106" i="17"/>
  <c r="AB105" i="17"/>
  <c r="AA105" i="17"/>
  <c r="AA134" i="17" s="1"/>
  <c r="AA35" i="17" s="1"/>
  <c r="Z105" i="17"/>
  <c r="Y105" i="17"/>
  <c r="X105" i="17"/>
  <c r="W105" i="17"/>
  <c r="V105" i="17"/>
  <c r="U105" i="17"/>
  <c r="T105" i="17"/>
  <c r="S105" i="17"/>
  <c r="R105" i="17"/>
  <c r="R134" i="17" s="1"/>
  <c r="R35" i="17" s="1"/>
  <c r="Q105" i="17"/>
  <c r="O105" i="17"/>
  <c r="N105" i="17"/>
  <c r="N134" i="17" s="1"/>
  <c r="N35" i="17" s="1"/>
  <c r="M105" i="17"/>
  <c r="L105" i="17"/>
  <c r="K105" i="17"/>
  <c r="J105" i="17"/>
  <c r="J134" i="17" s="1"/>
  <c r="J35" i="17" s="1"/>
  <c r="I105" i="17"/>
  <c r="H105" i="17"/>
  <c r="G105" i="17"/>
  <c r="F105" i="17"/>
  <c r="F134" i="17" s="1"/>
  <c r="E105" i="17"/>
  <c r="D105" i="17"/>
  <c r="AG104" i="17"/>
  <c r="AC104" i="17"/>
  <c r="P104" i="17"/>
  <c r="AG103" i="17"/>
  <c r="AD103" i="17"/>
  <c r="AE103" i="17" s="1"/>
  <c r="AC103" i="17"/>
  <c r="P103" i="17"/>
  <c r="P105" i="17" s="1"/>
  <c r="AC102" i="17"/>
  <c r="P102" i="17"/>
  <c r="AG102" i="17" s="1"/>
  <c r="Z98" i="17"/>
  <c r="X98" i="17"/>
  <c r="S98" i="17"/>
  <c r="O98" i="17"/>
  <c r="H98" i="17"/>
  <c r="D98" i="17"/>
  <c r="V97" i="17"/>
  <c r="U97" i="17"/>
  <c r="T97" i="17"/>
  <c r="S97" i="17"/>
  <c r="R97" i="17"/>
  <c r="Q97" i="17"/>
  <c r="V96" i="17"/>
  <c r="U96" i="17"/>
  <c r="T96" i="17"/>
  <c r="S96" i="17"/>
  <c r="R96" i="17"/>
  <c r="Q96" i="17"/>
  <c r="V95" i="17"/>
  <c r="U95" i="17"/>
  <c r="T95" i="17"/>
  <c r="S95" i="17"/>
  <c r="R95" i="17"/>
  <c r="Q95" i="17"/>
  <c r="V94" i="17"/>
  <c r="U94" i="17"/>
  <c r="T94" i="17"/>
  <c r="S94" i="17"/>
  <c r="R94" i="17"/>
  <c r="Q94" i="17"/>
  <c r="V93" i="17"/>
  <c r="U93" i="17"/>
  <c r="T93" i="17"/>
  <c r="S93" i="17"/>
  <c r="R93" i="17"/>
  <c r="Q93" i="17"/>
  <c r="AG92" i="17"/>
  <c r="AG91" i="17"/>
  <c r="AB90" i="17"/>
  <c r="AA90" i="17"/>
  <c r="Z90" i="17"/>
  <c r="Y90" i="17"/>
  <c r="X90" i="17"/>
  <c r="W90" i="17"/>
  <c r="V90" i="17"/>
  <c r="V98" i="17" s="1"/>
  <c r="U90" i="17"/>
  <c r="T90" i="17"/>
  <c r="S90" i="17"/>
  <c r="R90" i="17"/>
  <c r="R98" i="17" s="1"/>
  <c r="Q90" i="17"/>
  <c r="O90" i="17"/>
  <c r="N90" i="17"/>
  <c r="N115" i="10" s="1"/>
  <c r="M90" i="17"/>
  <c r="L90" i="17"/>
  <c r="K90" i="17"/>
  <c r="J90" i="17"/>
  <c r="J115" i="10" s="1"/>
  <c r="I90" i="17"/>
  <c r="H90" i="17"/>
  <c r="G90" i="17"/>
  <c r="F90" i="17"/>
  <c r="F115" i="10" s="1"/>
  <c r="E90" i="17"/>
  <c r="D90" i="17"/>
  <c r="AC89" i="17"/>
  <c r="P89" i="17"/>
  <c r="AG89" i="17" s="1"/>
  <c r="AE88" i="17"/>
  <c r="AD88" i="17"/>
  <c r="AC88" i="17"/>
  <c r="P88" i="17"/>
  <c r="AG88" i="17" s="1"/>
  <c r="AG87" i="17"/>
  <c r="AE87" i="17"/>
  <c r="AC87" i="17"/>
  <c r="AC95" i="17" s="1"/>
  <c r="P87" i="17"/>
  <c r="AD87" i="17" s="1"/>
  <c r="AG86" i="17"/>
  <c r="AD86" i="17"/>
  <c r="AE86" i="17" s="1"/>
  <c r="AC86" i="17"/>
  <c r="P86" i="17"/>
  <c r="P90" i="17" s="1"/>
  <c r="AG90" i="17" s="1"/>
  <c r="AE85" i="17"/>
  <c r="AD85" i="17"/>
  <c r="AC85" i="17"/>
  <c r="P85" i="17"/>
  <c r="AG85" i="17" s="1"/>
  <c r="AB80" i="17"/>
  <c r="AA80" i="17"/>
  <c r="Z80" i="17"/>
  <c r="Y80" i="17"/>
  <c r="X80" i="17"/>
  <c r="W80" i="17"/>
  <c r="V80" i="17"/>
  <c r="U80" i="17"/>
  <c r="T80" i="17"/>
  <c r="S80" i="17"/>
  <c r="R80" i="17"/>
  <c r="Q80" i="17"/>
  <c r="AC79" i="17"/>
  <c r="AC78" i="17"/>
  <c r="P78" i="17"/>
  <c r="AC77" i="17"/>
  <c r="P77" i="17"/>
  <c r="AC76" i="17"/>
  <c r="P76" i="17"/>
  <c r="AC75" i="17"/>
  <c r="AD75" i="17" s="1"/>
  <c r="AE75" i="17" s="1"/>
  <c r="P75" i="17"/>
  <c r="AG75" i="17" s="1"/>
  <c r="AD74" i="17"/>
  <c r="AE74" i="17" s="1"/>
  <c r="AC74" i="17"/>
  <c r="P74" i="17"/>
  <c r="AG74" i="17" s="1"/>
  <c r="AG73" i="17"/>
  <c r="AC73" i="17"/>
  <c r="P73" i="17"/>
  <c r="AC72" i="17"/>
  <c r="AE71" i="17"/>
  <c r="AD71" i="17"/>
  <c r="AC71" i="17"/>
  <c r="P71" i="17"/>
  <c r="AG71" i="17" s="1"/>
  <c r="AG70" i="17"/>
  <c r="AE70" i="17"/>
  <c r="AC70" i="17"/>
  <c r="P70" i="17"/>
  <c r="AD70" i="17" s="1"/>
  <c r="AG69" i="17"/>
  <c r="AC69" i="17"/>
  <c r="P69" i="17"/>
  <c r="AD69" i="17" s="1"/>
  <c r="AE69" i="17" s="1"/>
  <c r="AC68" i="17"/>
  <c r="P68" i="17"/>
  <c r="AD68" i="17" s="1"/>
  <c r="AE68" i="17" s="1"/>
  <c r="AE67" i="17"/>
  <c r="AC67" i="17"/>
  <c r="AD67" i="17" s="1"/>
  <c r="P67" i="17"/>
  <c r="AG67" i="17" s="1"/>
  <c r="AG66" i="17"/>
  <c r="AC66" i="17"/>
  <c r="P66" i="17"/>
  <c r="AD66" i="17" s="1"/>
  <c r="AE66" i="17" s="1"/>
  <c r="AC65" i="17"/>
  <c r="P65" i="17"/>
  <c r="AC64" i="17"/>
  <c r="P64" i="17"/>
  <c r="AC63" i="17"/>
  <c r="AD63" i="17" s="1"/>
  <c r="AE63" i="17" s="1"/>
  <c r="P63" i="17"/>
  <c r="AG63" i="17" s="1"/>
  <c r="AD62" i="17"/>
  <c r="AE62" i="17" s="1"/>
  <c r="AC62" i="17"/>
  <c r="P62" i="17"/>
  <c r="AG62" i="17" s="1"/>
  <c r="AG61" i="17"/>
  <c r="AC61" i="17"/>
  <c r="P61" i="17"/>
  <c r="AG60" i="17"/>
  <c r="AD60" i="17"/>
  <c r="AE60" i="17" s="1"/>
  <c r="AC60" i="17"/>
  <c r="P60" i="17"/>
  <c r="AD59" i="17"/>
  <c r="AE59" i="17" s="1"/>
  <c r="AC59" i="17"/>
  <c r="P59" i="17"/>
  <c r="AG59" i="17" s="1"/>
  <c r="AE58" i="17"/>
  <c r="AD58" i="17"/>
  <c r="AC58" i="17"/>
  <c r="P58" i="17"/>
  <c r="AG58" i="17" s="1"/>
  <c r="AG57" i="17"/>
  <c r="AE57" i="17"/>
  <c r="AC57" i="17"/>
  <c r="P57" i="17"/>
  <c r="AD57" i="17" s="1"/>
  <c r="AG56" i="17"/>
  <c r="AD56" i="17"/>
  <c r="AE56" i="17" s="1"/>
  <c r="AC56" i="17"/>
  <c r="P56" i="17"/>
  <c r="AE55" i="17"/>
  <c r="AD55" i="17"/>
  <c r="AC55" i="17"/>
  <c r="P55" i="17"/>
  <c r="AG55" i="17" s="1"/>
  <c r="AG54" i="17"/>
  <c r="AE54" i="17"/>
  <c r="AC54" i="17"/>
  <c r="P54" i="17"/>
  <c r="AD54" i="17" s="1"/>
  <c r="AG53" i="17"/>
  <c r="AC53" i="17"/>
  <c r="P53" i="17"/>
  <c r="AD53" i="17" s="1"/>
  <c r="AE53" i="17" s="1"/>
  <c r="AC52" i="17"/>
  <c r="P52" i="17"/>
  <c r="AD52" i="17" s="1"/>
  <c r="AE52" i="17" s="1"/>
  <c r="AE51" i="17"/>
  <c r="AC51" i="17"/>
  <c r="AD51" i="17" s="1"/>
  <c r="P51" i="17"/>
  <c r="AG51" i="17" s="1"/>
  <c r="AG50" i="17"/>
  <c r="AC50" i="17"/>
  <c r="P50" i="17"/>
  <c r="AD50" i="17" s="1"/>
  <c r="AE50" i="17" s="1"/>
  <c r="AC49" i="17"/>
  <c r="P49" i="17"/>
  <c r="AC48" i="17"/>
  <c r="P48" i="17"/>
  <c r="AC47" i="17"/>
  <c r="AD47" i="17" s="1"/>
  <c r="AE47" i="17" s="1"/>
  <c r="P47" i="17"/>
  <c r="AG47" i="17" s="1"/>
  <c r="AD46" i="17"/>
  <c r="AE46" i="17" s="1"/>
  <c r="AC46" i="17"/>
  <c r="P46" i="17"/>
  <c r="AG46" i="17" s="1"/>
  <c r="AG45" i="17"/>
  <c r="AC45" i="17"/>
  <c r="P45" i="17"/>
  <c r="AG44" i="17"/>
  <c r="AD44" i="17"/>
  <c r="AE44" i="17" s="1"/>
  <c r="AC44" i="17"/>
  <c r="P44" i="17"/>
  <c r="AC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AD42" i="17"/>
  <c r="AE42" i="17" s="1"/>
  <c r="AC42" i="17"/>
  <c r="P42" i="17"/>
  <c r="AG42" i="17" s="1"/>
  <c r="AG41" i="17"/>
  <c r="AC41" i="17"/>
  <c r="P41" i="17"/>
  <c r="AG40" i="17"/>
  <c r="AC40" i="17"/>
  <c r="AD40" i="17" s="1"/>
  <c r="AE40" i="17" s="1"/>
  <c r="P40" i="17"/>
  <c r="AD39" i="17"/>
  <c r="AE39" i="17" s="1"/>
  <c r="AC39" i="17"/>
  <c r="P39" i="17"/>
  <c r="AG39" i="17" s="1"/>
  <c r="AE38" i="17"/>
  <c r="AD38" i="17"/>
  <c r="AC38" i="17"/>
  <c r="P38" i="17"/>
  <c r="AG37" i="17"/>
  <c r="AG36" i="17"/>
  <c r="Q35" i="17"/>
  <c r="F35" i="17"/>
  <c r="AG34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D33" i="17"/>
  <c r="AG32" i="17"/>
  <c r="AC32" i="17"/>
  <c r="P32" i="17"/>
  <c r="AD32" i="17" s="1"/>
  <c r="AE32" i="17" s="1"/>
  <c r="AC31" i="17"/>
  <c r="AC33" i="17" s="1"/>
  <c r="O31" i="17"/>
  <c r="N31" i="17"/>
  <c r="N29" i="17" s="1"/>
  <c r="J31" i="17"/>
  <c r="J29" i="17" s="1"/>
  <c r="I31" i="17"/>
  <c r="I29" i="17" s="1"/>
  <c r="F31" i="17"/>
  <c r="AC30" i="17"/>
  <c r="K30" i="17"/>
  <c r="K33" i="17" s="1"/>
  <c r="G30" i="17"/>
  <c r="AF29" i="17"/>
  <c r="AC29" i="17"/>
  <c r="O29" i="17"/>
  <c r="F29" i="17"/>
  <c r="X27" i="17"/>
  <c r="T27" i="17"/>
  <c r="S27" i="17"/>
  <c r="S81" i="17" s="1"/>
  <c r="S82" i="17" s="1"/>
  <c r="D27" i="17"/>
  <c r="AC26" i="17"/>
  <c r="D26" i="17"/>
  <c r="AC25" i="17"/>
  <c r="AD25" i="17" s="1"/>
  <c r="AE25" i="17" s="1"/>
  <c r="P25" i="17"/>
  <c r="AG25" i="17" s="1"/>
  <c r="AG24" i="17"/>
  <c r="AC24" i="17"/>
  <c r="AE24" i="17" s="1"/>
  <c r="P24" i="17"/>
  <c r="AG23" i="17"/>
  <c r="AC22" i="17"/>
  <c r="AB22" i="17"/>
  <c r="AA22" i="17"/>
  <c r="AA27" i="17" s="1"/>
  <c r="Z22" i="17"/>
  <c r="Y22" i="17"/>
  <c r="Y36" i="10" s="1"/>
  <c r="X22" i="17"/>
  <c r="W22" i="17"/>
  <c r="V22" i="17"/>
  <c r="U22" i="17"/>
  <c r="U36" i="10" s="1"/>
  <c r="T22" i="17"/>
  <c r="S22" i="17"/>
  <c r="R22" i="17"/>
  <c r="Q22" i="17"/>
  <c r="Q36" i="10" s="1"/>
  <c r="O22" i="17"/>
  <c r="N22" i="17"/>
  <c r="M22" i="17"/>
  <c r="M31" i="17" s="1"/>
  <c r="M29" i="17" s="1"/>
  <c r="L22" i="17"/>
  <c r="L31" i="17" s="1"/>
  <c r="L29" i="17" s="1"/>
  <c r="K22" i="17"/>
  <c r="K31" i="17" s="1"/>
  <c r="K29" i="17" s="1"/>
  <c r="J22" i="17"/>
  <c r="I22" i="17"/>
  <c r="H22" i="17"/>
  <c r="H31" i="17" s="1"/>
  <c r="H29" i="17" s="1"/>
  <c r="G22" i="17"/>
  <c r="G31" i="17" s="1"/>
  <c r="G29" i="17" s="1"/>
  <c r="F22" i="17"/>
  <c r="E22" i="17"/>
  <c r="E31" i="17" s="1"/>
  <c r="E29" i="17" s="1"/>
  <c r="D22" i="17"/>
  <c r="D31" i="17" s="1"/>
  <c r="AG21" i="17"/>
  <c r="AD21" i="17"/>
  <c r="AE21" i="17" s="1"/>
  <c r="AC21" i="17"/>
  <c r="P21" i="17"/>
  <c r="AD20" i="17"/>
  <c r="AE20" i="17" s="1"/>
  <c r="AC20" i="17"/>
  <c r="P20" i="17"/>
  <c r="AG20" i="17" s="1"/>
  <c r="AE19" i="17"/>
  <c r="AD19" i="17"/>
  <c r="AC19" i="17"/>
  <c r="P19" i="17"/>
  <c r="AG19" i="17" s="1"/>
  <c r="AG18" i="17"/>
  <c r="AE18" i="17"/>
  <c r="AC18" i="17"/>
  <c r="P18" i="17"/>
  <c r="AD18" i="17" s="1"/>
  <c r="AG17" i="17"/>
  <c r="AD17" i="17"/>
  <c r="AE17" i="17" s="1"/>
  <c r="AC17" i="17"/>
  <c r="P17" i="17"/>
  <c r="P22" i="17" s="1"/>
  <c r="AG16" i="17"/>
  <c r="AG15" i="17"/>
  <c r="AB14" i="17"/>
  <c r="AA14" i="17"/>
  <c r="AA98" i="17" s="1"/>
  <c r="Z14" i="17"/>
  <c r="Z27" i="17" s="1"/>
  <c r="Y14" i="17"/>
  <c r="Y98" i="17" s="1"/>
  <c r="X14" i="17"/>
  <c r="W14" i="17"/>
  <c r="W98" i="17" s="1"/>
  <c r="V14" i="17"/>
  <c r="V27" i="17" s="1"/>
  <c r="U14" i="17"/>
  <c r="T14" i="17"/>
  <c r="T98" i="17" s="1"/>
  <c r="S14" i="17"/>
  <c r="R14" i="17"/>
  <c r="R27" i="17" s="1"/>
  <c r="Q14" i="17"/>
  <c r="L14" i="17"/>
  <c r="K14" i="17"/>
  <c r="H14" i="17"/>
  <c r="H26" i="17" s="1"/>
  <c r="H27" i="17" s="1"/>
  <c r="G14" i="17"/>
  <c r="E14" i="17"/>
  <c r="AC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AC12" i="17"/>
  <c r="AC96" i="17" s="1"/>
  <c r="O12" i="17"/>
  <c r="N12" i="17"/>
  <c r="M12" i="17"/>
  <c r="L12" i="17"/>
  <c r="K12" i="17"/>
  <c r="J12" i="17"/>
  <c r="I12" i="17"/>
  <c r="H12" i="17"/>
  <c r="G12" i="17"/>
  <c r="F12" i="17"/>
  <c r="E12" i="17"/>
  <c r="D12" i="17"/>
  <c r="P12" i="17" s="1"/>
  <c r="AC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AC10" i="17"/>
  <c r="AC94" i="17" s="1"/>
  <c r="O10" i="17"/>
  <c r="O14" i="17" s="1"/>
  <c r="N10" i="17"/>
  <c r="M10" i="17"/>
  <c r="L10" i="17"/>
  <c r="K10" i="17"/>
  <c r="J10" i="17"/>
  <c r="I10" i="17"/>
  <c r="H10" i="17"/>
  <c r="G10" i="17"/>
  <c r="F10" i="17"/>
  <c r="E10" i="17"/>
  <c r="D10" i="17"/>
  <c r="P10" i="17" s="1"/>
  <c r="AC9" i="17"/>
  <c r="AC93" i="17" s="1"/>
  <c r="O9" i="17"/>
  <c r="N9" i="17"/>
  <c r="M9" i="17"/>
  <c r="M14" i="17" s="1"/>
  <c r="L9" i="17"/>
  <c r="K9" i="17"/>
  <c r="J9" i="17"/>
  <c r="I9" i="17"/>
  <c r="I14" i="17" s="1"/>
  <c r="H9" i="17"/>
  <c r="G9" i="17"/>
  <c r="F9" i="17"/>
  <c r="E9" i="17"/>
  <c r="D9" i="17"/>
  <c r="D14" i="17" s="1"/>
  <c r="D30" i="17" s="1"/>
  <c r="Z7" i="17"/>
  <c r="O7" i="17"/>
  <c r="D7" i="17"/>
  <c r="T6" i="17"/>
  <c r="I6" i="17"/>
  <c r="C4" i="17"/>
  <c r="O2" i="17"/>
  <c r="N2" i="17"/>
  <c r="M2" i="17"/>
  <c r="L2" i="17"/>
  <c r="K2" i="17"/>
  <c r="J2" i="17"/>
  <c r="I2" i="17"/>
  <c r="H2" i="17"/>
  <c r="G2" i="17"/>
  <c r="F2" i="17"/>
  <c r="E2" i="17"/>
  <c r="D2" i="17"/>
  <c r="O1" i="17"/>
  <c r="N1" i="17"/>
  <c r="M1" i="17"/>
  <c r="L1" i="17"/>
  <c r="K1" i="17"/>
  <c r="J1" i="17"/>
  <c r="I1" i="17"/>
  <c r="H1" i="17"/>
  <c r="G1" i="17"/>
  <c r="F1" i="17"/>
  <c r="E1" i="17"/>
  <c r="D1" i="17"/>
  <c r="O141" i="16"/>
  <c r="N141" i="16"/>
  <c r="M141" i="16"/>
  <c r="L141" i="16"/>
  <c r="K141" i="16"/>
  <c r="J141" i="16"/>
  <c r="I141" i="16"/>
  <c r="H141" i="16"/>
  <c r="G141" i="16"/>
  <c r="F141" i="16"/>
  <c r="E141" i="16"/>
  <c r="D141" i="16"/>
  <c r="P140" i="16"/>
  <c r="P139" i="16"/>
  <c r="P138" i="16"/>
  <c r="AG136" i="16"/>
  <c r="AC136" i="16"/>
  <c r="P136" i="16"/>
  <c r="AD136" i="16" s="1"/>
  <c r="AE136" i="16" s="1"/>
  <c r="AG135" i="16"/>
  <c r="S134" i="16"/>
  <c r="S35" i="16" s="1"/>
  <c r="H134" i="16"/>
  <c r="H35" i="16" s="1"/>
  <c r="AB133" i="16"/>
  <c r="AA133" i="16"/>
  <c r="Z133" i="16"/>
  <c r="Y133" i="16"/>
  <c r="X133" i="16"/>
  <c r="W133" i="16"/>
  <c r="V133" i="16"/>
  <c r="U133" i="16"/>
  <c r="T133" i="16"/>
  <c r="S133" i="16"/>
  <c r="R133" i="16"/>
  <c r="Q133" i="16"/>
  <c r="O133" i="16"/>
  <c r="N133" i="16"/>
  <c r="M133" i="16"/>
  <c r="L133" i="16"/>
  <c r="K133" i="16"/>
  <c r="J133" i="16"/>
  <c r="I133" i="16"/>
  <c r="H133" i="16"/>
  <c r="G133" i="16"/>
  <c r="F133" i="16"/>
  <c r="E133" i="16"/>
  <c r="D133" i="16"/>
  <c r="AG132" i="16"/>
  <c r="AD132" i="16"/>
  <c r="AE132" i="16" s="1"/>
  <c r="AC132" i="16"/>
  <c r="P132" i="16"/>
  <c r="AE131" i="16"/>
  <c r="AD131" i="16"/>
  <c r="AC131" i="16"/>
  <c r="P131" i="16"/>
  <c r="AG131" i="16" s="1"/>
  <c r="AG130" i="16"/>
  <c r="AE130" i="16"/>
  <c r="AC130" i="16"/>
  <c r="P130" i="16"/>
  <c r="AD130" i="16" s="1"/>
  <c r="AG129" i="16"/>
  <c r="AC129" i="16"/>
  <c r="P129" i="16"/>
  <c r="AD129" i="16" s="1"/>
  <c r="AE129" i="16" s="1"/>
  <c r="AC128" i="16"/>
  <c r="P128" i="16"/>
  <c r="AD128" i="16" s="1"/>
  <c r="AE128" i="16" s="1"/>
  <c r="AE127" i="16"/>
  <c r="AC127" i="16"/>
  <c r="AD127" i="16" s="1"/>
  <c r="P127" i="16"/>
  <c r="AG127" i="16" s="1"/>
  <c r="AG126" i="16"/>
  <c r="AC126" i="16"/>
  <c r="P126" i="16"/>
  <c r="AD126" i="16" s="1"/>
  <c r="AE126" i="16" s="1"/>
  <c r="AC125" i="16"/>
  <c r="P125" i="16"/>
  <c r="AC124" i="16"/>
  <c r="P124" i="16"/>
  <c r="AG123" i="16"/>
  <c r="AB122" i="16"/>
  <c r="AA122" i="16"/>
  <c r="Z122" i="16"/>
  <c r="Y122" i="16"/>
  <c r="X122" i="16"/>
  <c r="W122" i="16"/>
  <c r="V122" i="16"/>
  <c r="U122" i="16"/>
  <c r="T122" i="16"/>
  <c r="S122" i="16"/>
  <c r="R122" i="16"/>
  <c r="R134" i="16" s="1"/>
  <c r="R35" i="16" s="1"/>
  <c r="Q122" i="16"/>
  <c r="O122" i="16"/>
  <c r="N122" i="16"/>
  <c r="N134" i="16" s="1"/>
  <c r="N35" i="16" s="1"/>
  <c r="M122" i="16"/>
  <c r="L122" i="16"/>
  <c r="K122" i="16"/>
  <c r="J122" i="16"/>
  <c r="I122" i="16"/>
  <c r="H122" i="16"/>
  <c r="G122" i="16"/>
  <c r="F122" i="16"/>
  <c r="E122" i="16"/>
  <c r="D122" i="16"/>
  <c r="AG121" i="16"/>
  <c r="AC121" i="16"/>
  <c r="P121" i="16"/>
  <c r="AG120" i="16"/>
  <c r="AD120" i="16"/>
  <c r="AE120" i="16" s="1"/>
  <c r="AC120" i="16"/>
  <c r="P120" i="16"/>
  <c r="AC119" i="16"/>
  <c r="AD119" i="16" s="1"/>
  <c r="AE119" i="16" s="1"/>
  <c r="P119" i="16"/>
  <c r="AG119" i="16" s="1"/>
  <c r="AE118" i="16"/>
  <c r="AD118" i="16"/>
  <c r="AC118" i="16"/>
  <c r="P118" i="16"/>
  <c r="AG118" i="16" s="1"/>
  <c r="AG117" i="16"/>
  <c r="AE117" i="16"/>
  <c r="AC117" i="16"/>
  <c r="P117" i="16"/>
  <c r="AD117" i="16" s="1"/>
  <c r="AG116" i="16"/>
  <c r="AD116" i="16"/>
  <c r="AE116" i="16" s="1"/>
  <c r="AC116" i="16"/>
  <c r="P116" i="16"/>
  <c r="AE115" i="16"/>
  <c r="AD115" i="16"/>
  <c r="AC115" i="16"/>
  <c r="P115" i="16"/>
  <c r="AG115" i="16" s="1"/>
  <c r="AC114" i="16"/>
  <c r="P114" i="16"/>
  <c r="AG114" i="16" s="1"/>
  <c r="AG113" i="16"/>
  <c r="AB112" i="16"/>
  <c r="AB134" i="16" s="1"/>
  <c r="AB35" i="16" s="1"/>
  <c r="AA112" i="16"/>
  <c r="Z112" i="16"/>
  <c r="Y112" i="16"/>
  <c r="X112" i="16"/>
  <c r="X134" i="16" s="1"/>
  <c r="W112" i="16"/>
  <c r="V112" i="16"/>
  <c r="U112" i="16"/>
  <c r="T112" i="16"/>
  <c r="S112" i="16"/>
  <c r="R112" i="16"/>
  <c r="Q112" i="16"/>
  <c r="P112" i="16"/>
  <c r="O112" i="16"/>
  <c r="N112" i="16"/>
  <c r="M112" i="16"/>
  <c r="L112" i="16"/>
  <c r="L134" i="16" s="1"/>
  <c r="L35" i="16" s="1"/>
  <c r="K112" i="16"/>
  <c r="J112" i="16"/>
  <c r="I112" i="16"/>
  <c r="H112" i="16"/>
  <c r="G112" i="16"/>
  <c r="F112" i="16"/>
  <c r="E112" i="16"/>
  <c r="D112" i="16"/>
  <c r="AC111" i="16"/>
  <c r="AD111" i="16" s="1"/>
  <c r="AE111" i="16" s="1"/>
  <c r="P111" i="16"/>
  <c r="AG111" i="16" s="1"/>
  <c r="AD110" i="16"/>
  <c r="AE110" i="16" s="1"/>
  <c r="AC110" i="16"/>
  <c r="P110" i="16"/>
  <c r="AG110" i="16" s="1"/>
  <c r="AG109" i="16"/>
  <c r="AC109" i="16"/>
  <c r="P109" i="16"/>
  <c r="AG108" i="16"/>
  <c r="AC108" i="16"/>
  <c r="AD108" i="16" s="1"/>
  <c r="AE108" i="16" s="1"/>
  <c r="P108" i="16"/>
  <c r="AD107" i="16"/>
  <c r="AE107" i="16" s="1"/>
  <c r="AC107" i="16"/>
  <c r="AC112" i="16" s="1"/>
  <c r="P107" i="16"/>
  <c r="AG107" i="16" s="1"/>
  <c r="AG106" i="16"/>
  <c r="AB105" i="16"/>
  <c r="AA105" i="16"/>
  <c r="AA134" i="16" s="1"/>
  <c r="AA35" i="16" s="1"/>
  <c r="Z105" i="16"/>
  <c r="Y105" i="16"/>
  <c r="X105" i="16"/>
  <c r="W105" i="16"/>
  <c r="W134" i="16" s="1"/>
  <c r="W35" i="16" s="1"/>
  <c r="V105" i="16"/>
  <c r="U105" i="16"/>
  <c r="T105" i="16"/>
  <c r="T134" i="16" s="1"/>
  <c r="T35" i="16" s="1"/>
  <c r="S105" i="16"/>
  <c r="R105" i="16"/>
  <c r="Q105" i="16"/>
  <c r="O105" i="16"/>
  <c r="O134" i="16" s="1"/>
  <c r="O35" i="16" s="1"/>
  <c r="N105" i="16"/>
  <c r="M105" i="16"/>
  <c r="L105" i="16"/>
  <c r="K105" i="16"/>
  <c r="K134" i="16" s="1"/>
  <c r="K35" i="16" s="1"/>
  <c r="J105" i="16"/>
  <c r="I105" i="16"/>
  <c r="H105" i="16"/>
  <c r="G105" i="16"/>
  <c r="G134" i="16" s="1"/>
  <c r="G35" i="16" s="1"/>
  <c r="F105" i="16"/>
  <c r="E105" i="16"/>
  <c r="D105" i="16"/>
  <c r="AG104" i="16"/>
  <c r="AD104" i="16"/>
  <c r="AE104" i="16" s="1"/>
  <c r="AC104" i="16"/>
  <c r="P104" i="16"/>
  <c r="AE103" i="16"/>
  <c r="AD103" i="16"/>
  <c r="AC103" i="16"/>
  <c r="AC105" i="16" s="1"/>
  <c r="P103" i="16"/>
  <c r="AG103" i="16" s="1"/>
  <c r="AG102" i="16"/>
  <c r="AC102" i="16"/>
  <c r="P102" i="16"/>
  <c r="AB98" i="16"/>
  <c r="U98" i="16"/>
  <c r="K98" i="16"/>
  <c r="AC97" i="16"/>
  <c r="V97" i="16"/>
  <c r="U97" i="16"/>
  <c r="T97" i="16"/>
  <c r="S97" i="16"/>
  <c r="R97" i="16"/>
  <c r="Q97" i="16"/>
  <c r="V96" i="16"/>
  <c r="U96" i="16"/>
  <c r="T96" i="16"/>
  <c r="S96" i="16"/>
  <c r="R96" i="16"/>
  <c r="Q96" i="16"/>
  <c r="V95" i="16"/>
  <c r="U95" i="16"/>
  <c r="T95" i="16"/>
  <c r="S95" i="16"/>
  <c r="R95" i="16"/>
  <c r="Q95" i="16"/>
  <c r="V94" i="16"/>
  <c r="U94" i="16"/>
  <c r="T94" i="16"/>
  <c r="S94" i="16"/>
  <c r="R94" i="16"/>
  <c r="Q94" i="16"/>
  <c r="AC93" i="16"/>
  <c r="V93" i="16"/>
  <c r="U93" i="16"/>
  <c r="T93" i="16"/>
  <c r="S93" i="16"/>
  <c r="R93" i="16"/>
  <c r="Q93" i="16"/>
  <c r="AG92" i="16"/>
  <c r="AG91" i="16"/>
  <c r="AB90" i="16"/>
  <c r="AA90" i="16"/>
  <c r="Z90" i="16"/>
  <c r="Y90" i="16"/>
  <c r="X90" i="16"/>
  <c r="W90" i="16"/>
  <c r="V90" i="16"/>
  <c r="U90" i="16"/>
  <c r="T90" i="16"/>
  <c r="S90" i="16"/>
  <c r="R90" i="16"/>
  <c r="Q90" i="16"/>
  <c r="Q98" i="16" s="1"/>
  <c r="O90" i="16"/>
  <c r="N90" i="16"/>
  <c r="M90" i="16"/>
  <c r="L90" i="16"/>
  <c r="K90" i="16"/>
  <c r="J90" i="16"/>
  <c r="I90" i="16"/>
  <c r="H90" i="16"/>
  <c r="G90" i="16"/>
  <c r="F90" i="16"/>
  <c r="E90" i="16"/>
  <c r="D90" i="16"/>
  <c r="AG89" i="16"/>
  <c r="AC89" i="16"/>
  <c r="P89" i="16"/>
  <c r="AD89" i="16" s="1"/>
  <c r="AE89" i="16" s="1"/>
  <c r="AC88" i="16"/>
  <c r="P88" i="16"/>
  <c r="AC87" i="16"/>
  <c r="P87" i="16"/>
  <c r="AC86" i="16"/>
  <c r="P86" i="16"/>
  <c r="AG86" i="16" s="1"/>
  <c r="AD85" i="16"/>
  <c r="AE85" i="16" s="1"/>
  <c r="AC85" i="16"/>
  <c r="P85" i="16"/>
  <c r="AB80" i="16"/>
  <c r="AA80" i="16"/>
  <c r="Z80" i="16"/>
  <c r="Y80" i="16"/>
  <c r="X80" i="16"/>
  <c r="W80" i="16"/>
  <c r="V80" i="16"/>
  <c r="U80" i="16"/>
  <c r="T80" i="16"/>
  <c r="S80" i="16"/>
  <c r="R80" i="16"/>
  <c r="Q80" i="16"/>
  <c r="AC79" i="16"/>
  <c r="AC78" i="16"/>
  <c r="AD78" i="16" s="1"/>
  <c r="AE78" i="16" s="1"/>
  <c r="P78" i="16"/>
  <c r="AG78" i="16" s="1"/>
  <c r="AD77" i="16"/>
  <c r="AE77" i="16" s="1"/>
  <c r="AC77" i="16"/>
  <c r="P77" i="16"/>
  <c r="AG77" i="16" s="1"/>
  <c r="AG76" i="16"/>
  <c r="AC76" i="16"/>
  <c r="P76" i="16"/>
  <c r="AG75" i="16"/>
  <c r="AD75" i="16"/>
  <c r="AE75" i="16" s="1"/>
  <c r="AC75" i="16"/>
  <c r="P75" i="16"/>
  <c r="AC74" i="16"/>
  <c r="AD74" i="16" s="1"/>
  <c r="AE74" i="16" s="1"/>
  <c r="P74" i="16"/>
  <c r="AG74" i="16" s="1"/>
  <c r="AE73" i="16"/>
  <c r="AD73" i="16"/>
  <c r="AC73" i="16"/>
  <c r="P73" i="16"/>
  <c r="AG73" i="16" s="1"/>
  <c r="AC72" i="16"/>
  <c r="AC71" i="16"/>
  <c r="P71" i="16"/>
  <c r="AE70" i="16"/>
  <c r="AC70" i="16"/>
  <c r="AD70" i="16" s="1"/>
  <c r="P70" i="16"/>
  <c r="AG70" i="16" s="1"/>
  <c r="AG69" i="16"/>
  <c r="AC69" i="16"/>
  <c r="P69" i="16"/>
  <c r="AD69" i="16" s="1"/>
  <c r="AE69" i="16" s="1"/>
  <c r="AC68" i="16"/>
  <c r="P68" i="16"/>
  <c r="AC67" i="16"/>
  <c r="P67" i="16"/>
  <c r="AC66" i="16"/>
  <c r="AD66" i="16" s="1"/>
  <c r="AE66" i="16" s="1"/>
  <c r="P66" i="16"/>
  <c r="AG66" i="16" s="1"/>
  <c r="AD65" i="16"/>
  <c r="AE65" i="16" s="1"/>
  <c r="AC65" i="16"/>
  <c r="P65" i="16"/>
  <c r="AG65" i="16" s="1"/>
  <c r="AG64" i="16"/>
  <c r="AC64" i="16"/>
  <c r="P64" i="16"/>
  <c r="AG63" i="16"/>
  <c r="AD63" i="16"/>
  <c r="AE63" i="16" s="1"/>
  <c r="AC63" i="16"/>
  <c r="P63" i="16"/>
  <c r="AD62" i="16"/>
  <c r="AE62" i="16" s="1"/>
  <c r="AC62" i="16"/>
  <c r="P62" i="16"/>
  <c r="AG62" i="16" s="1"/>
  <c r="AD61" i="16"/>
  <c r="AE61" i="16" s="1"/>
  <c r="AC61" i="16"/>
  <c r="P61" i="16"/>
  <c r="AG61" i="16" s="1"/>
  <c r="AG60" i="16"/>
  <c r="AE60" i="16"/>
  <c r="AC60" i="16"/>
  <c r="P60" i="16"/>
  <c r="AD60" i="16" s="1"/>
  <c r="AG59" i="16"/>
  <c r="AD59" i="16"/>
  <c r="AE59" i="16" s="1"/>
  <c r="AC59" i="16"/>
  <c r="P59" i="16"/>
  <c r="AD58" i="16"/>
  <c r="AE58" i="16" s="1"/>
  <c r="AC58" i="16"/>
  <c r="P58" i="16"/>
  <c r="AG58" i="16" s="1"/>
  <c r="AE57" i="16"/>
  <c r="AC57" i="16"/>
  <c r="P57" i="16"/>
  <c r="AD57" i="16" s="1"/>
  <c r="AC56" i="16"/>
  <c r="P56" i="16"/>
  <c r="AD56" i="16" s="1"/>
  <c r="AE56" i="16" s="1"/>
  <c r="AC55" i="16"/>
  <c r="P55" i="16"/>
  <c r="AE54" i="16"/>
  <c r="AC54" i="16"/>
  <c r="AD54" i="16" s="1"/>
  <c r="P54" i="16"/>
  <c r="AG54" i="16" s="1"/>
  <c r="AG53" i="16"/>
  <c r="AC53" i="16"/>
  <c r="P53" i="16"/>
  <c r="AD53" i="16" s="1"/>
  <c r="AE53" i="16" s="1"/>
  <c r="AC52" i="16"/>
  <c r="P52" i="16"/>
  <c r="AC51" i="16"/>
  <c r="P51" i="16"/>
  <c r="AC50" i="16"/>
  <c r="AD50" i="16" s="1"/>
  <c r="AE50" i="16" s="1"/>
  <c r="P50" i="16"/>
  <c r="AG50" i="16" s="1"/>
  <c r="AD49" i="16"/>
  <c r="AE49" i="16" s="1"/>
  <c r="AC49" i="16"/>
  <c r="P49" i="16"/>
  <c r="AG49" i="16" s="1"/>
  <c r="AG48" i="16"/>
  <c r="AC48" i="16"/>
  <c r="P48" i="16"/>
  <c r="AG47" i="16"/>
  <c r="AD47" i="16"/>
  <c r="AE47" i="16" s="1"/>
  <c r="AC47" i="16"/>
  <c r="P47" i="16"/>
  <c r="AD46" i="16"/>
  <c r="AE46" i="16" s="1"/>
  <c r="AC46" i="16"/>
  <c r="P46" i="16"/>
  <c r="AG46" i="16" s="1"/>
  <c r="AD45" i="16"/>
  <c r="AE45" i="16" s="1"/>
  <c r="AC45" i="16"/>
  <c r="P45" i="16"/>
  <c r="AG45" i="16" s="1"/>
  <c r="AG44" i="16"/>
  <c r="AE44" i="16"/>
  <c r="AC44" i="16"/>
  <c r="P44" i="16"/>
  <c r="AD44" i="16" s="1"/>
  <c r="AD43" i="16"/>
  <c r="AE43" i="16" s="1"/>
  <c r="AC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P43" i="16" s="1"/>
  <c r="AG43" i="16" s="1"/>
  <c r="AE42" i="16"/>
  <c r="AD42" i="16"/>
  <c r="AC42" i="16"/>
  <c r="P42" i="16"/>
  <c r="AG42" i="16" s="1"/>
  <c r="AC41" i="16"/>
  <c r="P41" i="16"/>
  <c r="AD41" i="16" s="1"/>
  <c r="AE41" i="16" s="1"/>
  <c r="AC40" i="16"/>
  <c r="P40" i="16"/>
  <c r="AG39" i="16"/>
  <c r="AC39" i="16"/>
  <c r="P39" i="16"/>
  <c r="AC38" i="16"/>
  <c r="P38" i="16"/>
  <c r="AG38" i="16" s="1"/>
  <c r="AG37" i="16"/>
  <c r="AG36" i="16"/>
  <c r="X35" i="16"/>
  <c r="AG34" i="16"/>
  <c r="AB33" i="16"/>
  <c r="AA33" i="16"/>
  <c r="Z33" i="16"/>
  <c r="Y33" i="16"/>
  <c r="X33" i="16"/>
  <c r="W33" i="16"/>
  <c r="V33" i="16"/>
  <c r="U33" i="16"/>
  <c r="T33" i="16"/>
  <c r="S33" i="16"/>
  <c r="R33" i="16"/>
  <c r="Q33" i="16"/>
  <c r="AC32" i="16"/>
  <c r="O32" i="16"/>
  <c r="N32" i="16"/>
  <c r="L32" i="16"/>
  <c r="K32" i="16"/>
  <c r="J32" i="16"/>
  <c r="I32" i="16"/>
  <c r="H32" i="16"/>
  <c r="G32" i="16"/>
  <c r="F32" i="16"/>
  <c r="E32" i="16"/>
  <c r="D32" i="16"/>
  <c r="P32" i="16" s="1"/>
  <c r="AC31" i="16"/>
  <c r="G31" i="16"/>
  <c r="E31" i="16"/>
  <c r="AC30" i="16"/>
  <c r="M30" i="16"/>
  <c r="X27" i="16"/>
  <c r="X81" i="16" s="1"/>
  <c r="X82" i="16" s="1"/>
  <c r="Q27" i="16"/>
  <c r="M27" i="16"/>
  <c r="AG26" i="16"/>
  <c r="AD26" i="16"/>
  <c r="AE26" i="16" s="1"/>
  <c r="AC26" i="16"/>
  <c r="P26" i="16"/>
  <c r="AE25" i="16"/>
  <c r="AD25" i="16"/>
  <c r="AC25" i="16"/>
  <c r="P25" i="16"/>
  <c r="AG25" i="16" s="1"/>
  <c r="AG24" i="16"/>
  <c r="AE24" i="16"/>
  <c r="AC24" i="16"/>
  <c r="P24" i="16"/>
  <c r="AG23" i="16"/>
  <c r="AB22" i="16"/>
  <c r="AB27" i="16" s="1"/>
  <c r="AB81" i="16" s="1"/>
  <c r="AB82" i="16" s="1"/>
  <c r="AA22" i="16"/>
  <c r="Z22" i="16"/>
  <c r="Y22" i="16"/>
  <c r="Y27" i="16" s="1"/>
  <c r="X22" i="16"/>
  <c r="W22" i="16"/>
  <c r="V22" i="16"/>
  <c r="U22" i="16"/>
  <c r="T22" i="16"/>
  <c r="S22" i="16"/>
  <c r="R22" i="16"/>
  <c r="Q22" i="16"/>
  <c r="O22" i="16"/>
  <c r="O31" i="16" s="1"/>
  <c r="N22" i="16"/>
  <c r="N31" i="16" s="1"/>
  <c r="M22" i="16"/>
  <c r="M31" i="16" s="1"/>
  <c r="L22" i="16"/>
  <c r="L31" i="16" s="1"/>
  <c r="K22" i="16"/>
  <c r="K31" i="16" s="1"/>
  <c r="J22" i="16"/>
  <c r="J31" i="16" s="1"/>
  <c r="I22" i="16"/>
  <c r="I31" i="16" s="1"/>
  <c r="H22" i="16"/>
  <c r="H31" i="16" s="1"/>
  <c r="G22" i="16"/>
  <c r="F22" i="16"/>
  <c r="F31" i="16" s="1"/>
  <c r="E22" i="16"/>
  <c r="D22" i="16"/>
  <c r="D31" i="16" s="1"/>
  <c r="AC21" i="16"/>
  <c r="P21" i="16"/>
  <c r="AD21" i="16" s="1"/>
  <c r="AE21" i="16" s="1"/>
  <c r="AE20" i="16"/>
  <c r="AC20" i="16"/>
  <c r="AD20" i="16" s="1"/>
  <c r="P20" i="16"/>
  <c r="AG20" i="16" s="1"/>
  <c r="AG19" i="16"/>
  <c r="AC19" i="16"/>
  <c r="P19" i="16"/>
  <c r="AD19" i="16" s="1"/>
  <c r="AE19" i="16" s="1"/>
  <c r="AC18" i="16"/>
  <c r="P18" i="16"/>
  <c r="P22" i="16" s="1"/>
  <c r="AC17" i="16"/>
  <c r="P17" i="16"/>
  <c r="AG16" i="16"/>
  <c r="AG15" i="16"/>
  <c r="AB14" i="16"/>
  <c r="AA14" i="16"/>
  <c r="AA27" i="16" s="1"/>
  <c r="AA81" i="16" s="1"/>
  <c r="AA82" i="16" s="1"/>
  <c r="Z14" i="16"/>
  <c r="Z98" i="16" s="1"/>
  <c r="Y14" i="16"/>
  <c r="X14" i="16"/>
  <c r="X98" i="16" s="1"/>
  <c r="W14" i="16"/>
  <c r="W27" i="16" s="1"/>
  <c r="W81" i="16" s="1"/>
  <c r="W82" i="16" s="1"/>
  <c r="V14" i="16"/>
  <c r="V98" i="16" s="1"/>
  <c r="U14" i="16"/>
  <c r="U27" i="16" s="1"/>
  <c r="T14" i="16"/>
  <c r="T98" i="16" s="1"/>
  <c r="S14" i="16"/>
  <c r="S98" i="16" s="1"/>
  <c r="R14" i="16"/>
  <c r="R98" i="16" s="1"/>
  <c r="Q14" i="16"/>
  <c r="O14" i="16"/>
  <c r="M14" i="16"/>
  <c r="M98" i="16" s="1"/>
  <c r="I14" i="16"/>
  <c r="AC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P13" i="16" s="1"/>
  <c r="AC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AC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P11" i="16" s="1"/>
  <c r="AC10" i="16"/>
  <c r="O10" i="16"/>
  <c r="N10" i="16"/>
  <c r="M10" i="16"/>
  <c r="L10" i="16"/>
  <c r="K10" i="16"/>
  <c r="K14" i="16" s="1"/>
  <c r="J10" i="16"/>
  <c r="I10" i="16"/>
  <c r="H10" i="16"/>
  <c r="G10" i="16"/>
  <c r="G14" i="16" s="1"/>
  <c r="G30" i="16" s="1"/>
  <c r="G29" i="16" s="1"/>
  <c r="F10" i="16"/>
  <c r="E10" i="16"/>
  <c r="D10" i="16"/>
  <c r="P10" i="16" s="1"/>
  <c r="AC9" i="16"/>
  <c r="AC14" i="16" s="1"/>
  <c r="O9" i="16"/>
  <c r="N9" i="16"/>
  <c r="M9" i="16"/>
  <c r="L9" i="16"/>
  <c r="K9" i="16"/>
  <c r="J9" i="16"/>
  <c r="I9" i="16"/>
  <c r="H9" i="16"/>
  <c r="G9" i="16"/>
  <c r="F9" i="16"/>
  <c r="E9" i="16"/>
  <c r="E14" i="16" s="1"/>
  <c r="D9" i="16"/>
  <c r="P9" i="16" s="1"/>
  <c r="AB7" i="16"/>
  <c r="R7" i="16"/>
  <c r="G7" i="16"/>
  <c r="V6" i="16"/>
  <c r="L6" i="16"/>
  <c r="C4" i="16"/>
  <c r="O2" i="16"/>
  <c r="N2" i="16"/>
  <c r="M2" i="16"/>
  <c r="L2" i="16"/>
  <c r="K2" i="16"/>
  <c r="J2" i="16"/>
  <c r="I2" i="16"/>
  <c r="H2" i="16"/>
  <c r="G2" i="16"/>
  <c r="F2" i="16"/>
  <c r="E2" i="16"/>
  <c r="D2" i="16"/>
  <c r="O1" i="16"/>
  <c r="N1" i="16"/>
  <c r="M1" i="16"/>
  <c r="L1" i="16"/>
  <c r="K1" i="16"/>
  <c r="J1" i="16"/>
  <c r="I1" i="16"/>
  <c r="H1" i="16"/>
  <c r="G1" i="16"/>
  <c r="F1" i="16"/>
  <c r="E1" i="16"/>
  <c r="D1" i="16"/>
  <c r="P141" i="15"/>
  <c r="O141" i="15"/>
  <c r="N141" i="15"/>
  <c r="M141" i="15"/>
  <c r="L141" i="15"/>
  <c r="K141" i="15"/>
  <c r="J141" i="15"/>
  <c r="I141" i="15"/>
  <c r="H141" i="15"/>
  <c r="G141" i="15"/>
  <c r="F141" i="15"/>
  <c r="E141" i="15"/>
  <c r="D141" i="15"/>
  <c r="P140" i="15"/>
  <c r="P139" i="15"/>
  <c r="P138" i="15"/>
  <c r="AG136" i="15"/>
  <c r="AC136" i="15"/>
  <c r="P136" i="15"/>
  <c r="AD136" i="15" s="1"/>
  <c r="AE136" i="15" s="1"/>
  <c r="AG135" i="15"/>
  <c r="Y134" i="15"/>
  <c r="X134" i="15"/>
  <c r="T134" i="15"/>
  <c r="T35" i="15" s="1"/>
  <c r="M134" i="15"/>
  <c r="I134" i="15"/>
  <c r="H134" i="15"/>
  <c r="D134" i="15"/>
  <c r="AB133" i="15"/>
  <c r="AA133" i="15"/>
  <c r="Z133" i="15"/>
  <c r="Y133" i="15"/>
  <c r="X133" i="15"/>
  <c r="W133" i="15"/>
  <c r="V133" i="15"/>
  <c r="U133" i="15"/>
  <c r="T133" i="15"/>
  <c r="S133" i="15"/>
  <c r="R133" i="15"/>
  <c r="Q133" i="15"/>
  <c r="O133" i="15"/>
  <c r="N133" i="15"/>
  <c r="M133" i="15"/>
  <c r="L133" i="15"/>
  <c r="K133" i="15"/>
  <c r="J133" i="15"/>
  <c r="I133" i="15"/>
  <c r="H133" i="15"/>
  <c r="G133" i="15"/>
  <c r="F133" i="15"/>
  <c r="E133" i="15"/>
  <c r="D133" i="15"/>
  <c r="AG132" i="15"/>
  <c r="AE132" i="15"/>
  <c r="AC132" i="15"/>
  <c r="P132" i="15"/>
  <c r="AD132" i="15" s="1"/>
  <c r="AG131" i="15"/>
  <c r="AC131" i="15"/>
  <c r="P131" i="15"/>
  <c r="AD131" i="15" s="1"/>
  <c r="AE131" i="15" s="1"/>
  <c r="AC130" i="15"/>
  <c r="P130" i="15"/>
  <c r="AD130" i="15" s="1"/>
  <c r="AE130" i="15" s="1"/>
  <c r="AE129" i="15"/>
  <c r="AC129" i="15"/>
  <c r="AD129" i="15" s="1"/>
  <c r="P129" i="15"/>
  <c r="AG129" i="15" s="1"/>
  <c r="AG128" i="15"/>
  <c r="AC128" i="15"/>
  <c r="P128" i="15"/>
  <c r="AD128" i="15" s="1"/>
  <c r="AE128" i="15" s="1"/>
  <c r="AC127" i="15"/>
  <c r="P127" i="15"/>
  <c r="AC126" i="15"/>
  <c r="P126" i="15"/>
  <c r="AC125" i="15"/>
  <c r="P125" i="15"/>
  <c r="AG125" i="15" s="1"/>
  <c r="AD124" i="15"/>
  <c r="AE124" i="15" s="1"/>
  <c r="AC124" i="15"/>
  <c r="P124" i="15"/>
  <c r="AG123" i="15"/>
  <c r="AB122" i="15"/>
  <c r="AA122" i="15"/>
  <c r="Z122" i="15"/>
  <c r="Y122" i="15"/>
  <c r="X122" i="15"/>
  <c r="W122" i="15"/>
  <c r="V122" i="15"/>
  <c r="U122" i="15"/>
  <c r="T122" i="15"/>
  <c r="S122" i="15"/>
  <c r="R122" i="15"/>
  <c r="Q122" i="15"/>
  <c r="O122" i="15"/>
  <c r="N122" i="15"/>
  <c r="M122" i="15"/>
  <c r="L122" i="15"/>
  <c r="K122" i="15"/>
  <c r="J122" i="15"/>
  <c r="I122" i="15"/>
  <c r="H122" i="15"/>
  <c r="G122" i="15"/>
  <c r="F122" i="15"/>
  <c r="E122" i="15"/>
  <c r="D122" i="15"/>
  <c r="AE121" i="15"/>
  <c r="AD121" i="15"/>
  <c r="AC121" i="15"/>
  <c r="P121" i="15"/>
  <c r="AG121" i="15" s="1"/>
  <c r="AG120" i="15"/>
  <c r="AE120" i="15"/>
  <c r="AC120" i="15"/>
  <c r="P120" i="15"/>
  <c r="AD120" i="15" s="1"/>
  <c r="AG119" i="15"/>
  <c r="AC119" i="15"/>
  <c r="P119" i="15"/>
  <c r="AD119" i="15" s="1"/>
  <c r="AE119" i="15" s="1"/>
  <c r="AC118" i="15"/>
  <c r="P118" i="15"/>
  <c r="AD118" i="15" s="1"/>
  <c r="AE118" i="15" s="1"/>
  <c r="AE117" i="15"/>
  <c r="AC117" i="15"/>
  <c r="AD117" i="15" s="1"/>
  <c r="P117" i="15"/>
  <c r="AG117" i="15" s="1"/>
  <c r="AG116" i="15"/>
  <c r="AC116" i="15"/>
  <c r="P116" i="15"/>
  <c r="AD116" i="15" s="1"/>
  <c r="AE116" i="15" s="1"/>
  <c r="AC115" i="15"/>
  <c r="P115" i="15"/>
  <c r="AC114" i="15"/>
  <c r="P114" i="15"/>
  <c r="AG113" i="15"/>
  <c r="AB112" i="15"/>
  <c r="AB134" i="15" s="1"/>
  <c r="AB35" i="15" s="1"/>
  <c r="AA112" i="15"/>
  <c r="Z112" i="15"/>
  <c r="Y112" i="15"/>
  <c r="X112" i="15"/>
  <c r="W112" i="15"/>
  <c r="V112" i="15"/>
  <c r="U112" i="15"/>
  <c r="T112" i="15"/>
  <c r="S112" i="15"/>
  <c r="R112" i="15"/>
  <c r="R134" i="15" s="1"/>
  <c r="R35" i="15" s="1"/>
  <c r="Q112" i="15"/>
  <c r="O112" i="15"/>
  <c r="N112" i="15"/>
  <c r="M112" i="15"/>
  <c r="L112" i="15"/>
  <c r="L134" i="15" s="1"/>
  <c r="L35" i="15" s="1"/>
  <c r="K112" i="15"/>
  <c r="J112" i="15"/>
  <c r="I112" i="15"/>
  <c r="H112" i="15"/>
  <c r="G112" i="15"/>
  <c r="F112" i="15"/>
  <c r="E112" i="15"/>
  <c r="D112" i="15"/>
  <c r="AG111" i="15"/>
  <c r="AC111" i="15"/>
  <c r="P111" i="15"/>
  <c r="AG110" i="15"/>
  <c r="AD110" i="15"/>
  <c r="AE110" i="15" s="1"/>
  <c r="AC110" i="15"/>
  <c r="P110" i="15"/>
  <c r="AC109" i="15"/>
  <c r="AD109" i="15" s="1"/>
  <c r="AE109" i="15" s="1"/>
  <c r="P109" i="15"/>
  <c r="AG109" i="15" s="1"/>
  <c r="AE108" i="15"/>
  <c r="AD108" i="15"/>
  <c r="AC108" i="15"/>
  <c r="P108" i="15"/>
  <c r="AG108" i="15" s="1"/>
  <c r="AG107" i="15"/>
  <c r="AE107" i="15"/>
  <c r="AC107" i="15"/>
  <c r="P107" i="15"/>
  <c r="AD107" i="15" s="1"/>
  <c r="AG106" i="15"/>
  <c r="AB105" i="15"/>
  <c r="AA105" i="15"/>
  <c r="AA134" i="15" s="1"/>
  <c r="AA35" i="15" s="1"/>
  <c r="Z105" i="15"/>
  <c r="Y105" i="15"/>
  <c r="X105" i="15"/>
  <c r="W105" i="15"/>
  <c r="W134" i="15" s="1"/>
  <c r="W35" i="15" s="1"/>
  <c r="V105" i="15"/>
  <c r="U105" i="15"/>
  <c r="U134" i="15" s="1"/>
  <c r="U35" i="15" s="1"/>
  <c r="T105" i="15"/>
  <c r="S105" i="15"/>
  <c r="S134" i="15" s="1"/>
  <c r="S35" i="15" s="1"/>
  <c r="R105" i="15"/>
  <c r="Q105" i="15"/>
  <c r="Q134" i="15" s="1"/>
  <c r="Q35" i="15" s="1"/>
  <c r="O105" i="15"/>
  <c r="O134" i="15" s="1"/>
  <c r="O35" i="15" s="1"/>
  <c r="N105" i="15"/>
  <c r="N134" i="15" s="1"/>
  <c r="N35" i="15" s="1"/>
  <c r="M105" i="15"/>
  <c r="L105" i="15"/>
  <c r="K105" i="15"/>
  <c r="K134" i="15" s="1"/>
  <c r="K35" i="15" s="1"/>
  <c r="J105" i="15"/>
  <c r="I105" i="15"/>
  <c r="H105" i="15"/>
  <c r="G105" i="15"/>
  <c r="G134" i="15" s="1"/>
  <c r="G35" i="15" s="1"/>
  <c r="F105" i="15"/>
  <c r="E105" i="15"/>
  <c r="E134" i="15" s="1"/>
  <c r="E35" i="15" s="1"/>
  <c r="D105" i="15"/>
  <c r="AG104" i="15"/>
  <c r="AE104" i="15"/>
  <c r="AC104" i="15"/>
  <c r="P104" i="15"/>
  <c r="AD104" i="15" s="1"/>
  <c r="AG103" i="15"/>
  <c r="AC103" i="15"/>
  <c r="P103" i="15"/>
  <c r="AD103" i="15" s="1"/>
  <c r="AE103" i="15" s="1"/>
  <c r="AC102" i="15"/>
  <c r="AC105" i="15" s="1"/>
  <c r="P102" i="15"/>
  <c r="AG102" i="15" s="1"/>
  <c r="Z98" i="15"/>
  <c r="V98" i="15"/>
  <c r="O98" i="15"/>
  <c r="V97" i="15"/>
  <c r="U97" i="15"/>
  <c r="T97" i="15"/>
  <c r="S97" i="15"/>
  <c r="R97" i="15"/>
  <c r="Q97" i="15"/>
  <c r="V96" i="15"/>
  <c r="U96" i="15"/>
  <c r="T96" i="15"/>
  <c r="S96" i="15"/>
  <c r="R96" i="15"/>
  <c r="Q96" i="15"/>
  <c r="V95" i="15"/>
  <c r="U95" i="15"/>
  <c r="T95" i="15"/>
  <c r="S95" i="15"/>
  <c r="R95" i="15"/>
  <c r="Q95" i="15"/>
  <c r="V94" i="15"/>
  <c r="U94" i="15"/>
  <c r="T94" i="15"/>
  <c r="S94" i="15"/>
  <c r="R94" i="15"/>
  <c r="Q94" i="15"/>
  <c r="V93" i="15"/>
  <c r="U93" i="15"/>
  <c r="T93" i="15"/>
  <c r="S93" i="15"/>
  <c r="R93" i="15"/>
  <c r="Q93" i="15"/>
  <c r="AG92" i="15"/>
  <c r="AG91" i="15"/>
  <c r="AB90" i="15"/>
  <c r="AA90" i="15"/>
  <c r="AA98" i="15" s="1"/>
  <c r="Z90" i="15"/>
  <c r="Y90" i="15"/>
  <c r="X90" i="15"/>
  <c r="W90" i="15"/>
  <c r="V90" i="15"/>
  <c r="U90" i="15"/>
  <c r="T90" i="15"/>
  <c r="S90" i="15"/>
  <c r="R90" i="15"/>
  <c r="Q90" i="15"/>
  <c r="O90" i="15"/>
  <c r="N90" i="15"/>
  <c r="M90" i="15"/>
  <c r="L90" i="15"/>
  <c r="K90" i="15"/>
  <c r="J90" i="15"/>
  <c r="I90" i="15"/>
  <c r="H90" i="15"/>
  <c r="G90" i="15"/>
  <c r="F90" i="15"/>
  <c r="E90" i="15"/>
  <c r="D90" i="15"/>
  <c r="AC89" i="15"/>
  <c r="P89" i="15"/>
  <c r="AD89" i="15" s="1"/>
  <c r="AE89" i="15" s="1"/>
  <c r="AE88" i="15"/>
  <c r="AC88" i="15"/>
  <c r="AD88" i="15" s="1"/>
  <c r="P88" i="15"/>
  <c r="AG88" i="15" s="1"/>
  <c r="AG87" i="15"/>
  <c r="AC87" i="15"/>
  <c r="P87" i="15"/>
  <c r="AC86" i="15"/>
  <c r="P86" i="15"/>
  <c r="P90" i="15" s="1"/>
  <c r="AC85" i="15"/>
  <c r="P85" i="15"/>
  <c r="Q81" i="15"/>
  <c r="Q82" i="15" s="1"/>
  <c r="AB80" i="15"/>
  <c r="AA80" i="15"/>
  <c r="Z80" i="15"/>
  <c r="Y80" i="15"/>
  <c r="X80" i="15"/>
  <c r="W80" i="15"/>
  <c r="V80" i="15"/>
  <c r="U80" i="15"/>
  <c r="T80" i="15"/>
  <c r="S80" i="15"/>
  <c r="R80" i="15"/>
  <c r="Q80" i="15"/>
  <c r="AC79" i="15"/>
  <c r="AG78" i="15"/>
  <c r="AC78" i="15"/>
  <c r="P78" i="15"/>
  <c r="AD78" i="15" s="1"/>
  <c r="AE78" i="15" s="1"/>
  <c r="AC77" i="15"/>
  <c r="P77" i="15"/>
  <c r="AD77" i="15" s="1"/>
  <c r="AE77" i="15" s="1"/>
  <c r="AE76" i="15"/>
  <c r="AC76" i="15"/>
  <c r="AD76" i="15" s="1"/>
  <c r="P76" i="15"/>
  <c r="AG76" i="15" s="1"/>
  <c r="AG75" i="15"/>
  <c r="AC75" i="15"/>
  <c r="P75" i="15"/>
  <c r="AD75" i="15" s="1"/>
  <c r="AE75" i="15" s="1"/>
  <c r="AC74" i="15"/>
  <c r="P74" i="15"/>
  <c r="AC73" i="15"/>
  <c r="P73" i="15"/>
  <c r="AC72" i="15"/>
  <c r="AD71" i="15"/>
  <c r="AE71" i="15" s="1"/>
  <c r="AC71" i="15"/>
  <c r="P71" i="15"/>
  <c r="AG71" i="15" s="1"/>
  <c r="AG70" i="15"/>
  <c r="AC70" i="15"/>
  <c r="P70" i="15"/>
  <c r="AG69" i="15"/>
  <c r="AD69" i="15"/>
  <c r="AE69" i="15" s="1"/>
  <c r="AC69" i="15"/>
  <c r="P69" i="15"/>
  <c r="AD68" i="15"/>
  <c r="AE68" i="15" s="1"/>
  <c r="AC68" i="15"/>
  <c r="P68" i="15"/>
  <c r="AG68" i="15" s="1"/>
  <c r="AE67" i="15"/>
  <c r="AD67" i="15"/>
  <c r="AC67" i="15"/>
  <c r="P67" i="15"/>
  <c r="AG67" i="15" s="1"/>
  <c r="AG66" i="15"/>
  <c r="AE66" i="15"/>
  <c r="AC66" i="15"/>
  <c r="P66" i="15"/>
  <c r="AD66" i="15" s="1"/>
  <c r="AG65" i="15"/>
  <c r="AD65" i="15"/>
  <c r="AE65" i="15" s="1"/>
  <c r="AC65" i="15"/>
  <c r="P65" i="15"/>
  <c r="AE64" i="15"/>
  <c r="AD64" i="15"/>
  <c r="AC64" i="15"/>
  <c r="P64" i="15"/>
  <c r="AG64" i="15" s="1"/>
  <c r="AG63" i="15"/>
  <c r="AE63" i="15"/>
  <c r="AC63" i="15"/>
  <c r="P63" i="15"/>
  <c r="AD63" i="15" s="1"/>
  <c r="AG62" i="15"/>
  <c r="AC62" i="15"/>
  <c r="P62" i="15"/>
  <c r="AD62" i="15" s="1"/>
  <c r="AE62" i="15" s="1"/>
  <c r="AC61" i="15"/>
  <c r="P61" i="15"/>
  <c r="AD61" i="15" s="1"/>
  <c r="AE61" i="15" s="1"/>
  <c r="AE60" i="15"/>
  <c r="AC60" i="15"/>
  <c r="AD60" i="15" s="1"/>
  <c r="P60" i="15"/>
  <c r="AG60" i="15" s="1"/>
  <c r="AG59" i="15"/>
  <c r="AC59" i="15"/>
  <c r="P59" i="15"/>
  <c r="AD59" i="15" s="1"/>
  <c r="AE59" i="15" s="1"/>
  <c r="AC58" i="15"/>
  <c r="P58" i="15"/>
  <c r="AC57" i="15"/>
  <c r="P57" i="15"/>
  <c r="AC56" i="15"/>
  <c r="AD56" i="15" s="1"/>
  <c r="AE56" i="15" s="1"/>
  <c r="P56" i="15"/>
  <c r="AG56" i="15" s="1"/>
  <c r="AD55" i="15"/>
  <c r="AE55" i="15" s="1"/>
  <c r="AC55" i="15"/>
  <c r="P55" i="15"/>
  <c r="AG55" i="15" s="1"/>
  <c r="AG54" i="15"/>
  <c r="AC54" i="15"/>
  <c r="P54" i="15"/>
  <c r="AG53" i="15"/>
  <c r="AD53" i="15"/>
  <c r="AE53" i="15" s="1"/>
  <c r="AC53" i="15"/>
  <c r="P53" i="15"/>
  <c r="AD52" i="15"/>
  <c r="AE52" i="15" s="1"/>
  <c r="AC52" i="15"/>
  <c r="P52" i="15"/>
  <c r="AG52" i="15" s="1"/>
  <c r="AE51" i="15"/>
  <c r="AD51" i="15"/>
  <c r="AC51" i="15"/>
  <c r="P51" i="15"/>
  <c r="AG51" i="15" s="1"/>
  <c r="AG50" i="15"/>
  <c r="AE50" i="15"/>
  <c r="AC50" i="15"/>
  <c r="P50" i="15"/>
  <c r="AD50" i="15" s="1"/>
  <c r="AG49" i="15"/>
  <c r="AD49" i="15"/>
  <c r="AE49" i="15" s="1"/>
  <c r="AC49" i="15"/>
  <c r="P49" i="15"/>
  <c r="AE48" i="15"/>
  <c r="AD48" i="15"/>
  <c r="AC48" i="15"/>
  <c r="P48" i="15"/>
  <c r="AG48" i="15" s="1"/>
  <c r="AG47" i="15"/>
  <c r="AE47" i="15"/>
  <c r="AC47" i="15"/>
  <c r="P47" i="15"/>
  <c r="AD47" i="15" s="1"/>
  <c r="AG46" i="15"/>
  <c r="AC46" i="15"/>
  <c r="P46" i="15"/>
  <c r="AD46" i="15" s="1"/>
  <c r="AE46" i="15" s="1"/>
  <c r="AC45" i="15"/>
  <c r="P45" i="15"/>
  <c r="AD45" i="15" s="1"/>
  <c r="AE45" i="15" s="1"/>
  <c r="AE44" i="15"/>
  <c r="AC44" i="15"/>
  <c r="AD44" i="15" s="1"/>
  <c r="P44" i="15"/>
  <c r="AG44" i="15" s="1"/>
  <c r="AC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AC42" i="15"/>
  <c r="P42" i="15"/>
  <c r="AC41" i="15"/>
  <c r="P41" i="15"/>
  <c r="AC40" i="15"/>
  <c r="AD40" i="15" s="1"/>
  <c r="AE40" i="15" s="1"/>
  <c r="P40" i="15"/>
  <c r="AG40" i="15" s="1"/>
  <c r="AD39" i="15"/>
  <c r="AE39" i="15" s="1"/>
  <c r="AC39" i="15"/>
  <c r="P39" i="15"/>
  <c r="AG39" i="15" s="1"/>
  <c r="AG38" i="15"/>
  <c r="AC38" i="15"/>
  <c r="P38" i="15"/>
  <c r="AG36" i="15"/>
  <c r="Y35" i="15"/>
  <c r="X35" i="15"/>
  <c r="M35" i="15"/>
  <c r="I35" i="15"/>
  <c r="H35" i="15"/>
  <c r="D35" i="15"/>
  <c r="AG34" i="15"/>
  <c r="AB33" i="15"/>
  <c r="AA33" i="15"/>
  <c r="Z33" i="15"/>
  <c r="Y33" i="15"/>
  <c r="X33" i="15"/>
  <c r="W33" i="15"/>
  <c r="V33" i="15"/>
  <c r="U33" i="15"/>
  <c r="T33" i="15"/>
  <c r="S33" i="15"/>
  <c r="R33" i="15"/>
  <c r="Q33" i="15"/>
  <c r="AG32" i="15"/>
  <c r="AC32" i="15"/>
  <c r="P32" i="15"/>
  <c r="AC31" i="15"/>
  <c r="M31" i="15"/>
  <c r="L31" i="15"/>
  <c r="H31" i="15"/>
  <c r="F31" i="15"/>
  <c r="D31" i="15"/>
  <c r="P31" i="15" s="1"/>
  <c r="AC30" i="15"/>
  <c r="N30" i="15"/>
  <c r="AF29" i="15"/>
  <c r="Z27" i="15"/>
  <c r="Y27" i="15"/>
  <c r="Y81" i="15" s="1"/>
  <c r="Y82" i="15" s="1"/>
  <c r="S27" i="15"/>
  <c r="AC26" i="15"/>
  <c r="L26" i="15"/>
  <c r="AC25" i="15"/>
  <c r="P25" i="15"/>
  <c r="AG25" i="15" s="1"/>
  <c r="AC24" i="15"/>
  <c r="AE24" i="15" s="1"/>
  <c r="P24" i="15"/>
  <c r="AG24" i="15" s="1"/>
  <c r="AG23" i="15"/>
  <c r="AB22" i="15"/>
  <c r="AA22" i="15"/>
  <c r="Z22" i="15"/>
  <c r="Y22" i="15"/>
  <c r="X22" i="15"/>
  <c r="W22" i="15"/>
  <c r="V22" i="15"/>
  <c r="U22" i="15"/>
  <c r="T22" i="15"/>
  <c r="S22" i="15"/>
  <c r="R22" i="15"/>
  <c r="Q22" i="15"/>
  <c r="O22" i="15"/>
  <c r="O31" i="15" s="1"/>
  <c r="N22" i="15"/>
  <c r="N31" i="15" s="1"/>
  <c r="M22" i="15"/>
  <c r="L22" i="15"/>
  <c r="K22" i="15"/>
  <c r="K31" i="15" s="1"/>
  <c r="J22" i="15"/>
  <c r="J31" i="15" s="1"/>
  <c r="I22" i="15"/>
  <c r="I31" i="15" s="1"/>
  <c r="H22" i="15"/>
  <c r="G22" i="15"/>
  <c r="G31" i="15" s="1"/>
  <c r="F22" i="15"/>
  <c r="E22" i="15"/>
  <c r="E31" i="15" s="1"/>
  <c r="D22" i="15"/>
  <c r="AD21" i="15"/>
  <c r="AE21" i="15" s="1"/>
  <c r="AC21" i="15"/>
  <c r="P21" i="15"/>
  <c r="AG21" i="15" s="1"/>
  <c r="AC20" i="15"/>
  <c r="P20" i="15"/>
  <c r="AG20" i="15" s="1"/>
  <c r="AD19" i="15"/>
  <c r="AE19" i="15" s="1"/>
  <c r="AC19" i="15"/>
  <c r="P19" i="15"/>
  <c r="AG19" i="15" s="1"/>
  <c r="AD18" i="15"/>
  <c r="AE18" i="15" s="1"/>
  <c r="AC18" i="15"/>
  <c r="AC22" i="15" s="1"/>
  <c r="P18" i="15"/>
  <c r="AG18" i="15" s="1"/>
  <c r="AE17" i="15"/>
  <c r="AD17" i="15"/>
  <c r="AC17" i="15"/>
  <c r="P17" i="15"/>
  <c r="AG16" i="15"/>
  <c r="AG15" i="15"/>
  <c r="AB14" i="15"/>
  <c r="AB98" i="15" s="1"/>
  <c r="AA14" i="15"/>
  <c r="AA27" i="15" s="1"/>
  <c r="AA81" i="15" s="1"/>
  <c r="AA82" i="15" s="1"/>
  <c r="Z14" i="15"/>
  <c r="Y14" i="15"/>
  <c r="Y98" i="15" s="1"/>
  <c r="X14" i="15"/>
  <c r="X98" i="15" s="1"/>
  <c r="W14" i="15"/>
  <c r="W27" i="15" s="1"/>
  <c r="W81" i="15" s="1"/>
  <c r="W82" i="15" s="1"/>
  <c r="V14" i="15"/>
  <c r="V27" i="15" s="1"/>
  <c r="U14" i="15"/>
  <c r="U98" i="15" s="1"/>
  <c r="T14" i="15"/>
  <c r="T98" i="15" s="1"/>
  <c r="S14" i="15"/>
  <c r="S98" i="15" s="1"/>
  <c r="R14" i="15"/>
  <c r="R27" i="15" s="1"/>
  <c r="Q14" i="15"/>
  <c r="Q27" i="15" s="1"/>
  <c r="O14" i="15"/>
  <c r="K14" i="15"/>
  <c r="J14" i="15"/>
  <c r="J98" i="15" s="1"/>
  <c r="F14" i="15"/>
  <c r="F98" i="15" s="1"/>
  <c r="AD13" i="15"/>
  <c r="AE13" i="15" s="1"/>
  <c r="AC13" i="15"/>
  <c r="AC97" i="15" s="1"/>
  <c r="O13" i="15"/>
  <c r="N13" i="15"/>
  <c r="M13" i="15"/>
  <c r="L13" i="15"/>
  <c r="K13" i="15"/>
  <c r="J13" i="15"/>
  <c r="I13" i="15"/>
  <c r="H13" i="15"/>
  <c r="G13" i="15"/>
  <c r="F13" i="15"/>
  <c r="E13" i="15"/>
  <c r="D13" i="15"/>
  <c r="P13" i="15" s="1"/>
  <c r="AC12" i="15"/>
  <c r="AC96" i="15" s="1"/>
  <c r="O12" i="15"/>
  <c r="N12" i="15"/>
  <c r="M12" i="15"/>
  <c r="L12" i="15"/>
  <c r="K12" i="15"/>
  <c r="J12" i="15"/>
  <c r="I12" i="15"/>
  <c r="H12" i="15"/>
  <c r="G12" i="15"/>
  <c r="F12" i="15"/>
  <c r="E12" i="15"/>
  <c r="D12" i="15"/>
  <c r="AC11" i="15"/>
  <c r="AC95" i="15" s="1"/>
  <c r="O11" i="15"/>
  <c r="N11" i="15"/>
  <c r="M11" i="15"/>
  <c r="L11" i="15"/>
  <c r="K11" i="15"/>
  <c r="J11" i="15"/>
  <c r="I11" i="15"/>
  <c r="H11" i="15"/>
  <c r="G11" i="15"/>
  <c r="F11" i="15"/>
  <c r="E11" i="15"/>
  <c r="D11" i="15"/>
  <c r="AC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AC9" i="15"/>
  <c r="AC93" i="15" s="1"/>
  <c r="O9" i="15"/>
  <c r="N9" i="15"/>
  <c r="N14" i="15" s="1"/>
  <c r="M9" i="15"/>
  <c r="L9" i="15"/>
  <c r="L14" i="15" s="1"/>
  <c r="K9" i="15"/>
  <c r="J9" i="15"/>
  <c r="I9" i="15"/>
  <c r="H9" i="15"/>
  <c r="H14" i="15" s="1"/>
  <c r="H26" i="15" s="1"/>
  <c r="G9" i="15"/>
  <c r="G14" i="15" s="1"/>
  <c r="G30" i="15" s="1"/>
  <c r="G29" i="15" s="1"/>
  <c r="F9" i="15"/>
  <c r="E9" i="15"/>
  <c r="D9" i="15"/>
  <c r="D14" i="15" s="1"/>
  <c r="V7" i="15"/>
  <c r="L7" i="15"/>
  <c r="P6" i="15"/>
  <c r="F6" i="15"/>
  <c r="C4" i="15"/>
  <c r="O2" i="15"/>
  <c r="N2" i="15"/>
  <c r="M2" i="15"/>
  <c r="L2" i="15"/>
  <c r="K2" i="15"/>
  <c r="J2" i="15"/>
  <c r="I2" i="15"/>
  <c r="H2" i="15"/>
  <c r="G2" i="15"/>
  <c r="F2" i="15"/>
  <c r="E2" i="15"/>
  <c r="D2" i="15"/>
  <c r="O1" i="15"/>
  <c r="N1" i="15"/>
  <c r="M1" i="15"/>
  <c r="L1" i="15"/>
  <c r="K1" i="15"/>
  <c r="J1" i="15"/>
  <c r="I1" i="15"/>
  <c r="H1" i="15"/>
  <c r="G1" i="15"/>
  <c r="F1" i="15"/>
  <c r="E1" i="15"/>
  <c r="D1" i="15"/>
  <c r="O141" i="14"/>
  <c r="N141" i="14"/>
  <c r="M141" i="14"/>
  <c r="L141" i="14"/>
  <c r="K141" i="14"/>
  <c r="J141" i="14"/>
  <c r="I141" i="14"/>
  <c r="H141" i="14"/>
  <c r="G141" i="14"/>
  <c r="F141" i="14"/>
  <c r="E141" i="14"/>
  <c r="D141" i="14"/>
  <c r="P140" i="14"/>
  <c r="P139" i="14"/>
  <c r="P138" i="14"/>
  <c r="AD136" i="14"/>
  <c r="AE136" i="14" s="1"/>
  <c r="AC136" i="14"/>
  <c r="P136" i="14"/>
  <c r="AG136" i="14" s="1"/>
  <c r="AG135" i="14"/>
  <c r="AA134" i="14"/>
  <c r="AA35" i="14" s="1"/>
  <c r="Z134" i="14"/>
  <c r="O134" i="14"/>
  <c r="K134" i="14"/>
  <c r="K35" i="14" s="1"/>
  <c r="F134" i="14"/>
  <c r="F35" i="14" s="1"/>
  <c r="AB133" i="14"/>
  <c r="AA133" i="14"/>
  <c r="Z133" i="14"/>
  <c r="Y133" i="14"/>
  <c r="X133" i="14"/>
  <c r="W133" i="14"/>
  <c r="V133" i="14"/>
  <c r="U133" i="14"/>
  <c r="T133" i="14"/>
  <c r="S133" i="14"/>
  <c r="R133" i="14"/>
  <c r="Q133" i="14"/>
  <c r="O133" i="14"/>
  <c r="N133" i="14"/>
  <c r="M133" i="14"/>
  <c r="L133" i="14"/>
  <c r="K133" i="14"/>
  <c r="J133" i="14"/>
  <c r="I133" i="14"/>
  <c r="H133" i="14"/>
  <c r="G133" i="14"/>
  <c r="F133" i="14"/>
  <c r="E133" i="14"/>
  <c r="D133" i="14"/>
  <c r="AC132" i="14"/>
  <c r="P132" i="14"/>
  <c r="P133" i="14" s="1"/>
  <c r="AC131" i="14"/>
  <c r="AD131" i="14" s="1"/>
  <c r="AE131" i="14" s="1"/>
  <c r="P131" i="14"/>
  <c r="AG131" i="14" s="1"/>
  <c r="AD130" i="14"/>
  <c r="AE130" i="14" s="1"/>
  <c r="AC130" i="14"/>
  <c r="P130" i="14"/>
  <c r="AG130" i="14" s="1"/>
  <c r="AC129" i="14"/>
  <c r="P129" i="14"/>
  <c r="AG129" i="14" s="1"/>
  <c r="AD128" i="14"/>
  <c r="AE128" i="14" s="1"/>
  <c r="AC128" i="14"/>
  <c r="P128" i="14"/>
  <c r="AG128" i="14" s="1"/>
  <c r="AD127" i="14"/>
  <c r="AE127" i="14" s="1"/>
  <c r="AC127" i="14"/>
  <c r="P127" i="14"/>
  <c r="AG127" i="14" s="1"/>
  <c r="AE126" i="14"/>
  <c r="AD126" i="14"/>
  <c r="AC126" i="14"/>
  <c r="P126" i="14"/>
  <c r="AG126" i="14" s="1"/>
  <c r="AG125" i="14"/>
  <c r="AC125" i="14"/>
  <c r="P125" i="14"/>
  <c r="AG124" i="14"/>
  <c r="AD124" i="14"/>
  <c r="AE124" i="14" s="1"/>
  <c r="AC124" i="14"/>
  <c r="P124" i="14"/>
  <c r="AG123" i="14"/>
  <c r="AB122" i="14"/>
  <c r="AA122" i="14"/>
  <c r="Z122" i="14"/>
  <c r="Y122" i="14"/>
  <c r="X122" i="14"/>
  <c r="W122" i="14"/>
  <c r="V122" i="14"/>
  <c r="U122" i="14"/>
  <c r="T122" i="14"/>
  <c r="S122" i="14"/>
  <c r="R122" i="14"/>
  <c r="Q122" i="14"/>
  <c r="O122" i="14"/>
  <c r="N122" i="14"/>
  <c r="M122" i="14"/>
  <c r="L122" i="14"/>
  <c r="K122" i="14"/>
  <c r="J122" i="14"/>
  <c r="I122" i="14"/>
  <c r="H122" i="14"/>
  <c r="G122" i="14"/>
  <c r="F122" i="14"/>
  <c r="E122" i="14"/>
  <c r="D122" i="14"/>
  <c r="AC121" i="14"/>
  <c r="P121" i="14"/>
  <c r="AD121" i="14" s="1"/>
  <c r="AE121" i="14" s="1"/>
  <c r="AC120" i="14"/>
  <c r="P120" i="14"/>
  <c r="AE119" i="14"/>
  <c r="AD119" i="14"/>
  <c r="AC119" i="14"/>
  <c r="P119" i="14"/>
  <c r="AG119" i="14" s="1"/>
  <c r="AG118" i="14"/>
  <c r="AC118" i="14"/>
  <c r="P118" i="14"/>
  <c r="AD118" i="14" s="1"/>
  <c r="AE118" i="14" s="1"/>
  <c r="AC117" i="14"/>
  <c r="P117" i="14"/>
  <c r="P122" i="14" s="1"/>
  <c r="AC116" i="14"/>
  <c r="P116" i="14"/>
  <c r="AC115" i="14"/>
  <c r="AD115" i="14" s="1"/>
  <c r="AE115" i="14" s="1"/>
  <c r="P115" i="14"/>
  <c r="AG115" i="14" s="1"/>
  <c r="AD114" i="14"/>
  <c r="AE114" i="14" s="1"/>
  <c r="AC114" i="14"/>
  <c r="P114" i="14"/>
  <c r="AG114" i="14" s="1"/>
  <c r="AG113" i="14"/>
  <c r="AB112" i="14"/>
  <c r="AA112" i="14"/>
  <c r="Z112" i="14"/>
  <c r="Y112" i="14"/>
  <c r="X112" i="14"/>
  <c r="W112" i="14"/>
  <c r="V112" i="14"/>
  <c r="V134" i="14" s="1"/>
  <c r="V35" i="14" s="1"/>
  <c r="U112" i="14"/>
  <c r="T112" i="14"/>
  <c r="S112" i="14"/>
  <c r="R112" i="14"/>
  <c r="R134" i="14" s="1"/>
  <c r="R35" i="14" s="1"/>
  <c r="Q112" i="14"/>
  <c r="O112" i="14"/>
  <c r="N112" i="14"/>
  <c r="N134" i="14" s="1"/>
  <c r="N35" i="14" s="1"/>
  <c r="M112" i="14"/>
  <c r="L112" i="14"/>
  <c r="K112" i="14"/>
  <c r="J112" i="14"/>
  <c r="J134" i="14" s="1"/>
  <c r="I112" i="14"/>
  <c r="H112" i="14"/>
  <c r="G112" i="14"/>
  <c r="F112" i="14"/>
  <c r="E112" i="14"/>
  <c r="D112" i="14"/>
  <c r="AE111" i="14"/>
  <c r="AD111" i="14"/>
  <c r="AC111" i="14"/>
  <c r="AC112" i="14" s="1"/>
  <c r="P111" i="14"/>
  <c r="AG111" i="14" s="1"/>
  <c r="AG110" i="14"/>
  <c r="AE110" i="14"/>
  <c r="AC110" i="14"/>
  <c r="P110" i="14"/>
  <c r="AD110" i="14" s="1"/>
  <c r="AG109" i="14"/>
  <c r="AC109" i="14"/>
  <c r="P109" i="14"/>
  <c r="AD109" i="14" s="1"/>
  <c r="AE109" i="14" s="1"/>
  <c r="AC108" i="14"/>
  <c r="P108" i="14"/>
  <c r="AG108" i="14" s="1"/>
  <c r="AE107" i="14"/>
  <c r="AD107" i="14"/>
  <c r="AC107" i="14"/>
  <c r="P107" i="14"/>
  <c r="AG107" i="14" s="1"/>
  <c r="AG106" i="14"/>
  <c r="AB105" i="14"/>
  <c r="AB134" i="14" s="1"/>
  <c r="AB35" i="14" s="1"/>
  <c r="AA105" i="14"/>
  <c r="Z105" i="14"/>
  <c r="Y105" i="14"/>
  <c r="Y134" i="14" s="1"/>
  <c r="Y35" i="14" s="1"/>
  <c r="X105" i="14"/>
  <c r="X134" i="14" s="1"/>
  <c r="X35" i="14" s="1"/>
  <c r="W105" i="14"/>
  <c r="W134" i="14" s="1"/>
  <c r="W35" i="14" s="1"/>
  <c r="V105" i="14"/>
  <c r="U105" i="14"/>
  <c r="U134" i="14" s="1"/>
  <c r="U35" i="14" s="1"/>
  <c r="T105" i="14"/>
  <c r="T134" i="14" s="1"/>
  <c r="S105" i="14"/>
  <c r="S134" i="14" s="1"/>
  <c r="R105" i="14"/>
  <c r="Q105" i="14"/>
  <c r="Q134" i="14" s="1"/>
  <c r="Q35" i="14" s="1"/>
  <c r="P105" i="14"/>
  <c r="O105" i="14"/>
  <c r="N105" i="14"/>
  <c r="M105" i="14"/>
  <c r="M134" i="14" s="1"/>
  <c r="M35" i="14" s="1"/>
  <c r="L105" i="14"/>
  <c r="L134" i="14" s="1"/>
  <c r="L35" i="14" s="1"/>
  <c r="K105" i="14"/>
  <c r="J105" i="14"/>
  <c r="I105" i="14"/>
  <c r="I134" i="14" s="1"/>
  <c r="I35" i="14" s="1"/>
  <c r="H105" i="14"/>
  <c r="H134" i="14" s="1"/>
  <c r="H35" i="14" s="1"/>
  <c r="G105" i="14"/>
  <c r="G134" i="14" s="1"/>
  <c r="G35" i="14" s="1"/>
  <c r="F105" i="14"/>
  <c r="E105" i="14"/>
  <c r="E134" i="14" s="1"/>
  <c r="E35" i="14" s="1"/>
  <c r="D105" i="14"/>
  <c r="D134" i="14" s="1"/>
  <c r="D35" i="14" s="1"/>
  <c r="AC104" i="14"/>
  <c r="P104" i="14"/>
  <c r="AC103" i="14"/>
  <c r="AD103" i="14" s="1"/>
  <c r="AE103" i="14" s="1"/>
  <c r="P103" i="14"/>
  <c r="AG103" i="14" s="1"/>
  <c r="AD102" i="14"/>
  <c r="AE102" i="14" s="1"/>
  <c r="AC102" i="14"/>
  <c r="P102" i="14"/>
  <c r="AG102" i="14" s="1"/>
  <c r="Y98" i="14"/>
  <c r="T98" i="14"/>
  <c r="V97" i="14"/>
  <c r="U97" i="14"/>
  <c r="T97" i="14"/>
  <c r="S97" i="14"/>
  <c r="R97" i="14"/>
  <c r="Q97" i="14"/>
  <c r="V96" i="14"/>
  <c r="U96" i="14"/>
  <c r="T96" i="14"/>
  <c r="S96" i="14"/>
  <c r="R96" i="14"/>
  <c r="Q96" i="14"/>
  <c r="V95" i="14"/>
  <c r="U95" i="14"/>
  <c r="T95" i="14"/>
  <c r="S95" i="14"/>
  <c r="R95" i="14"/>
  <c r="Q95" i="14"/>
  <c r="AC94" i="14"/>
  <c r="V94" i="14"/>
  <c r="U94" i="14"/>
  <c r="T94" i="14"/>
  <c r="S94" i="14"/>
  <c r="R94" i="14"/>
  <c r="Q94" i="14"/>
  <c r="V93" i="14"/>
  <c r="U93" i="14"/>
  <c r="T93" i="14"/>
  <c r="S93" i="14"/>
  <c r="R93" i="14"/>
  <c r="Q93" i="14"/>
  <c r="AG92" i="14"/>
  <c r="AG91" i="14"/>
  <c r="AB90" i="14"/>
  <c r="AA90" i="14"/>
  <c r="AA111" i="10" s="1"/>
  <c r="AA129" i="10" s="1"/>
  <c r="Z90" i="14"/>
  <c r="Y90" i="14"/>
  <c r="X90" i="14"/>
  <c r="W90" i="14"/>
  <c r="W111" i="10" s="1"/>
  <c r="W129" i="10" s="1"/>
  <c r="V90" i="14"/>
  <c r="U90" i="14"/>
  <c r="U98" i="14" s="1"/>
  <c r="T90" i="14"/>
  <c r="S90" i="14"/>
  <c r="S98" i="14" s="1"/>
  <c r="R90" i="14"/>
  <c r="Q90" i="14"/>
  <c r="Q98" i="14" s="1"/>
  <c r="O90" i="14"/>
  <c r="N90" i="14"/>
  <c r="N111" i="10" s="1"/>
  <c r="N129" i="10" s="1"/>
  <c r="M90" i="14"/>
  <c r="L90" i="14"/>
  <c r="K90" i="14"/>
  <c r="J90" i="14"/>
  <c r="J111" i="10" s="1"/>
  <c r="J129" i="10" s="1"/>
  <c r="I90" i="14"/>
  <c r="H90" i="14"/>
  <c r="G90" i="14"/>
  <c r="F90" i="14"/>
  <c r="F111" i="10" s="1"/>
  <c r="F129" i="10" s="1"/>
  <c r="E90" i="14"/>
  <c r="D90" i="14"/>
  <c r="AD89" i="14"/>
  <c r="AE89" i="14" s="1"/>
  <c r="AC89" i="14"/>
  <c r="P89" i="14"/>
  <c r="AG89" i="14" s="1"/>
  <c r="AG88" i="14"/>
  <c r="AC88" i="14"/>
  <c r="P88" i="14"/>
  <c r="AG87" i="14"/>
  <c r="AD87" i="14"/>
  <c r="AE87" i="14" s="1"/>
  <c r="AC87" i="14"/>
  <c r="P87" i="14"/>
  <c r="AD86" i="14"/>
  <c r="AE86" i="14" s="1"/>
  <c r="AC86" i="14"/>
  <c r="AC90" i="14" s="1"/>
  <c r="P86" i="14"/>
  <c r="AG86" i="14" s="1"/>
  <c r="AC85" i="14"/>
  <c r="P85" i="14"/>
  <c r="AG85" i="14" s="1"/>
  <c r="AB80" i="14"/>
  <c r="AA80" i="14"/>
  <c r="Z80" i="14"/>
  <c r="Y80" i="14"/>
  <c r="X80" i="14"/>
  <c r="W80" i="14"/>
  <c r="V80" i="14"/>
  <c r="U80" i="14"/>
  <c r="T80" i="14"/>
  <c r="S80" i="14"/>
  <c r="R80" i="14"/>
  <c r="Q80" i="14"/>
  <c r="AC79" i="14"/>
  <c r="AC78" i="14"/>
  <c r="P78" i="14"/>
  <c r="AG78" i="14" s="1"/>
  <c r="AD77" i="14"/>
  <c r="AE77" i="14" s="1"/>
  <c r="AC77" i="14"/>
  <c r="P77" i="14"/>
  <c r="AG77" i="14" s="1"/>
  <c r="AD76" i="14"/>
  <c r="AE76" i="14" s="1"/>
  <c r="AC76" i="14"/>
  <c r="P76" i="14"/>
  <c r="AG76" i="14" s="1"/>
  <c r="AD75" i="14"/>
  <c r="AE75" i="14" s="1"/>
  <c r="AC75" i="14"/>
  <c r="P75" i="14"/>
  <c r="AG75" i="14" s="1"/>
  <c r="AG74" i="14"/>
  <c r="AC74" i="14"/>
  <c r="P74" i="14"/>
  <c r="AG73" i="14"/>
  <c r="AD73" i="14"/>
  <c r="AE73" i="14" s="1"/>
  <c r="AC73" i="14"/>
  <c r="P73" i="14"/>
  <c r="AC72" i="14"/>
  <c r="AC71" i="14"/>
  <c r="P71" i="14"/>
  <c r="AD71" i="14" s="1"/>
  <c r="AE71" i="14" s="1"/>
  <c r="AC70" i="14"/>
  <c r="P70" i="14"/>
  <c r="AG69" i="14"/>
  <c r="AC69" i="14"/>
  <c r="P69" i="14"/>
  <c r="AD69" i="14" s="1"/>
  <c r="AE69" i="14" s="1"/>
  <c r="AE68" i="14"/>
  <c r="AD68" i="14"/>
  <c r="AC68" i="14"/>
  <c r="P68" i="14"/>
  <c r="AG68" i="14" s="1"/>
  <c r="AG67" i="14"/>
  <c r="AC67" i="14"/>
  <c r="P67" i="14"/>
  <c r="AD67" i="14" s="1"/>
  <c r="AE67" i="14" s="1"/>
  <c r="AC66" i="14"/>
  <c r="P66" i="14"/>
  <c r="AC65" i="14"/>
  <c r="P65" i="14"/>
  <c r="AC64" i="14"/>
  <c r="AD64" i="14" s="1"/>
  <c r="AE64" i="14" s="1"/>
  <c r="P64" i="14"/>
  <c r="AG64" i="14" s="1"/>
  <c r="AD63" i="14"/>
  <c r="AE63" i="14" s="1"/>
  <c r="AC63" i="14"/>
  <c r="P63" i="14"/>
  <c r="AG63" i="14" s="1"/>
  <c r="AC62" i="14"/>
  <c r="P62" i="14"/>
  <c r="AG62" i="14" s="1"/>
  <c r="AC61" i="14"/>
  <c r="AD61" i="14" s="1"/>
  <c r="AE61" i="14" s="1"/>
  <c r="P61" i="14"/>
  <c r="AG61" i="14" s="1"/>
  <c r="AD60" i="14"/>
  <c r="AE60" i="14" s="1"/>
  <c r="AC60" i="14"/>
  <c r="P60" i="14"/>
  <c r="AG60" i="14" s="1"/>
  <c r="AE59" i="14"/>
  <c r="AD59" i="14"/>
  <c r="AC59" i="14"/>
  <c r="P59" i="14"/>
  <c r="AG59" i="14" s="1"/>
  <c r="AG58" i="14"/>
  <c r="AC58" i="14"/>
  <c r="P58" i="14"/>
  <c r="AG57" i="14"/>
  <c r="AD57" i="14"/>
  <c r="AE57" i="14" s="1"/>
  <c r="AC57" i="14"/>
  <c r="P57" i="14"/>
  <c r="AE56" i="14"/>
  <c r="AD56" i="14"/>
  <c r="AC56" i="14"/>
  <c r="P56" i="14"/>
  <c r="AG56" i="14" s="1"/>
  <c r="AC55" i="14"/>
  <c r="P55" i="14"/>
  <c r="AG54" i="14"/>
  <c r="AC54" i="14"/>
  <c r="P54" i="14"/>
  <c r="AD54" i="14" s="1"/>
  <c r="AE54" i="14" s="1"/>
  <c r="AG53" i="14"/>
  <c r="AC53" i="14"/>
  <c r="P53" i="14"/>
  <c r="AD53" i="14" s="1"/>
  <c r="AE53" i="14" s="1"/>
  <c r="AE52" i="14"/>
  <c r="AD52" i="14"/>
  <c r="AC52" i="14"/>
  <c r="P52" i="14"/>
  <c r="AG52" i="14" s="1"/>
  <c r="AC51" i="14"/>
  <c r="P51" i="14"/>
  <c r="AD51" i="14" s="1"/>
  <c r="AE51" i="14" s="1"/>
  <c r="AC50" i="14"/>
  <c r="P50" i="14"/>
  <c r="AC49" i="14"/>
  <c r="P49" i="14"/>
  <c r="AC48" i="14"/>
  <c r="AD48" i="14" s="1"/>
  <c r="AE48" i="14" s="1"/>
  <c r="P48" i="14"/>
  <c r="AG48" i="14" s="1"/>
  <c r="AD47" i="14"/>
  <c r="AE47" i="14" s="1"/>
  <c r="AC47" i="14"/>
  <c r="P47" i="14"/>
  <c r="AG47" i="14" s="1"/>
  <c r="AC46" i="14"/>
  <c r="P46" i="14"/>
  <c r="AG46" i="14" s="1"/>
  <c r="AD45" i="14"/>
  <c r="AE45" i="14" s="1"/>
  <c r="AC45" i="14"/>
  <c r="P45" i="14"/>
  <c r="AG45" i="14" s="1"/>
  <c r="AD44" i="14"/>
  <c r="AE44" i="14" s="1"/>
  <c r="AC44" i="14"/>
  <c r="P44" i="14"/>
  <c r="AG44" i="14" s="1"/>
  <c r="AC43" i="14"/>
  <c r="O43" i="14"/>
  <c r="N43" i="14"/>
  <c r="M43" i="14"/>
  <c r="L43" i="14"/>
  <c r="K43" i="14"/>
  <c r="J43" i="14"/>
  <c r="J65" i="10" s="1"/>
  <c r="I43" i="14"/>
  <c r="H43" i="14"/>
  <c r="G43" i="14"/>
  <c r="F43" i="14"/>
  <c r="E43" i="14"/>
  <c r="D43" i="14"/>
  <c r="AG42" i="14"/>
  <c r="AC42" i="14"/>
  <c r="P42" i="14"/>
  <c r="AG41" i="14"/>
  <c r="AD41" i="14"/>
  <c r="AE41" i="14" s="1"/>
  <c r="AC41" i="14"/>
  <c r="P41" i="14"/>
  <c r="AD40" i="14"/>
  <c r="AE40" i="14" s="1"/>
  <c r="AC40" i="14"/>
  <c r="P40" i="14"/>
  <c r="AG40" i="14" s="1"/>
  <c r="AE39" i="14"/>
  <c r="AC39" i="14"/>
  <c r="P39" i="14"/>
  <c r="AD39" i="14" s="1"/>
  <c r="AC38" i="14"/>
  <c r="AC80" i="14" s="1"/>
  <c r="P38" i="14"/>
  <c r="AG38" i="14" s="1"/>
  <c r="AG37" i="14"/>
  <c r="AG36" i="14"/>
  <c r="Z35" i="14"/>
  <c r="T35" i="14"/>
  <c r="S35" i="14"/>
  <c r="O35" i="14"/>
  <c r="J35" i="14"/>
  <c r="AG34" i="14"/>
  <c r="AC33" i="14"/>
  <c r="AB33" i="14"/>
  <c r="AA33" i="14"/>
  <c r="Z33" i="14"/>
  <c r="Y33" i="14"/>
  <c r="X33" i="14"/>
  <c r="W33" i="14"/>
  <c r="V33" i="14"/>
  <c r="U33" i="14"/>
  <c r="T33" i="14"/>
  <c r="S33" i="14"/>
  <c r="R33" i="14"/>
  <c r="Q33" i="14"/>
  <c r="AD32" i="14"/>
  <c r="AE32" i="14" s="1"/>
  <c r="AC32" i="14"/>
  <c r="P32" i="14"/>
  <c r="AG32" i="14" s="1"/>
  <c r="AC31" i="14"/>
  <c r="O31" i="14"/>
  <c r="N31" i="14"/>
  <c r="H31" i="14"/>
  <c r="D31" i="14"/>
  <c r="P31" i="14" s="1"/>
  <c r="AC30" i="14"/>
  <c r="K30" i="14"/>
  <c r="D30" i="14"/>
  <c r="AA27" i="14"/>
  <c r="Z27" i="14"/>
  <c r="Z81" i="14" s="1"/>
  <c r="Z82" i="14" s="1"/>
  <c r="V27" i="14"/>
  <c r="D27" i="14"/>
  <c r="AC26" i="14"/>
  <c r="L26" i="14"/>
  <c r="K26" i="14"/>
  <c r="K27" i="14" s="1"/>
  <c r="H26" i="14"/>
  <c r="G26" i="14"/>
  <c r="D26" i="14"/>
  <c r="AD25" i="14"/>
  <c r="AE25" i="14" s="1"/>
  <c r="AC25" i="14"/>
  <c r="P25" i="14"/>
  <c r="AG25" i="14" s="1"/>
  <c r="AC24" i="14"/>
  <c r="AE24" i="14" s="1"/>
  <c r="P24" i="14"/>
  <c r="AG24" i="14" s="1"/>
  <c r="AG23" i="14"/>
  <c r="AB22" i="14"/>
  <c r="AA22" i="14"/>
  <c r="Z22" i="14"/>
  <c r="Y22" i="14"/>
  <c r="X22" i="14"/>
  <c r="W22" i="14"/>
  <c r="V22" i="14"/>
  <c r="U22" i="14"/>
  <c r="T22" i="14"/>
  <c r="S22" i="14"/>
  <c r="R22" i="14"/>
  <c r="Q22" i="14"/>
  <c r="O22" i="14"/>
  <c r="N22" i="14"/>
  <c r="M22" i="14"/>
  <c r="M31" i="14" s="1"/>
  <c r="L22" i="14"/>
  <c r="L31" i="14" s="1"/>
  <c r="K22" i="14"/>
  <c r="K31" i="14" s="1"/>
  <c r="J22" i="14"/>
  <c r="J31" i="14" s="1"/>
  <c r="I22" i="14"/>
  <c r="I31" i="14" s="1"/>
  <c r="H22" i="14"/>
  <c r="G22" i="14"/>
  <c r="G31" i="14" s="1"/>
  <c r="F22" i="14"/>
  <c r="F31" i="14" s="1"/>
  <c r="E22" i="14"/>
  <c r="E31" i="14" s="1"/>
  <c r="D22" i="14"/>
  <c r="AC21" i="14"/>
  <c r="P21" i="14"/>
  <c r="AG21" i="14" s="1"/>
  <c r="AD20" i="14"/>
  <c r="AE20" i="14" s="1"/>
  <c r="AC20" i="14"/>
  <c r="P20" i="14"/>
  <c r="AG20" i="14" s="1"/>
  <c r="AC19" i="14"/>
  <c r="AD19" i="14" s="1"/>
  <c r="AE19" i="14" s="1"/>
  <c r="P19" i="14"/>
  <c r="AG19" i="14" s="1"/>
  <c r="AE18" i="14"/>
  <c r="AD18" i="14"/>
  <c r="AC18" i="14"/>
  <c r="P18" i="14"/>
  <c r="AG18" i="14" s="1"/>
  <c r="AG17" i="14"/>
  <c r="AC17" i="14"/>
  <c r="P17" i="14"/>
  <c r="AG16" i="14"/>
  <c r="AG15" i="14"/>
  <c r="AB14" i="14"/>
  <c r="AA14" i="14"/>
  <c r="Z14" i="14"/>
  <c r="Y14" i="14"/>
  <c r="Y27" i="14" s="1"/>
  <c r="Y81" i="14" s="1"/>
  <c r="Y82" i="14" s="1"/>
  <c r="X14" i="14"/>
  <c r="X27" i="14" s="1"/>
  <c r="X81" i="14" s="1"/>
  <c r="X82" i="14" s="1"/>
  <c r="W14" i="14"/>
  <c r="V14" i="14"/>
  <c r="U14" i="14"/>
  <c r="U27" i="14" s="1"/>
  <c r="U81" i="14" s="1"/>
  <c r="U82" i="14" s="1"/>
  <c r="T14" i="14"/>
  <c r="T27" i="14" s="1"/>
  <c r="T81" i="14" s="1"/>
  <c r="T82" i="14" s="1"/>
  <c r="S14" i="14"/>
  <c r="S27" i="14" s="1"/>
  <c r="R14" i="14"/>
  <c r="Q14" i="14"/>
  <c r="Q27" i="14" s="1"/>
  <c r="Q81" i="14" s="1"/>
  <c r="Q82" i="14" s="1"/>
  <c r="L14" i="14"/>
  <c r="K14" i="14"/>
  <c r="K98" i="14" s="1"/>
  <c r="G14" i="14"/>
  <c r="F14" i="14"/>
  <c r="F27" i="14" s="1"/>
  <c r="AC13" i="14"/>
  <c r="AC97" i="14" s="1"/>
  <c r="O13" i="14"/>
  <c r="N13" i="14"/>
  <c r="M13" i="14"/>
  <c r="L13" i="14"/>
  <c r="K13" i="14"/>
  <c r="J13" i="14"/>
  <c r="I13" i="14"/>
  <c r="H13" i="14"/>
  <c r="G13" i="14"/>
  <c r="F13" i="14"/>
  <c r="E13" i="14"/>
  <c r="D13" i="14"/>
  <c r="AC12" i="14"/>
  <c r="AC96" i="14" s="1"/>
  <c r="O12" i="14"/>
  <c r="N12" i="14"/>
  <c r="M12" i="14"/>
  <c r="L12" i="14"/>
  <c r="K12" i="14"/>
  <c r="J12" i="14"/>
  <c r="I12" i="14"/>
  <c r="H12" i="14"/>
  <c r="G12" i="14"/>
  <c r="F12" i="14"/>
  <c r="E12" i="14"/>
  <c r="D12" i="14"/>
  <c r="AC11" i="14"/>
  <c r="AC95" i="14" s="1"/>
  <c r="O11" i="14"/>
  <c r="O26" i="14" s="1"/>
  <c r="N11" i="14"/>
  <c r="N26" i="14" s="1"/>
  <c r="M11" i="14"/>
  <c r="M26" i="14" s="1"/>
  <c r="L11" i="14"/>
  <c r="K11" i="14"/>
  <c r="J11" i="14"/>
  <c r="J26" i="14" s="1"/>
  <c r="I11" i="14"/>
  <c r="I26" i="14" s="1"/>
  <c r="H11" i="14"/>
  <c r="G11" i="14"/>
  <c r="F11" i="14"/>
  <c r="F26" i="14" s="1"/>
  <c r="E11" i="14"/>
  <c r="E26" i="14" s="1"/>
  <c r="D11" i="14"/>
  <c r="AD10" i="14"/>
  <c r="AE10" i="14" s="1"/>
  <c r="AC10" i="14"/>
  <c r="O10" i="14"/>
  <c r="N10" i="14"/>
  <c r="N14" i="14" s="1"/>
  <c r="M10" i="14"/>
  <c r="L10" i="14"/>
  <c r="K10" i="14"/>
  <c r="J10" i="14"/>
  <c r="J14" i="14" s="1"/>
  <c r="I10" i="14"/>
  <c r="H10" i="14"/>
  <c r="G10" i="14"/>
  <c r="F10" i="14"/>
  <c r="E10" i="14"/>
  <c r="D10" i="14"/>
  <c r="P10" i="14" s="1"/>
  <c r="AC9" i="14"/>
  <c r="O9" i="14"/>
  <c r="O14" i="14" s="1"/>
  <c r="N9" i="14"/>
  <c r="M9" i="14"/>
  <c r="L9" i="14"/>
  <c r="K9" i="14"/>
  <c r="J9" i="14"/>
  <c r="I9" i="14"/>
  <c r="H9" i="14"/>
  <c r="H14" i="14" s="1"/>
  <c r="G9" i="14"/>
  <c r="F9" i="14"/>
  <c r="E9" i="14"/>
  <c r="D9" i="14"/>
  <c r="D14" i="14" s="1"/>
  <c r="D98" i="14" s="1"/>
  <c r="AA7" i="14"/>
  <c r="F7" i="14"/>
  <c r="U6" i="14"/>
  <c r="K6" i="14"/>
  <c r="C4" i="14"/>
  <c r="O2" i="14"/>
  <c r="N2" i="14"/>
  <c r="M2" i="14"/>
  <c r="L2" i="14"/>
  <c r="K2" i="14"/>
  <c r="J2" i="14"/>
  <c r="I2" i="14"/>
  <c r="H2" i="14"/>
  <c r="G2" i="14"/>
  <c r="F2" i="14"/>
  <c r="E2" i="14"/>
  <c r="D2" i="14"/>
  <c r="O1" i="14"/>
  <c r="N1" i="14"/>
  <c r="M1" i="14"/>
  <c r="L1" i="14"/>
  <c r="K1" i="14"/>
  <c r="J1" i="14"/>
  <c r="I1" i="14"/>
  <c r="H1" i="14"/>
  <c r="G1" i="14"/>
  <c r="F1" i="14"/>
  <c r="E1" i="14"/>
  <c r="D1" i="14"/>
  <c r="O141" i="13"/>
  <c r="N141" i="13"/>
  <c r="M141" i="13"/>
  <c r="L141" i="13"/>
  <c r="K141" i="13"/>
  <c r="J141" i="13"/>
  <c r="I141" i="13"/>
  <c r="H141" i="13"/>
  <c r="G141" i="13"/>
  <c r="F141" i="13"/>
  <c r="E141" i="13"/>
  <c r="D141" i="13"/>
  <c r="P140" i="13"/>
  <c r="P139" i="13"/>
  <c r="P138" i="13"/>
  <c r="AD137" i="13"/>
  <c r="AE137" i="13" s="1"/>
  <c r="AC136" i="13"/>
  <c r="P136" i="13"/>
  <c r="AG136" i="13" s="1"/>
  <c r="AG135" i="13"/>
  <c r="N134" i="13"/>
  <c r="N35" i="13" s="1"/>
  <c r="J134" i="13"/>
  <c r="J35" i="13" s="1"/>
  <c r="AB133" i="13"/>
  <c r="AA133" i="13"/>
  <c r="Z133" i="13"/>
  <c r="Y133" i="13"/>
  <c r="X133" i="13"/>
  <c r="W133" i="13"/>
  <c r="V133" i="13"/>
  <c r="U133" i="13"/>
  <c r="T133" i="13"/>
  <c r="S133" i="13"/>
  <c r="R133" i="13"/>
  <c r="Q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AC132" i="13"/>
  <c r="P132" i="13"/>
  <c r="AG131" i="13"/>
  <c r="AC131" i="13"/>
  <c r="P131" i="13"/>
  <c r="AD131" i="13" s="1"/>
  <c r="AE131" i="13" s="1"/>
  <c r="AE130" i="13"/>
  <c r="AD130" i="13"/>
  <c r="AC130" i="13"/>
  <c r="P130" i="13"/>
  <c r="AG130" i="13" s="1"/>
  <c r="AG129" i="13"/>
  <c r="AC129" i="13"/>
  <c r="P129" i="13"/>
  <c r="AD129" i="13" s="1"/>
  <c r="AE129" i="13" s="1"/>
  <c r="AC128" i="13"/>
  <c r="P128" i="13"/>
  <c r="AC127" i="13"/>
  <c r="P127" i="13"/>
  <c r="AC126" i="13"/>
  <c r="AD126" i="13" s="1"/>
  <c r="AE126" i="13" s="1"/>
  <c r="P126" i="13"/>
  <c r="AG126" i="13" s="1"/>
  <c r="AD125" i="13"/>
  <c r="AE125" i="13" s="1"/>
  <c r="AC125" i="13"/>
  <c r="P125" i="13"/>
  <c r="AG125" i="13" s="1"/>
  <c r="AC124" i="13"/>
  <c r="AC133" i="13" s="1"/>
  <c r="P124" i="13"/>
  <c r="AG124" i="13" s="1"/>
  <c r="AG123" i="13"/>
  <c r="AB122" i="13"/>
  <c r="AA122" i="13"/>
  <c r="Z122" i="13"/>
  <c r="Y122" i="13"/>
  <c r="X122" i="13"/>
  <c r="W122" i="13"/>
  <c r="V122" i="13"/>
  <c r="U122" i="13"/>
  <c r="T122" i="13"/>
  <c r="S122" i="13"/>
  <c r="R122" i="13"/>
  <c r="Q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AE121" i="13"/>
  <c r="AD121" i="13"/>
  <c r="AC121" i="13"/>
  <c r="P121" i="13"/>
  <c r="AG121" i="13" s="1"/>
  <c r="AG120" i="13"/>
  <c r="AC120" i="13"/>
  <c r="P120" i="13"/>
  <c r="AG119" i="13"/>
  <c r="AD119" i="13"/>
  <c r="AE119" i="13" s="1"/>
  <c r="AC119" i="13"/>
  <c r="P119" i="13"/>
  <c r="AE118" i="13"/>
  <c r="AD118" i="13"/>
  <c r="AC118" i="13"/>
  <c r="P118" i="13"/>
  <c r="AG118" i="13" s="1"/>
  <c r="AC117" i="13"/>
  <c r="P117" i="13"/>
  <c r="AD117" i="13" s="1"/>
  <c r="AE117" i="13" s="1"/>
  <c r="AC116" i="13"/>
  <c r="P116" i="13"/>
  <c r="AG115" i="13"/>
  <c r="AC115" i="13"/>
  <c r="P115" i="13"/>
  <c r="AD115" i="13" s="1"/>
  <c r="AE115" i="13" s="1"/>
  <c r="AC114" i="13"/>
  <c r="AC122" i="13" s="1"/>
  <c r="P114" i="13"/>
  <c r="AG113" i="13"/>
  <c r="AB112" i="13"/>
  <c r="AA112" i="13"/>
  <c r="Z112" i="13"/>
  <c r="Y112" i="13"/>
  <c r="Y134" i="13" s="1"/>
  <c r="Y35" i="13" s="1"/>
  <c r="X112" i="13"/>
  <c r="W112" i="13"/>
  <c r="V112" i="13"/>
  <c r="U112" i="13"/>
  <c r="U134" i="13" s="1"/>
  <c r="U35" i="13" s="1"/>
  <c r="T112" i="13"/>
  <c r="S112" i="13"/>
  <c r="R112" i="13"/>
  <c r="Q112" i="13"/>
  <c r="Q134" i="13" s="1"/>
  <c r="Q35" i="13" s="1"/>
  <c r="P112" i="13"/>
  <c r="O112" i="13"/>
  <c r="N112" i="13"/>
  <c r="M112" i="13"/>
  <c r="M134" i="13" s="1"/>
  <c r="M35" i="13" s="1"/>
  <c r="L112" i="13"/>
  <c r="K112" i="13"/>
  <c r="J112" i="13"/>
  <c r="I112" i="13"/>
  <c r="I134" i="13" s="1"/>
  <c r="I35" i="13" s="1"/>
  <c r="H112" i="13"/>
  <c r="G112" i="13"/>
  <c r="F112" i="13"/>
  <c r="E112" i="13"/>
  <c r="E134" i="13" s="1"/>
  <c r="E35" i="13" s="1"/>
  <c r="D112" i="13"/>
  <c r="AC111" i="13"/>
  <c r="P111" i="13"/>
  <c r="AC110" i="13"/>
  <c r="AD110" i="13" s="1"/>
  <c r="AE110" i="13" s="1"/>
  <c r="P110" i="13"/>
  <c r="AG110" i="13" s="1"/>
  <c r="AD109" i="13"/>
  <c r="AE109" i="13" s="1"/>
  <c r="AC109" i="13"/>
  <c r="P109" i="13"/>
  <c r="AG109" i="13" s="1"/>
  <c r="AC108" i="13"/>
  <c r="P108" i="13"/>
  <c r="AG108" i="13" s="1"/>
  <c r="AD107" i="13"/>
  <c r="AE107" i="13" s="1"/>
  <c r="AC107" i="13"/>
  <c r="P107" i="13"/>
  <c r="AG107" i="13" s="1"/>
  <c r="AG106" i="13"/>
  <c r="AG105" i="13"/>
  <c r="AB105" i="13"/>
  <c r="AA105" i="13"/>
  <c r="AA134" i="13" s="1"/>
  <c r="Z105" i="13"/>
  <c r="Y105" i="13"/>
  <c r="X105" i="13"/>
  <c r="W105" i="13"/>
  <c r="W134" i="13" s="1"/>
  <c r="V105" i="13"/>
  <c r="U105" i="13"/>
  <c r="T105" i="13"/>
  <c r="S105" i="13"/>
  <c r="S134" i="13" s="1"/>
  <c r="S35" i="13" s="1"/>
  <c r="R105" i="13"/>
  <c r="Q105" i="13"/>
  <c r="O105" i="13"/>
  <c r="O134" i="13" s="1"/>
  <c r="O35" i="13" s="1"/>
  <c r="N105" i="13"/>
  <c r="M105" i="13"/>
  <c r="L105" i="13"/>
  <c r="K105" i="13"/>
  <c r="K134" i="13" s="1"/>
  <c r="J105" i="13"/>
  <c r="I105" i="13"/>
  <c r="H105" i="13"/>
  <c r="G105" i="13"/>
  <c r="G134" i="13" s="1"/>
  <c r="F105" i="13"/>
  <c r="F134" i="13" s="1"/>
  <c r="F35" i="13" s="1"/>
  <c r="E105" i="13"/>
  <c r="D105" i="13"/>
  <c r="AG104" i="13"/>
  <c r="AE104" i="13"/>
  <c r="AC104" i="13"/>
  <c r="P104" i="13"/>
  <c r="AD104" i="13" s="1"/>
  <c r="AG103" i="13"/>
  <c r="AD103" i="13"/>
  <c r="AE103" i="13" s="1"/>
  <c r="AC103" i="13"/>
  <c r="P103" i="13"/>
  <c r="P105" i="13" s="1"/>
  <c r="AE102" i="13"/>
  <c r="AD102" i="13"/>
  <c r="AC102" i="13"/>
  <c r="AC105" i="13" s="1"/>
  <c r="P102" i="13"/>
  <c r="AG102" i="13" s="1"/>
  <c r="AA98" i="13"/>
  <c r="Z98" i="13"/>
  <c r="T98" i="13"/>
  <c r="AC97" i="13"/>
  <c r="V97" i="13"/>
  <c r="U97" i="13"/>
  <c r="T97" i="13"/>
  <c r="S97" i="13"/>
  <c r="R97" i="13"/>
  <c r="Q97" i="13"/>
  <c r="V96" i="13"/>
  <c r="U96" i="13"/>
  <c r="T96" i="13"/>
  <c r="S96" i="13"/>
  <c r="R96" i="13"/>
  <c r="Q96" i="13"/>
  <c r="V95" i="13"/>
  <c r="U95" i="13"/>
  <c r="T95" i="13"/>
  <c r="S95" i="13"/>
  <c r="R95" i="13"/>
  <c r="Q95" i="13"/>
  <c r="AC94" i="13"/>
  <c r="V94" i="13"/>
  <c r="U94" i="13"/>
  <c r="T94" i="13"/>
  <c r="S94" i="13"/>
  <c r="R94" i="13"/>
  <c r="Q94" i="13"/>
  <c r="V93" i="13"/>
  <c r="U93" i="13"/>
  <c r="T93" i="13"/>
  <c r="S93" i="13"/>
  <c r="R93" i="13"/>
  <c r="Q93" i="13"/>
  <c r="AG92" i="13"/>
  <c r="AG91" i="13"/>
  <c r="AB90" i="13"/>
  <c r="AA90" i="13"/>
  <c r="Z90" i="13"/>
  <c r="Y90" i="13"/>
  <c r="X90" i="13"/>
  <c r="W90" i="13"/>
  <c r="V90" i="13"/>
  <c r="V98" i="13" s="1"/>
  <c r="U90" i="13"/>
  <c r="T90" i="13"/>
  <c r="S90" i="13"/>
  <c r="R90" i="13"/>
  <c r="R98" i="13" s="1"/>
  <c r="Q90" i="13"/>
  <c r="O90" i="13"/>
  <c r="N90" i="13"/>
  <c r="M90" i="13"/>
  <c r="L90" i="13"/>
  <c r="K90" i="13"/>
  <c r="J90" i="13"/>
  <c r="I90" i="13"/>
  <c r="H90" i="13"/>
  <c r="G90" i="13"/>
  <c r="F90" i="13"/>
  <c r="E90" i="13"/>
  <c r="D90" i="13"/>
  <c r="AE89" i="13"/>
  <c r="AD89" i="13"/>
  <c r="AC89" i="13"/>
  <c r="P89" i="13"/>
  <c r="AG89" i="13" s="1"/>
  <c r="AC88" i="13"/>
  <c r="P88" i="13"/>
  <c r="AG87" i="13"/>
  <c r="AC87" i="13"/>
  <c r="AC95" i="13" s="1"/>
  <c r="P87" i="13"/>
  <c r="AD87" i="13" s="1"/>
  <c r="AE87" i="13" s="1"/>
  <c r="AG86" i="13"/>
  <c r="AC86" i="13"/>
  <c r="P86" i="13"/>
  <c r="AC85" i="13"/>
  <c r="AC90" i="13" s="1"/>
  <c r="P85" i="13"/>
  <c r="AG85" i="13" s="1"/>
  <c r="AB80" i="13"/>
  <c r="AA80" i="13"/>
  <c r="Z80" i="13"/>
  <c r="Y80" i="13"/>
  <c r="X80" i="13"/>
  <c r="W80" i="13"/>
  <c r="V80" i="13"/>
  <c r="U80" i="13"/>
  <c r="T80" i="13"/>
  <c r="S80" i="13"/>
  <c r="R80" i="13"/>
  <c r="Q80" i="13"/>
  <c r="AC79" i="13"/>
  <c r="AG78" i="13"/>
  <c r="AD78" i="13"/>
  <c r="AE78" i="13" s="1"/>
  <c r="AC78" i="13"/>
  <c r="P78" i="13"/>
  <c r="AE77" i="13"/>
  <c r="AD77" i="13"/>
  <c r="AC77" i="13"/>
  <c r="P77" i="13"/>
  <c r="AG77" i="13" s="1"/>
  <c r="AC76" i="13"/>
  <c r="P76" i="13"/>
  <c r="AG75" i="13"/>
  <c r="AC75" i="13"/>
  <c r="P75" i="13"/>
  <c r="AD75" i="13" s="1"/>
  <c r="AE75" i="13" s="1"/>
  <c r="AG74" i="13"/>
  <c r="AC74" i="13"/>
  <c r="P74" i="13"/>
  <c r="AD74" i="13" s="1"/>
  <c r="AE74" i="13" s="1"/>
  <c r="AC73" i="13"/>
  <c r="AD73" i="13" s="1"/>
  <c r="AE73" i="13" s="1"/>
  <c r="P73" i="13"/>
  <c r="AG73" i="13" s="1"/>
  <c r="AC72" i="13"/>
  <c r="AG71" i="13"/>
  <c r="AC71" i="13"/>
  <c r="P71" i="13"/>
  <c r="AD70" i="13"/>
  <c r="AE70" i="13" s="1"/>
  <c r="AC70" i="13"/>
  <c r="P70" i="13"/>
  <c r="AG70" i="13" s="1"/>
  <c r="AD69" i="13"/>
  <c r="AE69" i="13" s="1"/>
  <c r="AC69" i="13"/>
  <c r="P69" i="13"/>
  <c r="AG69" i="13" s="1"/>
  <c r="AD68" i="13"/>
  <c r="AE68" i="13" s="1"/>
  <c r="AC68" i="13"/>
  <c r="P68" i="13"/>
  <c r="AG68" i="13" s="1"/>
  <c r="AG67" i="13"/>
  <c r="AE67" i="13"/>
  <c r="AC67" i="13"/>
  <c r="P67" i="13"/>
  <c r="AD67" i="13" s="1"/>
  <c r="AG66" i="13"/>
  <c r="AD66" i="13"/>
  <c r="AE66" i="13" s="1"/>
  <c r="AC66" i="13"/>
  <c r="P66" i="13"/>
  <c r="AD65" i="13"/>
  <c r="AE65" i="13" s="1"/>
  <c r="AC65" i="13"/>
  <c r="P65" i="13"/>
  <c r="AG65" i="13" s="1"/>
  <c r="AE64" i="13"/>
  <c r="AC64" i="13"/>
  <c r="P64" i="13"/>
  <c r="AD64" i="13" s="1"/>
  <c r="AC63" i="13"/>
  <c r="P63" i="13"/>
  <c r="AD63" i="13" s="1"/>
  <c r="AE63" i="13" s="1"/>
  <c r="AC62" i="13"/>
  <c r="P62" i="13"/>
  <c r="AE61" i="13"/>
  <c r="AC61" i="13"/>
  <c r="AD61" i="13" s="1"/>
  <c r="P61" i="13"/>
  <c r="AG61" i="13" s="1"/>
  <c r="AG60" i="13"/>
  <c r="AC60" i="13"/>
  <c r="P60" i="13"/>
  <c r="AD60" i="13" s="1"/>
  <c r="AE60" i="13" s="1"/>
  <c r="AC59" i="13"/>
  <c r="P59" i="13"/>
  <c r="AC58" i="13"/>
  <c r="P58" i="13"/>
  <c r="AC57" i="13"/>
  <c r="AD57" i="13" s="1"/>
  <c r="AE57" i="13" s="1"/>
  <c r="P57" i="13"/>
  <c r="AG57" i="13" s="1"/>
  <c r="AD56" i="13"/>
  <c r="AE56" i="13" s="1"/>
  <c r="AC56" i="13"/>
  <c r="P56" i="13"/>
  <c r="AG56" i="13" s="1"/>
  <c r="AG55" i="13"/>
  <c r="AC55" i="13"/>
  <c r="P55" i="13"/>
  <c r="AG54" i="13"/>
  <c r="AD54" i="13"/>
  <c r="AE54" i="13" s="1"/>
  <c r="AC54" i="13"/>
  <c r="P54" i="13"/>
  <c r="AD53" i="13"/>
  <c r="AE53" i="13" s="1"/>
  <c r="AC53" i="13"/>
  <c r="P53" i="13"/>
  <c r="AG53" i="13" s="1"/>
  <c r="AD52" i="13"/>
  <c r="AE52" i="13" s="1"/>
  <c r="AC52" i="13"/>
  <c r="P52" i="13"/>
  <c r="AG52" i="13" s="1"/>
  <c r="AG51" i="13"/>
  <c r="AE51" i="13"/>
  <c r="AC51" i="13"/>
  <c r="P51" i="13"/>
  <c r="AD51" i="13" s="1"/>
  <c r="AG50" i="13"/>
  <c r="AD50" i="13"/>
  <c r="AE50" i="13" s="1"/>
  <c r="AC50" i="13"/>
  <c r="P50" i="13"/>
  <c r="AD49" i="13"/>
  <c r="AE49" i="13" s="1"/>
  <c r="AC49" i="13"/>
  <c r="P49" i="13"/>
  <c r="AG49" i="13" s="1"/>
  <c r="AE48" i="13"/>
  <c r="AC48" i="13"/>
  <c r="P48" i="13"/>
  <c r="AD48" i="13" s="1"/>
  <c r="AC47" i="13"/>
  <c r="P47" i="13"/>
  <c r="AD47" i="13" s="1"/>
  <c r="AE47" i="13" s="1"/>
  <c r="AC46" i="13"/>
  <c r="P46" i="13"/>
  <c r="AE45" i="13"/>
  <c r="AC45" i="13"/>
  <c r="AD45" i="13" s="1"/>
  <c r="P45" i="13"/>
  <c r="AG45" i="13" s="1"/>
  <c r="AG44" i="13"/>
  <c r="AC44" i="13"/>
  <c r="P44" i="13"/>
  <c r="AD44" i="13" s="1"/>
  <c r="AE44" i="13" s="1"/>
  <c r="AC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AC42" i="13"/>
  <c r="P42" i="13"/>
  <c r="AC41" i="13"/>
  <c r="AD41" i="13" s="1"/>
  <c r="AE41" i="13" s="1"/>
  <c r="P41" i="13"/>
  <c r="AG41" i="13" s="1"/>
  <c r="AD40" i="13"/>
  <c r="AE40" i="13" s="1"/>
  <c r="AC40" i="13"/>
  <c r="P40" i="13"/>
  <c r="AG40" i="13" s="1"/>
  <c r="AC39" i="13"/>
  <c r="P39" i="13"/>
  <c r="AG39" i="13" s="1"/>
  <c r="AC38" i="13"/>
  <c r="P38" i="13"/>
  <c r="AG38" i="13" s="1"/>
  <c r="AG37" i="13"/>
  <c r="AG36" i="13"/>
  <c r="AA35" i="13"/>
  <c r="W35" i="13"/>
  <c r="K35" i="13"/>
  <c r="G35" i="13"/>
  <c r="AG34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AC32" i="13"/>
  <c r="P32" i="13"/>
  <c r="AD32" i="13" s="1"/>
  <c r="AE32" i="13" s="1"/>
  <c r="AC31" i="13"/>
  <c r="I31" i="13"/>
  <c r="E31" i="13"/>
  <c r="AC30" i="13"/>
  <c r="U27" i="13"/>
  <c r="Q27" i="13"/>
  <c r="Q81" i="13" s="1"/>
  <c r="Q82" i="13" s="1"/>
  <c r="AC26" i="13"/>
  <c r="M26" i="13"/>
  <c r="H26" i="13"/>
  <c r="F26" i="13"/>
  <c r="AE25" i="13"/>
  <c r="AD25" i="13"/>
  <c r="AC25" i="13"/>
  <c r="P25" i="13"/>
  <c r="AG25" i="13" s="1"/>
  <c r="AG24" i="13"/>
  <c r="AE24" i="13"/>
  <c r="AC24" i="13"/>
  <c r="P24" i="13"/>
  <c r="AG23" i="13"/>
  <c r="AB22" i="13"/>
  <c r="AB27" i="13" s="1"/>
  <c r="AA22" i="13"/>
  <c r="Z22" i="13"/>
  <c r="Y22" i="13"/>
  <c r="X22" i="13"/>
  <c r="X30" i="10" s="1"/>
  <c r="W22" i="13"/>
  <c r="V22" i="13"/>
  <c r="U22" i="13"/>
  <c r="T22" i="13"/>
  <c r="T30" i="10" s="1"/>
  <c r="S22" i="13"/>
  <c r="R22" i="13"/>
  <c r="Q22" i="13"/>
  <c r="O22" i="13"/>
  <c r="O31" i="13" s="1"/>
  <c r="N22" i="13"/>
  <c r="N31" i="13" s="1"/>
  <c r="M22" i="13"/>
  <c r="M31" i="13" s="1"/>
  <c r="L22" i="13"/>
  <c r="L31" i="13" s="1"/>
  <c r="K22" i="13"/>
  <c r="K31" i="13" s="1"/>
  <c r="J22" i="13"/>
  <c r="J31" i="13" s="1"/>
  <c r="I22" i="13"/>
  <c r="H22" i="13"/>
  <c r="H31" i="13" s="1"/>
  <c r="G22" i="13"/>
  <c r="G31" i="13" s="1"/>
  <c r="F22" i="13"/>
  <c r="F31" i="13" s="1"/>
  <c r="E22" i="13"/>
  <c r="D22" i="13"/>
  <c r="D31" i="13" s="1"/>
  <c r="P31" i="13" s="1"/>
  <c r="AG21" i="13"/>
  <c r="AC21" i="13"/>
  <c r="P21" i="13"/>
  <c r="AD21" i="13" s="1"/>
  <c r="AE21" i="13" s="1"/>
  <c r="AE20" i="13"/>
  <c r="AD20" i="13"/>
  <c r="AC20" i="13"/>
  <c r="P20" i="13"/>
  <c r="AG20" i="13" s="1"/>
  <c r="AG19" i="13"/>
  <c r="AC19" i="13"/>
  <c r="P19" i="13"/>
  <c r="AD19" i="13" s="1"/>
  <c r="AE19" i="13" s="1"/>
  <c r="AC18" i="13"/>
  <c r="P18" i="13"/>
  <c r="AC17" i="13"/>
  <c r="AC22" i="13" s="1"/>
  <c r="P17" i="13"/>
  <c r="AG16" i="13"/>
  <c r="AG15" i="13"/>
  <c r="AB14" i="13"/>
  <c r="AB98" i="13" s="1"/>
  <c r="AA14" i="13"/>
  <c r="Z14" i="13"/>
  <c r="Z27" i="13" s="1"/>
  <c r="Y14" i="13"/>
  <c r="Y98" i="13" s="1"/>
  <c r="X14" i="13"/>
  <c r="X98" i="13" s="1"/>
  <c r="W14" i="13"/>
  <c r="V14" i="13"/>
  <c r="V27" i="13" s="1"/>
  <c r="U14" i="13"/>
  <c r="U98" i="13" s="1"/>
  <c r="T14" i="13"/>
  <c r="S14" i="13"/>
  <c r="R14" i="13"/>
  <c r="R27" i="13" s="1"/>
  <c r="Q14" i="13"/>
  <c r="Q98" i="13" s="1"/>
  <c r="M14" i="13"/>
  <c r="I14" i="13"/>
  <c r="AC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P13" i="13" s="1"/>
  <c r="AC12" i="13"/>
  <c r="AC96" i="13" s="1"/>
  <c r="O12" i="13"/>
  <c r="N12" i="13"/>
  <c r="M12" i="13"/>
  <c r="L12" i="13"/>
  <c r="K12" i="13"/>
  <c r="J12" i="13"/>
  <c r="I12" i="13"/>
  <c r="H12" i="13"/>
  <c r="G12" i="13"/>
  <c r="F12" i="13"/>
  <c r="E12" i="13"/>
  <c r="D12" i="13"/>
  <c r="AC11" i="13"/>
  <c r="O11" i="13"/>
  <c r="N11" i="13"/>
  <c r="N26" i="13" s="1"/>
  <c r="M11" i="13"/>
  <c r="L11" i="13"/>
  <c r="K11" i="13"/>
  <c r="J11" i="13"/>
  <c r="J26" i="13" s="1"/>
  <c r="I11" i="13"/>
  <c r="H11" i="13"/>
  <c r="G11" i="13"/>
  <c r="F11" i="13"/>
  <c r="E11" i="13"/>
  <c r="D11" i="13"/>
  <c r="P11" i="13" s="1"/>
  <c r="AC10" i="13"/>
  <c r="O10" i="13"/>
  <c r="N10" i="13"/>
  <c r="M10" i="13"/>
  <c r="L10" i="13"/>
  <c r="L26" i="13" s="1"/>
  <c r="K10" i="13"/>
  <c r="J10" i="13"/>
  <c r="I10" i="13"/>
  <c r="I26" i="13" s="1"/>
  <c r="H10" i="13"/>
  <c r="G10" i="13"/>
  <c r="F10" i="13"/>
  <c r="E10" i="13"/>
  <c r="E26" i="13" s="1"/>
  <c r="D10" i="13"/>
  <c r="AG9" i="13"/>
  <c r="AC9" i="13"/>
  <c r="AC14" i="13" s="1"/>
  <c r="O9" i="13"/>
  <c r="N9" i="13"/>
  <c r="M9" i="13"/>
  <c r="L9" i="13"/>
  <c r="K9" i="13"/>
  <c r="J9" i="13"/>
  <c r="I9" i="13"/>
  <c r="H9" i="13"/>
  <c r="G9" i="13"/>
  <c r="F9" i="13"/>
  <c r="E9" i="13"/>
  <c r="E14" i="13" s="1"/>
  <c r="E98" i="13" s="1"/>
  <c r="D9" i="13"/>
  <c r="P9" i="13" s="1"/>
  <c r="X7" i="13"/>
  <c r="N7" i="13"/>
  <c r="AC6" i="13"/>
  <c r="R6" i="13"/>
  <c r="H6" i="13"/>
  <c r="C4" i="13"/>
  <c r="O2" i="13"/>
  <c r="N2" i="13"/>
  <c r="M2" i="13"/>
  <c r="L2" i="13"/>
  <c r="K2" i="13"/>
  <c r="J2" i="13"/>
  <c r="I2" i="13"/>
  <c r="H2" i="13"/>
  <c r="G2" i="13"/>
  <c r="F2" i="13"/>
  <c r="E2" i="13"/>
  <c r="D2" i="13"/>
  <c r="O1" i="13"/>
  <c r="N1" i="13"/>
  <c r="M1" i="13"/>
  <c r="L1" i="13"/>
  <c r="K1" i="13"/>
  <c r="J1" i="13"/>
  <c r="I1" i="13"/>
  <c r="H1" i="13"/>
  <c r="G1" i="13"/>
  <c r="F1" i="13"/>
  <c r="E1" i="13"/>
  <c r="D1" i="13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1" i="12"/>
  <c r="P140" i="12"/>
  <c r="P139" i="12"/>
  <c r="P138" i="12"/>
  <c r="AC136" i="12"/>
  <c r="P136" i="12"/>
  <c r="AD136" i="12" s="1"/>
  <c r="AE136" i="12" s="1"/>
  <c r="AG135" i="12"/>
  <c r="Y134" i="12"/>
  <c r="Y35" i="12" s="1"/>
  <c r="R134" i="12"/>
  <c r="R35" i="12" s="1"/>
  <c r="H134" i="12"/>
  <c r="H35" i="12" s="1"/>
  <c r="AB133" i="12"/>
  <c r="AA133" i="12"/>
  <c r="Z133" i="12"/>
  <c r="Y133" i="12"/>
  <c r="X133" i="12"/>
  <c r="W133" i="12"/>
  <c r="V133" i="12"/>
  <c r="U133" i="12"/>
  <c r="T133" i="12"/>
  <c r="S133" i="12"/>
  <c r="R133" i="12"/>
  <c r="Q133" i="12"/>
  <c r="O133" i="12"/>
  <c r="N133" i="12"/>
  <c r="M133" i="12"/>
  <c r="L133" i="12"/>
  <c r="K133" i="12"/>
  <c r="J133" i="12"/>
  <c r="I133" i="12"/>
  <c r="H133" i="12"/>
  <c r="G133" i="12"/>
  <c r="F133" i="12"/>
  <c r="E133" i="12"/>
  <c r="D133" i="12"/>
  <c r="AE132" i="12"/>
  <c r="AC132" i="12"/>
  <c r="P132" i="12"/>
  <c r="AD132" i="12" s="1"/>
  <c r="AC131" i="12"/>
  <c r="P131" i="12"/>
  <c r="AD131" i="12" s="1"/>
  <c r="AE131" i="12" s="1"/>
  <c r="AC130" i="12"/>
  <c r="P130" i="12"/>
  <c r="AE129" i="12"/>
  <c r="AD129" i="12"/>
  <c r="AC129" i="12"/>
  <c r="P129" i="12"/>
  <c r="AG129" i="12" s="1"/>
  <c r="AG128" i="12"/>
  <c r="AC128" i="12"/>
  <c r="P128" i="12"/>
  <c r="AD128" i="12" s="1"/>
  <c r="AE128" i="12" s="1"/>
  <c r="AC127" i="12"/>
  <c r="P127" i="12"/>
  <c r="AC126" i="12"/>
  <c r="P126" i="12"/>
  <c r="AC125" i="12"/>
  <c r="P125" i="12"/>
  <c r="AG125" i="12" s="1"/>
  <c r="AD124" i="12"/>
  <c r="AE124" i="12" s="1"/>
  <c r="AC124" i="12"/>
  <c r="P124" i="12"/>
  <c r="AG123" i="12"/>
  <c r="AB122" i="12"/>
  <c r="AA122" i="12"/>
  <c r="Z122" i="12"/>
  <c r="Y122" i="12"/>
  <c r="X122" i="12"/>
  <c r="W122" i="12"/>
  <c r="V122" i="12"/>
  <c r="U122" i="12"/>
  <c r="T122" i="12"/>
  <c r="S122" i="12"/>
  <c r="R122" i="12"/>
  <c r="Q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AE121" i="12"/>
  <c r="AD121" i="12"/>
  <c r="AC121" i="12"/>
  <c r="P121" i="12"/>
  <c r="AG121" i="12" s="1"/>
  <c r="AG120" i="12"/>
  <c r="AE120" i="12"/>
  <c r="AC120" i="12"/>
  <c r="P120" i="12"/>
  <c r="AD120" i="12" s="1"/>
  <c r="AG119" i="12"/>
  <c r="AC119" i="12"/>
  <c r="P119" i="12"/>
  <c r="AD119" i="12" s="1"/>
  <c r="AE119" i="12" s="1"/>
  <c r="AC118" i="12"/>
  <c r="P118" i="12"/>
  <c r="AD118" i="12" s="1"/>
  <c r="AE118" i="12" s="1"/>
  <c r="AE117" i="12"/>
  <c r="AD117" i="12"/>
  <c r="AC117" i="12"/>
  <c r="P117" i="12"/>
  <c r="AG117" i="12" s="1"/>
  <c r="AC116" i="12"/>
  <c r="P116" i="12"/>
  <c r="AC115" i="12"/>
  <c r="P115" i="12"/>
  <c r="AC114" i="12"/>
  <c r="AC122" i="12" s="1"/>
  <c r="P114" i="12"/>
  <c r="AG114" i="12" s="1"/>
  <c r="AG113" i="12"/>
  <c r="AB112" i="12"/>
  <c r="AB134" i="12" s="1"/>
  <c r="AA112" i="12"/>
  <c r="Z112" i="12"/>
  <c r="Y112" i="12"/>
  <c r="X112" i="12"/>
  <c r="X134" i="12" s="1"/>
  <c r="X35" i="12" s="1"/>
  <c r="W112" i="12"/>
  <c r="V112" i="12"/>
  <c r="U112" i="12"/>
  <c r="T112" i="12"/>
  <c r="T134" i="12" s="1"/>
  <c r="T35" i="12" s="1"/>
  <c r="S112" i="12"/>
  <c r="R112" i="12"/>
  <c r="Q112" i="12"/>
  <c r="O112" i="12"/>
  <c r="N112" i="12"/>
  <c r="M112" i="12"/>
  <c r="L112" i="12"/>
  <c r="L134" i="12" s="1"/>
  <c r="K112" i="12"/>
  <c r="J112" i="12"/>
  <c r="I112" i="12"/>
  <c r="H112" i="12"/>
  <c r="G112" i="12"/>
  <c r="F112" i="12"/>
  <c r="E112" i="12"/>
  <c r="D112" i="12"/>
  <c r="D134" i="12" s="1"/>
  <c r="D35" i="12" s="1"/>
  <c r="AC111" i="12"/>
  <c r="P111" i="12"/>
  <c r="AG111" i="12" s="1"/>
  <c r="AC110" i="12"/>
  <c r="P110" i="12"/>
  <c r="P112" i="12" s="1"/>
  <c r="AG112" i="12" s="1"/>
  <c r="AC109" i="12"/>
  <c r="AD109" i="12" s="1"/>
  <c r="AE109" i="12" s="1"/>
  <c r="P109" i="12"/>
  <c r="AG109" i="12" s="1"/>
  <c r="AD108" i="12"/>
  <c r="AE108" i="12" s="1"/>
  <c r="AC108" i="12"/>
  <c r="P108" i="12"/>
  <c r="AG108" i="12" s="1"/>
  <c r="AC107" i="12"/>
  <c r="P107" i="12"/>
  <c r="AG107" i="12" s="1"/>
  <c r="AG106" i="12"/>
  <c r="AB105" i="12"/>
  <c r="AA105" i="12"/>
  <c r="AA134" i="12" s="1"/>
  <c r="Z105" i="12"/>
  <c r="Z134" i="12" s="1"/>
  <c r="Y105" i="12"/>
  <c r="X105" i="12"/>
  <c r="W105" i="12"/>
  <c r="W134" i="12" s="1"/>
  <c r="W35" i="12" s="1"/>
  <c r="V105" i="12"/>
  <c r="V134" i="12" s="1"/>
  <c r="U105" i="12"/>
  <c r="U134" i="12" s="1"/>
  <c r="U35" i="12" s="1"/>
  <c r="T105" i="12"/>
  <c r="S105" i="12"/>
  <c r="S134" i="12" s="1"/>
  <c r="S35" i="12" s="1"/>
  <c r="R105" i="12"/>
  <c r="Q105" i="12"/>
  <c r="Q134" i="12" s="1"/>
  <c r="Q35" i="12" s="1"/>
  <c r="O105" i="12"/>
  <c r="O134" i="12" s="1"/>
  <c r="N105" i="12"/>
  <c r="N134" i="12" s="1"/>
  <c r="N35" i="12" s="1"/>
  <c r="M105" i="12"/>
  <c r="M134" i="12" s="1"/>
  <c r="M35" i="12" s="1"/>
  <c r="L105" i="12"/>
  <c r="K105" i="12"/>
  <c r="K134" i="12" s="1"/>
  <c r="J105" i="12"/>
  <c r="J134" i="12" s="1"/>
  <c r="J35" i="12" s="1"/>
  <c r="I105" i="12"/>
  <c r="I134" i="12" s="1"/>
  <c r="I35" i="12" s="1"/>
  <c r="H105" i="12"/>
  <c r="G105" i="12"/>
  <c r="F105" i="12"/>
  <c r="F134" i="12" s="1"/>
  <c r="F35" i="12" s="1"/>
  <c r="E105" i="12"/>
  <c r="E134" i="12" s="1"/>
  <c r="E35" i="12" s="1"/>
  <c r="D105" i="12"/>
  <c r="AE104" i="12"/>
  <c r="AD104" i="12"/>
  <c r="AC104" i="12"/>
  <c r="P104" i="12"/>
  <c r="AG104" i="12" s="1"/>
  <c r="AG103" i="12"/>
  <c r="AC103" i="12"/>
  <c r="P103" i="12"/>
  <c r="AG102" i="12"/>
  <c r="AD102" i="12"/>
  <c r="AE102" i="12" s="1"/>
  <c r="AC102" i="12"/>
  <c r="AC105" i="12" s="1"/>
  <c r="AD105" i="12" s="1"/>
  <c r="AE105" i="12" s="1"/>
  <c r="P102" i="12"/>
  <c r="P105" i="12" s="1"/>
  <c r="Y98" i="12"/>
  <c r="U98" i="12"/>
  <c r="V97" i="12"/>
  <c r="U97" i="12"/>
  <c r="T97" i="12"/>
  <c r="S97" i="12"/>
  <c r="R97" i="12"/>
  <c r="Q97" i="12"/>
  <c r="V96" i="12"/>
  <c r="U96" i="12"/>
  <c r="T96" i="12"/>
  <c r="S96" i="12"/>
  <c r="R96" i="12"/>
  <c r="Q96" i="12"/>
  <c r="V95" i="12"/>
  <c r="U95" i="12"/>
  <c r="T95" i="12"/>
  <c r="S95" i="12"/>
  <c r="R95" i="12"/>
  <c r="Q95" i="12"/>
  <c r="AC94" i="12"/>
  <c r="V94" i="12"/>
  <c r="U94" i="12"/>
  <c r="T94" i="12"/>
  <c r="S94" i="12"/>
  <c r="R94" i="12"/>
  <c r="Q94" i="12"/>
  <c r="V93" i="12"/>
  <c r="U93" i="12"/>
  <c r="T93" i="12"/>
  <c r="S93" i="12"/>
  <c r="R93" i="12"/>
  <c r="Q93" i="12"/>
  <c r="AG92" i="12"/>
  <c r="AG91" i="12"/>
  <c r="AB90" i="12"/>
  <c r="AA90" i="12"/>
  <c r="AA110" i="10" s="1"/>
  <c r="AA128" i="10" s="1"/>
  <c r="Z90" i="12"/>
  <c r="Y90" i="12"/>
  <c r="X90" i="12"/>
  <c r="W90" i="12"/>
  <c r="W110" i="10" s="1"/>
  <c r="W128" i="10" s="1"/>
  <c r="V90" i="12"/>
  <c r="U90" i="12"/>
  <c r="T90" i="12"/>
  <c r="S90" i="12"/>
  <c r="S110" i="10" s="1"/>
  <c r="S128" i="10" s="1"/>
  <c r="R90" i="12"/>
  <c r="Q90" i="12"/>
  <c r="Q98" i="12" s="1"/>
  <c r="O90" i="12"/>
  <c r="O110" i="10" s="1"/>
  <c r="N90" i="12"/>
  <c r="M90" i="12"/>
  <c r="L90" i="12"/>
  <c r="K90" i="12"/>
  <c r="K110" i="10" s="1"/>
  <c r="J90" i="12"/>
  <c r="I90" i="12"/>
  <c r="H90" i="12"/>
  <c r="G90" i="12"/>
  <c r="G110" i="10" s="1"/>
  <c r="F90" i="12"/>
  <c r="E90" i="12"/>
  <c r="D90" i="12"/>
  <c r="AG89" i="12"/>
  <c r="AD89" i="12"/>
  <c r="AE89" i="12" s="1"/>
  <c r="AC89" i="12"/>
  <c r="P89" i="12"/>
  <c r="AE88" i="12"/>
  <c r="AD88" i="12"/>
  <c r="AC88" i="12"/>
  <c r="AC90" i="12" s="1"/>
  <c r="P88" i="12"/>
  <c r="AG88" i="12" s="1"/>
  <c r="AC87" i="12"/>
  <c r="P87" i="12"/>
  <c r="AG87" i="12" s="1"/>
  <c r="AC86" i="12"/>
  <c r="P86" i="12"/>
  <c r="AC85" i="12"/>
  <c r="P85" i="12"/>
  <c r="AB80" i="12"/>
  <c r="AA80" i="12"/>
  <c r="Z80" i="12"/>
  <c r="Y80" i="12"/>
  <c r="X80" i="12"/>
  <c r="W80" i="12"/>
  <c r="V80" i="12"/>
  <c r="U80" i="12"/>
  <c r="U81" i="12" s="1"/>
  <c r="U82" i="12" s="1"/>
  <c r="T80" i="12"/>
  <c r="S80" i="12"/>
  <c r="R80" i="12"/>
  <c r="Q80" i="12"/>
  <c r="AC79" i="12"/>
  <c r="AG78" i="12"/>
  <c r="AC78" i="12"/>
  <c r="P78" i="12"/>
  <c r="AG77" i="12"/>
  <c r="AD77" i="12"/>
  <c r="AE77" i="12" s="1"/>
  <c r="AC77" i="12"/>
  <c r="P77" i="12"/>
  <c r="AE76" i="12"/>
  <c r="AD76" i="12"/>
  <c r="AC76" i="12"/>
  <c r="P76" i="12"/>
  <c r="AG76" i="12" s="1"/>
  <c r="AC75" i="12"/>
  <c r="P75" i="12"/>
  <c r="AD75" i="12" s="1"/>
  <c r="AE75" i="12" s="1"/>
  <c r="AC74" i="12"/>
  <c r="P74" i="12"/>
  <c r="AC73" i="12"/>
  <c r="P73" i="12"/>
  <c r="AC72" i="12"/>
  <c r="AC71" i="12"/>
  <c r="P71" i="12"/>
  <c r="AG71" i="12" s="1"/>
  <c r="AC70" i="12"/>
  <c r="P70" i="12"/>
  <c r="AG70" i="12" s="1"/>
  <c r="AC69" i="12"/>
  <c r="P69" i="12"/>
  <c r="AG69" i="12" s="1"/>
  <c r="AC68" i="12"/>
  <c r="AD68" i="12" s="1"/>
  <c r="AE68" i="12" s="1"/>
  <c r="P68" i="12"/>
  <c r="AG68" i="12" s="1"/>
  <c r="AD67" i="12"/>
  <c r="AE67" i="12" s="1"/>
  <c r="AC67" i="12"/>
  <c r="P67" i="12"/>
  <c r="AG67" i="12" s="1"/>
  <c r="AC66" i="12"/>
  <c r="P66" i="12"/>
  <c r="AG66" i="12" s="1"/>
  <c r="AD65" i="12"/>
  <c r="AE65" i="12" s="1"/>
  <c r="AC65" i="12"/>
  <c r="P65" i="12"/>
  <c r="AG65" i="12" s="1"/>
  <c r="AD64" i="12"/>
  <c r="AE64" i="12" s="1"/>
  <c r="AC64" i="12"/>
  <c r="P64" i="12"/>
  <c r="AG64" i="12" s="1"/>
  <c r="AE63" i="12"/>
  <c r="AD63" i="12"/>
  <c r="AC63" i="12"/>
  <c r="P63" i="12"/>
  <c r="AG63" i="12" s="1"/>
  <c r="AG62" i="12"/>
  <c r="AC62" i="12"/>
  <c r="P62" i="12"/>
  <c r="AG61" i="12"/>
  <c r="AD61" i="12"/>
  <c r="AE61" i="12" s="1"/>
  <c r="AC61" i="12"/>
  <c r="P61" i="12"/>
  <c r="AE60" i="12"/>
  <c r="AD60" i="12"/>
  <c r="AC60" i="12"/>
  <c r="P60" i="12"/>
  <c r="AG60" i="12" s="1"/>
  <c r="AG59" i="12"/>
  <c r="AC59" i="12"/>
  <c r="P59" i="12"/>
  <c r="AD59" i="12" s="1"/>
  <c r="AE59" i="12" s="1"/>
  <c r="AC58" i="12"/>
  <c r="P58" i="12"/>
  <c r="AC57" i="12"/>
  <c r="P57" i="12"/>
  <c r="AC56" i="12"/>
  <c r="AD56" i="12" s="1"/>
  <c r="AE56" i="12" s="1"/>
  <c r="P56" i="12"/>
  <c r="AG56" i="12" s="1"/>
  <c r="AC55" i="12"/>
  <c r="P55" i="12"/>
  <c r="AG55" i="12" s="1"/>
  <c r="AC54" i="12"/>
  <c r="P54" i="12"/>
  <c r="AG54" i="12" s="1"/>
  <c r="AC53" i="12"/>
  <c r="P53" i="12"/>
  <c r="AG53" i="12" s="1"/>
  <c r="AC52" i="12"/>
  <c r="AD52" i="12" s="1"/>
  <c r="AE52" i="12" s="1"/>
  <c r="P52" i="12"/>
  <c r="AG52" i="12" s="1"/>
  <c r="AD51" i="12"/>
  <c r="AE51" i="12" s="1"/>
  <c r="AC51" i="12"/>
  <c r="P51" i="12"/>
  <c r="AG51" i="12" s="1"/>
  <c r="AC50" i="12"/>
  <c r="P50" i="12"/>
  <c r="AG50" i="12" s="1"/>
  <c r="AD49" i="12"/>
  <c r="AE49" i="12" s="1"/>
  <c r="AC49" i="12"/>
  <c r="P49" i="12"/>
  <c r="AG49" i="12" s="1"/>
  <c r="AD48" i="12"/>
  <c r="AE48" i="12" s="1"/>
  <c r="AC48" i="12"/>
  <c r="P48" i="12"/>
  <c r="AG48" i="12" s="1"/>
  <c r="AE47" i="12"/>
  <c r="AD47" i="12"/>
  <c r="AC47" i="12"/>
  <c r="P47" i="12"/>
  <c r="AG47" i="12" s="1"/>
  <c r="AG46" i="12"/>
  <c r="AC46" i="12"/>
  <c r="P46" i="12"/>
  <c r="AG45" i="12"/>
  <c r="AD45" i="12"/>
  <c r="AE45" i="12" s="1"/>
  <c r="AC45" i="12"/>
  <c r="P45" i="12"/>
  <c r="AE44" i="12"/>
  <c r="AD44" i="12"/>
  <c r="AC44" i="12"/>
  <c r="P44" i="12"/>
  <c r="AG44" i="12" s="1"/>
  <c r="AC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AC42" i="12"/>
  <c r="P42" i="12"/>
  <c r="AC41" i="12"/>
  <c r="P41" i="12"/>
  <c r="AE40" i="12"/>
  <c r="AD40" i="12"/>
  <c r="AC40" i="12"/>
  <c r="P40" i="12"/>
  <c r="AG40" i="12" s="1"/>
  <c r="AC39" i="12"/>
  <c r="P39" i="12"/>
  <c r="AG39" i="12" s="1"/>
  <c r="AC38" i="12"/>
  <c r="P38" i="12"/>
  <c r="AG38" i="12" s="1"/>
  <c r="AG37" i="12"/>
  <c r="AG36" i="12"/>
  <c r="AB35" i="12"/>
  <c r="AA35" i="12"/>
  <c r="Z35" i="12"/>
  <c r="V35" i="12"/>
  <c r="O35" i="12"/>
  <c r="L35" i="12"/>
  <c r="K35" i="12"/>
  <c r="AG34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AE32" i="12"/>
  <c r="AD32" i="12"/>
  <c r="AC32" i="12"/>
  <c r="P32" i="12"/>
  <c r="AG32" i="12" s="1"/>
  <c r="AC31" i="12"/>
  <c r="K31" i="12"/>
  <c r="F31" i="12"/>
  <c r="P31" i="12" s="1"/>
  <c r="D31" i="12"/>
  <c r="AC30" i="12"/>
  <c r="L30" i="12"/>
  <c r="AB27" i="12"/>
  <c r="AB81" i="12" s="1"/>
  <c r="AB82" i="12" s="1"/>
  <c r="W27" i="12"/>
  <c r="AC26" i="12"/>
  <c r="H26" i="12"/>
  <c r="AG25" i="12"/>
  <c r="AD25" i="12"/>
  <c r="AE25" i="12" s="1"/>
  <c r="AC25" i="12"/>
  <c r="P25" i="12"/>
  <c r="AE24" i="12"/>
  <c r="AC24" i="12"/>
  <c r="P24" i="12"/>
  <c r="AG24" i="12" s="1"/>
  <c r="AG23" i="12"/>
  <c r="AB22" i="12"/>
  <c r="AA22" i="12"/>
  <c r="AA27" i="12" s="1"/>
  <c r="Z22" i="12"/>
  <c r="Y22" i="12"/>
  <c r="X22" i="12"/>
  <c r="W22" i="12"/>
  <c r="V22" i="12"/>
  <c r="U22" i="12"/>
  <c r="T22" i="12"/>
  <c r="S22" i="12"/>
  <c r="R22" i="12"/>
  <c r="Q22" i="12"/>
  <c r="O22" i="12"/>
  <c r="O31" i="12" s="1"/>
  <c r="N22" i="12"/>
  <c r="N31" i="12" s="1"/>
  <c r="M22" i="12"/>
  <c r="M31" i="12" s="1"/>
  <c r="L22" i="12"/>
  <c r="L31" i="12" s="1"/>
  <c r="K22" i="12"/>
  <c r="J22" i="12"/>
  <c r="J31" i="12" s="1"/>
  <c r="I22" i="12"/>
  <c r="I31" i="12" s="1"/>
  <c r="H22" i="12"/>
  <c r="H31" i="12" s="1"/>
  <c r="G22" i="12"/>
  <c r="G31" i="12" s="1"/>
  <c r="F22" i="12"/>
  <c r="E22" i="12"/>
  <c r="E31" i="12" s="1"/>
  <c r="D22" i="12"/>
  <c r="AG21" i="12"/>
  <c r="AC21" i="12"/>
  <c r="P21" i="12"/>
  <c r="AG20" i="12"/>
  <c r="AD20" i="12"/>
  <c r="AE20" i="12" s="1"/>
  <c r="AC20" i="12"/>
  <c r="P20" i="12"/>
  <c r="AE19" i="12"/>
  <c r="AD19" i="12"/>
  <c r="AC19" i="12"/>
  <c r="P19" i="12"/>
  <c r="AG19" i="12" s="1"/>
  <c r="AG18" i="12"/>
  <c r="AC18" i="12"/>
  <c r="P18" i="12"/>
  <c r="AD18" i="12" s="1"/>
  <c r="AE18" i="12" s="1"/>
  <c r="AC17" i="12"/>
  <c r="P17" i="12"/>
  <c r="AG16" i="12"/>
  <c r="AG15" i="12"/>
  <c r="AB14" i="12"/>
  <c r="AB98" i="12" s="1"/>
  <c r="AA14" i="12"/>
  <c r="Z14" i="12"/>
  <c r="Y14" i="12"/>
  <c r="Y27" i="12" s="1"/>
  <c r="Y81" i="12" s="1"/>
  <c r="Y82" i="12" s="1"/>
  <c r="X14" i="12"/>
  <c r="X98" i="12" s="1"/>
  <c r="W14" i="12"/>
  <c r="V14" i="12"/>
  <c r="U14" i="12"/>
  <c r="U27" i="12" s="1"/>
  <c r="T14" i="12"/>
  <c r="T98" i="12" s="1"/>
  <c r="S14" i="12"/>
  <c r="R14" i="12"/>
  <c r="Q14" i="12"/>
  <c r="Q27" i="12" s="1"/>
  <c r="Q81" i="12" s="1"/>
  <c r="Q82" i="12" s="1"/>
  <c r="N14" i="12"/>
  <c r="L14" i="12"/>
  <c r="L98" i="12" s="1"/>
  <c r="H14" i="12"/>
  <c r="AG13" i="12"/>
  <c r="AC13" i="12"/>
  <c r="AC97" i="12" s="1"/>
  <c r="O13" i="12"/>
  <c r="N13" i="12"/>
  <c r="M13" i="12"/>
  <c r="L13" i="12"/>
  <c r="K13" i="12"/>
  <c r="J13" i="12"/>
  <c r="I13" i="12"/>
  <c r="H13" i="12"/>
  <c r="G13" i="12"/>
  <c r="F13" i="12"/>
  <c r="E13" i="12"/>
  <c r="D13" i="12"/>
  <c r="P13" i="12" s="1"/>
  <c r="AC12" i="12"/>
  <c r="AC96" i="12" s="1"/>
  <c r="O12" i="12"/>
  <c r="N12" i="12"/>
  <c r="M12" i="12"/>
  <c r="L12" i="12"/>
  <c r="K12" i="12"/>
  <c r="J12" i="12"/>
  <c r="I12" i="12"/>
  <c r="H12" i="12"/>
  <c r="G12" i="12"/>
  <c r="F12" i="12"/>
  <c r="E12" i="12"/>
  <c r="D12" i="12"/>
  <c r="P12" i="12" s="1"/>
  <c r="AD12" i="12" s="1"/>
  <c r="AE12" i="12" s="1"/>
  <c r="AC11" i="12"/>
  <c r="AC95" i="12" s="1"/>
  <c r="O11" i="12"/>
  <c r="N11" i="12"/>
  <c r="M11" i="12"/>
  <c r="L11" i="12"/>
  <c r="K11" i="12"/>
  <c r="J11" i="12"/>
  <c r="I11" i="12"/>
  <c r="H11" i="12"/>
  <c r="G11" i="12"/>
  <c r="F11" i="12"/>
  <c r="E11" i="12"/>
  <c r="D11" i="12"/>
  <c r="AC10" i="12"/>
  <c r="O10" i="12"/>
  <c r="N10" i="12"/>
  <c r="M10" i="12"/>
  <c r="L10" i="12"/>
  <c r="K10" i="12"/>
  <c r="J10" i="12"/>
  <c r="J14" i="12" s="1"/>
  <c r="J98" i="12" s="1"/>
  <c r="I10" i="12"/>
  <c r="H10" i="12"/>
  <c r="G10" i="12"/>
  <c r="F10" i="12"/>
  <c r="F14" i="12" s="1"/>
  <c r="E10" i="12"/>
  <c r="D10" i="12"/>
  <c r="AC9" i="12"/>
  <c r="O9" i="12"/>
  <c r="N9" i="12"/>
  <c r="M9" i="12"/>
  <c r="L9" i="12"/>
  <c r="K9" i="12"/>
  <c r="J9" i="12"/>
  <c r="I9" i="12"/>
  <c r="H9" i="12"/>
  <c r="G9" i="12"/>
  <c r="F9" i="12"/>
  <c r="E9" i="12"/>
  <c r="D9" i="12"/>
  <c r="D14" i="12" s="1"/>
  <c r="W7" i="12"/>
  <c r="R7" i="12"/>
  <c r="G7" i="12"/>
  <c r="AB6" i="12"/>
  <c r="W6" i="12"/>
  <c r="Q6" i="12"/>
  <c r="L6" i="12"/>
  <c r="C4" i="12"/>
  <c r="O2" i="12"/>
  <c r="N2" i="12"/>
  <c r="M2" i="12"/>
  <c r="L2" i="12"/>
  <c r="K2" i="12"/>
  <c r="J2" i="12"/>
  <c r="I2" i="12"/>
  <c r="H2" i="12"/>
  <c r="G2" i="12"/>
  <c r="F2" i="12"/>
  <c r="E2" i="12"/>
  <c r="D2" i="12"/>
  <c r="O1" i="12"/>
  <c r="N1" i="12"/>
  <c r="M1" i="12"/>
  <c r="L1" i="12"/>
  <c r="K1" i="12"/>
  <c r="J1" i="12"/>
  <c r="I1" i="12"/>
  <c r="H1" i="12"/>
  <c r="G1" i="12"/>
  <c r="F1" i="12"/>
  <c r="E1" i="12"/>
  <c r="D1" i="12"/>
  <c r="O141" i="11"/>
  <c r="N141" i="11"/>
  <c r="M141" i="11"/>
  <c r="L141" i="11"/>
  <c r="K141" i="11"/>
  <c r="J141" i="11"/>
  <c r="I141" i="11"/>
  <c r="H141" i="11"/>
  <c r="G141" i="11"/>
  <c r="F141" i="11"/>
  <c r="E141" i="11"/>
  <c r="D141" i="11"/>
  <c r="P140" i="11"/>
  <c r="P139" i="11"/>
  <c r="P138" i="11"/>
  <c r="AD136" i="11"/>
  <c r="AE136" i="11" s="1"/>
  <c r="AC136" i="11"/>
  <c r="P136" i="11"/>
  <c r="AG136" i="11" s="1"/>
  <c r="AG135" i="11"/>
  <c r="K134" i="11"/>
  <c r="K35" i="11" s="1"/>
  <c r="E134" i="11"/>
  <c r="E35" i="11" s="1"/>
  <c r="AB133" i="11"/>
  <c r="AA133" i="11"/>
  <c r="Z133" i="11"/>
  <c r="Y133" i="11"/>
  <c r="X133" i="11"/>
  <c r="W133" i="11"/>
  <c r="V133" i="11"/>
  <c r="U133" i="11"/>
  <c r="T133" i="11"/>
  <c r="S133" i="11"/>
  <c r="R133" i="11"/>
  <c r="Q133" i="11"/>
  <c r="P133" i="11"/>
  <c r="AG133" i="11" s="1"/>
  <c r="O133" i="11"/>
  <c r="N133" i="11"/>
  <c r="M133" i="11"/>
  <c r="L133" i="11"/>
  <c r="K133" i="11"/>
  <c r="J133" i="11"/>
  <c r="I133" i="11"/>
  <c r="H133" i="11"/>
  <c r="G133" i="11"/>
  <c r="F133" i="11"/>
  <c r="E133" i="11"/>
  <c r="D133" i="11"/>
  <c r="AC132" i="11"/>
  <c r="AD132" i="11" s="1"/>
  <c r="AE132" i="11" s="1"/>
  <c r="P132" i="11"/>
  <c r="AG132" i="11" s="1"/>
  <c r="AD131" i="11"/>
  <c r="AE131" i="11" s="1"/>
  <c r="AC131" i="11"/>
  <c r="P131" i="11"/>
  <c r="AG131" i="11" s="1"/>
  <c r="AG130" i="11"/>
  <c r="AC130" i="11"/>
  <c r="P130" i="11"/>
  <c r="AG129" i="11"/>
  <c r="AD129" i="11"/>
  <c r="AE129" i="11" s="1"/>
  <c r="AC129" i="11"/>
  <c r="P129" i="11"/>
  <c r="AD128" i="11"/>
  <c r="AE128" i="11" s="1"/>
  <c r="AC128" i="11"/>
  <c r="P128" i="11"/>
  <c r="AG128" i="11" s="1"/>
  <c r="AE127" i="11"/>
  <c r="AD127" i="11"/>
  <c r="AC127" i="11"/>
  <c r="P127" i="11"/>
  <c r="AG127" i="11" s="1"/>
  <c r="AG126" i="11"/>
  <c r="AE126" i="11"/>
  <c r="AC126" i="11"/>
  <c r="P126" i="11"/>
  <c r="AD126" i="11" s="1"/>
  <c r="AG125" i="11"/>
  <c r="AD125" i="11"/>
  <c r="AE125" i="11" s="1"/>
  <c r="AC125" i="11"/>
  <c r="P125" i="11"/>
  <c r="AE124" i="11"/>
  <c r="AD124" i="11"/>
  <c r="AC124" i="11"/>
  <c r="P124" i="11"/>
  <c r="AG124" i="11" s="1"/>
  <c r="AG123" i="11"/>
  <c r="AB122" i="11"/>
  <c r="AA122" i="11"/>
  <c r="Z122" i="11"/>
  <c r="Y122" i="11"/>
  <c r="X122" i="11"/>
  <c r="W122" i="11"/>
  <c r="V122" i="11"/>
  <c r="U122" i="11"/>
  <c r="T122" i="11"/>
  <c r="S122" i="11"/>
  <c r="R122" i="11"/>
  <c r="Q122" i="11"/>
  <c r="P122" i="11"/>
  <c r="O122" i="11"/>
  <c r="O134" i="11" s="1"/>
  <c r="O35" i="11" s="1"/>
  <c r="N122" i="11"/>
  <c r="M122" i="11"/>
  <c r="L122" i="11"/>
  <c r="K122" i="11"/>
  <c r="J122" i="11"/>
  <c r="I122" i="11"/>
  <c r="H122" i="11"/>
  <c r="G122" i="11"/>
  <c r="F122" i="11"/>
  <c r="E122" i="11"/>
  <c r="D122" i="11"/>
  <c r="AC121" i="11"/>
  <c r="P121" i="11"/>
  <c r="AC120" i="11"/>
  <c r="AD120" i="11" s="1"/>
  <c r="AE120" i="11" s="1"/>
  <c r="P120" i="11"/>
  <c r="AG120" i="11" s="1"/>
  <c r="AC119" i="11"/>
  <c r="P119" i="11"/>
  <c r="AG119" i="11" s="1"/>
  <c r="AC118" i="11"/>
  <c r="P118" i="11"/>
  <c r="AG118" i="11" s="1"/>
  <c r="AC117" i="11"/>
  <c r="P117" i="11"/>
  <c r="AG117" i="11" s="1"/>
  <c r="AC116" i="11"/>
  <c r="AD116" i="11" s="1"/>
  <c r="AE116" i="11" s="1"/>
  <c r="P116" i="11"/>
  <c r="AG116" i="11" s="1"/>
  <c r="AD115" i="11"/>
  <c r="AE115" i="11" s="1"/>
  <c r="AC115" i="11"/>
  <c r="P115" i="11"/>
  <c r="AG115" i="11" s="1"/>
  <c r="AG114" i="11"/>
  <c r="AC114" i="11"/>
  <c r="P114" i="11"/>
  <c r="AG113" i="11"/>
  <c r="AB112" i="11"/>
  <c r="AA112" i="11"/>
  <c r="AA134" i="11" s="1"/>
  <c r="AA35" i="11" s="1"/>
  <c r="Z112" i="11"/>
  <c r="Y112" i="11"/>
  <c r="X112" i="11"/>
  <c r="W112" i="11"/>
  <c r="W134" i="11" s="1"/>
  <c r="W35" i="11" s="1"/>
  <c r="V112" i="11"/>
  <c r="U112" i="11"/>
  <c r="T112" i="11"/>
  <c r="S112" i="11"/>
  <c r="S134" i="11" s="1"/>
  <c r="S35" i="11" s="1"/>
  <c r="R112" i="11"/>
  <c r="Q112" i="11"/>
  <c r="O112" i="11"/>
  <c r="N112" i="11"/>
  <c r="M112" i="11"/>
  <c r="L112" i="11"/>
  <c r="K112" i="11"/>
  <c r="J112" i="11"/>
  <c r="I112" i="11"/>
  <c r="H112" i="11"/>
  <c r="G112" i="11"/>
  <c r="G134" i="11" s="1"/>
  <c r="G35" i="11" s="1"/>
  <c r="F112" i="11"/>
  <c r="E112" i="11"/>
  <c r="D112" i="11"/>
  <c r="AE111" i="11"/>
  <c r="AD111" i="11"/>
  <c r="AC111" i="11"/>
  <c r="P111" i="11"/>
  <c r="AG111" i="11" s="1"/>
  <c r="AG110" i="11"/>
  <c r="AE110" i="11"/>
  <c r="AC110" i="11"/>
  <c r="P110" i="11"/>
  <c r="AD110" i="11" s="1"/>
  <c r="AG109" i="11"/>
  <c r="AD109" i="11"/>
  <c r="AE109" i="11" s="1"/>
  <c r="AC109" i="11"/>
  <c r="P109" i="11"/>
  <c r="AE108" i="11"/>
  <c r="AD108" i="11"/>
  <c r="AC108" i="11"/>
  <c r="AC112" i="11" s="1"/>
  <c r="P108" i="11"/>
  <c r="AG108" i="11" s="1"/>
  <c r="AC107" i="11"/>
  <c r="P107" i="11"/>
  <c r="AG107" i="11" s="1"/>
  <c r="AG106" i="11"/>
  <c r="AB105" i="11"/>
  <c r="AB134" i="11" s="1"/>
  <c r="AB35" i="11" s="1"/>
  <c r="AA105" i="11"/>
  <c r="Z105" i="11"/>
  <c r="Y105" i="11"/>
  <c r="Y134" i="11" s="1"/>
  <c r="Y35" i="11" s="1"/>
  <c r="X105" i="11"/>
  <c r="X134" i="11" s="1"/>
  <c r="X35" i="11" s="1"/>
  <c r="W105" i="11"/>
  <c r="V105" i="11"/>
  <c r="U105" i="11"/>
  <c r="U134" i="11" s="1"/>
  <c r="U35" i="11" s="1"/>
  <c r="T105" i="11"/>
  <c r="T134" i="11" s="1"/>
  <c r="T35" i="11" s="1"/>
  <c r="T81" i="11" s="1"/>
  <c r="T82" i="11" s="1"/>
  <c r="S105" i="11"/>
  <c r="R105" i="11"/>
  <c r="Q105" i="11"/>
  <c r="Q134" i="11" s="1"/>
  <c r="Q35" i="11" s="1"/>
  <c r="P105" i="11"/>
  <c r="AG105" i="11" s="1"/>
  <c r="O105" i="11"/>
  <c r="N105" i="11"/>
  <c r="M105" i="11"/>
  <c r="M134" i="11" s="1"/>
  <c r="M35" i="11" s="1"/>
  <c r="L105" i="11"/>
  <c r="L134" i="11" s="1"/>
  <c r="L35" i="11" s="1"/>
  <c r="K105" i="11"/>
  <c r="J105" i="11"/>
  <c r="I105" i="11"/>
  <c r="I134" i="11" s="1"/>
  <c r="I35" i="11" s="1"/>
  <c r="H105" i="11"/>
  <c r="H134" i="11" s="1"/>
  <c r="H35" i="11" s="1"/>
  <c r="G105" i="11"/>
  <c r="F105" i="11"/>
  <c r="E105" i="11"/>
  <c r="D105" i="11"/>
  <c r="D134" i="11" s="1"/>
  <c r="D35" i="11" s="1"/>
  <c r="AC104" i="11"/>
  <c r="AD104" i="11" s="1"/>
  <c r="AE104" i="11" s="1"/>
  <c r="P104" i="11"/>
  <c r="AG104" i="11" s="1"/>
  <c r="AD103" i="11"/>
  <c r="AE103" i="11" s="1"/>
  <c r="AC103" i="11"/>
  <c r="P103" i="11"/>
  <c r="AG103" i="11" s="1"/>
  <c r="AG102" i="11"/>
  <c r="AC102" i="11"/>
  <c r="P102" i="11"/>
  <c r="Y98" i="11"/>
  <c r="T98" i="11"/>
  <c r="N98" i="11"/>
  <c r="V97" i="11"/>
  <c r="U97" i="11"/>
  <c r="T97" i="11"/>
  <c r="S97" i="11"/>
  <c r="R97" i="11"/>
  <c r="Q97" i="11"/>
  <c r="AC96" i="11"/>
  <c r="V96" i="11"/>
  <c r="U96" i="11"/>
  <c r="T96" i="11"/>
  <c r="S96" i="11"/>
  <c r="R96" i="11"/>
  <c r="Q96" i="11"/>
  <c r="V95" i="11"/>
  <c r="U95" i="11"/>
  <c r="T95" i="11"/>
  <c r="S95" i="11"/>
  <c r="R95" i="11"/>
  <c r="Q95" i="11"/>
  <c r="V94" i="11"/>
  <c r="U94" i="11"/>
  <c r="T94" i="11"/>
  <c r="S94" i="11"/>
  <c r="R94" i="11"/>
  <c r="Q94" i="11"/>
  <c r="V93" i="11"/>
  <c r="U93" i="11"/>
  <c r="T93" i="11"/>
  <c r="S93" i="11"/>
  <c r="R93" i="11"/>
  <c r="Q93" i="11"/>
  <c r="AG92" i="11"/>
  <c r="AG91" i="11"/>
  <c r="AB90" i="11"/>
  <c r="AA90" i="11"/>
  <c r="AA108" i="10" s="1"/>
  <c r="Z90" i="11"/>
  <c r="Y90" i="11"/>
  <c r="X90" i="11"/>
  <c r="W90" i="11"/>
  <c r="W108" i="10" s="1"/>
  <c r="V90" i="11"/>
  <c r="U90" i="11"/>
  <c r="T90" i="11"/>
  <c r="S90" i="11"/>
  <c r="S108" i="10" s="1"/>
  <c r="R90" i="11"/>
  <c r="Q90" i="11"/>
  <c r="O90" i="11"/>
  <c r="O108" i="10" s="1"/>
  <c r="N90" i="11"/>
  <c r="M90" i="11"/>
  <c r="L90" i="11"/>
  <c r="K90" i="11"/>
  <c r="K108" i="10" s="1"/>
  <c r="J90" i="11"/>
  <c r="I90" i="11"/>
  <c r="H90" i="11"/>
  <c r="G90" i="11"/>
  <c r="G108" i="10" s="1"/>
  <c r="F90" i="11"/>
  <c r="E90" i="11"/>
  <c r="D90" i="11"/>
  <c r="AG89" i="11"/>
  <c r="AE89" i="11"/>
  <c r="AC89" i="11"/>
  <c r="P89" i="11"/>
  <c r="AD89" i="11" s="1"/>
  <c r="AG88" i="11"/>
  <c r="AD88" i="11"/>
  <c r="AE88" i="11" s="1"/>
  <c r="AC88" i="11"/>
  <c r="P88" i="11"/>
  <c r="AE87" i="11"/>
  <c r="AD87" i="11"/>
  <c r="AC87" i="11"/>
  <c r="P87" i="11"/>
  <c r="AG87" i="11" s="1"/>
  <c r="AC86" i="11"/>
  <c r="P86" i="11"/>
  <c r="AD86" i="11" s="1"/>
  <c r="AE86" i="11" s="1"/>
  <c r="AC85" i="11"/>
  <c r="AC90" i="11" s="1"/>
  <c r="P85" i="11"/>
  <c r="AB80" i="11"/>
  <c r="AA80" i="11"/>
  <c r="Z80" i="11"/>
  <c r="Y80" i="11"/>
  <c r="X80" i="11"/>
  <c r="W80" i="11"/>
  <c r="V80" i="11"/>
  <c r="U80" i="11"/>
  <c r="T80" i="11"/>
  <c r="S80" i="11"/>
  <c r="R80" i="11"/>
  <c r="Q80" i="11"/>
  <c r="AC79" i="11"/>
  <c r="AD78" i="11"/>
  <c r="AE78" i="11" s="1"/>
  <c r="AC78" i="11"/>
  <c r="P78" i="11"/>
  <c r="AG78" i="11" s="1"/>
  <c r="AE77" i="11"/>
  <c r="AD77" i="11"/>
  <c r="AC77" i="11"/>
  <c r="P77" i="11"/>
  <c r="AG77" i="11" s="1"/>
  <c r="AG76" i="11"/>
  <c r="AE76" i="11"/>
  <c r="AC76" i="11"/>
  <c r="P76" i="11"/>
  <c r="AD76" i="11" s="1"/>
  <c r="AG75" i="11"/>
  <c r="AD75" i="11"/>
  <c r="AE75" i="11" s="1"/>
  <c r="AC75" i="11"/>
  <c r="P75" i="11"/>
  <c r="AE74" i="11"/>
  <c r="AD74" i="11"/>
  <c r="AC74" i="11"/>
  <c r="P74" i="11"/>
  <c r="AG74" i="11" s="1"/>
  <c r="AC73" i="11"/>
  <c r="P73" i="11"/>
  <c r="AD73" i="11" s="1"/>
  <c r="AE73" i="11" s="1"/>
  <c r="AC72" i="11"/>
  <c r="AC71" i="11"/>
  <c r="P71" i="11"/>
  <c r="AG71" i="11" s="1"/>
  <c r="AC70" i="11"/>
  <c r="AD70" i="11" s="1"/>
  <c r="AE70" i="11" s="1"/>
  <c r="P70" i="11"/>
  <c r="AG70" i="11" s="1"/>
  <c r="AD69" i="11"/>
  <c r="AE69" i="11" s="1"/>
  <c r="AC69" i="11"/>
  <c r="P69" i="11"/>
  <c r="AG69" i="11" s="1"/>
  <c r="AG68" i="11"/>
  <c r="AC68" i="11"/>
  <c r="P68" i="11"/>
  <c r="AG67" i="11"/>
  <c r="AD67" i="11"/>
  <c r="AE67" i="11" s="1"/>
  <c r="AC67" i="11"/>
  <c r="P67" i="11"/>
  <c r="AD66" i="11"/>
  <c r="AE66" i="11" s="1"/>
  <c r="AC66" i="11"/>
  <c r="P66" i="11"/>
  <c r="AG66" i="11" s="1"/>
  <c r="AE65" i="11"/>
  <c r="AD65" i="11"/>
  <c r="AC65" i="11"/>
  <c r="P65" i="11"/>
  <c r="AG65" i="11" s="1"/>
  <c r="AG64" i="11"/>
  <c r="AE64" i="11"/>
  <c r="AC64" i="11"/>
  <c r="P64" i="11"/>
  <c r="AD64" i="11" s="1"/>
  <c r="AG63" i="11"/>
  <c r="AD63" i="11"/>
  <c r="AE63" i="11" s="1"/>
  <c r="AC63" i="11"/>
  <c r="P63" i="11"/>
  <c r="AE62" i="11"/>
  <c r="AD62" i="11"/>
  <c r="AC62" i="11"/>
  <c r="P62" i="11"/>
  <c r="AG62" i="11" s="1"/>
  <c r="AG61" i="11"/>
  <c r="AC61" i="11"/>
  <c r="P61" i="11"/>
  <c r="AD61" i="11" s="1"/>
  <c r="AE61" i="11" s="1"/>
  <c r="AC60" i="11"/>
  <c r="P60" i="11"/>
  <c r="AC59" i="11"/>
  <c r="P59" i="11"/>
  <c r="AC58" i="11"/>
  <c r="AD58" i="11" s="1"/>
  <c r="AE58" i="11" s="1"/>
  <c r="P58" i="11"/>
  <c r="AG58" i="11" s="1"/>
  <c r="AC57" i="11"/>
  <c r="P57" i="11"/>
  <c r="AG57" i="11" s="1"/>
  <c r="AC56" i="11"/>
  <c r="P56" i="11"/>
  <c r="AG56" i="11" s="1"/>
  <c r="AC55" i="11"/>
  <c r="P55" i="11"/>
  <c r="AG55" i="11" s="1"/>
  <c r="AC54" i="11"/>
  <c r="AD54" i="11" s="1"/>
  <c r="AE54" i="11" s="1"/>
  <c r="P54" i="11"/>
  <c r="AG54" i="11" s="1"/>
  <c r="AD53" i="11"/>
  <c r="AE53" i="11" s="1"/>
  <c r="AC53" i="11"/>
  <c r="P53" i="11"/>
  <c r="AG53" i="11" s="1"/>
  <c r="AG52" i="11"/>
  <c r="AC52" i="11"/>
  <c r="P52" i="11"/>
  <c r="AG51" i="11"/>
  <c r="AD51" i="11"/>
  <c r="AE51" i="11" s="1"/>
  <c r="AC51" i="11"/>
  <c r="P51" i="11"/>
  <c r="AD50" i="11"/>
  <c r="AE50" i="11" s="1"/>
  <c r="AC50" i="11"/>
  <c r="P50" i="11"/>
  <c r="AG50" i="11" s="1"/>
  <c r="AE49" i="11"/>
  <c r="AD49" i="11"/>
  <c r="AC49" i="11"/>
  <c r="P49" i="11"/>
  <c r="AG49" i="11" s="1"/>
  <c r="AG48" i="11"/>
  <c r="AE48" i="11"/>
  <c r="AC48" i="11"/>
  <c r="P48" i="11"/>
  <c r="AD48" i="11" s="1"/>
  <c r="AG47" i="11"/>
  <c r="AD47" i="11"/>
  <c r="AE47" i="11" s="1"/>
  <c r="AC47" i="11"/>
  <c r="P47" i="11"/>
  <c r="AE46" i="11"/>
  <c r="AD46" i="11"/>
  <c r="AC46" i="11"/>
  <c r="P46" i="11"/>
  <c r="AG46" i="11" s="1"/>
  <c r="AC45" i="11"/>
  <c r="P45" i="11"/>
  <c r="AD45" i="11" s="1"/>
  <c r="AE45" i="11" s="1"/>
  <c r="AC44" i="11"/>
  <c r="P44" i="11"/>
  <c r="AC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AC42" i="11"/>
  <c r="AD42" i="11" s="1"/>
  <c r="AE42" i="11" s="1"/>
  <c r="P42" i="11"/>
  <c r="AG42" i="11" s="1"/>
  <c r="AC41" i="11"/>
  <c r="P41" i="11"/>
  <c r="AG41" i="11" s="1"/>
  <c r="AC40" i="11"/>
  <c r="P40" i="11"/>
  <c r="AG40" i="11" s="1"/>
  <c r="AC39" i="11"/>
  <c r="P39" i="11"/>
  <c r="AG39" i="11" s="1"/>
  <c r="AC38" i="11"/>
  <c r="P38" i="11"/>
  <c r="AG38" i="11" s="1"/>
  <c r="AG37" i="11"/>
  <c r="AG36" i="11"/>
  <c r="AG34" i="11"/>
  <c r="AB33" i="11"/>
  <c r="AA33" i="11"/>
  <c r="Z33" i="11"/>
  <c r="Y33" i="11"/>
  <c r="X33" i="11"/>
  <c r="W33" i="11"/>
  <c r="V33" i="11"/>
  <c r="U33" i="11"/>
  <c r="T33" i="11"/>
  <c r="S33" i="11"/>
  <c r="R33" i="11"/>
  <c r="Q33" i="11"/>
  <c r="AG32" i="11"/>
  <c r="AE32" i="11"/>
  <c r="AC32" i="11"/>
  <c r="P32" i="11"/>
  <c r="AD32" i="11" s="1"/>
  <c r="AC31" i="11"/>
  <c r="N31" i="11"/>
  <c r="M31" i="11"/>
  <c r="I31" i="11"/>
  <c r="I52" i="10" s="1"/>
  <c r="H31" i="11"/>
  <c r="D31" i="11"/>
  <c r="AC30" i="11"/>
  <c r="AC33" i="11" s="1"/>
  <c r="J30" i="11"/>
  <c r="U27" i="11"/>
  <c r="T27" i="11"/>
  <c r="AC26" i="11"/>
  <c r="AD26" i="11" s="1"/>
  <c r="AE26" i="11" s="1"/>
  <c r="P26" i="11"/>
  <c r="AG26" i="11" s="1"/>
  <c r="AD25" i="11"/>
  <c r="AE25" i="11" s="1"/>
  <c r="AC25" i="11"/>
  <c r="P25" i="11"/>
  <c r="AG25" i="11" s="1"/>
  <c r="AG24" i="11"/>
  <c r="AE24" i="11"/>
  <c r="AC24" i="11"/>
  <c r="P24" i="11"/>
  <c r="AG23" i="11"/>
  <c r="AB22" i="11"/>
  <c r="AA22" i="11"/>
  <c r="Z22" i="11"/>
  <c r="Y22" i="11"/>
  <c r="X22" i="11"/>
  <c r="W22" i="11"/>
  <c r="V22" i="11"/>
  <c r="U22" i="11"/>
  <c r="T22" i="11"/>
  <c r="S22" i="11"/>
  <c r="R22" i="11"/>
  <c r="Q22" i="11"/>
  <c r="O22" i="11"/>
  <c r="O31" i="11" s="1"/>
  <c r="N22" i="11"/>
  <c r="M22" i="11"/>
  <c r="L22" i="11"/>
  <c r="L31" i="11" s="1"/>
  <c r="K22" i="11"/>
  <c r="K31" i="11" s="1"/>
  <c r="J22" i="11"/>
  <c r="J31" i="11" s="1"/>
  <c r="I22" i="11"/>
  <c r="H22" i="11"/>
  <c r="G22" i="11"/>
  <c r="G31" i="11" s="1"/>
  <c r="F22" i="11"/>
  <c r="F31" i="11" s="1"/>
  <c r="E22" i="11"/>
  <c r="E31" i="11" s="1"/>
  <c r="D22" i="11"/>
  <c r="AE21" i="11"/>
  <c r="AD21" i="11"/>
  <c r="AC21" i="11"/>
  <c r="P21" i="11"/>
  <c r="AG21" i="11" s="1"/>
  <c r="AC20" i="11"/>
  <c r="P20" i="11"/>
  <c r="AD20" i="11" s="1"/>
  <c r="AE20" i="11" s="1"/>
  <c r="AC19" i="11"/>
  <c r="P19" i="11"/>
  <c r="AC18" i="11"/>
  <c r="P18" i="11"/>
  <c r="AC17" i="11"/>
  <c r="AC22" i="11" s="1"/>
  <c r="P17" i="11"/>
  <c r="AG17" i="11" s="1"/>
  <c r="AG16" i="11"/>
  <c r="AG15" i="11"/>
  <c r="AC14" i="11"/>
  <c r="AC98" i="11" s="1"/>
  <c r="AB14" i="11"/>
  <c r="AB98" i="11" s="1"/>
  <c r="AA14" i="11"/>
  <c r="Z14" i="11"/>
  <c r="Y14" i="11"/>
  <c r="Y27" i="11" s="1"/>
  <c r="Y81" i="11" s="1"/>
  <c r="Y82" i="11" s="1"/>
  <c r="X14" i="11"/>
  <c r="X98" i="11" s="1"/>
  <c r="W14" i="11"/>
  <c r="V14" i="11"/>
  <c r="U14" i="11"/>
  <c r="U98" i="11" s="1"/>
  <c r="T14" i="11"/>
  <c r="S14" i="11"/>
  <c r="R14" i="11"/>
  <c r="Q14" i="11"/>
  <c r="Q98" i="11" s="1"/>
  <c r="M14" i="11"/>
  <c r="L14" i="11"/>
  <c r="L30" i="11" s="1"/>
  <c r="L33" i="11" s="1"/>
  <c r="H14" i="11"/>
  <c r="AC13" i="11"/>
  <c r="AC97" i="11" s="1"/>
  <c r="O13" i="11"/>
  <c r="N13" i="11"/>
  <c r="M13" i="11"/>
  <c r="L13" i="11"/>
  <c r="K13" i="11"/>
  <c r="J13" i="11"/>
  <c r="I13" i="11"/>
  <c r="H13" i="11"/>
  <c r="G13" i="11"/>
  <c r="F13" i="11"/>
  <c r="E13" i="11"/>
  <c r="D13" i="11"/>
  <c r="AC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AC11" i="11"/>
  <c r="AC95" i="11" s="1"/>
  <c r="O11" i="11"/>
  <c r="N11" i="11"/>
  <c r="M11" i="11"/>
  <c r="L11" i="11"/>
  <c r="K11" i="11"/>
  <c r="J11" i="11"/>
  <c r="I11" i="11"/>
  <c r="H11" i="11"/>
  <c r="G11" i="11"/>
  <c r="F11" i="11"/>
  <c r="E11" i="11"/>
  <c r="D11" i="11"/>
  <c r="P11" i="11" s="1"/>
  <c r="AC10" i="11"/>
  <c r="AC94" i="11" s="1"/>
  <c r="O10" i="11"/>
  <c r="N10" i="11"/>
  <c r="M10" i="11"/>
  <c r="L10" i="11"/>
  <c r="K10" i="11"/>
  <c r="J10" i="11"/>
  <c r="I10" i="11"/>
  <c r="H10" i="11"/>
  <c r="G10" i="11"/>
  <c r="F10" i="11"/>
  <c r="E10" i="11"/>
  <c r="D10" i="11"/>
  <c r="D14" i="11" s="1"/>
  <c r="D98" i="11" s="1"/>
  <c r="AC9" i="11"/>
  <c r="AC93" i="11" s="1"/>
  <c r="O9" i="11"/>
  <c r="N9" i="11"/>
  <c r="N14" i="11" s="1"/>
  <c r="M9" i="11"/>
  <c r="L9" i="11"/>
  <c r="K9" i="11"/>
  <c r="J9" i="11"/>
  <c r="J14" i="11" s="1"/>
  <c r="I9" i="11"/>
  <c r="I14" i="11" s="1"/>
  <c r="H9" i="11"/>
  <c r="G9" i="11"/>
  <c r="F9" i="11"/>
  <c r="F14" i="11" s="1"/>
  <c r="E9" i="11"/>
  <c r="E14" i="11" s="1"/>
  <c r="D9" i="11"/>
  <c r="AB7" i="11"/>
  <c r="W7" i="11"/>
  <c r="L7" i="11"/>
  <c r="G7" i="11"/>
  <c r="V6" i="11"/>
  <c r="Q6" i="11"/>
  <c r="F6" i="11"/>
  <c r="C4" i="11"/>
  <c r="O2" i="11"/>
  <c r="N2" i="11"/>
  <c r="M2" i="11"/>
  <c r="L2" i="11"/>
  <c r="K2" i="11"/>
  <c r="J2" i="11"/>
  <c r="I2" i="11"/>
  <c r="H2" i="11"/>
  <c r="G2" i="11"/>
  <c r="F2" i="11"/>
  <c r="E2" i="11"/>
  <c r="D2" i="11"/>
  <c r="O1" i="11"/>
  <c r="N1" i="11"/>
  <c r="M1" i="11"/>
  <c r="L1" i="11"/>
  <c r="K1" i="11"/>
  <c r="J1" i="11"/>
  <c r="I1" i="11"/>
  <c r="H1" i="11"/>
  <c r="G1" i="11"/>
  <c r="F1" i="11"/>
  <c r="E1" i="11"/>
  <c r="D1" i="11"/>
  <c r="O235" i="10"/>
  <c r="D235" i="10"/>
  <c r="O234" i="10"/>
  <c r="N234" i="10"/>
  <c r="M234" i="10"/>
  <c r="L234" i="10"/>
  <c r="K234" i="10"/>
  <c r="J234" i="10"/>
  <c r="I234" i="10"/>
  <c r="H234" i="10"/>
  <c r="H235" i="10" s="1"/>
  <c r="G234" i="10"/>
  <c r="F234" i="10"/>
  <c r="E234" i="10"/>
  <c r="D234" i="10"/>
  <c r="O233" i="10"/>
  <c r="N233" i="10"/>
  <c r="M233" i="10"/>
  <c r="M235" i="10" s="1"/>
  <c r="L233" i="10"/>
  <c r="K233" i="10"/>
  <c r="J233" i="10"/>
  <c r="I233" i="10"/>
  <c r="I235" i="10" s="1"/>
  <c r="H233" i="10"/>
  <c r="G233" i="10"/>
  <c r="F233" i="10"/>
  <c r="E233" i="10"/>
  <c r="E235" i="10" s="1"/>
  <c r="D233" i="10"/>
  <c r="O232" i="10"/>
  <c r="N232" i="10"/>
  <c r="N235" i="10" s="1"/>
  <c r="M232" i="10"/>
  <c r="L232" i="10"/>
  <c r="L235" i="10" s="1"/>
  <c r="K232" i="10"/>
  <c r="K235" i="10" s="1"/>
  <c r="J232" i="10"/>
  <c r="J235" i="10" s="1"/>
  <c r="I232" i="10"/>
  <c r="H232" i="10"/>
  <c r="G232" i="10"/>
  <c r="G235" i="10" s="1"/>
  <c r="F232" i="10"/>
  <c r="F235" i="10" s="1"/>
  <c r="E232" i="10"/>
  <c r="D232" i="10"/>
  <c r="H224" i="10"/>
  <c r="L217" i="10"/>
  <c r="X212" i="10"/>
  <c r="H208" i="10"/>
  <c r="L201" i="10"/>
  <c r="X198" i="10"/>
  <c r="H198" i="10"/>
  <c r="D197" i="10"/>
  <c r="AB195" i="10"/>
  <c r="L195" i="10"/>
  <c r="X194" i="10"/>
  <c r="H194" i="10"/>
  <c r="D193" i="10"/>
  <c r="X190" i="10"/>
  <c r="H190" i="10"/>
  <c r="D189" i="10"/>
  <c r="L187" i="10"/>
  <c r="X186" i="10"/>
  <c r="H186" i="10"/>
  <c r="AG183" i="10"/>
  <c r="AG182" i="10"/>
  <c r="AF180" i="10"/>
  <c r="AB179" i="10"/>
  <c r="AA179" i="10"/>
  <c r="Z179" i="10"/>
  <c r="Y179" i="10"/>
  <c r="X179" i="10"/>
  <c r="W179" i="10"/>
  <c r="V179" i="10"/>
  <c r="U179" i="10"/>
  <c r="T179" i="10"/>
  <c r="S179" i="10"/>
  <c r="R179" i="10"/>
  <c r="Q179" i="10"/>
  <c r="AC179" i="10" s="1"/>
  <c r="O179" i="10"/>
  <c r="N179" i="10"/>
  <c r="M179" i="10"/>
  <c r="L179" i="10"/>
  <c r="K179" i="10"/>
  <c r="J179" i="10"/>
  <c r="I179" i="10"/>
  <c r="H179" i="10"/>
  <c r="G179" i="10"/>
  <c r="F179" i="10"/>
  <c r="E179" i="10"/>
  <c r="D179" i="10"/>
  <c r="AG178" i="10"/>
  <c r="AE178" i="10"/>
  <c r="AB175" i="10"/>
  <c r="AA175" i="10"/>
  <c r="Z175" i="10"/>
  <c r="Y175" i="10"/>
  <c r="X175" i="10"/>
  <c r="W175" i="10"/>
  <c r="V175" i="10"/>
  <c r="U175" i="10"/>
  <c r="T175" i="10"/>
  <c r="S175" i="10"/>
  <c r="R175" i="10"/>
  <c r="Q175" i="10"/>
  <c r="O175" i="10"/>
  <c r="N175" i="10"/>
  <c r="M175" i="10"/>
  <c r="L175" i="10"/>
  <c r="K175" i="10"/>
  <c r="J175" i="10"/>
  <c r="I175" i="10"/>
  <c r="H175" i="10"/>
  <c r="G175" i="10"/>
  <c r="F175" i="10"/>
  <c r="E175" i="10"/>
  <c r="D175" i="10"/>
  <c r="P175" i="10" s="1"/>
  <c r="AG175" i="10" s="1"/>
  <c r="AB174" i="10"/>
  <c r="AA174" i="10"/>
  <c r="Z174" i="10"/>
  <c r="Y174" i="10"/>
  <c r="X174" i="10"/>
  <c r="W174" i="10"/>
  <c r="V174" i="10"/>
  <c r="U174" i="10"/>
  <c r="T174" i="10"/>
  <c r="S174" i="10"/>
  <c r="R174" i="10"/>
  <c r="Q174" i="10"/>
  <c r="O174" i="10"/>
  <c r="N174" i="10"/>
  <c r="M174" i="10"/>
  <c r="L174" i="10"/>
  <c r="K174" i="10"/>
  <c r="J174" i="10"/>
  <c r="I174" i="10"/>
  <c r="H174" i="10"/>
  <c r="G174" i="10"/>
  <c r="F174" i="10"/>
  <c r="E174" i="10"/>
  <c r="D174" i="10"/>
  <c r="AB173" i="10"/>
  <c r="AA173" i="10"/>
  <c r="Z173" i="10"/>
  <c r="Y173" i="10"/>
  <c r="X173" i="10"/>
  <c r="W173" i="10"/>
  <c r="V173" i="10"/>
  <c r="U173" i="10"/>
  <c r="T173" i="10"/>
  <c r="S173" i="10"/>
  <c r="R173" i="10"/>
  <c r="Q173" i="10"/>
  <c r="AB172" i="10"/>
  <c r="AA172" i="10"/>
  <c r="Z172" i="10"/>
  <c r="Y172" i="10"/>
  <c r="X172" i="10"/>
  <c r="W172" i="10"/>
  <c r="V172" i="10"/>
  <c r="U172" i="10"/>
  <c r="T172" i="10"/>
  <c r="S172" i="10"/>
  <c r="R172" i="10"/>
  <c r="Q172" i="10"/>
  <c r="AC172" i="10" s="1"/>
  <c r="AB171" i="10"/>
  <c r="AA171" i="10"/>
  <c r="Z171" i="10"/>
  <c r="Y171" i="10"/>
  <c r="X171" i="10"/>
  <c r="W171" i="10"/>
  <c r="V171" i="10"/>
  <c r="U171" i="10"/>
  <c r="T171" i="10"/>
  <c r="S171" i="10"/>
  <c r="R171" i="10"/>
  <c r="Q171" i="10"/>
  <c r="AC171" i="10" s="1"/>
  <c r="O171" i="10"/>
  <c r="N171" i="10"/>
  <c r="M171" i="10"/>
  <c r="L171" i="10"/>
  <c r="K171" i="10"/>
  <c r="J171" i="10"/>
  <c r="I171" i="10"/>
  <c r="H171" i="10"/>
  <c r="G171" i="10"/>
  <c r="F171" i="10"/>
  <c r="E171" i="10"/>
  <c r="D171" i="10"/>
  <c r="P171" i="10" s="1"/>
  <c r="AG171" i="10" s="1"/>
  <c r="AB170" i="10"/>
  <c r="AA170" i="10"/>
  <c r="Z170" i="10"/>
  <c r="Y170" i="10"/>
  <c r="X170" i="10"/>
  <c r="W170" i="10"/>
  <c r="V170" i="10"/>
  <c r="U170" i="10"/>
  <c r="T170" i="10"/>
  <c r="S170" i="10"/>
  <c r="R170" i="10"/>
  <c r="Q170" i="10"/>
  <c r="AC170" i="10" s="1"/>
  <c r="O170" i="10"/>
  <c r="N170" i="10"/>
  <c r="M170" i="10"/>
  <c r="L170" i="10"/>
  <c r="K170" i="10"/>
  <c r="J170" i="10"/>
  <c r="I170" i="10"/>
  <c r="H170" i="10"/>
  <c r="G170" i="10"/>
  <c r="F170" i="10"/>
  <c r="E170" i="10"/>
  <c r="D170" i="10"/>
  <c r="P170" i="10" s="1"/>
  <c r="AB169" i="10"/>
  <c r="AA169" i="10"/>
  <c r="Z169" i="10"/>
  <c r="Y169" i="10"/>
  <c r="X169" i="10"/>
  <c r="W169" i="10"/>
  <c r="V169" i="10"/>
  <c r="U169" i="10"/>
  <c r="T169" i="10"/>
  <c r="S169" i="10"/>
  <c r="R169" i="10"/>
  <c r="Q169" i="10"/>
  <c r="O169" i="10"/>
  <c r="N169" i="10"/>
  <c r="M169" i="10"/>
  <c r="L169" i="10"/>
  <c r="K169" i="10"/>
  <c r="J169" i="10"/>
  <c r="I169" i="10"/>
  <c r="H169" i="10"/>
  <c r="G169" i="10"/>
  <c r="F169" i="10"/>
  <c r="E169" i="10"/>
  <c r="D169" i="10"/>
  <c r="P169" i="10" s="1"/>
  <c r="AB168" i="10"/>
  <c r="AA168" i="10"/>
  <c r="Z168" i="10"/>
  <c r="Y168" i="10"/>
  <c r="X168" i="10"/>
  <c r="W168" i="10"/>
  <c r="V168" i="10"/>
  <c r="U168" i="10"/>
  <c r="U176" i="10" s="1"/>
  <c r="T168" i="10"/>
  <c r="S168" i="10"/>
  <c r="R168" i="10"/>
  <c r="Q168" i="10"/>
  <c r="O168" i="10"/>
  <c r="N168" i="10"/>
  <c r="M168" i="10"/>
  <c r="L168" i="10"/>
  <c r="K168" i="10"/>
  <c r="J168" i="10"/>
  <c r="I168" i="10"/>
  <c r="H168" i="10"/>
  <c r="G168" i="10"/>
  <c r="F168" i="10"/>
  <c r="E168" i="10"/>
  <c r="D168" i="10"/>
  <c r="P168" i="10" s="1"/>
  <c r="AB167" i="10"/>
  <c r="AA167" i="10"/>
  <c r="Z167" i="10"/>
  <c r="Z176" i="10" s="1"/>
  <c r="Y167" i="10"/>
  <c r="X167" i="10"/>
  <c r="W167" i="10"/>
  <c r="V167" i="10"/>
  <c r="V176" i="10" s="1"/>
  <c r="U167" i="10"/>
  <c r="T167" i="10"/>
  <c r="S167" i="10"/>
  <c r="R167" i="10"/>
  <c r="R176" i="10" s="1"/>
  <c r="Q167" i="10"/>
  <c r="O167" i="10"/>
  <c r="N167" i="10"/>
  <c r="M167" i="10"/>
  <c r="L167" i="10"/>
  <c r="K167" i="10"/>
  <c r="J167" i="10"/>
  <c r="I167" i="10"/>
  <c r="H167" i="10"/>
  <c r="G167" i="10"/>
  <c r="F167" i="10"/>
  <c r="E167" i="10"/>
  <c r="D167" i="10"/>
  <c r="AG166" i="10"/>
  <c r="AE166" i="10"/>
  <c r="Y165" i="10"/>
  <c r="AB164" i="10"/>
  <c r="AA164" i="10"/>
  <c r="Z164" i="10"/>
  <c r="Y164" i="10"/>
  <c r="X164" i="10"/>
  <c r="W164" i="10"/>
  <c r="V164" i="10"/>
  <c r="U164" i="10"/>
  <c r="T164" i="10"/>
  <c r="S164" i="10"/>
  <c r="R164" i="10"/>
  <c r="Q164" i="10"/>
  <c r="AC164" i="10" s="1"/>
  <c r="D164" i="10"/>
  <c r="AB163" i="10"/>
  <c r="AA163" i="10"/>
  <c r="Z163" i="10"/>
  <c r="Y163" i="10"/>
  <c r="X163" i="10"/>
  <c r="W163" i="10"/>
  <c r="V163" i="10"/>
  <c r="U163" i="10"/>
  <c r="T163" i="10"/>
  <c r="S163" i="10"/>
  <c r="R163" i="10"/>
  <c r="Q163" i="10"/>
  <c r="AC163" i="10" s="1"/>
  <c r="AB162" i="10"/>
  <c r="AA162" i="10"/>
  <c r="Z162" i="10"/>
  <c r="Y162" i="10"/>
  <c r="X162" i="10"/>
  <c r="W162" i="10"/>
  <c r="V162" i="10"/>
  <c r="U162" i="10"/>
  <c r="T162" i="10"/>
  <c r="S162" i="10"/>
  <c r="R162" i="10"/>
  <c r="Q162" i="10"/>
  <c r="AC162" i="10" s="1"/>
  <c r="E162" i="10"/>
  <c r="D162" i="10"/>
  <c r="AB161" i="10"/>
  <c r="AA161" i="10"/>
  <c r="Z161" i="10"/>
  <c r="Y161" i="10"/>
  <c r="X161" i="10"/>
  <c r="W161" i="10"/>
  <c r="V161" i="10"/>
  <c r="U161" i="10"/>
  <c r="T161" i="10"/>
  <c r="S161" i="10"/>
  <c r="R161" i="10"/>
  <c r="Q161" i="10"/>
  <c r="AC161" i="10" s="1"/>
  <c r="E161" i="10"/>
  <c r="D161" i="10"/>
  <c r="AB160" i="10"/>
  <c r="AA160" i="10"/>
  <c r="Z160" i="10"/>
  <c r="Y160" i="10"/>
  <c r="X160" i="10"/>
  <c r="W160" i="10"/>
  <c r="V160" i="10"/>
  <c r="U160" i="10"/>
  <c r="T160" i="10"/>
  <c r="S160" i="10"/>
  <c r="R160" i="10"/>
  <c r="Q160" i="10"/>
  <c r="AC160" i="10" s="1"/>
  <c r="F160" i="10"/>
  <c r="E160" i="10"/>
  <c r="D160" i="10"/>
  <c r="AB159" i="10"/>
  <c r="AA159" i="10"/>
  <c r="Z159" i="10"/>
  <c r="Y159" i="10"/>
  <c r="X159" i="10"/>
  <c r="W159" i="10"/>
  <c r="V159" i="10"/>
  <c r="U159" i="10"/>
  <c r="T159" i="10"/>
  <c r="S159" i="10"/>
  <c r="R159" i="10"/>
  <c r="Q159" i="10"/>
  <c r="AC159" i="10" s="1"/>
  <c r="G159" i="10"/>
  <c r="F159" i="10"/>
  <c r="E159" i="10"/>
  <c r="D159" i="10"/>
  <c r="AB158" i="10"/>
  <c r="AA158" i="10"/>
  <c r="Z158" i="10"/>
  <c r="Y158" i="10"/>
  <c r="X158" i="10"/>
  <c r="W158" i="10"/>
  <c r="V158" i="10"/>
  <c r="U158" i="10"/>
  <c r="T158" i="10"/>
  <c r="S158" i="10"/>
  <c r="R158" i="10"/>
  <c r="Q158" i="10"/>
  <c r="AC158" i="10" s="1"/>
  <c r="E158" i="10"/>
  <c r="D158" i="10"/>
  <c r="AB157" i="10"/>
  <c r="AA157" i="10"/>
  <c r="AA165" i="10" s="1"/>
  <c r="Z157" i="10"/>
  <c r="Z165" i="10" s="1"/>
  <c r="Y157" i="10"/>
  <c r="X157" i="10"/>
  <c r="W157" i="10"/>
  <c r="W165" i="10" s="1"/>
  <c r="V157" i="10"/>
  <c r="V165" i="10" s="1"/>
  <c r="U157" i="10"/>
  <c r="U165" i="10" s="1"/>
  <c r="T157" i="10"/>
  <c r="S157" i="10"/>
  <c r="S165" i="10" s="1"/>
  <c r="R157" i="10"/>
  <c r="R165" i="10" s="1"/>
  <c r="Q157" i="10"/>
  <c r="AC157" i="10" s="1"/>
  <c r="AC165" i="10" s="1"/>
  <c r="F157" i="10"/>
  <c r="E157" i="10"/>
  <c r="D157" i="10"/>
  <c r="AG156" i="10"/>
  <c r="AE156" i="10"/>
  <c r="X155" i="10"/>
  <c r="T155" i="10"/>
  <c r="AB154" i="10"/>
  <c r="AA154" i="10"/>
  <c r="Z154" i="10"/>
  <c r="Y154" i="10"/>
  <c r="X154" i="10"/>
  <c r="W154" i="10"/>
  <c r="V154" i="10"/>
  <c r="U154" i="10"/>
  <c r="T154" i="10"/>
  <c r="S154" i="10"/>
  <c r="R154" i="10"/>
  <c r="Q154" i="10"/>
  <c r="AC154" i="10" s="1"/>
  <c r="O154" i="10"/>
  <c r="N154" i="10"/>
  <c r="M154" i="10"/>
  <c r="L154" i="10"/>
  <c r="K154" i="10"/>
  <c r="J154" i="10"/>
  <c r="I154" i="10"/>
  <c r="H154" i="10"/>
  <c r="G154" i="10"/>
  <c r="F154" i="10"/>
  <c r="E154" i="10"/>
  <c r="D154" i="10"/>
  <c r="AB153" i="10"/>
  <c r="AA153" i="10"/>
  <c r="Z153" i="10"/>
  <c r="Y153" i="10"/>
  <c r="X153" i="10"/>
  <c r="W153" i="10"/>
  <c r="V153" i="10"/>
  <c r="U153" i="10"/>
  <c r="T153" i="10"/>
  <c r="S153" i="10"/>
  <c r="R153" i="10"/>
  <c r="Q153" i="10"/>
  <c r="O153" i="10"/>
  <c r="N153" i="10"/>
  <c r="M153" i="10"/>
  <c r="L153" i="10"/>
  <c r="K153" i="10"/>
  <c r="J153" i="10"/>
  <c r="I153" i="10"/>
  <c r="H153" i="10"/>
  <c r="G153" i="10"/>
  <c r="F153" i="10"/>
  <c r="E153" i="10"/>
  <c r="D153" i="10"/>
  <c r="AB152" i="10"/>
  <c r="AA152" i="10"/>
  <c r="Z152" i="10"/>
  <c r="Y152" i="10"/>
  <c r="X152" i="10"/>
  <c r="W152" i="10"/>
  <c r="V152" i="10"/>
  <c r="U152" i="10"/>
  <c r="T152" i="10"/>
  <c r="S152" i="10"/>
  <c r="R152" i="10"/>
  <c r="Q152" i="10"/>
  <c r="AC152" i="10" s="1"/>
  <c r="O152" i="10"/>
  <c r="N152" i="10"/>
  <c r="M152" i="10"/>
  <c r="L152" i="10"/>
  <c r="K152" i="10"/>
  <c r="J152" i="10"/>
  <c r="I152" i="10"/>
  <c r="H152" i="10"/>
  <c r="G152" i="10"/>
  <c r="F152" i="10"/>
  <c r="E152" i="10"/>
  <c r="D152" i="10"/>
  <c r="P152" i="10" s="1"/>
  <c r="AB151" i="10"/>
  <c r="AB155" i="10" s="1"/>
  <c r="AA151" i="10"/>
  <c r="Z151" i="10"/>
  <c r="Y151" i="10"/>
  <c r="X151" i="10"/>
  <c r="W151" i="10"/>
  <c r="V151" i="10"/>
  <c r="U151" i="10"/>
  <c r="T151" i="10"/>
  <c r="S151" i="10"/>
  <c r="R151" i="10"/>
  <c r="Q151" i="10"/>
  <c r="AC151" i="10" s="1"/>
  <c r="AB150" i="10"/>
  <c r="AA150" i="10"/>
  <c r="AA155" i="10" s="1"/>
  <c r="Z150" i="10"/>
  <c r="Z155" i="10" s="1"/>
  <c r="Y150" i="10"/>
  <c r="Y155" i="10" s="1"/>
  <c r="X150" i="10"/>
  <c r="W150" i="10"/>
  <c r="W155" i="10" s="1"/>
  <c r="V150" i="10"/>
  <c r="V155" i="10" s="1"/>
  <c r="U150" i="10"/>
  <c r="U155" i="10" s="1"/>
  <c r="T150" i="10"/>
  <c r="S150" i="10"/>
  <c r="S155" i="10" s="1"/>
  <c r="R150" i="10"/>
  <c r="R155" i="10" s="1"/>
  <c r="Q150" i="10"/>
  <c r="Q155" i="10" s="1"/>
  <c r="O150" i="10"/>
  <c r="N150" i="10"/>
  <c r="M150" i="10"/>
  <c r="L150" i="10"/>
  <c r="K150" i="10"/>
  <c r="J150" i="10"/>
  <c r="I150" i="10"/>
  <c r="H150" i="10"/>
  <c r="G150" i="10"/>
  <c r="F150" i="10"/>
  <c r="E150" i="10"/>
  <c r="D150" i="10"/>
  <c r="AG149" i="10"/>
  <c r="AE149" i="10"/>
  <c r="AB148" i="10"/>
  <c r="X148" i="10"/>
  <c r="T148" i="10"/>
  <c r="D148" i="10"/>
  <c r="AB147" i="10"/>
  <c r="AA147" i="10"/>
  <c r="Z147" i="10"/>
  <c r="Y147" i="10"/>
  <c r="X147" i="10"/>
  <c r="W147" i="10"/>
  <c r="V147" i="10"/>
  <c r="U147" i="10"/>
  <c r="T147" i="10"/>
  <c r="S147" i="10"/>
  <c r="R147" i="10"/>
  <c r="Q147" i="10"/>
  <c r="AC147" i="10" s="1"/>
  <c r="E147" i="10"/>
  <c r="D147" i="10"/>
  <c r="AB146" i="10"/>
  <c r="AA146" i="10"/>
  <c r="Z146" i="10"/>
  <c r="Y146" i="10"/>
  <c r="X146" i="10"/>
  <c r="W146" i="10"/>
  <c r="V146" i="10"/>
  <c r="U146" i="10"/>
  <c r="T146" i="10"/>
  <c r="S146" i="10"/>
  <c r="R146" i="10"/>
  <c r="Q146" i="10"/>
  <c r="E146" i="10"/>
  <c r="D146" i="10"/>
  <c r="AB145" i="10"/>
  <c r="AA145" i="10"/>
  <c r="AA148" i="10" s="1"/>
  <c r="Z145" i="10"/>
  <c r="Y145" i="10"/>
  <c r="Y148" i="10" s="1"/>
  <c r="X145" i="10"/>
  <c r="W145" i="10"/>
  <c r="W148" i="10" s="1"/>
  <c r="V145" i="10"/>
  <c r="U145" i="10"/>
  <c r="U148" i="10" s="1"/>
  <c r="T145" i="10"/>
  <c r="S145" i="10"/>
  <c r="S148" i="10" s="1"/>
  <c r="R145" i="10"/>
  <c r="Q145" i="10"/>
  <c r="AC145" i="10" s="1"/>
  <c r="E145" i="10"/>
  <c r="E148" i="10" s="1"/>
  <c r="D145" i="10"/>
  <c r="AE144" i="10"/>
  <c r="AE143" i="10"/>
  <c r="AE142" i="10"/>
  <c r="AG140" i="10"/>
  <c r="AE140" i="10"/>
  <c r="S138" i="10"/>
  <c r="Y136" i="10"/>
  <c r="U136" i="10"/>
  <c r="Q136" i="10"/>
  <c r="M136" i="10"/>
  <c r="I136" i="10"/>
  <c r="E136" i="10"/>
  <c r="Z135" i="10"/>
  <c r="O134" i="10"/>
  <c r="K134" i="10"/>
  <c r="G134" i="10"/>
  <c r="T133" i="10"/>
  <c r="D133" i="10"/>
  <c r="Y132" i="10"/>
  <c r="U132" i="10"/>
  <c r="Q132" i="10"/>
  <c r="AA130" i="10"/>
  <c r="K130" i="10"/>
  <c r="H129" i="10"/>
  <c r="U128" i="10"/>
  <c r="R127" i="10"/>
  <c r="AG125" i="10"/>
  <c r="AD125" i="10"/>
  <c r="AE125" i="10" s="1"/>
  <c r="AG124" i="10"/>
  <c r="AE124" i="10"/>
  <c r="AD124" i="10"/>
  <c r="AG123" i="10"/>
  <c r="AE123" i="10"/>
  <c r="AF122" i="10"/>
  <c r="AB120" i="10"/>
  <c r="AB138" i="10" s="1"/>
  <c r="AA120" i="10"/>
  <c r="Z120" i="10"/>
  <c r="Z138" i="10" s="1"/>
  <c r="Y120" i="10"/>
  <c r="Y138" i="10" s="1"/>
  <c r="X120" i="10"/>
  <c r="X138" i="10" s="1"/>
  <c r="W120" i="10"/>
  <c r="V120" i="10"/>
  <c r="V138" i="10" s="1"/>
  <c r="U120" i="10"/>
  <c r="U138" i="10" s="1"/>
  <c r="T120" i="10"/>
  <c r="T138" i="10" s="1"/>
  <c r="S120" i="10"/>
  <c r="R120" i="10"/>
  <c r="R138" i="10" s="1"/>
  <c r="Q120" i="10"/>
  <c r="AC120" i="10" s="1"/>
  <c r="AC138" i="10" s="1"/>
  <c r="O120" i="10"/>
  <c r="N120" i="10"/>
  <c r="N138" i="10" s="1"/>
  <c r="M120" i="10"/>
  <c r="L120" i="10"/>
  <c r="K120" i="10"/>
  <c r="J120" i="10"/>
  <c r="J138" i="10" s="1"/>
  <c r="I120" i="10"/>
  <c r="H120" i="10"/>
  <c r="G120" i="10"/>
  <c r="F120" i="10"/>
  <c r="F138" i="10" s="1"/>
  <c r="E120" i="10"/>
  <c r="D120" i="10"/>
  <c r="P120" i="10" s="1"/>
  <c r="AB119" i="10"/>
  <c r="AA119" i="10"/>
  <c r="AA137" i="10" s="1"/>
  <c r="Z119" i="10"/>
  <c r="Z137" i="10" s="1"/>
  <c r="Y119" i="10"/>
  <c r="Y137" i="10" s="1"/>
  <c r="X119" i="10"/>
  <c r="W119" i="10"/>
  <c r="W137" i="10" s="1"/>
  <c r="V119" i="10"/>
  <c r="V137" i="10" s="1"/>
  <c r="U119" i="10"/>
  <c r="U137" i="10" s="1"/>
  <c r="T119" i="10"/>
  <c r="S119" i="10"/>
  <c r="S137" i="10" s="1"/>
  <c r="R119" i="10"/>
  <c r="R137" i="10" s="1"/>
  <c r="Q119" i="10"/>
  <c r="AC119" i="10" s="1"/>
  <c r="O119" i="10"/>
  <c r="O137" i="10" s="1"/>
  <c r="N119" i="10"/>
  <c r="M119" i="10"/>
  <c r="L119" i="10"/>
  <c r="K119" i="10"/>
  <c r="K137" i="10" s="1"/>
  <c r="J119" i="10"/>
  <c r="I119" i="10"/>
  <c r="H119" i="10"/>
  <c r="G119" i="10"/>
  <c r="G137" i="10" s="1"/>
  <c r="F119" i="10"/>
  <c r="E119" i="10"/>
  <c r="D119" i="10"/>
  <c r="P119" i="10" s="1"/>
  <c r="AB118" i="10"/>
  <c r="AB136" i="10" s="1"/>
  <c r="AA118" i="10"/>
  <c r="AA136" i="10" s="1"/>
  <c r="Z118" i="10"/>
  <c r="Z136" i="10" s="1"/>
  <c r="Y118" i="10"/>
  <c r="X118" i="10"/>
  <c r="X136" i="10" s="1"/>
  <c r="W118" i="10"/>
  <c r="W136" i="10" s="1"/>
  <c r="V118" i="10"/>
  <c r="V136" i="10" s="1"/>
  <c r="U118" i="10"/>
  <c r="T118" i="10"/>
  <c r="T136" i="10" s="1"/>
  <c r="S118" i="10"/>
  <c r="S136" i="10" s="1"/>
  <c r="R118" i="10"/>
  <c r="R136" i="10" s="1"/>
  <c r="Q118" i="10"/>
  <c r="O118" i="10"/>
  <c r="O136" i="10" s="1"/>
  <c r="N118" i="10"/>
  <c r="N136" i="10" s="1"/>
  <c r="M118" i="10"/>
  <c r="L118" i="10"/>
  <c r="L136" i="10" s="1"/>
  <c r="K118" i="10"/>
  <c r="K136" i="10" s="1"/>
  <c r="J118" i="10"/>
  <c r="J136" i="10" s="1"/>
  <c r="I118" i="10"/>
  <c r="H118" i="10"/>
  <c r="H136" i="10" s="1"/>
  <c r="G118" i="10"/>
  <c r="G136" i="10" s="1"/>
  <c r="F118" i="10"/>
  <c r="F136" i="10" s="1"/>
  <c r="E118" i="10"/>
  <c r="D118" i="10"/>
  <c r="D136" i="10" s="1"/>
  <c r="AB117" i="10"/>
  <c r="AB135" i="10" s="1"/>
  <c r="AA117" i="10"/>
  <c r="AA135" i="10" s="1"/>
  <c r="Z117" i="10"/>
  <c r="Y117" i="10"/>
  <c r="Y135" i="10" s="1"/>
  <c r="X117" i="10"/>
  <c r="X135" i="10" s="1"/>
  <c r="W117" i="10"/>
  <c r="W135" i="10" s="1"/>
  <c r="V117" i="10"/>
  <c r="U117" i="10"/>
  <c r="U135" i="10" s="1"/>
  <c r="T117" i="10"/>
  <c r="T135" i="10" s="1"/>
  <c r="S117" i="10"/>
  <c r="S135" i="10" s="1"/>
  <c r="R117" i="10"/>
  <c r="Q117" i="10"/>
  <c r="Q135" i="10" s="1"/>
  <c r="N117" i="10"/>
  <c r="M117" i="10"/>
  <c r="L117" i="10"/>
  <c r="L135" i="10" s="1"/>
  <c r="J117" i="10"/>
  <c r="I117" i="10"/>
  <c r="I135" i="10" s="1"/>
  <c r="H117" i="10"/>
  <c r="H135" i="10" s="1"/>
  <c r="F117" i="10"/>
  <c r="E117" i="10"/>
  <c r="E135" i="10" s="1"/>
  <c r="D117" i="10"/>
  <c r="AB116" i="10"/>
  <c r="AB134" i="10" s="1"/>
  <c r="Z116" i="10"/>
  <c r="Z134" i="10" s="1"/>
  <c r="Y116" i="10"/>
  <c r="Y134" i="10" s="1"/>
  <c r="X116" i="10"/>
  <c r="X134" i="10" s="1"/>
  <c r="V116" i="10"/>
  <c r="V134" i="10" s="1"/>
  <c r="U116" i="10"/>
  <c r="U134" i="10" s="1"/>
  <c r="T116" i="10"/>
  <c r="T134" i="10" s="1"/>
  <c r="R116" i="10"/>
  <c r="R134" i="10" s="1"/>
  <c r="Q116" i="10"/>
  <c r="O116" i="10"/>
  <c r="N116" i="10"/>
  <c r="N134" i="10" s="1"/>
  <c r="M116" i="10"/>
  <c r="M134" i="10" s="1"/>
  <c r="L116" i="10"/>
  <c r="L134" i="10" s="1"/>
  <c r="K116" i="10"/>
  <c r="J116" i="10"/>
  <c r="J134" i="10" s="1"/>
  <c r="I116" i="10"/>
  <c r="I134" i="10" s="1"/>
  <c r="H116" i="10"/>
  <c r="H134" i="10" s="1"/>
  <c r="G116" i="10"/>
  <c r="F116" i="10"/>
  <c r="F134" i="10" s="1"/>
  <c r="E116" i="10"/>
  <c r="E134" i="10" s="1"/>
  <c r="D116" i="10"/>
  <c r="AB115" i="10"/>
  <c r="AA115" i="10"/>
  <c r="AA133" i="10" s="1"/>
  <c r="Z115" i="10"/>
  <c r="Z133" i="10" s="1"/>
  <c r="Y115" i="10"/>
  <c r="Y133" i="10" s="1"/>
  <c r="X115" i="10"/>
  <c r="W115" i="10"/>
  <c r="W133" i="10" s="1"/>
  <c r="V115" i="10"/>
  <c r="V133" i="10" s="1"/>
  <c r="U115" i="10"/>
  <c r="U133" i="10" s="1"/>
  <c r="T115" i="10"/>
  <c r="S115" i="10"/>
  <c r="S133" i="10" s="1"/>
  <c r="R115" i="10"/>
  <c r="R133" i="10" s="1"/>
  <c r="Q115" i="10"/>
  <c r="AC115" i="10" s="1"/>
  <c r="O115" i="10"/>
  <c r="O133" i="10" s="1"/>
  <c r="M115" i="10"/>
  <c r="M133" i="10" s="1"/>
  <c r="L115" i="10"/>
  <c r="K115" i="10"/>
  <c r="K133" i="10" s="1"/>
  <c r="I115" i="10"/>
  <c r="I133" i="10" s="1"/>
  <c r="H115" i="10"/>
  <c r="G115" i="10"/>
  <c r="G133" i="10" s="1"/>
  <c r="E115" i="10"/>
  <c r="D115" i="10"/>
  <c r="AB114" i="10"/>
  <c r="AB132" i="10" s="1"/>
  <c r="AA114" i="10"/>
  <c r="AA132" i="10" s="1"/>
  <c r="Y114" i="10"/>
  <c r="X114" i="10"/>
  <c r="X132" i="10" s="1"/>
  <c r="W114" i="10"/>
  <c r="W132" i="10" s="1"/>
  <c r="U114" i="10"/>
  <c r="T114" i="10"/>
  <c r="T132" i="10" s="1"/>
  <c r="S114" i="10"/>
  <c r="S132" i="10" s="1"/>
  <c r="Q114" i="10"/>
  <c r="P114" i="10"/>
  <c r="O114" i="10"/>
  <c r="O132" i="10" s="1"/>
  <c r="N114" i="10"/>
  <c r="N132" i="10" s="1"/>
  <c r="L114" i="10"/>
  <c r="L132" i="10" s="1"/>
  <c r="K114" i="10"/>
  <c r="K132" i="10" s="1"/>
  <c r="J114" i="10"/>
  <c r="J132" i="10" s="1"/>
  <c r="H114" i="10"/>
  <c r="H132" i="10" s="1"/>
  <c r="G114" i="10"/>
  <c r="G132" i="10" s="1"/>
  <c r="F114" i="10"/>
  <c r="F132" i="10" s="1"/>
  <c r="D114" i="10"/>
  <c r="D132" i="10" s="1"/>
  <c r="AB113" i="10"/>
  <c r="AB131" i="10" s="1"/>
  <c r="AA113" i="10"/>
  <c r="AA131" i="10" s="1"/>
  <c r="Z113" i="10"/>
  <c r="Y113" i="10"/>
  <c r="Y131" i="10" s="1"/>
  <c r="X113" i="10"/>
  <c r="X131" i="10" s="1"/>
  <c r="W113" i="10"/>
  <c r="W131" i="10" s="1"/>
  <c r="V113" i="10"/>
  <c r="U113" i="10"/>
  <c r="U131" i="10" s="1"/>
  <c r="T113" i="10"/>
  <c r="T131" i="10" s="1"/>
  <c r="S113" i="10"/>
  <c r="S131" i="10" s="1"/>
  <c r="R113" i="10"/>
  <c r="Q113" i="10"/>
  <c r="Q131" i="10" s="1"/>
  <c r="O113" i="10"/>
  <c r="N113" i="10"/>
  <c r="M113" i="10"/>
  <c r="M131" i="10" s="1"/>
  <c r="L113" i="10"/>
  <c r="K113" i="10"/>
  <c r="K131" i="10" s="1"/>
  <c r="J113" i="10"/>
  <c r="I113" i="10"/>
  <c r="I131" i="10" s="1"/>
  <c r="H113" i="10"/>
  <c r="G113" i="10"/>
  <c r="G131" i="10" s="1"/>
  <c r="F113" i="10"/>
  <c r="E113" i="10"/>
  <c r="E131" i="10" s="1"/>
  <c r="D113" i="10"/>
  <c r="AB112" i="10"/>
  <c r="AB130" i="10" s="1"/>
  <c r="AA112" i="10"/>
  <c r="Z112" i="10"/>
  <c r="Z130" i="10" s="1"/>
  <c r="Y112" i="10"/>
  <c r="Y130" i="10" s="1"/>
  <c r="X112" i="10"/>
  <c r="X130" i="10" s="1"/>
  <c r="W112" i="10"/>
  <c r="V112" i="10"/>
  <c r="V130" i="10" s="1"/>
  <c r="U112" i="10"/>
  <c r="U130" i="10" s="1"/>
  <c r="T112" i="10"/>
  <c r="T130" i="10" s="1"/>
  <c r="S112" i="10"/>
  <c r="R112" i="10"/>
  <c r="R130" i="10" s="1"/>
  <c r="Q112" i="10"/>
  <c r="AC112" i="10" s="1"/>
  <c r="O112" i="10"/>
  <c r="N112" i="10"/>
  <c r="N130" i="10" s="1"/>
  <c r="M112" i="10"/>
  <c r="L112" i="10"/>
  <c r="L130" i="10" s="1"/>
  <c r="K112" i="10"/>
  <c r="J112" i="10"/>
  <c r="J130" i="10" s="1"/>
  <c r="I112" i="10"/>
  <c r="H112" i="10"/>
  <c r="H130" i="10" s="1"/>
  <c r="G112" i="10"/>
  <c r="F112" i="10"/>
  <c r="F130" i="10" s="1"/>
  <c r="E112" i="10"/>
  <c r="D112" i="10"/>
  <c r="AB111" i="10"/>
  <c r="Z111" i="10"/>
  <c r="Z129" i="10" s="1"/>
  <c r="Y111" i="10"/>
  <c r="Y129" i="10" s="1"/>
  <c r="X111" i="10"/>
  <c r="V111" i="10"/>
  <c r="V129" i="10" s="1"/>
  <c r="U111" i="10"/>
  <c r="U129" i="10" s="1"/>
  <c r="T111" i="10"/>
  <c r="R111" i="10"/>
  <c r="R129" i="10" s="1"/>
  <c r="Q111" i="10"/>
  <c r="O111" i="10"/>
  <c r="M111" i="10"/>
  <c r="L111" i="10"/>
  <c r="K111" i="10"/>
  <c r="K129" i="10" s="1"/>
  <c r="I111" i="10"/>
  <c r="H111" i="10"/>
  <c r="G111" i="10"/>
  <c r="E111" i="10"/>
  <c r="D111" i="10"/>
  <c r="AB110" i="10"/>
  <c r="AB128" i="10" s="1"/>
  <c r="Z110" i="10"/>
  <c r="Y110" i="10"/>
  <c r="X110" i="10"/>
  <c r="X128" i="10" s="1"/>
  <c r="V110" i="10"/>
  <c r="U110" i="10"/>
  <c r="T110" i="10"/>
  <c r="T128" i="10" s="1"/>
  <c r="R110" i="10"/>
  <c r="Q110" i="10"/>
  <c r="P110" i="10"/>
  <c r="N110" i="10"/>
  <c r="M110" i="10"/>
  <c r="L110" i="10"/>
  <c r="L128" i="10" s="1"/>
  <c r="J110" i="10"/>
  <c r="I110" i="10"/>
  <c r="H110" i="10"/>
  <c r="F110" i="10"/>
  <c r="E110" i="10"/>
  <c r="D110" i="10"/>
  <c r="AB109" i="10"/>
  <c r="AB127" i="10" s="1"/>
  <c r="AA109" i="10"/>
  <c r="Z109" i="10"/>
  <c r="Y109" i="10"/>
  <c r="Y127" i="10" s="1"/>
  <c r="X109" i="10"/>
  <c r="X127" i="10" s="1"/>
  <c r="W109" i="10"/>
  <c r="V109" i="10"/>
  <c r="U109" i="10"/>
  <c r="U127" i="10" s="1"/>
  <c r="T109" i="10"/>
  <c r="T127" i="10" s="1"/>
  <c r="S109" i="10"/>
  <c r="R109" i="10"/>
  <c r="Q109" i="10"/>
  <c r="Q127" i="10" s="1"/>
  <c r="O109" i="10"/>
  <c r="N109" i="10"/>
  <c r="M109" i="10"/>
  <c r="L109" i="10"/>
  <c r="K109" i="10"/>
  <c r="J109" i="10"/>
  <c r="I109" i="10"/>
  <c r="I127" i="10" s="1"/>
  <c r="H109" i="10"/>
  <c r="G109" i="10"/>
  <c r="F109" i="10"/>
  <c r="E109" i="10"/>
  <c r="E127" i="10" s="1"/>
  <c r="D109" i="10"/>
  <c r="AB108" i="10"/>
  <c r="AB121" i="10" s="1"/>
  <c r="Z108" i="10"/>
  <c r="Y108" i="10"/>
  <c r="Y126" i="10" s="1"/>
  <c r="X108" i="10"/>
  <c r="X121" i="10" s="1"/>
  <c r="V108" i="10"/>
  <c r="U108" i="10"/>
  <c r="U126" i="10" s="1"/>
  <c r="T108" i="10"/>
  <c r="R108" i="10"/>
  <c r="Q108" i="10"/>
  <c r="AC108" i="10" s="1"/>
  <c r="N108" i="10"/>
  <c r="M108" i="10"/>
  <c r="L108" i="10"/>
  <c r="L121" i="10" s="1"/>
  <c r="J108" i="10"/>
  <c r="I108" i="10"/>
  <c r="H108" i="10"/>
  <c r="H121" i="10" s="1"/>
  <c r="H212" i="10" s="1"/>
  <c r="F108" i="10"/>
  <c r="E108" i="10"/>
  <c r="D108" i="10"/>
  <c r="D121" i="10" s="1"/>
  <c r="D200" i="10" s="1"/>
  <c r="P107" i="10"/>
  <c r="AD107" i="10" s="1"/>
  <c r="AE107" i="10" s="1"/>
  <c r="AD106" i="10"/>
  <c r="AE106" i="10" s="1"/>
  <c r="P106" i="10"/>
  <c r="AE105" i="10"/>
  <c r="AB100" i="10"/>
  <c r="AA100" i="10"/>
  <c r="Z100" i="10"/>
  <c r="Y100" i="10"/>
  <c r="X100" i="10"/>
  <c r="X227" i="10" s="1"/>
  <c r="W100" i="10"/>
  <c r="V100" i="10"/>
  <c r="U100" i="10"/>
  <c r="T100" i="10"/>
  <c r="S100" i="10"/>
  <c r="R100" i="10"/>
  <c r="Q100" i="10"/>
  <c r="O100" i="10"/>
  <c r="N100" i="10"/>
  <c r="M100" i="10"/>
  <c r="L100" i="10"/>
  <c r="L227" i="10" s="1"/>
  <c r="K100" i="10"/>
  <c r="J100" i="10"/>
  <c r="I100" i="10"/>
  <c r="H100" i="10"/>
  <c r="H227" i="10" s="1"/>
  <c r="G100" i="10"/>
  <c r="F100" i="10"/>
  <c r="E100" i="10"/>
  <c r="D100" i="10"/>
  <c r="D227" i="10" s="1"/>
  <c r="AB99" i="10"/>
  <c r="AB226" i="10" s="1"/>
  <c r="AA99" i="10"/>
  <c r="Z99" i="10"/>
  <c r="Y99" i="10"/>
  <c r="X99" i="10"/>
  <c r="X226" i="10" s="1"/>
  <c r="W99" i="10"/>
  <c r="V99" i="10"/>
  <c r="U99" i="10"/>
  <c r="T99" i="10"/>
  <c r="S99" i="10"/>
  <c r="R99" i="10"/>
  <c r="Q99" i="10"/>
  <c r="O99" i="10"/>
  <c r="N99" i="10"/>
  <c r="M99" i="10"/>
  <c r="L99" i="10"/>
  <c r="L226" i="10" s="1"/>
  <c r="K99" i="10"/>
  <c r="J99" i="10"/>
  <c r="I99" i="10"/>
  <c r="H99" i="10"/>
  <c r="H226" i="10" s="1"/>
  <c r="G99" i="10"/>
  <c r="F99" i="10"/>
  <c r="E99" i="10"/>
  <c r="D99" i="10"/>
  <c r="AB98" i="10"/>
  <c r="AA98" i="10"/>
  <c r="Z98" i="10"/>
  <c r="Y98" i="10"/>
  <c r="X98" i="10"/>
  <c r="X225" i="10" s="1"/>
  <c r="W98" i="10"/>
  <c r="V98" i="10"/>
  <c r="U98" i="10"/>
  <c r="T98" i="10"/>
  <c r="S98" i="10"/>
  <c r="R98" i="10"/>
  <c r="Q98" i="10"/>
  <c r="O98" i="10"/>
  <c r="N98" i="10"/>
  <c r="M98" i="10"/>
  <c r="L98" i="10"/>
  <c r="K98" i="10"/>
  <c r="J98" i="10"/>
  <c r="I98" i="10"/>
  <c r="H98" i="10"/>
  <c r="H225" i="10" s="1"/>
  <c r="G98" i="10"/>
  <c r="F98" i="10"/>
  <c r="E98" i="10"/>
  <c r="D98" i="10"/>
  <c r="D225" i="10" s="1"/>
  <c r="AB97" i="10"/>
  <c r="AA97" i="10"/>
  <c r="Z97" i="10"/>
  <c r="Y97" i="10"/>
  <c r="X97" i="10"/>
  <c r="W97" i="10"/>
  <c r="V97" i="10"/>
  <c r="U97" i="10"/>
  <c r="T97" i="10"/>
  <c r="S97" i="10"/>
  <c r="R97" i="10"/>
  <c r="Q97" i="10"/>
  <c r="O97" i="10"/>
  <c r="N97" i="10"/>
  <c r="M97" i="10"/>
  <c r="L97" i="10"/>
  <c r="L224" i="10" s="1"/>
  <c r="K97" i="10"/>
  <c r="J97" i="10"/>
  <c r="I97" i="10"/>
  <c r="H97" i="10"/>
  <c r="G97" i="10"/>
  <c r="F97" i="10"/>
  <c r="E97" i="10"/>
  <c r="D97" i="10"/>
  <c r="D224" i="10" s="1"/>
  <c r="AB96" i="10"/>
  <c r="AA96" i="10"/>
  <c r="Z96" i="10"/>
  <c r="Y96" i="10"/>
  <c r="X96" i="10"/>
  <c r="X223" i="10" s="1"/>
  <c r="W96" i="10"/>
  <c r="V96" i="10"/>
  <c r="U96" i="10"/>
  <c r="T96" i="10"/>
  <c r="S96" i="10"/>
  <c r="R96" i="10"/>
  <c r="Q96" i="10"/>
  <c r="O96" i="10"/>
  <c r="N96" i="10"/>
  <c r="M96" i="10"/>
  <c r="L96" i="10"/>
  <c r="L223" i="10" s="1"/>
  <c r="K96" i="10"/>
  <c r="J96" i="10"/>
  <c r="I96" i="10"/>
  <c r="H96" i="10"/>
  <c r="H223" i="10" s="1"/>
  <c r="G96" i="10"/>
  <c r="F96" i="10"/>
  <c r="E96" i="10"/>
  <c r="D96" i="10"/>
  <c r="D223" i="10" s="1"/>
  <c r="AB95" i="10"/>
  <c r="AA95" i="10"/>
  <c r="Z95" i="10"/>
  <c r="Y95" i="10"/>
  <c r="X95" i="10"/>
  <c r="X222" i="10" s="1"/>
  <c r="W95" i="10"/>
  <c r="V95" i="10"/>
  <c r="U95" i="10"/>
  <c r="T95" i="10"/>
  <c r="S95" i="10"/>
  <c r="R95" i="10"/>
  <c r="Q95" i="10"/>
  <c r="O95" i="10"/>
  <c r="N95" i="10"/>
  <c r="M95" i="10"/>
  <c r="L95" i="10"/>
  <c r="L222" i="10" s="1"/>
  <c r="K95" i="10"/>
  <c r="J95" i="10"/>
  <c r="I95" i="10"/>
  <c r="H95" i="10"/>
  <c r="H222" i="10" s="1"/>
  <c r="G95" i="10"/>
  <c r="F95" i="10"/>
  <c r="E95" i="10"/>
  <c r="D95" i="10"/>
  <c r="D222" i="10" s="1"/>
  <c r="AB94" i="10"/>
  <c r="AA94" i="10"/>
  <c r="Z94" i="10"/>
  <c r="Y94" i="10"/>
  <c r="X94" i="10"/>
  <c r="X221" i="10" s="1"/>
  <c r="W94" i="10"/>
  <c r="V94" i="10"/>
  <c r="U94" i="10"/>
  <c r="T94" i="10"/>
  <c r="S94" i="10"/>
  <c r="R94" i="10"/>
  <c r="Q94" i="10"/>
  <c r="AB93" i="10"/>
  <c r="AA93" i="10"/>
  <c r="Z93" i="10"/>
  <c r="Y93" i="10"/>
  <c r="X93" i="10"/>
  <c r="W93" i="10"/>
  <c r="V93" i="10"/>
  <c r="U93" i="10"/>
  <c r="T93" i="10"/>
  <c r="S93" i="10"/>
  <c r="R93" i="10"/>
  <c r="Q93" i="10"/>
  <c r="O93" i="10"/>
  <c r="N93" i="10"/>
  <c r="M93" i="10"/>
  <c r="L93" i="10"/>
  <c r="L220" i="10" s="1"/>
  <c r="K93" i="10"/>
  <c r="J93" i="10"/>
  <c r="I93" i="10"/>
  <c r="H93" i="10"/>
  <c r="G93" i="10"/>
  <c r="F93" i="10"/>
  <c r="E93" i="10"/>
  <c r="D93" i="10"/>
  <c r="D220" i="10" s="1"/>
  <c r="AB92" i="10"/>
  <c r="AA92" i="10"/>
  <c r="Z92" i="10"/>
  <c r="Y92" i="10"/>
  <c r="X92" i="10"/>
  <c r="X219" i="10" s="1"/>
  <c r="W92" i="10"/>
  <c r="V92" i="10"/>
  <c r="U92" i="10"/>
  <c r="T92" i="10"/>
  <c r="S92" i="10"/>
  <c r="R92" i="10"/>
  <c r="Q92" i="10"/>
  <c r="O92" i="10"/>
  <c r="N92" i="10"/>
  <c r="M92" i="10"/>
  <c r="L92" i="10"/>
  <c r="L219" i="10" s="1"/>
  <c r="K92" i="10"/>
  <c r="J92" i="10"/>
  <c r="I92" i="10"/>
  <c r="H92" i="10"/>
  <c r="H219" i="10" s="1"/>
  <c r="G92" i="10"/>
  <c r="F92" i="10"/>
  <c r="E92" i="10"/>
  <c r="D92" i="10"/>
  <c r="D219" i="10" s="1"/>
  <c r="AB91" i="10"/>
  <c r="AA91" i="10"/>
  <c r="Z91" i="10"/>
  <c r="Y91" i="10"/>
  <c r="X91" i="10"/>
  <c r="X218" i="10" s="1"/>
  <c r="W91" i="10"/>
  <c r="V91" i="10"/>
  <c r="U91" i="10"/>
  <c r="T91" i="10"/>
  <c r="S91" i="10"/>
  <c r="R91" i="10"/>
  <c r="Q91" i="10"/>
  <c r="O91" i="10"/>
  <c r="N91" i="10"/>
  <c r="M91" i="10"/>
  <c r="L91" i="10"/>
  <c r="L218" i="10" s="1"/>
  <c r="K91" i="10"/>
  <c r="J91" i="10"/>
  <c r="I91" i="10"/>
  <c r="H91" i="10"/>
  <c r="H218" i="10" s="1"/>
  <c r="G91" i="10"/>
  <c r="F91" i="10"/>
  <c r="E91" i="10"/>
  <c r="D91" i="10"/>
  <c r="D218" i="10" s="1"/>
  <c r="AB90" i="10"/>
  <c r="AA90" i="10"/>
  <c r="Z90" i="10"/>
  <c r="Y90" i="10"/>
  <c r="X90" i="10"/>
  <c r="X217" i="10" s="1"/>
  <c r="W90" i="10"/>
  <c r="V90" i="10"/>
  <c r="U90" i="10"/>
  <c r="T90" i="10"/>
  <c r="S90" i="10"/>
  <c r="R90" i="10"/>
  <c r="Q90" i="10"/>
  <c r="O90" i="10"/>
  <c r="N90" i="10"/>
  <c r="M90" i="10"/>
  <c r="L90" i="10"/>
  <c r="K90" i="10"/>
  <c r="J90" i="10"/>
  <c r="I90" i="10"/>
  <c r="H90" i="10"/>
  <c r="H217" i="10" s="1"/>
  <c r="G90" i="10"/>
  <c r="F90" i="10"/>
  <c r="E90" i="10"/>
  <c r="D90" i="10"/>
  <c r="D217" i="10" s="1"/>
  <c r="AB89" i="10"/>
  <c r="AA89" i="10"/>
  <c r="Z89" i="10"/>
  <c r="Y89" i="10"/>
  <c r="X89" i="10"/>
  <c r="W89" i="10"/>
  <c r="V89" i="10"/>
  <c r="U89" i="10"/>
  <c r="T89" i="10"/>
  <c r="S89" i="10"/>
  <c r="R89" i="10"/>
  <c r="Q89" i="10"/>
  <c r="O89" i="10"/>
  <c r="N89" i="10"/>
  <c r="M89" i="10"/>
  <c r="L89" i="10"/>
  <c r="L216" i="10" s="1"/>
  <c r="K89" i="10"/>
  <c r="J89" i="10"/>
  <c r="I89" i="10"/>
  <c r="H89" i="10"/>
  <c r="G89" i="10"/>
  <c r="F89" i="10"/>
  <c r="E89" i="10"/>
  <c r="D89" i="10"/>
  <c r="AB88" i="10"/>
  <c r="AB215" i="10" s="1"/>
  <c r="AA88" i="10"/>
  <c r="Z88" i="10"/>
  <c r="Y88" i="10"/>
  <c r="X88" i="10"/>
  <c r="X215" i="10" s="1"/>
  <c r="W88" i="10"/>
  <c r="V88" i="10"/>
  <c r="U88" i="10"/>
  <c r="T88" i="10"/>
  <c r="S88" i="10"/>
  <c r="R88" i="10"/>
  <c r="Q88" i="10"/>
  <c r="O88" i="10"/>
  <c r="N88" i="10"/>
  <c r="M88" i="10"/>
  <c r="L88" i="10"/>
  <c r="L215" i="10" s="1"/>
  <c r="K88" i="10"/>
  <c r="J88" i="10"/>
  <c r="I88" i="10"/>
  <c r="H88" i="10"/>
  <c r="H215" i="10" s="1"/>
  <c r="G88" i="10"/>
  <c r="F88" i="10"/>
  <c r="E88" i="10"/>
  <c r="D88" i="10"/>
  <c r="D215" i="10" s="1"/>
  <c r="AB87" i="10"/>
  <c r="AA87" i="10"/>
  <c r="Z87" i="10"/>
  <c r="Y87" i="10"/>
  <c r="X87" i="10"/>
  <c r="X214" i="10" s="1"/>
  <c r="W87" i="10"/>
  <c r="V87" i="10"/>
  <c r="U87" i="10"/>
  <c r="T87" i="10"/>
  <c r="S87" i="10"/>
  <c r="R87" i="10"/>
  <c r="Q87" i="10"/>
  <c r="O87" i="10"/>
  <c r="N87" i="10"/>
  <c r="M87" i="10"/>
  <c r="L87" i="10"/>
  <c r="L214" i="10" s="1"/>
  <c r="K87" i="10"/>
  <c r="J87" i="10"/>
  <c r="I87" i="10"/>
  <c r="H87" i="10"/>
  <c r="H214" i="10" s="1"/>
  <c r="G87" i="10"/>
  <c r="F87" i="10"/>
  <c r="E87" i="10"/>
  <c r="D87" i="10"/>
  <c r="D214" i="10" s="1"/>
  <c r="AB86" i="10"/>
  <c r="AA86" i="10"/>
  <c r="Z86" i="10"/>
  <c r="Y86" i="10"/>
  <c r="X86" i="10"/>
  <c r="X213" i="10" s="1"/>
  <c r="W86" i="10"/>
  <c r="V86" i="10"/>
  <c r="U86" i="10"/>
  <c r="T86" i="10"/>
  <c r="S86" i="10"/>
  <c r="R86" i="10"/>
  <c r="Q86" i="10"/>
  <c r="O86" i="10"/>
  <c r="N86" i="10"/>
  <c r="M86" i="10"/>
  <c r="L86" i="10"/>
  <c r="K86" i="10"/>
  <c r="J86" i="10"/>
  <c r="I86" i="10"/>
  <c r="H86" i="10"/>
  <c r="H213" i="10" s="1"/>
  <c r="G86" i="10"/>
  <c r="F86" i="10"/>
  <c r="E86" i="10"/>
  <c r="D86" i="10"/>
  <c r="AB85" i="10"/>
  <c r="AB212" i="10" s="1"/>
  <c r="AA85" i="10"/>
  <c r="Z85" i="10"/>
  <c r="Y85" i="10"/>
  <c r="X85" i="10"/>
  <c r="W85" i="10"/>
  <c r="V85" i="10"/>
  <c r="U85" i="10"/>
  <c r="T85" i="10"/>
  <c r="S85" i="10"/>
  <c r="R85" i="10"/>
  <c r="Q85" i="10"/>
  <c r="O85" i="10"/>
  <c r="N85" i="10"/>
  <c r="M85" i="10"/>
  <c r="L85" i="10"/>
  <c r="L212" i="10" s="1"/>
  <c r="K85" i="10"/>
  <c r="J85" i="10"/>
  <c r="I85" i="10"/>
  <c r="H85" i="10"/>
  <c r="G85" i="10"/>
  <c r="F85" i="10"/>
  <c r="E85" i="10"/>
  <c r="D85" i="10"/>
  <c r="D212" i="10" s="1"/>
  <c r="AB84" i="10"/>
  <c r="AA84" i="10"/>
  <c r="Z84" i="10"/>
  <c r="Y84" i="10"/>
  <c r="X84" i="10"/>
  <c r="X211" i="10" s="1"/>
  <c r="W84" i="10"/>
  <c r="V84" i="10"/>
  <c r="U84" i="10"/>
  <c r="T84" i="10"/>
  <c r="S84" i="10"/>
  <c r="R84" i="10"/>
  <c r="Q84" i="10"/>
  <c r="O84" i="10"/>
  <c r="N84" i="10"/>
  <c r="M84" i="10"/>
  <c r="L84" i="10"/>
  <c r="L211" i="10" s="1"/>
  <c r="K84" i="10"/>
  <c r="J84" i="10"/>
  <c r="I84" i="10"/>
  <c r="H84" i="10"/>
  <c r="H211" i="10" s="1"/>
  <c r="G84" i="10"/>
  <c r="F84" i="10"/>
  <c r="E84" i="10"/>
  <c r="D84" i="10"/>
  <c r="D211" i="10" s="1"/>
  <c r="AB83" i="10"/>
  <c r="AA83" i="10"/>
  <c r="Z83" i="10"/>
  <c r="Y83" i="10"/>
  <c r="X83" i="10"/>
  <c r="X210" i="10" s="1"/>
  <c r="W83" i="10"/>
  <c r="V83" i="10"/>
  <c r="U83" i="10"/>
  <c r="T83" i="10"/>
  <c r="S83" i="10"/>
  <c r="R83" i="10"/>
  <c r="Q83" i="10"/>
  <c r="O83" i="10"/>
  <c r="N83" i="10"/>
  <c r="M83" i="10"/>
  <c r="L83" i="10"/>
  <c r="L210" i="10" s="1"/>
  <c r="K83" i="10"/>
  <c r="J83" i="10"/>
  <c r="I83" i="10"/>
  <c r="H83" i="10"/>
  <c r="H210" i="10" s="1"/>
  <c r="G83" i="10"/>
  <c r="F83" i="10"/>
  <c r="E83" i="10"/>
  <c r="D83" i="10"/>
  <c r="AB82" i="10"/>
  <c r="AA82" i="10"/>
  <c r="Z82" i="10"/>
  <c r="Y82" i="10"/>
  <c r="X82" i="10"/>
  <c r="X209" i="10" s="1"/>
  <c r="W82" i="10"/>
  <c r="V82" i="10"/>
  <c r="U82" i="10"/>
  <c r="T82" i="10"/>
  <c r="S82" i="10"/>
  <c r="R82" i="10"/>
  <c r="Q82" i="10"/>
  <c r="O82" i="10"/>
  <c r="N82" i="10"/>
  <c r="M82" i="10"/>
  <c r="L82" i="10"/>
  <c r="K82" i="10"/>
  <c r="J82" i="10"/>
  <c r="I82" i="10"/>
  <c r="H82" i="10"/>
  <c r="H209" i="10" s="1"/>
  <c r="G82" i="10"/>
  <c r="F82" i="10"/>
  <c r="E82" i="10"/>
  <c r="D82" i="10"/>
  <c r="D209" i="10" s="1"/>
  <c r="AB81" i="10"/>
  <c r="AA81" i="10"/>
  <c r="Z81" i="10"/>
  <c r="Y81" i="10"/>
  <c r="X81" i="10"/>
  <c r="W81" i="10"/>
  <c r="V81" i="10"/>
  <c r="U81" i="10"/>
  <c r="T81" i="10"/>
  <c r="S81" i="10"/>
  <c r="R81" i="10"/>
  <c r="Q81" i="10"/>
  <c r="O81" i="10"/>
  <c r="N81" i="10"/>
  <c r="M81" i="10"/>
  <c r="L81" i="10"/>
  <c r="L208" i="10" s="1"/>
  <c r="K81" i="10"/>
  <c r="J81" i="10"/>
  <c r="I81" i="10"/>
  <c r="H81" i="10"/>
  <c r="G81" i="10"/>
  <c r="F81" i="10"/>
  <c r="E81" i="10"/>
  <c r="D81" i="10"/>
  <c r="D208" i="10" s="1"/>
  <c r="AB80" i="10"/>
  <c r="AA80" i="10"/>
  <c r="Z80" i="10"/>
  <c r="Y80" i="10"/>
  <c r="X80" i="10"/>
  <c r="X207" i="10" s="1"/>
  <c r="W80" i="10"/>
  <c r="V80" i="10"/>
  <c r="U80" i="10"/>
  <c r="T80" i="10"/>
  <c r="S80" i="10"/>
  <c r="R80" i="10"/>
  <c r="Q80" i="10"/>
  <c r="O80" i="10"/>
  <c r="N80" i="10"/>
  <c r="M80" i="10"/>
  <c r="L80" i="10"/>
  <c r="L207" i="10" s="1"/>
  <c r="K80" i="10"/>
  <c r="J80" i="10"/>
  <c r="I80" i="10"/>
  <c r="H80" i="10"/>
  <c r="H207" i="10" s="1"/>
  <c r="G80" i="10"/>
  <c r="F80" i="10"/>
  <c r="E80" i="10"/>
  <c r="D80" i="10"/>
  <c r="D207" i="10" s="1"/>
  <c r="AB79" i="10"/>
  <c r="AB206" i="10" s="1"/>
  <c r="AA79" i="10"/>
  <c r="Z79" i="10"/>
  <c r="Y79" i="10"/>
  <c r="X79" i="10"/>
  <c r="X206" i="10" s="1"/>
  <c r="W79" i="10"/>
  <c r="V79" i="10"/>
  <c r="U79" i="10"/>
  <c r="T79" i="10"/>
  <c r="S79" i="10"/>
  <c r="R79" i="10"/>
  <c r="Q79" i="10"/>
  <c r="O79" i="10"/>
  <c r="N79" i="10"/>
  <c r="M79" i="10"/>
  <c r="L79" i="10"/>
  <c r="L206" i="10" s="1"/>
  <c r="K79" i="10"/>
  <c r="J79" i="10"/>
  <c r="I79" i="10"/>
  <c r="H79" i="10"/>
  <c r="H206" i="10" s="1"/>
  <c r="G79" i="10"/>
  <c r="F79" i="10"/>
  <c r="E79" i="10"/>
  <c r="D79" i="10"/>
  <c r="D206" i="10" s="1"/>
  <c r="AB78" i="10"/>
  <c r="AA78" i="10"/>
  <c r="Z78" i="10"/>
  <c r="Y78" i="10"/>
  <c r="X78" i="10"/>
  <c r="X205" i="10" s="1"/>
  <c r="W78" i="10"/>
  <c r="V78" i="10"/>
  <c r="U78" i="10"/>
  <c r="T78" i="10"/>
  <c r="S78" i="10"/>
  <c r="R78" i="10"/>
  <c r="Q78" i="10"/>
  <c r="O78" i="10"/>
  <c r="N78" i="10"/>
  <c r="M78" i="10"/>
  <c r="L78" i="10"/>
  <c r="K78" i="10"/>
  <c r="J78" i="10"/>
  <c r="I78" i="10"/>
  <c r="H78" i="10"/>
  <c r="H205" i="10" s="1"/>
  <c r="G78" i="10"/>
  <c r="F78" i="10"/>
  <c r="E78" i="10"/>
  <c r="D78" i="10"/>
  <c r="D205" i="10" s="1"/>
  <c r="AB77" i="10"/>
  <c r="AA77" i="10"/>
  <c r="Z77" i="10"/>
  <c r="Y77" i="10"/>
  <c r="X77" i="10"/>
  <c r="W77" i="10"/>
  <c r="V77" i="10"/>
  <c r="U77" i="10"/>
  <c r="T77" i="10"/>
  <c r="S77" i="10"/>
  <c r="R77" i="10"/>
  <c r="Q77" i="10"/>
  <c r="O77" i="10"/>
  <c r="N77" i="10"/>
  <c r="M77" i="10"/>
  <c r="L77" i="10"/>
  <c r="L204" i="10" s="1"/>
  <c r="K77" i="10"/>
  <c r="J77" i="10"/>
  <c r="I77" i="10"/>
  <c r="H77" i="10"/>
  <c r="G77" i="10"/>
  <c r="F77" i="10"/>
  <c r="E77" i="10"/>
  <c r="D77" i="10"/>
  <c r="D204" i="10" s="1"/>
  <c r="AB76" i="10"/>
  <c r="AA76" i="10"/>
  <c r="Z76" i="10"/>
  <c r="Y76" i="10"/>
  <c r="X76" i="10"/>
  <c r="X203" i="10" s="1"/>
  <c r="W76" i="10"/>
  <c r="V76" i="10"/>
  <c r="U76" i="10"/>
  <c r="T76" i="10"/>
  <c r="S76" i="10"/>
  <c r="R76" i="10"/>
  <c r="Q76" i="10"/>
  <c r="O76" i="10"/>
  <c r="N76" i="10"/>
  <c r="M76" i="10"/>
  <c r="L76" i="10"/>
  <c r="L203" i="10" s="1"/>
  <c r="K76" i="10"/>
  <c r="J76" i="10"/>
  <c r="I76" i="10"/>
  <c r="H76" i="10"/>
  <c r="H203" i="10" s="1"/>
  <c r="G76" i="10"/>
  <c r="F76" i="10"/>
  <c r="E76" i="10"/>
  <c r="D76" i="10"/>
  <c r="D203" i="10" s="1"/>
  <c r="AB75" i="10"/>
  <c r="AA75" i="10"/>
  <c r="Z75" i="10"/>
  <c r="Y75" i="10"/>
  <c r="X75" i="10"/>
  <c r="X202" i="10" s="1"/>
  <c r="W75" i="10"/>
  <c r="V75" i="10"/>
  <c r="U75" i="10"/>
  <c r="T75" i="10"/>
  <c r="S75" i="10"/>
  <c r="R75" i="10"/>
  <c r="Q75" i="10"/>
  <c r="O75" i="10"/>
  <c r="N75" i="10"/>
  <c r="M75" i="10"/>
  <c r="L75" i="10"/>
  <c r="L202" i="10" s="1"/>
  <c r="K75" i="10"/>
  <c r="J75" i="10"/>
  <c r="I75" i="10"/>
  <c r="H75" i="10"/>
  <c r="H202" i="10" s="1"/>
  <c r="G75" i="10"/>
  <c r="F75" i="10"/>
  <c r="E75" i="10"/>
  <c r="D75" i="10"/>
  <c r="D202" i="10" s="1"/>
  <c r="AB74" i="10"/>
  <c r="AA74" i="10"/>
  <c r="Z74" i="10"/>
  <c r="Y74" i="10"/>
  <c r="X74" i="10"/>
  <c r="X201" i="10" s="1"/>
  <c r="W74" i="10"/>
  <c r="V74" i="10"/>
  <c r="U74" i="10"/>
  <c r="T74" i="10"/>
  <c r="S74" i="10"/>
  <c r="R74" i="10"/>
  <c r="Q74" i="10"/>
  <c r="O74" i="10"/>
  <c r="N74" i="10"/>
  <c r="M74" i="10"/>
  <c r="L74" i="10"/>
  <c r="K74" i="10"/>
  <c r="J74" i="10"/>
  <c r="I74" i="10"/>
  <c r="H74" i="10"/>
  <c r="H201" i="10" s="1"/>
  <c r="G74" i="10"/>
  <c r="F74" i="10"/>
  <c r="E74" i="10"/>
  <c r="D74" i="10"/>
  <c r="D201" i="10" s="1"/>
  <c r="AB73" i="10"/>
  <c r="AA73" i="10"/>
  <c r="Z73" i="10"/>
  <c r="Y73" i="10"/>
  <c r="X73" i="10"/>
  <c r="W73" i="10"/>
  <c r="V73" i="10"/>
  <c r="U73" i="10"/>
  <c r="T73" i="10"/>
  <c r="S73" i="10"/>
  <c r="R73" i="10"/>
  <c r="Q73" i="10"/>
  <c r="O73" i="10"/>
  <c r="N73" i="10"/>
  <c r="M73" i="10"/>
  <c r="L73" i="10"/>
  <c r="L200" i="10" s="1"/>
  <c r="K73" i="10"/>
  <c r="J73" i="10"/>
  <c r="I73" i="10"/>
  <c r="H73" i="10"/>
  <c r="G73" i="10"/>
  <c r="F73" i="10"/>
  <c r="E73" i="10"/>
  <c r="D73" i="10"/>
  <c r="AB72" i="10"/>
  <c r="AB199" i="10" s="1"/>
  <c r="AA72" i="10"/>
  <c r="Z72" i="10"/>
  <c r="Y72" i="10"/>
  <c r="X72" i="10"/>
  <c r="X199" i="10" s="1"/>
  <c r="W72" i="10"/>
  <c r="V72" i="10"/>
  <c r="U72" i="10"/>
  <c r="T72" i="10"/>
  <c r="S72" i="10"/>
  <c r="R72" i="10"/>
  <c r="Q72" i="10"/>
  <c r="O72" i="10"/>
  <c r="N72" i="10"/>
  <c r="M72" i="10"/>
  <c r="L72" i="10"/>
  <c r="L199" i="10" s="1"/>
  <c r="K72" i="10"/>
  <c r="J72" i="10"/>
  <c r="I72" i="10"/>
  <c r="H72" i="10"/>
  <c r="H199" i="10" s="1"/>
  <c r="G72" i="10"/>
  <c r="F72" i="10"/>
  <c r="E72" i="10"/>
  <c r="D72" i="10"/>
  <c r="D199" i="10" s="1"/>
  <c r="AB71" i="10"/>
  <c r="AA71" i="10"/>
  <c r="Z71" i="10"/>
  <c r="Y71" i="10"/>
  <c r="X71" i="10"/>
  <c r="W71" i="10"/>
  <c r="V71" i="10"/>
  <c r="U71" i="10"/>
  <c r="T71" i="10"/>
  <c r="S71" i="10"/>
  <c r="R71" i="10"/>
  <c r="Q71" i="10"/>
  <c r="O71" i="10"/>
  <c r="N71" i="10"/>
  <c r="M71" i="10"/>
  <c r="L71" i="10"/>
  <c r="K71" i="10"/>
  <c r="J71" i="10"/>
  <c r="I71" i="10"/>
  <c r="H71" i="10"/>
  <c r="G71" i="10"/>
  <c r="F71" i="10"/>
  <c r="E71" i="10"/>
  <c r="D71" i="10"/>
  <c r="AB70" i="10"/>
  <c r="AA70" i="10"/>
  <c r="Z70" i="10"/>
  <c r="Y70" i="10"/>
  <c r="X70" i="10"/>
  <c r="W70" i="10"/>
  <c r="V70" i="10"/>
  <c r="U70" i="10"/>
  <c r="T70" i="10"/>
  <c r="S70" i="10"/>
  <c r="R70" i="10"/>
  <c r="Q70" i="10"/>
  <c r="O70" i="10"/>
  <c r="N70" i="10"/>
  <c r="M70" i="10"/>
  <c r="L70" i="10"/>
  <c r="K70" i="10"/>
  <c r="J70" i="10"/>
  <c r="I70" i="10"/>
  <c r="H70" i="10"/>
  <c r="G70" i="10"/>
  <c r="F70" i="10"/>
  <c r="E70" i="10"/>
  <c r="D70" i="10"/>
  <c r="AB69" i="10"/>
  <c r="AA69" i="10"/>
  <c r="Z69" i="10"/>
  <c r="Y69" i="10"/>
  <c r="X69" i="10"/>
  <c r="W69" i="10"/>
  <c r="V69" i="10"/>
  <c r="U69" i="10"/>
  <c r="T69" i="10"/>
  <c r="S69" i="10"/>
  <c r="R69" i="10"/>
  <c r="Q69" i="10"/>
  <c r="O69" i="10"/>
  <c r="N69" i="10"/>
  <c r="M69" i="10"/>
  <c r="L69" i="10"/>
  <c r="K69" i="10"/>
  <c r="J69" i="10"/>
  <c r="I69" i="10"/>
  <c r="H69" i="10"/>
  <c r="G69" i="10"/>
  <c r="F69" i="10"/>
  <c r="E69" i="10"/>
  <c r="D69" i="10"/>
  <c r="AB68" i="10"/>
  <c r="AA68" i="10"/>
  <c r="Z68" i="10"/>
  <c r="Y68" i="10"/>
  <c r="X68" i="10"/>
  <c r="X195" i="10" s="1"/>
  <c r="W68" i="10"/>
  <c r="V68" i="10"/>
  <c r="U68" i="10"/>
  <c r="T68" i="10"/>
  <c r="S68" i="10"/>
  <c r="R68" i="10"/>
  <c r="Q68" i="10"/>
  <c r="O68" i="10"/>
  <c r="N68" i="10"/>
  <c r="M68" i="10"/>
  <c r="L68" i="10"/>
  <c r="K68" i="10"/>
  <c r="J68" i="10"/>
  <c r="I68" i="10"/>
  <c r="H68" i="10"/>
  <c r="H195" i="10" s="1"/>
  <c r="G68" i="10"/>
  <c r="F68" i="10"/>
  <c r="E68" i="10"/>
  <c r="D68" i="10"/>
  <c r="P68" i="10" s="1"/>
  <c r="AB67" i="10"/>
  <c r="AA67" i="10"/>
  <c r="Z67" i="10"/>
  <c r="Y67" i="10"/>
  <c r="X67" i="10"/>
  <c r="W67" i="10"/>
  <c r="V67" i="10"/>
  <c r="U67" i="10"/>
  <c r="T67" i="10"/>
  <c r="S67" i="10"/>
  <c r="R67" i="10"/>
  <c r="Q67" i="10"/>
  <c r="O67" i="10"/>
  <c r="N67" i="10"/>
  <c r="M67" i="10"/>
  <c r="L67" i="10"/>
  <c r="K67" i="10"/>
  <c r="J67" i="10"/>
  <c r="I67" i="10"/>
  <c r="H67" i="10"/>
  <c r="G67" i="10"/>
  <c r="F67" i="10"/>
  <c r="E67" i="10"/>
  <c r="D67" i="10"/>
  <c r="AB66" i="10"/>
  <c r="AA66" i="10"/>
  <c r="Z66" i="10"/>
  <c r="Y66" i="10"/>
  <c r="X66" i="10"/>
  <c r="W66" i="10"/>
  <c r="V66" i="10"/>
  <c r="U66" i="10"/>
  <c r="T66" i="10"/>
  <c r="S66" i="10"/>
  <c r="R66" i="10"/>
  <c r="Q66" i="10"/>
  <c r="AC66" i="10" s="1"/>
  <c r="O66" i="10"/>
  <c r="N66" i="10"/>
  <c r="M66" i="10"/>
  <c r="L66" i="10"/>
  <c r="K66" i="10"/>
  <c r="J66" i="10"/>
  <c r="I66" i="10"/>
  <c r="H66" i="10"/>
  <c r="G66" i="10"/>
  <c r="F66" i="10"/>
  <c r="E66" i="10"/>
  <c r="D66" i="10"/>
  <c r="AB65" i="10"/>
  <c r="AA65" i="10"/>
  <c r="Z65" i="10"/>
  <c r="Y65" i="10"/>
  <c r="X65" i="10"/>
  <c r="W65" i="10"/>
  <c r="V65" i="10"/>
  <c r="U65" i="10"/>
  <c r="T65" i="10"/>
  <c r="S65" i="10"/>
  <c r="R65" i="10"/>
  <c r="Q65" i="10"/>
  <c r="AC65" i="10" s="1"/>
  <c r="O65" i="10"/>
  <c r="M65" i="10"/>
  <c r="K65" i="10"/>
  <c r="I65" i="10"/>
  <c r="G65" i="10"/>
  <c r="E65" i="10"/>
  <c r="AB64" i="10"/>
  <c r="AB191" i="10" s="1"/>
  <c r="AA64" i="10"/>
  <c r="Z64" i="10"/>
  <c r="Y64" i="10"/>
  <c r="X64" i="10"/>
  <c r="X191" i="10" s="1"/>
  <c r="W64" i="10"/>
  <c r="V64" i="10"/>
  <c r="U64" i="10"/>
  <c r="T64" i="10"/>
  <c r="T181" i="10" s="1"/>
  <c r="S64" i="10"/>
  <c r="R64" i="10"/>
  <c r="Q64" i="10"/>
  <c r="O64" i="10"/>
  <c r="N64" i="10"/>
  <c r="M64" i="10"/>
  <c r="L64" i="10"/>
  <c r="L191" i="10" s="1"/>
  <c r="K64" i="10"/>
  <c r="J64" i="10"/>
  <c r="I64" i="10"/>
  <c r="H64" i="10"/>
  <c r="H191" i="10" s="1"/>
  <c r="G64" i="10"/>
  <c r="F64" i="10"/>
  <c r="E64" i="10"/>
  <c r="D64" i="10"/>
  <c r="D191" i="10" s="1"/>
  <c r="AB63" i="10"/>
  <c r="AA63" i="10"/>
  <c r="Z63" i="10"/>
  <c r="Y63" i="10"/>
  <c r="X63" i="10"/>
  <c r="W63" i="10"/>
  <c r="V63" i="10"/>
  <c r="U63" i="10"/>
  <c r="T63" i="10"/>
  <c r="S63" i="10"/>
  <c r="R63" i="10"/>
  <c r="Q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AB62" i="10"/>
  <c r="AA62" i="10"/>
  <c r="Z62" i="10"/>
  <c r="Y62" i="10"/>
  <c r="X62" i="10"/>
  <c r="W62" i="10"/>
  <c r="V62" i="10"/>
  <c r="U62" i="10"/>
  <c r="T62" i="10"/>
  <c r="S62" i="10"/>
  <c r="R62" i="10"/>
  <c r="Q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AB60" i="10"/>
  <c r="AA60" i="10"/>
  <c r="Z60" i="10"/>
  <c r="Y60" i="10"/>
  <c r="Y101" i="10" s="1"/>
  <c r="X60" i="10"/>
  <c r="W60" i="10"/>
  <c r="V60" i="10"/>
  <c r="U60" i="10"/>
  <c r="U101" i="10" s="1"/>
  <c r="T60" i="10"/>
  <c r="S60" i="10"/>
  <c r="R60" i="10"/>
  <c r="Q60" i="10"/>
  <c r="Q101" i="10" s="1"/>
  <c r="O60" i="10"/>
  <c r="N60" i="10"/>
  <c r="M60" i="10"/>
  <c r="L60" i="10"/>
  <c r="K60" i="10"/>
  <c r="J60" i="10"/>
  <c r="I60" i="10"/>
  <c r="H60" i="10"/>
  <c r="G60" i="10"/>
  <c r="F60" i="10"/>
  <c r="E60" i="10"/>
  <c r="D60" i="10"/>
  <c r="D187" i="10" s="1"/>
  <c r="AG59" i="10"/>
  <c r="AE59" i="10"/>
  <c r="AG56" i="10"/>
  <c r="AE56" i="10"/>
  <c r="R55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AC54" i="10" s="1"/>
  <c r="O54" i="10"/>
  <c r="N54" i="10"/>
  <c r="M54" i="10"/>
  <c r="L54" i="10"/>
  <c r="K54" i="10"/>
  <c r="J54" i="10"/>
  <c r="I54" i="10"/>
  <c r="H54" i="10"/>
  <c r="G54" i="10"/>
  <c r="F54" i="10"/>
  <c r="E54" i="10"/>
  <c r="D54" i="10"/>
  <c r="P54" i="10" s="1"/>
  <c r="AB53" i="10"/>
  <c r="AA53" i="10"/>
  <c r="Z53" i="10"/>
  <c r="Y53" i="10"/>
  <c r="X53" i="10"/>
  <c r="W53" i="10"/>
  <c r="V53" i="10"/>
  <c r="U53" i="10"/>
  <c r="T53" i="10"/>
  <c r="S53" i="10"/>
  <c r="R53" i="10"/>
  <c r="Q53" i="10"/>
  <c r="AC53" i="10" s="1"/>
  <c r="O53" i="10"/>
  <c r="N53" i="10"/>
  <c r="M53" i="10"/>
  <c r="L53" i="10"/>
  <c r="K53" i="10"/>
  <c r="J53" i="10"/>
  <c r="I53" i="10"/>
  <c r="H53" i="10"/>
  <c r="G53" i="10"/>
  <c r="F53" i="10"/>
  <c r="E53" i="10"/>
  <c r="D53" i="10"/>
  <c r="P53" i="10" s="1"/>
  <c r="AB52" i="10"/>
  <c r="AA52" i="10"/>
  <c r="Z52" i="10"/>
  <c r="Y52" i="10"/>
  <c r="X52" i="10"/>
  <c r="W52" i="10"/>
  <c r="V52" i="10"/>
  <c r="U52" i="10"/>
  <c r="T52" i="10"/>
  <c r="S52" i="10"/>
  <c r="R52" i="10"/>
  <c r="Q52" i="10"/>
  <c r="AC52" i="10" s="1"/>
  <c r="M52" i="10"/>
  <c r="E52" i="10"/>
  <c r="AB51" i="10"/>
  <c r="AB55" i="10" s="1"/>
  <c r="AA51" i="10"/>
  <c r="Z51" i="10"/>
  <c r="Y51" i="10"/>
  <c r="Y55" i="10" s="1"/>
  <c r="X51" i="10"/>
  <c r="X55" i="10" s="1"/>
  <c r="W51" i="10"/>
  <c r="V51" i="10"/>
  <c r="V55" i="10" s="1"/>
  <c r="U51" i="10"/>
  <c r="U55" i="10" s="1"/>
  <c r="T51" i="10"/>
  <c r="T55" i="10" s="1"/>
  <c r="S51" i="10"/>
  <c r="R51" i="10"/>
  <c r="Q51" i="10"/>
  <c r="Q55" i="10" s="1"/>
  <c r="AB47" i="10"/>
  <c r="AA47" i="10"/>
  <c r="Z47" i="10"/>
  <c r="Y47" i="10"/>
  <c r="X47" i="10"/>
  <c r="W47" i="10"/>
  <c r="V47" i="10"/>
  <c r="U47" i="10"/>
  <c r="T47" i="10"/>
  <c r="S47" i="10"/>
  <c r="R47" i="10"/>
  <c r="Q47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P46" i="10" s="1"/>
  <c r="AB45" i="10"/>
  <c r="AA45" i="10"/>
  <c r="Z45" i="10"/>
  <c r="Y45" i="10"/>
  <c r="X45" i="10"/>
  <c r="W45" i="10"/>
  <c r="V45" i="10"/>
  <c r="U45" i="10"/>
  <c r="T45" i="10"/>
  <c r="S45" i="10"/>
  <c r="R45" i="10"/>
  <c r="Q45" i="10"/>
  <c r="AC45" i="10" s="1"/>
  <c r="O45" i="10"/>
  <c r="N45" i="10"/>
  <c r="M45" i="10"/>
  <c r="L45" i="10"/>
  <c r="K45" i="10"/>
  <c r="J45" i="10"/>
  <c r="I45" i="10"/>
  <c r="H45" i="10"/>
  <c r="G45" i="10"/>
  <c r="F45" i="10"/>
  <c r="E45" i="10"/>
  <c r="D45" i="10"/>
  <c r="P45" i="10" s="1"/>
  <c r="AB44" i="10"/>
  <c r="AA44" i="10"/>
  <c r="Z44" i="10"/>
  <c r="Y44" i="10"/>
  <c r="X44" i="10"/>
  <c r="W44" i="10"/>
  <c r="V44" i="10"/>
  <c r="U44" i="10"/>
  <c r="T44" i="10"/>
  <c r="S44" i="10"/>
  <c r="R44" i="10"/>
  <c r="Q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P44" i="10" s="1"/>
  <c r="AG44" i="10" s="1"/>
  <c r="AG43" i="10"/>
  <c r="AB41" i="10"/>
  <c r="AA41" i="10"/>
  <c r="Z41" i="10"/>
  <c r="Y41" i="10"/>
  <c r="X41" i="10"/>
  <c r="W41" i="10"/>
  <c r="V41" i="10"/>
  <c r="U41" i="10"/>
  <c r="T41" i="10"/>
  <c r="S41" i="10"/>
  <c r="R41" i="10"/>
  <c r="Q41" i="10"/>
  <c r="AC41" i="10" s="1"/>
  <c r="O41" i="10"/>
  <c r="N41" i="10"/>
  <c r="M41" i="10"/>
  <c r="L41" i="10"/>
  <c r="K41" i="10"/>
  <c r="J41" i="10"/>
  <c r="I41" i="10"/>
  <c r="H41" i="10"/>
  <c r="G41" i="10"/>
  <c r="F41" i="10"/>
  <c r="E41" i="10"/>
  <c r="D41" i="10"/>
  <c r="P41" i="10" s="1"/>
  <c r="AB40" i="10"/>
  <c r="AA40" i="10"/>
  <c r="Z40" i="10"/>
  <c r="Y40" i="10"/>
  <c r="X40" i="10"/>
  <c r="W40" i="10"/>
  <c r="V40" i="10"/>
  <c r="U40" i="10"/>
  <c r="T40" i="10"/>
  <c r="S40" i="10"/>
  <c r="R40" i="10"/>
  <c r="Q40" i="10"/>
  <c r="AC40" i="10" s="1"/>
  <c r="O40" i="10"/>
  <c r="N40" i="10"/>
  <c r="M40" i="10"/>
  <c r="L40" i="10"/>
  <c r="K40" i="10"/>
  <c r="J40" i="10"/>
  <c r="I40" i="10"/>
  <c r="H40" i="10"/>
  <c r="G40" i="10"/>
  <c r="F40" i="10"/>
  <c r="E40" i="10"/>
  <c r="D40" i="10"/>
  <c r="P40" i="10" s="1"/>
  <c r="AG40" i="10" s="1"/>
  <c r="AB39" i="10"/>
  <c r="AA39" i="10"/>
  <c r="Z39" i="10"/>
  <c r="Y39" i="10"/>
  <c r="X39" i="10"/>
  <c r="W39" i="10"/>
  <c r="V39" i="10"/>
  <c r="U39" i="10"/>
  <c r="T39" i="10"/>
  <c r="S39" i="10"/>
  <c r="R39" i="10"/>
  <c r="Q39" i="10"/>
  <c r="AC39" i="10" s="1"/>
  <c r="O39" i="10"/>
  <c r="N39" i="10"/>
  <c r="M39" i="10"/>
  <c r="L39" i="10"/>
  <c r="K39" i="10"/>
  <c r="J39" i="10"/>
  <c r="I39" i="10"/>
  <c r="H39" i="10"/>
  <c r="G39" i="10"/>
  <c r="F39" i="10"/>
  <c r="E39" i="10"/>
  <c r="D39" i="10"/>
  <c r="P39" i="10" s="1"/>
  <c r="AB38" i="10"/>
  <c r="Z38" i="10"/>
  <c r="Y38" i="10"/>
  <c r="X38" i="10"/>
  <c r="V38" i="10"/>
  <c r="U38" i="10"/>
  <c r="T38" i="10"/>
  <c r="R38" i="10"/>
  <c r="Q38" i="10"/>
  <c r="O38" i="10"/>
  <c r="M38" i="10"/>
  <c r="L38" i="10"/>
  <c r="K38" i="10"/>
  <c r="I38" i="10"/>
  <c r="H38" i="10"/>
  <c r="G38" i="10"/>
  <c r="E38" i="10"/>
  <c r="D38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AC37" i="10" s="1"/>
  <c r="O37" i="10"/>
  <c r="N37" i="10"/>
  <c r="M37" i="10"/>
  <c r="L37" i="10"/>
  <c r="K37" i="10"/>
  <c r="J37" i="10"/>
  <c r="I37" i="10"/>
  <c r="H37" i="10"/>
  <c r="G37" i="10"/>
  <c r="F37" i="10"/>
  <c r="E37" i="10"/>
  <c r="D37" i="10"/>
  <c r="AB36" i="10"/>
  <c r="AA36" i="10"/>
  <c r="Z36" i="10"/>
  <c r="X36" i="10"/>
  <c r="W36" i="10"/>
  <c r="V36" i="10"/>
  <c r="T36" i="10"/>
  <c r="S36" i="10"/>
  <c r="R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P36" i="10" s="1"/>
  <c r="AB35" i="10"/>
  <c r="AA35" i="10"/>
  <c r="Z35" i="10"/>
  <c r="X35" i="10"/>
  <c r="W35" i="10"/>
  <c r="V35" i="10"/>
  <c r="T35" i="10"/>
  <c r="S35" i="10"/>
  <c r="R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AB34" i="10"/>
  <c r="AA34" i="10"/>
  <c r="Z34" i="10"/>
  <c r="Y34" i="10"/>
  <c r="X34" i="10"/>
  <c r="W34" i="10"/>
  <c r="V34" i="10"/>
  <c r="U34" i="10"/>
  <c r="T34" i="10"/>
  <c r="S34" i="10"/>
  <c r="R34" i="10"/>
  <c r="Q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P34" i="10" s="1"/>
  <c r="AB33" i="10"/>
  <c r="AA33" i="10"/>
  <c r="Z33" i="10"/>
  <c r="Y33" i="10"/>
  <c r="X33" i="10"/>
  <c r="W33" i="10"/>
  <c r="V33" i="10"/>
  <c r="U33" i="10"/>
  <c r="T33" i="10"/>
  <c r="S33" i="10"/>
  <c r="R33" i="10"/>
  <c r="Q33" i="10"/>
  <c r="AC33" i="10" s="1"/>
  <c r="O33" i="10"/>
  <c r="N33" i="10"/>
  <c r="M33" i="10"/>
  <c r="L33" i="10"/>
  <c r="K33" i="10"/>
  <c r="J33" i="10"/>
  <c r="I33" i="10"/>
  <c r="H33" i="10"/>
  <c r="G33" i="10"/>
  <c r="F33" i="10"/>
  <c r="E33" i="10"/>
  <c r="D33" i="10"/>
  <c r="AB32" i="10"/>
  <c r="AA32" i="10"/>
  <c r="Z32" i="10"/>
  <c r="Y32" i="10"/>
  <c r="X32" i="10"/>
  <c r="W32" i="10"/>
  <c r="V32" i="10"/>
  <c r="U32" i="10"/>
  <c r="T32" i="10"/>
  <c r="S32" i="10"/>
  <c r="R32" i="10"/>
  <c r="Q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AB31" i="10"/>
  <c r="AA31" i="10"/>
  <c r="Z31" i="10"/>
  <c r="Y31" i="10"/>
  <c r="X31" i="10"/>
  <c r="W31" i="10"/>
  <c r="V31" i="10"/>
  <c r="U31" i="10"/>
  <c r="T31" i="10"/>
  <c r="S31" i="10"/>
  <c r="R31" i="10"/>
  <c r="Q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AA30" i="10"/>
  <c r="Z30" i="10"/>
  <c r="Y30" i="10"/>
  <c r="W30" i="10"/>
  <c r="V30" i="10"/>
  <c r="U30" i="10"/>
  <c r="S30" i="10"/>
  <c r="R30" i="10"/>
  <c r="Q30" i="10"/>
  <c r="O30" i="10"/>
  <c r="N30" i="10"/>
  <c r="M30" i="10"/>
  <c r="K30" i="10"/>
  <c r="J30" i="10"/>
  <c r="I30" i="10"/>
  <c r="G30" i="10"/>
  <c r="F30" i="10"/>
  <c r="E30" i="10"/>
  <c r="E42" i="10" s="1"/>
  <c r="AB29" i="10"/>
  <c r="AA29" i="10"/>
  <c r="Z29" i="10"/>
  <c r="Z42" i="10" s="1"/>
  <c r="Y29" i="10"/>
  <c r="Y42" i="10" s="1"/>
  <c r="X29" i="10"/>
  <c r="W29" i="10"/>
  <c r="V29" i="10"/>
  <c r="V42" i="10" s="1"/>
  <c r="U29" i="10"/>
  <c r="U42" i="10" s="1"/>
  <c r="T29" i="10"/>
  <c r="T42" i="10" s="1"/>
  <c r="S29" i="10"/>
  <c r="R29" i="10"/>
  <c r="R42" i="10" s="1"/>
  <c r="Q29" i="10"/>
  <c r="Q42" i="10" s="1"/>
  <c r="O29" i="10"/>
  <c r="N29" i="10"/>
  <c r="M29" i="10"/>
  <c r="L29" i="10"/>
  <c r="K29" i="10"/>
  <c r="J29" i="10"/>
  <c r="I29" i="10"/>
  <c r="H29" i="10"/>
  <c r="G29" i="10"/>
  <c r="F29" i="10"/>
  <c r="E29" i="10"/>
  <c r="D29" i="10"/>
  <c r="AC28" i="10"/>
  <c r="AD28" i="10" s="1"/>
  <c r="AE28" i="10" s="1"/>
  <c r="AD27" i="10"/>
  <c r="AE27" i="10" s="1"/>
  <c r="AC27" i="10"/>
  <c r="AG26" i="10"/>
  <c r="AE26" i="10"/>
  <c r="AG25" i="10"/>
  <c r="AE25" i="10"/>
  <c r="AB23" i="10"/>
  <c r="AA23" i="10"/>
  <c r="AA138" i="10" s="1"/>
  <c r="Z23" i="10"/>
  <c r="Y23" i="10"/>
  <c r="X23" i="10"/>
  <c r="W23" i="10"/>
  <c r="W138" i="10" s="1"/>
  <c r="V23" i="10"/>
  <c r="U23" i="10"/>
  <c r="T23" i="10"/>
  <c r="S23" i="10"/>
  <c r="R23" i="10"/>
  <c r="Q23" i="10"/>
  <c r="AC23" i="10" s="1"/>
  <c r="N23" i="10"/>
  <c r="J23" i="10"/>
  <c r="F23" i="10"/>
  <c r="AB22" i="10"/>
  <c r="AB137" i="10" s="1"/>
  <c r="AA22" i="10"/>
  <c r="Z22" i="10"/>
  <c r="Y22" i="10"/>
  <c r="X22" i="10"/>
  <c r="X137" i="10" s="1"/>
  <c r="W22" i="10"/>
  <c r="V22" i="10"/>
  <c r="U22" i="10"/>
  <c r="T22" i="10"/>
  <c r="T137" i="10" s="1"/>
  <c r="S22" i="10"/>
  <c r="R22" i="10"/>
  <c r="Q22" i="10"/>
  <c r="AC22" i="10" s="1"/>
  <c r="O22" i="10"/>
  <c r="L22" i="10"/>
  <c r="K22" i="10"/>
  <c r="H22" i="10"/>
  <c r="H137" i="10" s="1"/>
  <c r="G22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AC21" i="10" s="1"/>
  <c r="N21" i="10"/>
  <c r="L21" i="10"/>
  <c r="J21" i="10"/>
  <c r="H21" i="10"/>
  <c r="F21" i="10"/>
  <c r="D21" i="10"/>
  <c r="AB20" i="10"/>
  <c r="AA20" i="10"/>
  <c r="Z20" i="10"/>
  <c r="Y20" i="10"/>
  <c r="X20" i="10"/>
  <c r="W20" i="10"/>
  <c r="V20" i="10"/>
  <c r="V135" i="10" s="1"/>
  <c r="U20" i="10"/>
  <c r="T20" i="10"/>
  <c r="S20" i="10"/>
  <c r="R20" i="10"/>
  <c r="R135" i="10" s="1"/>
  <c r="Q20" i="10"/>
  <c r="L20" i="10"/>
  <c r="I20" i="10"/>
  <c r="H20" i="10"/>
  <c r="F20" i="10"/>
  <c r="E20" i="10"/>
  <c r="D20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M19" i="10"/>
  <c r="J19" i="10"/>
  <c r="I19" i="10"/>
  <c r="H19" i="10"/>
  <c r="F19" i="10"/>
  <c r="AB18" i="10"/>
  <c r="AB133" i="10" s="1"/>
  <c r="AA18" i="10"/>
  <c r="Z18" i="10"/>
  <c r="Y18" i="10"/>
  <c r="X18" i="10"/>
  <c r="X133" i="10" s="1"/>
  <c r="W18" i="10"/>
  <c r="V18" i="10"/>
  <c r="U18" i="10"/>
  <c r="T18" i="10"/>
  <c r="S18" i="10"/>
  <c r="R18" i="10"/>
  <c r="Q18" i="10"/>
  <c r="AC18" i="10" s="1"/>
  <c r="O18" i="10"/>
  <c r="M18" i="10"/>
  <c r="L18" i="10"/>
  <c r="K18" i="10"/>
  <c r="I18" i="10"/>
  <c r="H18" i="10"/>
  <c r="G18" i="10"/>
  <c r="D18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AC17" i="10" s="1"/>
  <c r="M17" i="10"/>
  <c r="J17" i="10"/>
  <c r="I17" i="10"/>
  <c r="H17" i="10"/>
  <c r="E17" i="10"/>
  <c r="AB16" i="10"/>
  <c r="AA16" i="10"/>
  <c r="Z16" i="10"/>
  <c r="Z131" i="10" s="1"/>
  <c r="Y16" i="10"/>
  <c r="X16" i="10"/>
  <c r="W16" i="10"/>
  <c r="V16" i="10"/>
  <c r="V131" i="10" s="1"/>
  <c r="U16" i="10"/>
  <c r="T16" i="10"/>
  <c r="S16" i="10"/>
  <c r="R16" i="10"/>
  <c r="R131" i="10" s="1"/>
  <c r="Q16" i="10"/>
  <c r="AC16" i="10" s="1"/>
  <c r="M16" i="10"/>
  <c r="K16" i="10"/>
  <c r="I16" i="10"/>
  <c r="G16" i="10"/>
  <c r="E16" i="10"/>
  <c r="AB15" i="10"/>
  <c r="AA15" i="10"/>
  <c r="Z15" i="10"/>
  <c r="Y15" i="10"/>
  <c r="X15" i="10"/>
  <c r="W15" i="10"/>
  <c r="W130" i="10" s="1"/>
  <c r="V15" i="10"/>
  <c r="U15" i="10"/>
  <c r="T15" i="10"/>
  <c r="S15" i="10"/>
  <c r="S130" i="10" s="1"/>
  <c r="R15" i="10"/>
  <c r="Q15" i="10"/>
  <c r="AC15" i="10" s="1"/>
  <c r="O15" i="10"/>
  <c r="O130" i="10" s="1"/>
  <c r="N15" i="10"/>
  <c r="L15" i="10"/>
  <c r="K15" i="10"/>
  <c r="J15" i="10"/>
  <c r="H15" i="10"/>
  <c r="G15" i="10"/>
  <c r="F15" i="10"/>
  <c r="D15" i="10"/>
  <c r="AB14" i="10"/>
  <c r="AB129" i="10" s="1"/>
  <c r="AA14" i="10"/>
  <c r="Z14" i="10"/>
  <c r="Y14" i="10"/>
  <c r="X14" i="10"/>
  <c r="X129" i="10" s="1"/>
  <c r="W14" i="10"/>
  <c r="V14" i="10"/>
  <c r="U14" i="10"/>
  <c r="T14" i="10"/>
  <c r="T129" i="10" s="1"/>
  <c r="S14" i="10"/>
  <c r="R14" i="10"/>
  <c r="Q14" i="10"/>
  <c r="N14" i="10"/>
  <c r="L14" i="10"/>
  <c r="L129" i="10" s="1"/>
  <c r="K14" i="10"/>
  <c r="J14" i="10"/>
  <c r="H14" i="10"/>
  <c r="F14" i="10"/>
  <c r="D14" i="10"/>
  <c r="AB13" i="10"/>
  <c r="AA13" i="10"/>
  <c r="Y13" i="10"/>
  <c r="Y128" i="10" s="1"/>
  <c r="X13" i="10"/>
  <c r="W13" i="10"/>
  <c r="U13" i="10"/>
  <c r="T13" i="10"/>
  <c r="S13" i="10"/>
  <c r="Q13" i="10"/>
  <c r="Q128" i="10" s="1"/>
  <c r="L13" i="10"/>
  <c r="AB12" i="10"/>
  <c r="Z12" i="10"/>
  <c r="Z127" i="10" s="1"/>
  <c r="Y12" i="10"/>
  <c r="X12" i="10"/>
  <c r="V12" i="10"/>
  <c r="V127" i="10" s="1"/>
  <c r="U12" i="10"/>
  <c r="T12" i="10"/>
  <c r="R12" i="10"/>
  <c r="Q12" i="10"/>
  <c r="I12" i="10"/>
  <c r="E12" i="10"/>
  <c r="AB11" i="10"/>
  <c r="AA11" i="10"/>
  <c r="Y11" i="10"/>
  <c r="Y24" i="10" s="1"/>
  <c r="Y48" i="10" s="1"/>
  <c r="X11" i="10"/>
  <c r="W11" i="10"/>
  <c r="U11" i="10"/>
  <c r="T11" i="10"/>
  <c r="T24" i="10" s="1"/>
  <c r="S11" i="10"/>
  <c r="S126" i="10" s="1"/>
  <c r="Q11" i="10"/>
  <c r="L11" i="10"/>
  <c r="AC7" i="10"/>
  <c r="AB7" i="10"/>
  <c r="AB7" i="15" s="1"/>
  <c r="AA7" i="10"/>
  <c r="AA7" i="22" s="1"/>
  <c r="Z7" i="10"/>
  <c r="Y7" i="10"/>
  <c r="X7" i="10"/>
  <c r="X7" i="11" s="1"/>
  <c r="W7" i="10"/>
  <c r="V7" i="10"/>
  <c r="U7" i="10"/>
  <c r="T7" i="10"/>
  <c r="T7" i="19" s="1"/>
  <c r="S7" i="10"/>
  <c r="S7" i="16" s="1"/>
  <c r="R7" i="10"/>
  <c r="Q7" i="10"/>
  <c r="P7" i="10"/>
  <c r="P7" i="19" s="1"/>
  <c r="O7" i="10"/>
  <c r="O7" i="23" s="1"/>
  <c r="N7" i="10"/>
  <c r="M7" i="10"/>
  <c r="L7" i="10"/>
  <c r="L7" i="16" s="1"/>
  <c r="K7" i="10"/>
  <c r="J7" i="10"/>
  <c r="I7" i="10"/>
  <c r="H7" i="10"/>
  <c r="H7" i="20" s="1"/>
  <c r="G7" i="10"/>
  <c r="G7" i="21" s="1"/>
  <c r="F7" i="10"/>
  <c r="E7" i="10"/>
  <c r="D7" i="10"/>
  <c r="D7" i="11" s="1"/>
  <c r="AC6" i="10"/>
  <c r="AC6" i="12" s="1"/>
  <c r="AB6" i="10"/>
  <c r="AA6" i="10"/>
  <c r="Z6" i="10"/>
  <c r="Y6" i="10"/>
  <c r="Y6" i="14" s="1"/>
  <c r="X6" i="10"/>
  <c r="W6" i="10"/>
  <c r="V6" i="10"/>
  <c r="V6" i="24" s="1"/>
  <c r="U6" i="10"/>
  <c r="U6" i="22" s="1"/>
  <c r="T6" i="10"/>
  <c r="S6" i="10"/>
  <c r="R6" i="10"/>
  <c r="R6" i="11" s="1"/>
  <c r="Q6" i="10"/>
  <c r="Q6" i="26" s="1"/>
  <c r="P6" i="10"/>
  <c r="O6" i="10"/>
  <c r="N6" i="10"/>
  <c r="N6" i="19" s="1"/>
  <c r="M6" i="10"/>
  <c r="M6" i="16" s="1"/>
  <c r="L6" i="10"/>
  <c r="K6" i="10"/>
  <c r="J6" i="10"/>
  <c r="J6" i="19" s="1"/>
  <c r="I6" i="10"/>
  <c r="H6" i="10"/>
  <c r="G6" i="10"/>
  <c r="F6" i="10"/>
  <c r="F6" i="16" s="1"/>
  <c r="E6" i="10"/>
  <c r="D6" i="10"/>
  <c r="C4" i="10"/>
  <c r="Q109" i="9"/>
  <c r="Q108" i="9"/>
  <c r="Q107" i="9"/>
  <c r="Q105" i="9"/>
  <c r="AD101" i="9"/>
  <c r="Q101" i="9"/>
  <c r="AE101" i="9" s="1"/>
  <c r="AF101" i="9" s="1"/>
  <c r="AH100" i="9"/>
  <c r="AH99" i="9"/>
  <c r="AA98" i="9"/>
  <c r="W98" i="9"/>
  <c r="S98" i="9"/>
  <c r="O98" i="9"/>
  <c r="K98" i="9"/>
  <c r="G98" i="9"/>
  <c r="AC97" i="9"/>
  <c r="AB97" i="9"/>
  <c r="AB98" i="9" s="1"/>
  <c r="AB17" i="9" s="1"/>
  <c r="AA97" i="9"/>
  <c r="Z97" i="9"/>
  <c r="Y97" i="9"/>
  <c r="X97" i="9"/>
  <c r="X98" i="9" s="1"/>
  <c r="X17" i="9" s="1"/>
  <c r="W97" i="9"/>
  <c r="V97" i="9"/>
  <c r="U97" i="9"/>
  <c r="T97" i="9"/>
  <c r="T98" i="9" s="1"/>
  <c r="T17" i="9" s="1"/>
  <c r="S97" i="9"/>
  <c r="R97" i="9"/>
  <c r="P97" i="9"/>
  <c r="P98" i="9" s="1"/>
  <c r="P17" i="9" s="1"/>
  <c r="O97" i="9"/>
  <c r="N97" i="9"/>
  <c r="M97" i="9"/>
  <c r="L97" i="9"/>
  <c r="L98" i="9" s="1"/>
  <c r="L17" i="9" s="1"/>
  <c r="K97" i="9"/>
  <c r="J97" i="9"/>
  <c r="I97" i="9"/>
  <c r="H97" i="9"/>
  <c r="H98" i="9" s="1"/>
  <c r="H17" i="9" s="1"/>
  <c r="G97" i="9"/>
  <c r="F97" i="9"/>
  <c r="E97" i="9"/>
  <c r="AH96" i="9"/>
  <c r="AD96" i="9"/>
  <c r="AE96" i="9" s="1"/>
  <c r="AF96" i="9" s="1"/>
  <c r="AH95" i="9"/>
  <c r="AD95" i="9"/>
  <c r="AE95" i="9" s="1"/>
  <c r="AF95" i="9" s="1"/>
  <c r="AD94" i="9"/>
  <c r="Q94" i="9"/>
  <c r="AE94" i="9" s="1"/>
  <c r="AF94" i="9" s="1"/>
  <c r="AD93" i="9"/>
  <c r="AE93" i="9" s="1"/>
  <c r="AF93" i="9" s="1"/>
  <c r="Q93" i="9"/>
  <c r="AH93" i="9" s="1"/>
  <c r="AE92" i="9"/>
  <c r="AF92" i="9" s="1"/>
  <c r="AD92" i="9"/>
  <c r="Q92" i="9"/>
  <c r="AH92" i="9" s="1"/>
  <c r="AD91" i="9"/>
  <c r="Q91" i="9"/>
  <c r="AE91" i="9" s="1"/>
  <c r="AF91" i="9" s="1"/>
  <c r="AD90" i="9"/>
  <c r="Q90" i="9"/>
  <c r="AD89" i="9"/>
  <c r="AE89" i="9" s="1"/>
  <c r="AF89" i="9" s="1"/>
  <c r="Q89" i="9"/>
  <c r="AH89" i="9" s="1"/>
  <c r="AE88" i="9"/>
  <c r="AF88" i="9" s="1"/>
  <c r="AD88" i="9"/>
  <c r="AD97" i="9" s="1"/>
  <c r="Q88" i="9"/>
  <c r="AH88" i="9" s="1"/>
  <c r="AH87" i="9"/>
  <c r="AE87" i="9"/>
  <c r="AD86" i="9"/>
  <c r="AC86" i="9"/>
  <c r="AB86" i="9"/>
  <c r="AA86" i="9"/>
  <c r="Z86" i="9"/>
  <c r="Y86" i="9"/>
  <c r="X86" i="9"/>
  <c r="W86" i="9"/>
  <c r="V86" i="9"/>
  <c r="U86" i="9"/>
  <c r="T86" i="9"/>
  <c r="S86" i="9"/>
  <c r="R86" i="9"/>
  <c r="P86" i="9"/>
  <c r="O86" i="9"/>
  <c r="N86" i="9"/>
  <c r="M86" i="9"/>
  <c r="L86" i="9"/>
  <c r="K86" i="9"/>
  <c r="J86" i="9"/>
  <c r="I86" i="9"/>
  <c r="H86" i="9"/>
  <c r="G86" i="9"/>
  <c r="F86" i="9"/>
  <c r="E86" i="9"/>
  <c r="AE85" i="9"/>
  <c r="AF85" i="9" s="1"/>
  <c r="AD85" i="9"/>
  <c r="Q85" i="9"/>
  <c r="AH85" i="9" s="1"/>
  <c r="AF84" i="9"/>
  <c r="AD84" i="9"/>
  <c r="Q84" i="9"/>
  <c r="AE84" i="9" s="1"/>
  <c r="AD83" i="9"/>
  <c r="Q83" i="9"/>
  <c r="AE83" i="9" s="1"/>
  <c r="AF83" i="9" s="1"/>
  <c r="AD82" i="9"/>
  <c r="AE82" i="9" s="1"/>
  <c r="AF82" i="9" s="1"/>
  <c r="Q82" i="9"/>
  <c r="AH82" i="9" s="1"/>
  <c r="AE81" i="9"/>
  <c r="AF81" i="9" s="1"/>
  <c r="AD81" i="9"/>
  <c r="Q81" i="9"/>
  <c r="AH81" i="9" s="1"/>
  <c r="AD80" i="9"/>
  <c r="Q80" i="9"/>
  <c r="AE80" i="9" s="1"/>
  <c r="AF80" i="9" s="1"/>
  <c r="AD79" i="9"/>
  <c r="Q79" i="9"/>
  <c r="AD78" i="9"/>
  <c r="AE78" i="9" s="1"/>
  <c r="AF78" i="9" s="1"/>
  <c r="Q78" i="9"/>
  <c r="AH77" i="9"/>
  <c r="AE77" i="9"/>
  <c r="AC76" i="9"/>
  <c r="AB76" i="9"/>
  <c r="AA76" i="9"/>
  <c r="Z76" i="9"/>
  <c r="Y76" i="9"/>
  <c r="X76" i="9"/>
  <c r="W76" i="9"/>
  <c r="V76" i="9"/>
  <c r="U76" i="9"/>
  <c r="T76" i="9"/>
  <c r="S76" i="9"/>
  <c r="R76" i="9"/>
  <c r="P76" i="9"/>
  <c r="O76" i="9"/>
  <c r="N76" i="9"/>
  <c r="N98" i="9" s="1"/>
  <c r="N17" i="9" s="1"/>
  <c r="M76" i="9"/>
  <c r="L76" i="9"/>
  <c r="K76" i="9"/>
  <c r="J76" i="9"/>
  <c r="J98" i="9" s="1"/>
  <c r="J17" i="9" s="1"/>
  <c r="I76" i="9"/>
  <c r="H76" i="9"/>
  <c r="G76" i="9"/>
  <c r="F76" i="9"/>
  <c r="F98" i="9" s="1"/>
  <c r="F17" i="9" s="1"/>
  <c r="E76" i="9"/>
  <c r="AD75" i="9"/>
  <c r="AE75" i="9" s="1"/>
  <c r="AF75" i="9" s="1"/>
  <c r="Q75" i="9"/>
  <c r="AH75" i="9" s="1"/>
  <c r="AE74" i="9"/>
  <c r="AF74" i="9" s="1"/>
  <c r="AD74" i="9"/>
  <c r="Q74" i="9"/>
  <c r="AH74" i="9" s="1"/>
  <c r="AF73" i="9"/>
  <c r="AD73" i="9"/>
  <c r="Q73" i="9"/>
  <c r="AE73" i="9" s="1"/>
  <c r="AD72" i="9"/>
  <c r="Q72" i="9"/>
  <c r="AE72" i="9" s="1"/>
  <c r="AF72" i="9" s="1"/>
  <c r="AD71" i="9"/>
  <c r="Q71" i="9"/>
  <c r="AH71" i="9" s="1"/>
  <c r="AH70" i="9"/>
  <c r="AE70" i="9"/>
  <c r="AC69" i="9"/>
  <c r="AB69" i="9"/>
  <c r="AA69" i="9"/>
  <c r="Z69" i="9"/>
  <c r="Y69" i="9"/>
  <c r="X69" i="9"/>
  <c r="W69" i="9"/>
  <c r="V69" i="9"/>
  <c r="U69" i="9"/>
  <c r="T69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E69" i="9"/>
  <c r="AD68" i="9"/>
  <c r="AE68" i="9" s="1"/>
  <c r="AF68" i="9" s="1"/>
  <c r="Q68" i="9"/>
  <c r="AH68" i="9" s="1"/>
  <c r="AE67" i="9"/>
  <c r="AF67" i="9" s="1"/>
  <c r="AD67" i="9"/>
  <c r="Q67" i="9"/>
  <c r="AH67" i="9" s="1"/>
  <c r="AF66" i="9"/>
  <c r="AD66" i="9"/>
  <c r="Q66" i="9"/>
  <c r="AE66" i="9" s="1"/>
  <c r="AH65" i="9"/>
  <c r="AD65" i="9"/>
  <c r="Q65" i="9"/>
  <c r="AE65" i="9" s="1"/>
  <c r="AF65" i="9" s="1"/>
  <c r="AD64" i="9"/>
  <c r="Q64" i="9"/>
  <c r="AH64" i="9" s="1"/>
  <c r="AH63" i="9"/>
  <c r="AH62" i="9"/>
  <c r="AH61" i="9"/>
  <c r="AA59" i="9"/>
  <c r="O59" i="9"/>
  <c r="K59" i="9"/>
  <c r="G59" i="9"/>
  <c r="AB58" i="9"/>
  <c r="X58" i="9"/>
  <c r="T58" i="9"/>
  <c r="H58" i="9"/>
  <c r="AC57" i="9"/>
  <c r="Y57" i="9"/>
  <c r="W57" i="9"/>
  <c r="V57" i="9"/>
  <c r="U57" i="9"/>
  <c r="T57" i="9"/>
  <c r="S57" i="9"/>
  <c r="R57" i="9"/>
  <c r="V56" i="9"/>
  <c r="R56" i="9"/>
  <c r="W55" i="9"/>
  <c r="W56" i="9" s="1"/>
  <c r="V55" i="9"/>
  <c r="U55" i="9"/>
  <c r="U56" i="9" s="1"/>
  <c r="T55" i="9"/>
  <c r="T56" i="9" s="1"/>
  <c r="S55" i="9"/>
  <c r="S56" i="9" s="1"/>
  <c r="R55" i="9"/>
  <c r="AC54" i="9"/>
  <c r="AB54" i="9"/>
  <c r="AA54" i="9"/>
  <c r="Z54" i="9"/>
  <c r="Y54" i="9"/>
  <c r="X54" i="9"/>
  <c r="AD54" i="9" s="1"/>
  <c r="P54" i="9"/>
  <c r="O54" i="9"/>
  <c r="N54" i="9"/>
  <c r="M54" i="9"/>
  <c r="L54" i="9"/>
  <c r="K54" i="9"/>
  <c r="J54" i="9"/>
  <c r="I54" i="9"/>
  <c r="H54" i="9"/>
  <c r="G54" i="9"/>
  <c r="F54" i="9"/>
  <c r="E54" i="9"/>
  <c r="AC53" i="9"/>
  <c r="AB53" i="9"/>
  <c r="AB55" i="9" s="1"/>
  <c r="AA53" i="9"/>
  <c r="AA55" i="9" s="1"/>
  <c r="AA56" i="9" s="1"/>
  <c r="Z53" i="9"/>
  <c r="Y53" i="9"/>
  <c r="X53" i="9"/>
  <c r="AD53" i="9" s="1"/>
  <c r="P53" i="9"/>
  <c r="O53" i="9"/>
  <c r="N53" i="9"/>
  <c r="M53" i="9"/>
  <c r="L53" i="9"/>
  <c r="K53" i="9"/>
  <c r="J53" i="9"/>
  <c r="I53" i="9"/>
  <c r="H53" i="9"/>
  <c r="G53" i="9"/>
  <c r="F53" i="9"/>
  <c r="E53" i="9"/>
  <c r="Q53" i="9" s="1"/>
  <c r="AC52" i="9"/>
  <c r="AC55" i="9" s="1"/>
  <c r="AC56" i="9" s="1"/>
  <c r="AB52" i="9"/>
  <c r="AA52" i="9"/>
  <c r="AA57" i="9" s="1"/>
  <c r="Z52" i="9"/>
  <c r="Y52" i="9"/>
  <c r="Y55" i="9" s="1"/>
  <c r="Y56" i="9" s="1"/>
  <c r="X52" i="9"/>
  <c r="P52" i="9"/>
  <c r="M52" i="9"/>
  <c r="M55" i="9" s="1"/>
  <c r="L52" i="9"/>
  <c r="I52" i="9"/>
  <c r="I55" i="9" s="1"/>
  <c r="H52" i="9"/>
  <c r="E52" i="9"/>
  <c r="E55" i="9" s="1"/>
  <c r="AC51" i="9"/>
  <c r="AB51" i="9"/>
  <c r="AA51" i="9"/>
  <c r="Z51" i="9"/>
  <c r="Y51" i="9"/>
  <c r="AD51" i="9" s="1"/>
  <c r="X51" i="9"/>
  <c r="P51" i="9"/>
  <c r="O51" i="9"/>
  <c r="O49" i="9" s="1"/>
  <c r="N51" i="9"/>
  <c r="M51" i="9"/>
  <c r="L51" i="9"/>
  <c r="K51" i="9"/>
  <c r="K49" i="9" s="1"/>
  <c r="J51" i="9"/>
  <c r="I51" i="9"/>
  <c r="H51" i="9"/>
  <c r="G51" i="9"/>
  <c r="G49" i="9" s="1"/>
  <c r="F51" i="9"/>
  <c r="E51" i="9"/>
  <c r="AC50" i="9"/>
  <c r="AB50" i="9"/>
  <c r="AA50" i="9"/>
  <c r="Z50" i="9"/>
  <c r="Y50" i="9"/>
  <c r="X50" i="9"/>
  <c r="AD50" i="9" s="1"/>
  <c r="P50" i="9"/>
  <c r="O50" i="9"/>
  <c r="N50" i="9"/>
  <c r="M50" i="9"/>
  <c r="L50" i="9"/>
  <c r="K50" i="9"/>
  <c r="J50" i="9"/>
  <c r="I50" i="9"/>
  <c r="H50" i="9"/>
  <c r="G50" i="9"/>
  <c r="F50" i="9"/>
  <c r="E50" i="9"/>
  <c r="AC49" i="9"/>
  <c r="AB49" i="9"/>
  <c r="AA49" i="9"/>
  <c r="Z49" i="9"/>
  <c r="Y49" i="9"/>
  <c r="X49" i="9"/>
  <c r="W49" i="9"/>
  <c r="V49" i="9"/>
  <c r="U49" i="9"/>
  <c r="T49" i="9"/>
  <c r="S49" i="9"/>
  <c r="R49" i="9"/>
  <c r="AC48" i="9"/>
  <c r="AB48" i="9"/>
  <c r="AA48" i="9"/>
  <c r="Z48" i="9"/>
  <c r="Y48" i="9"/>
  <c r="X48" i="9"/>
  <c r="AD48" i="9" s="1"/>
  <c r="O48" i="9"/>
  <c r="N48" i="9"/>
  <c r="K48" i="9"/>
  <c r="J48" i="9"/>
  <c r="G48" i="9"/>
  <c r="F48" i="9"/>
  <c r="W45" i="9"/>
  <c r="W46" i="9" s="1"/>
  <c r="S45" i="9"/>
  <c r="S46" i="9" s="1"/>
  <c r="AC44" i="9"/>
  <c r="AB44" i="9"/>
  <c r="AA44" i="9"/>
  <c r="Z44" i="9"/>
  <c r="Y44" i="9"/>
  <c r="X44" i="9"/>
  <c r="W44" i="9"/>
  <c r="V44" i="9"/>
  <c r="U44" i="9"/>
  <c r="T44" i="9"/>
  <c r="S44" i="9"/>
  <c r="R44" i="9"/>
  <c r="AH43" i="9"/>
  <c r="AD43" i="9"/>
  <c r="Q43" i="9"/>
  <c r="AE43" i="9" s="1"/>
  <c r="AF43" i="9" s="1"/>
  <c r="AD42" i="9"/>
  <c r="AE42" i="9" s="1"/>
  <c r="AF42" i="9" s="1"/>
  <c r="Q42" i="9"/>
  <c r="AH42" i="9" s="1"/>
  <c r="AE41" i="9"/>
  <c r="AF41" i="9" s="1"/>
  <c r="AD41" i="9"/>
  <c r="Q41" i="9"/>
  <c r="AH41" i="9" s="1"/>
  <c r="AF40" i="9"/>
  <c r="AD40" i="9"/>
  <c r="Q40" i="9"/>
  <c r="AE40" i="9" s="1"/>
  <c r="AD39" i="9"/>
  <c r="AD38" i="9"/>
  <c r="AE38" i="9" s="1"/>
  <c r="AF38" i="9" s="1"/>
  <c r="Q38" i="9"/>
  <c r="AH38" i="9" s="1"/>
  <c r="AE37" i="9"/>
  <c r="AF37" i="9" s="1"/>
  <c r="AD37" i="9"/>
  <c r="Q37" i="9"/>
  <c r="AH37" i="9" s="1"/>
  <c r="AD36" i="9"/>
  <c r="Q36" i="9"/>
  <c r="AE36" i="9" s="1"/>
  <c r="AF36" i="9" s="1"/>
  <c r="AD35" i="9"/>
  <c r="Q35" i="9"/>
  <c r="AD34" i="9"/>
  <c r="AE34" i="9" s="1"/>
  <c r="AF34" i="9" s="1"/>
  <c r="Q34" i="9"/>
  <c r="AH34" i="9" s="1"/>
  <c r="AE33" i="9"/>
  <c r="AF33" i="9" s="1"/>
  <c r="AD33" i="9"/>
  <c r="Q33" i="9"/>
  <c r="AH33" i="9" s="1"/>
  <c r="AD32" i="9"/>
  <c r="Q32" i="9"/>
  <c r="AE32" i="9" s="1"/>
  <c r="AF32" i="9" s="1"/>
  <c r="AH31" i="9"/>
  <c r="AD31" i="9"/>
  <c r="Q31" i="9"/>
  <c r="AE31" i="9" s="1"/>
  <c r="AF31" i="9" s="1"/>
  <c r="AD30" i="9"/>
  <c r="AE30" i="9" s="1"/>
  <c r="AF30" i="9" s="1"/>
  <c r="Q30" i="9"/>
  <c r="AH30" i="9" s="1"/>
  <c r="AE29" i="9"/>
  <c r="AF29" i="9" s="1"/>
  <c r="AD29" i="9"/>
  <c r="Q29" i="9"/>
  <c r="AH29" i="9" s="1"/>
  <c r="AF28" i="9"/>
  <c r="AD28" i="9"/>
  <c r="Q28" i="9"/>
  <c r="AE28" i="9" s="1"/>
  <c r="AH27" i="9"/>
  <c r="AD27" i="9"/>
  <c r="Q27" i="9"/>
  <c r="AE27" i="9" s="1"/>
  <c r="AF27" i="9" s="1"/>
  <c r="AD26" i="9"/>
  <c r="AE26" i="9" s="1"/>
  <c r="AF26" i="9" s="1"/>
  <c r="Q26" i="9"/>
  <c r="AH26" i="9" s="1"/>
  <c r="AE25" i="9"/>
  <c r="AF25" i="9" s="1"/>
  <c r="AD25" i="9"/>
  <c r="Q25" i="9"/>
  <c r="AH25" i="9" s="1"/>
  <c r="AF24" i="9"/>
  <c r="AD24" i="9"/>
  <c r="Q24" i="9"/>
  <c r="AE24" i="9" s="1"/>
  <c r="AD23" i="9"/>
  <c r="Q23" i="9"/>
  <c r="AE23" i="9" s="1"/>
  <c r="AF23" i="9" s="1"/>
  <c r="AD22" i="9"/>
  <c r="P22" i="9"/>
  <c r="O22" i="9"/>
  <c r="N22" i="9"/>
  <c r="M22" i="9"/>
  <c r="L22" i="9"/>
  <c r="K22" i="9"/>
  <c r="J22" i="9"/>
  <c r="I22" i="9"/>
  <c r="H22" i="9"/>
  <c r="G22" i="9"/>
  <c r="F22" i="9"/>
  <c r="E22" i="9"/>
  <c r="AE21" i="9"/>
  <c r="AF21" i="9" s="1"/>
  <c r="AD21" i="9"/>
  <c r="Q21" i="9"/>
  <c r="AH21" i="9" s="1"/>
  <c r="AD20" i="9"/>
  <c r="Q20" i="9"/>
  <c r="AE20" i="9" s="1"/>
  <c r="AF20" i="9" s="1"/>
  <c r="AF19" i="9"/>
  <c r="AF18" i="9"/>
  <c r="AA17" i="9"/>
  <c r="AA60" i="9" s="1"/>
  <c r="W17" i="9"/>
  <c r="W60" i="9" s="1"/>
  <c r="S17" i="9"/>
  <c r="O17" i="9"/>
  <c r="K17" i="9"/>
  <c r="G17" i="9"/>
  <c r="AH16" i="9"/>
  <c r="AF16" i="9"/>
  <c r="AD16" i="9"/>
  <c r="AB15" i="9"/>
  <c r="AA15" i="9"/>
  <c r="AA58" i="9" s="1"/>
  <c r="X15" i="9"/>
  <c r="X59" i="9" s="1"/>
  <c r="W15" i="9"/>
  <c r="W58" i="9" s="1"/>
  <c r="T15" i="9"/>
  <c r="T59" i="9" s="1"/>
  <c r="S15" i="9"/>
  <c r="S58" i="9" s="1"/>
  <c r="AH14" i="9"/>
  <c r="AE14" i="9"/>
  <c r="AD14" i="9"/>
  <c r="Q14" i="9"/>
  <c r="AF13" i="9"/>
  <c r="AD13" i="9"/>
  <c r="Q13" i="9"/>
  <c r="AE13" i="9" s="1"/>
  <c r="AC12" i="9"/>
  <c r="AC15" i="9" s="1"/>
  <c r="AB12" i="9"/>
  <c r="AA12" i="9"/>
  <c r="Z12" i="9"/>
  <c r="Z15" i="9" s="1"/>
  <c r="Y12" i="9"/>
  <c r="Y15" i="9" s="1"/>
  <c r="X12" i="9"/>
  <c r="W12" i="9"/>
  <c r="V12" i="9"/>
  <c r="V15" i="9" s="1"/>
  <c r="U12" i="9"/>
  <c r="U15" i="9" s="1"/>
  <c r="T12" i="9"/>
  <c r="S12" i="9"/>
  <c r="R12" i="9"/>
  <c r="R15" i="9" s="1"/>
  <c r="Q12" i="9"/>
  <c r="AD11" i="9"/>
  <c r="Q11" i="9"/>
  <c r="AD10" i="9"/>
  <c r="AE10" i="9" s="1"/>
  <c r="AF10" i="9" s="1"/>
  <c r="Q10" i="9"/>
  <c r="AH10" i="9" s="1"/>
  <c r="AE9" i="9"/>
  <c r="AF9" i="9" s="1"/>
  <c r="AD9" i="9"/>
  <c r="Q9" i="9"/>
  <c r="AH9" i="9" s="1"/>
  <c r="AD7" i="9"/>
  <c r="AC7" i="9"/>
  <c r="Z7" i="9"/>
  <c r="Y7" i="9"/>
  <c r="V7" i="9"/>
  <c r="U7" i="9"/>
  <c r="R7" i="9"/>
  <c r="Q7" i="9"/>
  <c r="N7" i="9"/>
  <c r="M7" i="9"/>
  <c r="J7" i="9"/>
  <c r="I7" i="9"/>
  <c r="F7" i="9"/>
  <c r="E7" i="9"/>
  <c r="AB6" i="9"/>
  <c r="AA6" i="9"/>
  <c r="X6" i="9"/>
  <c r="W6" i="9"/>
  <c r="T6" i="9"/>
  <c r="S6" i="9"/>
  <c r="P6" i="9"/>
  <c r="O6" i="9"/>
  <c r="L6" i="9"/>
  <c r="K6" i="9"/>
  <c r="H6" i="9"/>
  <c r="G6" i="9"/>
  <c r="D4" i="9"/>
  <c r="P2" i="9"/>
  <c r="O2" i="9"/>
  <c r="N2" i="9"/>
  <c r="M2" i="9"/>
  <c r="L2" i="9"/>
  <c r="K2" i="9"/>
  <c r="J2" i="9"/>
  <c r="I2" i="9"/>
  <c r="H2" i="9"/>
  <c r="G2" i="9"/>
  <c r="F2" i="9"/>
  <c r="E2" i="9"/>
  <c r="P1" i="9"/>
  <c r="O1" i="9"/>
  <c r="N1" i="9"/>
  <c r="M1" i="9"/>
  <c r="L1" i="9"/>
  <c r="K1" i="9"/>
  <c r="J1" i="9"/>
  <c r="I1" i="9"/>
  <c r="H1" i="9"/>
  <c r="G1" i="9"/>
  <c r="F1" i="9"/>
  <c r="E1" i="9"/>
  <c r="Q109" i="8"/>
  <c r="Q108" i="8"/>
  <c r="Q107" i="8"/>
  <c r="Q105" i="8"/>
  <c r="AH101" i="8"/>
  <c r="AD101" i="8"/>
  <c r="Q101" i="8"/>
  <c r="AE101" i="8" s="1"/>
  <c r="AF101" i="8" s="1"/>
  <c r="AH100" i="8"/>
  <c r="AH99" i="8"/>
  <c r="AB98" i="8"/>
  <c r="AB17" i="8" s="1"/>
  <c r="X98" i="8"/>
  <c r="X17" i="8" s="1"/>
  <c r="T98" i="8"/>
  <c r="T17" i="8" s="1"/>
  <c r="H98" i="8"/>
  <c r="H17" i="8" s="1"/>
  <c r="AC97" i="8"/>
  <c r="AB97" i="8"/>
  <c r="AA97" i="8"/>
  <c r="Z97" i="8"/>
  <c r="Y97" i="8"/>
  <c r="X97" i="8"/>
  <c r="W97" i="8"/>
  <c r="V97" i="8"/>
  <c r="U97" i="8"/>
  <c r="T97" i="8"/>
  <c r="S97" i="8"/>
  <c r="R97" i="8"/>
  <c r="P97" i="8"/>
  <c r="O97" i="8"/>
  <c r="N97" i="8"/>
  <c r="M97" i="8"/>
  <c r="L97" i="8"/>
  <c r="K97" i="8"/>
  <c r="J97" i="8"/>
  <c r="I97" i="8"/>
  <c r="H97" i="8"/>
  <c r="G97" i="8"/>
  <c r="F97" i="8"/>
  <c r="E97" i="8"/>
  <c r="AH96" i="8"/>
  <c r="AD96" i="8"/>
  <c r="AE96" i="8" s="1"/>
  <c r="AF96" i="8" s="1"/>
  <c r="AH95" i="8"/>
  <c r="AD95" i="8"/>
  <c r="AE95" i="8" s="1"/>
  <c r="AF95" i="8" s="1"/>
  <c r="AD94" i="8"/>
  <c r="AE94" i="8" s="1"/>
  <c r="AF94" i="8" s="1"/>
  <c r="Q94" i="8"/>
  <c r="AH94" i="8" s="1"/>
  <c r="AE93" i="8"/>
  <c r="AF93" i="8" s="1"/>
  <c r="AD93" i="8"/>
  <c r="Q93" i="8"/>
  <c r="AH93" i="8" s="1"/>
  <c r="AF92" i="8"/>
  <c r="AD92" i="8"/>
  <c r="Q92" i="8"/>
  <c r="AE92" i="8" s="1"/>
  <c r="AD91" i="8"/>
  <c r="Q91" i="8"/>
  <c r="AE91" i="8" s="1"/>
  <c r="AF91" i="8" s="1"/>
  <c r="AD90" i="8"/>
  <c r="Q90" i="8"/>
  <c r="AH90" i="8" s="1"/>
  <c r="AE89" i="8"/>
  <c r="AF89" i="8" s="1"/>
  <c r="AD89" i="8"/>
  <c r="Q89" i="8"/>
  <c r="AH89" i="8" s="1"/>
  <c r="AD88" i="8"/>
  <c r="Q88" i="8"/>
  <c r="AE88" i="8" s="1"/>
  <c r="AF88" i="8" s="1"/>
  <c r="AH87" i="8"/>
  <c r="AC86" i="8"/>
  <c r="AB86" i="8"/>
  <c r="AA86" i="8"/>
  <c r="Z86" i="8"/>
  <c r="Y86" i="8"/>
  <c r="X86" i="8"/>
  <c r="W86" i="8"/>
  <c r="V86" i="8"/>
  <c r="U86" i="8"/>
  <c r="T86" i="8"/>
  <c r="S86" i="8"/>
  <c r="R86" i="8"/>
  <c r="P86" i="8"/>
  <c r="O86" i="8"/>
  <c r="N86" i="8"/>
  <c r="M86" i="8"/>
  <c r="L86" i="8"/>
  <c r="K86" i="8"/>
  <c r="J86" i="8"/>
  <c r="I86" i="8"/>
  <c r="H86" i="8"/>
  <c r="G86" i="8"/>
  <c r="F86" i="8"/>
  <c r="E86" i="8"/>
  <c r="AE85" i="8"/>
  <c r="AF85" i="8" s="1"/>
  <c r="AD85" i="8"/>
  <c r="Q85" i="8"/>
  <c r="AH85" i="8" s="1"/>
  <c r="AD84" i="8"/>
  <c r="Q84" i="8"/>
  <c r="AE84" i="8" s="1"/>
  <c r="AF84" i="8" s="1"/>
  <c r="AD83" i="8"/>
  <c r="Q83" i="8"/>
  <c r="AD82" i="8"/>
  <c r="AE82" i="8" s="1"/>
  <c r="AF82" i="8" s="1"/>
  <c r="Q82" i="8"/>
  <c r="AH82" i="8" s="1"/>
  <c r="AE81" i="8"/>
  <c r="AF81" i="8" s="1"/>
  <c r="AD81" i="8"/>
  <c r="Q81" i="8"/>
  <c r="AH81" i="8" s="1"/>
  <c r="AD80" i="8"/>
  <c r="Q80" i="8"/>
  <c r="AE80" i="8" s="1"/>
  <c r="AF80" i="8" s="1"/>
  <c r="AH79" i="8"/>
  <c r="AD79" i="8"/>
  <c r="Q79" i="8"/>
  <c r="AE79" i="8" s="1"/>
  <c r="AF79" i="8" s="1"/>
  <c r="AD78" i="8"/>
  <c r="Q78" i="8"/>
  <c r="AH77" i="8"/>
  <c r="AE77" i="8"/>
  <c r="AC76" i="8"/>
  <c r="AC98" i="8" s="1"/>
  <c r="AC17" i="8" s="1"/>
  <c r="AB76" i="8"/>
  <c r="AA76" i="8"/>
  <c r="AA98" i="8" s="1"/>
  <c r="AA17" i="8" s="1"/>
  <c r="Z76" i="8"/>
  <c r="Z98" i="8" s="1"/>
  <c r="Y76" i="8"/>
  <c r="Y98" i="8" s="1"/>
  <c r="Y17" i="8" s="1"/>
  <c r="X76" i="8"/>
  <c r="W76" i="8"/>
  <c r="W98" i="8" s="1"/>
  <c r="W17" i="8" s="1"/>
  <c r="V76" i="8"/>
  <c r="V98" i="8" s="1"/>
  <c r="V17" i="8" s="1"/>
  <c r="U76" i="8"/>
  <c r="U98" i="8" s="1"/>
  <c r="U17" i="8" s="1"/>
  <c r="T76" i="8"/>
  <c r="S76" i="8"/>
  <c r="S98" i="8" s="1"/>
  <c r="S17" i="8" s="1"/>
  <c r="R76" i="8"/>
  <c r="R98" i="8" s="1"/>
  <c r="R17" i="8" s="1"/>
  <c r="P76" i="8"/>
  <c r="O76" i="8"/>
  <c r="O98" i="8" s="1"/>
  <c r="O17" i="8" s="1"/>
  <c r="N76" i="8"/>
  <c r="N98" i="8" s="1"/>
  <c r="N17" i="8" s="1"/>
  <c r="M76" i="8"/>
  <c r="M98" i="8" s="1"/>
  <c r="M17" i="8" s="1"/>
  <c r="L76" i="8"/>
  <c r="K76" i="8"/>
  <c r="K98" i="8" s="1"/>
  <c r="K17" i="8" s="1"/>
  <c r="J76" i="8"/>
  <c r="J98" i="8" s="1"/>
  <c r="I76" i="8"/>
  <c r="I98" i="8" s="1"/>
  <c r="I17" i="8" s="1"/>
  <c r="H76" i="8"/>
  <c r="G76" i="8"/>
  <c r="G98" i="8" s="1"/>
  <c r="G17" i="8" s="1"/>
  <c r="F76" i="8"/>
  <c r="F98" i="8" s="1"/>
  <c r="F17" i="8" s="1"/>
  <c r="E76" i="8"/>
  <c r="E98" i="8" s="1"/>
  <c r="E17" i="8" s="1"/>
  <c r="AD75" i="8"/>
  <c r="AE75" i="8" s="1"/>
  <c r="AF75" i="8" s="1"/>
  <c r="Q75" i="8"/>
  <c r="AH75" i="8" s="1"/>
  <c r="AE74" i="8"/>
  <c r="AF74" i="8" s="1"/>
  <c r="AD74" i="8"/>
  <c r="Q74" i="8"/>
  <c r="AH74" i="8" s="1"/>
  <c r="AD73" i="8"/>
  <c r="Q73" i="8"/>
  <c r="AE73" i="8" s="1"/>
  <c r="AF73" i="8" s="1"/>
  <c r="AD72" i="8"/>
  <c r="Q72" i="8"/>
  <c r="AD71" i="8"/>
  <c r="Q71" i="8"/>
  <c r="AH71" i="8" s="1"/>
  <c r="AH70" i="8"/>
  <c r="AC69" i="8"/>
  <c r="AB69" i="8"/>
  <c r="AA69" i="8"/>
  <c r="Z69" i="8"/>
  <c r="Y69" i="8"/>
  <c r="X69" i="8"/>
  <c r="W69" i="8"/>
  <c r="V69" i="8"/>
  <c r="U69" i="8"/>
  <c r="T69" i="8"/>
  <c r="S69" i="8"/>
  <c r="R69" i="8"/>
  <c r="P69" i="8"/>
  <c r="P98" i="8" s="1"/>
  <c r="P17" i="8" s="1"/>
  <c r="O69" i="8"/>
  <c r="N69" i="8"/>
  <c r="M69" i="8"/>
  <c r="L69" i="8"/>
  <c r="L98" i="8" s="1"/>
  <c r="L17" i="8" s="1"/>
  <c r="K69" i="8"/>
  <c r="J69" i="8"/>
  <c r="I69" i="8"/>
  <c r="H69" i="8"/>
  <c r="G69" i="8"/>
  <c r="F69" i="8"/>
  <c r="E69" i="8"/>
  <c r="AH68" i="8"/>
  <c r="AD68" i="8"/>
  <c r="Q68" i="8"/>
  <c r="AE68" i="8" s="1"/>
  <c r="AF68" i="8" s="1"/>
  <c r="AD67" i="8"/>
  <c r="AE67" i="8" s="1"/>
  <c r="AF67" i="8" s="1"/>
  <c r="Q67" i="8"/>
  <c r="AH67" i="8" s="1"/>
  <c r="AE66" i="8"/>
  <c r="AF66" i="8" s="1"/>
  <c r="AD66" i="8"/>
  <c r="Q66" i="8"/>
  <c r="AH66" i="8" s="1"/>
  <c r="AF65" i="8"/>
  <c r="AD65" i="8"/>
  <c r="Q65" i="8"/>
  <c r="AE65" i="8" s="1"/>
  <c r="AH64" i="8"/>
  <c r="AD64" i="8"/>
  <c r="Q64" i="8"/>
  <c r="AH63" i="8"/>
  <c r="AH62" i="8"/>
  <c r="AH61" i="8"/>
  <c r="U60" i="8"/>
  <c r="N59" i="8"/>
  <c r="J59" i="8"/>
  <c r="F59" i="8"/>
  <c r="S58" i="8"/>
  <c r="AB57" i="8"/>
  <c r="X57" i="8"/>
  <c r="W57" i="8"/>
  <c r="V57" i="8"/>
  <c r="U57" i="8"/>
  <c r="T57" i="8"/>
  <c r="S57" i="8"/>
  <c r="R57" i="8"/>
  <c r="U56" i="8"/>
  <c r="Z55" i="8"/>
  <c r="Z56" i="8" s="1"/>
  <c r="W55" i="8"/>
  <c r="W56" i="8" s="1"/>
  <c r="V55" i="8"/>
  <c r="V56" i="8" s="1"/>
  <c r="U55" i="8"/>
  <c r="T55" i="8"/>
  <c r="T56" i="8" s="1"/>
  <c r="S55" i="8"/>
  <c r="S56" i="8" s="1"/>
  <c r="R55" i="8"/>
  <c r="R56" i="8" s="1"/>
  <c r="AC54" i="8"/>
  <c r="AB54" i="8"/>
  <c r="AA54" i="8"/>
  <c r="Z54" i="8"/>
  <c r="Y54" i="8"/>
  <c r="X54" i="8"/>
  <c r="AD54" i="8" s="1"/>
  <c r="P54" i="8"/>
  <c r="O54" i="8"/>
  <c r="N54" i="8"/>
  <c r="M54" i="8"/>
  <c r="L54" i="8"/>
  <c r="K54" i="8"/>
  <c r="J54" i="8"/>
  <c r="I54" i="8"/>
  <c r="H54" i="8"/>
  <c r="G54" i="8"/>
  <c r="F54" i="8"/>
  <c r="E54" i="8"/>
  <c r="Q54" i="8" s="1"/>
  <c r="AC53" i="8"/>
  <c r="AB53" i="8"/>
  <c r="AA53" i="8"/>
  <c r="AA55" i="8" s="1"/>
  <c r="Z53" i="8"/>
  <c r="AD53" i="8" s="1"/>
  <c r="Y53" i="8"/>
  <c r="X53" i="8"/>
  <c r="P53" i="8"/>
  <c r="O53" i="8"/>
  <c r="N53" i="8"/>
  <c r="M53" i="8"/>
  <c r="L53" i="8"/>
  <c r="K53" i="8"/>
  <c r="J53" i="8"/>
  <c r="I53" i="8"/>
  <c r="H53" i="8"/>
  <c r="G53" i="8"/>
  <c r="F53" i="8"/>
  <c r="E53" i="8"/>
  <c r="Q53" i="8" s="1"/>
  <c r="AC52" i="8"/>
  <c r="AB52" i="8"/>
  <c r="AB55" i="8" s="1"/>
  <c r="AB56" i="8" s="1"/>
  <c r="AA52" i="8"/>
  <c r="Z52" i="8"/>
  <c r="Z57" i="8" s="1"/>
  <c r="Y52" i="8"/>
  <c r="X52" i="8"/>
  <c r="X55" i="8" s="1"/>
  <c r="X56" i="8" s="1"/>
  <c r="P52" i="8"/>
  <c r="P55" i="8" s="1"/>
  <c r="L52" i="8"/>
  <c r="L55" i="8" s="1"/>
  <c r="H52" i="8"/>
  <c r="H55" i="8" s="1"/>
  <c r="AC51" i="8"/>
  <c r="AB51" i="8"/>
  <c r="AA51" i="8"/>
  <c r="Z51" i="8"/>
  <c r="Y51" i="8"/>
  <c r="X51" i="8"/>
  <c r="AD51" i="8" s="1"/>
  <c r="P51" i="8"/>
  <c r="O51" i="8"/>
  <c r="N51" i="8"/>
  <c r="N49" i="8" s="1"/>
  <c r="M51" i="8"/>
  <c r="L51" i="8"/>
  <c r="K51" i="8"/>
  <c r="J51" i="8"/>
  <c r="I51" i="8"/>
  <c r="H51" i="8"/>
  <c r="G51" i="8"/>
  <c r="F51" i="8"/>
  <c r="F49" i="8" s="1"/>
  <c r="E51" i="8"/>
  <c r="AC50" i="8"/>
  <c r="AB50" i="8"/>
  <c r="AA50" i="8"/>
  <c r="Z50" i="8"/>
  <c r="Y50" i="8"/>
  <c r="X50" i="8"/>
  <c r="AD50" i="8" s="1"/>
  <c r="P50" i="8"/>
  <c r="O50" i="8"/>
  <c r="N50" i="8"/>
  <c r="M50" i="8"/>
  <c r="L50" i="8"/>
  <c r="K50" i="8"/>
  <c r="J50" i="8"/>
  <c r="I50" i="8"/>
  <c r="H50" i="8"/>
  <c r="G50" i="8"/>
  <c r="F50" i="8"/>
  <c r="E50" i="8"/>
  <c r="Q50" i="8" s="1"/>
  <c r="AC49" i="8"/>
  <c r="AB49" i="8"/>
  <c r="AA49" i="8"/>
  <c r="Z49" i="8"/>
  <c r="Y49" i="8"/>
  <c r="X49" i="8"/>
  <c r="W49" i="8"/>
  <c r="V49" i="8"/>
  <c r="U49" i="8"/>
  <c r="T49" i="8"/>
  <c r="S49" i="8"/>
  <c r="R49" i="8"/>
  <c r="AD49" i="8" s="1"/>
  <c r="J49" i="8"/>
  <c r="AC48" i="8"/>
  <c r="AB48" i="8"/>
  <c r="AA48" i="8"/>
  <c r="Z48" i="8"/>
  <c r="Y48" i="8"/>
  <c r="X48" i="8"/>
  <c r="AD48" i="8" s="1"/>
  <c r="N48" i="8"/>
  <c r="J48" i="8"/>
  <c r="F48" i="8"/>
  <c r="Y45" i="8"/>
  <c r="U45" i="8"/>
  <c r="U46" i="8" s="1"/>
  <c r="AC44" i="8"/>
  <c r="AB44" i="8"/>
  <c r="AA44" i="8"/>
  <c r="AA60" i="8" s="1"/>
  <c r="Z44" i="8"/>
  <c r="Y44" i="8"/>
  <c r="X44" i="8"/>
  <c r="W44" i="8"/>
  <c r="W60" i="8" s="1"/>
  <c r="V44" i="8"/>
  <c r="U44" i="8"/>
  <c r="T44" i="8"/>
  <c r="T60" i="8" s="1"/>
  <c r="S44" i="8"/>
  <c r="S60" i="8" s="1"/>
  <c r="R44" i="8"/>
  <c r="AE43" i="8"/>
  <c r="AF43" i="8" s="1"/>
  <c r="AD43" i="8"/>
  <c r="Q43" i="8"/>
  <c r="AH43" i="8" s="1"/>
  <c r="AF42" i="8"/>
  <c r="AD42" i="8"/>
  <c r="Q42" i="8"/>
  <c r="AE42" i="8" s="1"/>
  <c r="AH41" i="8"/>
  <c r="AD41" i="8"/>
  <c r="Q41" i="8"/>
  <c r="AE41" i="8" s="1"/>
  <c r="AF41" i="8" s="1"/>
  <c r="AD40" i="8"/>
  <c r="AE40" i="8" s="1"/>
  <c r="AF40" i="8" s="1"/>
  <c r="Q40" i="8"/>
  <c r="AH40" i="8" s="1"/>
  <c r="AD39" i="8"/>
  <c r="AD38" i="8"/>
  <c r="Q38" i="8"/>
  <c r="AE38" i="8" s="1"/>
  <c r="AF38" i="8" s="1"/>
  <c r="AH37" i="8"/>
  <c r="AD37" i="8"/>
  <c r="Q37" i="8"/>
  <c r="AE37" i="8" s="1"/>
  <c r="AF37" i="8" s="1"/>
  <c r="AD36" i="8"/>
  <c r="AE36" i="8" s="1"/>
  <c r="AF36" i="8" s="1"/>
  <c r="Q36" i="8"/>
  <c r="AH36" i="8" s="1"/>
  <c r="AE35" i="8"/>
  <c r="AF35" i="8" s="1"/>
  <c r="AD35" i="8"/>
  <c r="Q35" i="8"/>
  <c r="AH35" i="8" s="1"/>
  <c r="AF34" i="8"/>
  <c r="AD34" i="8"/>
  <c r="Q34" i="8"/>
  <c r="AE34" i="8" s="1"/>
  <c r="AH33" i="8"/>
  <c r="AD33" i="8"/>
  <c r="Q33" i="8"/>
  <c r="AE33" i="8" s="1"/>
  <c r="AF33" i="8" s="1"/>
  <c r="AD32" i="8"/>
  <c r="AE32" i="8" s="1"/>
  <c r="AF32" i="8" s="1"/>
  <c r="Q32" i="8"/>
  <c r="AH32" i="8" s="1"/>
  <c r="AE31" i="8"/>
  <c r="AF31" i="8" s="1"/>
  <c r="AD31" i="8"/>
  <c r="Q31" i="8"/>
  <c r="AH31" i="8" s="1"/>
  <c r="AF30" i="8"/>
  <c r="AD30" i="8"/>
  <c r="Q30" i="8"/>
  <c r="AE30" i="8" s="1"/>
  <c r="AD29" i="8"/>
  <c r="Q29" i="8"/>
  <c r="AE29" i="8" s="1"/>
  <c r="AF29" i="8" s="1"/>
  <c r="AD28" i="8"/>
  <c r="AE28" i="8" s="1"/>
  <c r="AF28" i="8" s="1"/>
  <c r="Q28" i="8"/>
  <c r="AH28" i="8" s="1"/>
  <c r="AE27" i="8"/>
  <c r="AF27" i="8" s="1"/>
  <c r="AD27" i="8"/>
  <c r="Q27" i="8"/>
  <c r="AH27" i="8" s="1"/>
  <c r="AD26" i="8"/>
  <c r="Q26" i="8"/>
  <c r="AE26" i="8" s="1"/>
  <c r="AF26" i="8" s="1"/>
  <c r="AD25" i="8"/>
  <c r="Q25" i="8"/>
  <c r="AD24" i="8"/>
  <c r="AE24" i="8" s="1"/>
  <c r="AF24" i="8" s="1"/>
  <c r="Q24" i="8"/>
  <c r="AH24" i="8" s="1"/>
  <c r="AE23" i="8"/>
  <c r="AF23" i="8" s="1"/>
  <c r="AD23" i="8"/>
  <c r="Q23" i="8"/>
  <c r="AH23" i="8" s="1"/>
  <c r="AD22" i="8"/>
  <c r="P22" i="8"/>
  <c r="O22" i="8"/>
  <c r="N22" i="8"/>
  <c r="M22" i="8"/>
  <c r="L22" i="8"/>
  <c r="K22" i="8"/>
  <c r="J22" i="8"/>
  <c r="I22" i="8"/>
  <c r="H22" i="8"/>
  <c r="G22" i="8"/>
  <c r="F22" i="8"/>
  <c r="E22" i="8"/>
  <c r="AH21" i="8"/>
  <c r="AD21" i="8"/>
  <c r="Q21" i="8"/>
  <c r="AE21" i="8" s="1"/>
  <c r="AF21" i="8" s="1"/>
  <c r="AD20" i="8"/>
  <c r="AG19" i="8"/>
  <c r="Z17" i="8"/>
  <c r="J17" i="8"/>
  <c r="AH16" i="8"/>
  <c r="AC15" i="8"/>
  <c r="AC59" i="8" s="1"/>
  <c r="AB15" i="8"/>
  <c r="Y15" i="8"/>
  <c r="Y59" i="8" s="1"/>
  <c r="X15" i="8"/>
  <c r="U15" i="8"/>
  <c r="U59" i="8" s="1"/>
  <c r="T15" i="8"/>
  <c r="AH14" i="8"/>
  <c r="AD14" i="8"/>
  <c r="Q14" i="8"/>
  <c r="AE14" i="8" s="1"/>
  <c r="AH13" i="8"/>
  <c r="AD13" i="8"/>
  <c r="Q13" i="8"/>
  <c r="AE13" i="8" s="1"/>
  <c r="AF13" i="8" s="1"/>
  <c r="AC12" i="8"/>
  <c r="AB12" i="8"/>
  <c r="AA12" i="8"/>
  <c r="AA15" i="8" s="1"/>
  <c r="Z12" i="8"/>
  <c r="Z15" i="8" s="1"/>
  <c r="Y12" i="8"/>
  <c r="X12" i="8"/>
  <c r="W12" i="8"/>
  <c r="W15" i="8" s="1"/>
  <c r="V12" i="8"/>
  <c r="V15" i="8" s="1"/>
  <c r="U12" i="8"/>
  <c r="T12" i="8"/>
  <c r="S12" i="8"/>
  <c r="S15" i="8" s="1"/>
  <c r="R12" i="8"/>
  <c r="R15" i="8" s="1"/>
  <c r="AD11" i="8"/>
  <c r="AE11" i="8" s="1"/>
  <c r="Q11" i="8"/>
  <c r="AH11" i="8" s="1"/>
  <c r="AE10" i="8"/>
  <c r="AF10" i="8" s="1"/>
  <c r="AD10" i="8"/>
  <c r="Q10" i="8"/>
  <c r="AH10" i="8" s="1"/>
  <c r="AD9" i="8"/>
  <c r="Q9" i="8"/>
  <c r="Q12" i="8" s="1"/>
  <c r="AD7" i="8"/>
  <c r="Z7" i="8"/>
  <c r="V7" i="8"/>
  <c r="R7" i="8"/>
  <c r="N7" i="8"/>
  <c r="J7" i="8"/>
  <c r="F7" i="8"/>
  <c r="AB6" i="8"/>
  <c r="X6" i="8"/>
  <c r="T6" i="8"/>
  <c r="P6" i="8"/>
  <c r="L6" i="8"/>
  <c r="H6" i="8"/>
  <c r="D4" i="8"/>
  <c r="P2" i="8"/>
  <c r="O2" i="8"/>
  <c r="N2" i="8"/>
  <c r="M2" i="8"/>
  <c r="L2" i="8"/>
  <c r="K2" i="8"/>
  <c r="J2" i="8"/>
  <c r="I2" i="8"/>
  <c r="H2" i="8"/>
  <c r="G2" i="8"/>
  <c r="F2" i="8"/>
  <c r="E2" i="8"/>
  <c r="P1" i="8"/>
  <c r="O1" i="8"/>
  <c r="N1" i="8"/>
  <c r="M1" i="8"/>
  <c r="L1" i="8"/>
  <c r="K1" i="8"/>
  <c r="J1" i="8"/>
  <c r="I1" i="8"/>
  <c r="H1" i="8"/>
  <c r="G1" i="8"/>
  <c r="F1" i="8"/>
  <c r="E1" i="8"/>
  <c r="Q109" i="7"/>
  <c r="Q108" i="7"/>
  <c r="Q107" i="7"/>
  <c r="AD105" i="7"/>
  <c r="Q105" i="7"/>
  <c r="AE101" i="7"/>
  <c r="AF101" i="7" s="1"/>
  <c r="AD101" i="7"/>
  <c r="Q101" i="7"/>
  <c r="AH101" i="7" s="1"/>
  <c r="AH100" i="7"/>
  <c r="AH99" i="7"/>
  <c r="R98" i="7"/>
  <c r="N98" i="7"/>
  <c r="N17" i="7" s="1"/>
  <c r="AC97" i="7"/>
  <c r="AB97" i="7"/>
  <c r="AA97" i="7"/>
  <c r="Z97" i="7"/>
  <c r="Y97" i="7"/>
  <c r="X97" i="7"/>
  <c r="W97" i="7"/>
  <c r="V97" i="7"/>
  <c r="U97" i="7"/>
  <c r="T97" i="7"/>
  <c r="S97" i="7"/>
  <c r="R97" i="7"/>
  <c r="P97" i="7"/>
  <c r="O97" i="7"/>
  <c r="N97" i="7"/>
  <c r="M97" i="7"/>
  <c r="L97" i="7"/>
  <c r="K97" i="7"/>
  <c r="J97" i="7"/>
  <c r="I97" i="7"/>
  <c r="H97" i="7"/>
  <c r="G97" i="7"/>
  <c r="F97" i="7"/>
  <c r="E97" i="7"/>
  <c r="AH96" i="7"/>
  <c r="AD96" i="7"/>
  <c r="AE96" i="7" s="1"/>
  <c r="AF96" i="7" s="1"/>
  <c r="AH95" i="7"/>
  <c r="AF95" i="7"/>
  <c r="AD95" i="7"/>
  <c r="AE95" i="7" s="1"/>
  <c r="AD94" i="7"/>
  <c r="Q94" i="7"/>
  <c r="AE94" i="7" s="1"/>
  <c r="AF94" i="7" s="1"/>
  <c r="AD93" i="7"/>
  <c r="Q93" i="7"/>
  <c r="AD92" i="7"/>
  <c r="AE92" i="7" s="1"/>
  <c r="AF92" i="7" s="1"/>
  <c r="Q92" i="7"/>
  <c r="AH92" i="7" s="1"/>
  <c r="AE91" i="7"/>
  <c r="AF91" i="7" s="1"/>
  <c r="AD91" i="7"/>
  <c r="Q91" i="7"/>
  <c r="AH91" i="7" s="1"/>
  <c r="AD90" i="7"/>
  <c r="Q90" i="7"/>
  <c r="AE90" i="7" s="1"/>
  <c r="AF90" i="7" s="1"/>
  <c r="AH89" i="7"/>
  <c r="AD89" i="7"/>
  <c r="Q89" i="7"/>
  <c r="AE89" i="7" s="1"/>
  <c r="AF89" i="7" s="1"/>
  <c r="AD88" i="7"/>
  <c r="Q88" i="7"/>
  <c r="AH88" i="7" s="1"/>
  <c r="AH87" i="7"/>
  <c r="AC86" i="7"/>
  <c r="AB86" i="7"/>
  <c r="AA86" i="7"/>
  <c r="Z86" i="7"/>
  <c r="Y86" i="7"/>
  <c r="X86" i="7"/>
  <c r="W86" i="7"/>
  <c r="V86" i="7"/>
  <c r="U86" i="7"/>
  <c r="T86" i="7"/>
  <c r="S86" i="7"/>
  <c r="R86" i="7"/>
  <c r="P86" i="7"/>
  <c r="O86" i="7"/>
  <c r="N86" i="7"/>
  <c r="M86" i="7"/>
  <c r="L86" i="7"/>
  <c r="K86" i="7"/>
  <c r="J86" i="7"/>
  <c r="I86" i="7"/>
  <c r="H86" i="7"/>
  <c r="G86" i="7"/>
  <c r="F86" i="7"/>
  <c r="E86" i="7"/>
  <c r="AH85" i="7"/>
  <c r="AD85" i="7"/>
  <c r="Q85" i="7"/>
  <c r="AE85" i="7" s="1"/>
  <c r="AF85" i="7" s="1"/>
  <c r="AD84" i="7"/>
  <c r="AE84" i="7" s="1"/>
  <c r="AF84" i="7" s="1"/>
  <c r="Q84" i="7"/>
  <c r="AH84" i="7" s="1"/>
  <c r="AE83" i="7"/>
  <c r="AF83" i="7" s="1"/>
  <c r="AD83" i="7"/>
  <c r="Q83" i="7"/>
  <c r="AH83" i="7" s="1"/>
  <c r="AF82" i="7"/>
  <c r="AD82" i="7"/>
  <c r="Q82" i="7"/>
  <c r="AE82" i="7" s="1"/>
  <c r="AD81" i="7"/>
  <c r="Q81" i="7"/>
  <c r="AE81" i="7" s="1"/>
  <c r="AF81" i="7" s="1"/>
  <c r="AD80" i="7"/>
  <c r="AE80" i="7" s="1"/>
  <c r="AF80" i="7" s="1"/>
  <c r="Q80" i="7"/>
  <c r="AH80" i="7" s="1"/>
  <c r="AE79" i="7"/>
  <c r="AF79" i="7" s="1"/>
  <c r="AD79" i="7"/>
  <c r="Q79" i="7"/>
  <c r="AH79" i="7" s="1"/>
  <c r="AD78" i="7"/>
  <c r="AD86" i="7" s="1"/>
  <c r="Q78" i="7"/>
  <c r="AE78" i="7" s="1"/>
  <c r="AF78" i="7" s="1"/>
  <c r="AH77" i="7"/>
  <c r="AC76" i="7"/>
  <c r="AB76" i="7"/>
  <c r="AB98" i="7" s="1"/>
  <c r="AB17" i="7" s="1"/>
  <c r="AA76" i="7"/>
  <c r="Z76" i="7"/>
  <c r="Z98" i="7" s="1"/>
  <c r="Y76" i="7"/>
  <c r="X76" i="7"/>
  <c r="X98" i="7" s="1"/>
  <c r="X17" i="7" s="1"/>
  <c r="W76" i="7"/>
  <c r="V76" i="7"/>
  <c r="V98" i="7" s="1"/>
  <c r="V17" i="7" s="1"/>
  <c r="V60" i="7" s="1"/>
  <c r="U76" i="7"/>
  <c r="T76" i="7"/>
  <c r="T98" i="7" s="1"/>
  <c r="T17" i="7" s="1"/>
  <c r="S76" i="7"/>
  <c r="R76" i="7"/>
  <c r="P76" i="7"/>
  <c r="O76" i="7"/>
  <c r="O98" i="7" s="1"/>
  <c r="N76" i="7"/>
  <c r="M76" i="7"/>
  <c r="L76" i="7"/>
  <c r="K76" i="7"/>
  <c r="K98" i="7" s="1"/>
  <c r="K17" i="7" s="1"/>
  <c r="J76" i="7"/>
  <c r="J98" i="7" s="1"/>
  <c r="I76" i="7"/>
  <c r="H76" i="7"/>
  <c r="G76" i="7"/>
  <c r="G98" i="7" s="1"/>
  <c r="F76" i="7"/>
  <c r="F98" i="7" s="1"/>
  <c r="F17" i="7" s="1"/>
  <c r="E76" i="7"/>
  <c r="AE75" i="7"/>
  <c r="AF75" i="7" s="1"/>
  <c r="AD75" i="7"/>
  <c r="Q75" i="7"/>
  <c r="AH75" i="7" s="1"/>
  <c r="AD74" i="7"/>
  <c r="Q74" i="7"/>
  <c r="AE74" i="7" s="1"/>
  <c r="AF74" i="7" s="1"/>
  <c r="AD73" i="7"/>
  <c r="Q73" i="7"/>
  <c r="AD72" i="7"/>
  <c r="AE72" i="7" s="1"/>
  <c r="AF72" i="7" s="1"/>
  <c r="Q72" i="7"/>
  <c r="AH72" i="7" s="1"/>
  <c r="AE71" i="7"/>
  <c r="AF71" i="7" s="1"/>
  <c r="AD71" i="7"/>
  <c r="Q71" i="7"/>
  <c r="AH70" i="7"/>
  <c r="AC69" i="7"/>
  <c r="AB69" i="7"/>
  <c r="AA69" i="7"/>
  <c r="Z69" i="7"/>
  <c r="Y69" i="7"/>
  <c r="X69" i="7"/>
  <c r="W69" i="7"/>
  <c r="V69" i="7"/>
  <c r="U69" i="7"/>
  <c r="T69" i="7"/>
  <c r="S69" i="7"/>
  <c r="R69" i="7"/>
  <c r="Q69" i="7"/>
  <c r="P69" i="7"/>
  <c r="O69" i="7"/>
  <c r="N69" i="7"/>
  <c r="M69" i="7"/>
  <c r="L69" i="7"/>
  <c r="K69" i="7"/>
  <c r="J69" i="7"/>
  <c r="I69" i="7"/>
  <c r="H69" i="7"/>
  <c r="G69" i="7"/>
  <c r="F69" i="7"/>
  <c r="E69" i="7"/>
  <c r="AD68" i="7"/>
  <c r="AE68" i="7" s="1"/>
  <c r="AF68" i="7" s="1"/>
  <c r="Q68" i="7"/>
  <c r="AH68" i="7" s="1"/>
  <c r="AE67" i="7"/>
  <c r="AF67" i="7" s="1"/>
  <c r="AD67" i="7"/>
  <c r="Q67" i="7"/>
  <c r="AH67" i="7" s="1"/>
  <c r="AD66" i="7"/>
  <c r="Q66" i="7"/>
  <c r="AE66" i="7" s="1"/>
  <c r="AF66" i="7" s="1"/>
  <c r="AH65" i="7"/>
  <c r="AD65" i="7"/>
  <c r="Q65" i="7"/>
  <c r="AE65" i="7" s="1"/>
  <c r="AF65" i="7" s="1"/>
  <c r="AD64" i="7"/>
  <c r="Q64" i="7"/>
  <c r="AH64" i="7" s="1"/>
  <c r="AH63" i="7"/>
  <c r="AH62" i="7"/>
  <c r="AH61" i="7"/>
  <c r="AA59" i="7"/>
  <c r="O59" i="7"/>
  <c r="AB58" i="7"/>
  <c r="X58" i="7"/>
  <c r="L58" i="7"/>
  <c r="H58" i="7"/>
  <c r="W57" i="7"/>
  <c r="V57" i="7"/>
  <c r="U57" i="7"/>
  <c r="T57" i="7"/>
  <c r="S57" i="7"/>
  <c r="R57" i="7"/>
  <c r="V56" i="7"/>
  <c r="R56" i="7"/>
  <c r="W55" i="7"/>
  <c r="W56" i="7" s="1"/>
  <c r="V55" i="7"/>
  <c r="U55" i="7"/>
  <c r="U56" i="7" s="1"/>
  <c r="T55" i="7"/>
  <c r="T56" i="7" s="1"/>
  <c r="S55" i="7"/>
  <c r="S56" i="7" s="1"/>
  <c r="R55" i="7"/>
  <c r="AC54" i="7"/>
  <c r="AB54" i="7"/>
  <c r="AA54" i="7"/>
  <c r="Z54" i="7"/>
  <c r="Y54" i="7"/>
  <c r="X54" i="7"/>
  <c r="AD54" i="7" s="1"/>
  <c r="P54" i="7"/>
  <c r="O54" i="7"/>
  <c r="N54" i="7"/>
  <c r="M54" i="7"/>
  <c r="L54" i="7"/>
  <c r="K54" i="7"/>
  <c r="J54" i="7"/>
  <c r="I54" i="7"/>
  <c r="H54" i="7"/>
  <c r="G54" i="7"/>
  <c r="F54" i="7"/>
  <c r="E54" i="7"/>
  <c r="Q54" i="7" s="1"/>
  <c r="AC53" i="7"/>
  <c r="AC55" i="7" s="1"/>
  <c r="AB53" i="7"/>
  <c r="AA53" i="7"/>
  <c r="AA55" i="7" s="1"/>
  <c r="AA56" i="7" s="1"/>
  <c r="Z53" i="7"/>
  <c r="Y53" i="7"/>
  <c r="Y55" i="7" s="1"/>
  <c r="X53" i="7"/>
  <c r="P53" i="7"/>
  <c r="O53" i="7"/>
  <c r="N53" i="7"/>
  <c r="M53" i="7"/>
  <c r="L53" i="7"/>
  <c r="K53" i="7"/>
  <c r="J53" i="7"/>
  <c r="I53" i="7"/>
  <c r="H53" i="7"/>
  <c r="G53" i="7"/>
  <c r="F53" i="7"/>
  <c r="E53" i="7"/>
  <c r="Q53" i="7" s="1"/>
  <c r="AH53" i="7" s="1"/>
  <c r="AC52" i="7"/>
  <c r="AB52" i="7"/>
  <c r="AA52" i="7"/>
  <c r="AA57" i="7" s="1"/>
  <c r="Z52" i="7"/>
  <c r="Y52" i="7"/>
  <c r="X52" i="7"/>
  <c r="P52" i="7"/>
  <c r="M52" i="7"/>
  <c r="M55" i="7" s="1"/>
  <c r="L52" i="7"/>
  <c r="I52" i="7"/>
  <c r="H52" i="7"/>
  <c r="E52" i="7"/>
  <c r="E55" i="7" s="1"/>
  <c r="AC51" i="7"/>
  <c r="AB51" i="7"/>
  <c r="AA51" i="7"/>
  <c r="Z51" i="7"/>
  <c r="Y51" i="7"/>
  <c r="AD51" i="7" s="1"/>
  <c r="X51" i="7"/>
  <c r="P51" i="7"/>
  <c r="O51" i="7"/>
  <c r="N51" i="7"/>
  <c r="M51" i="7"/>
  <c r="L51" i="7"/>
  <c r="K51" i="7"/>
  <c r="J51" i="7"/>
  <c r="I51" i="7"/>
  <c r="H51" i="7"/>
  <c r="G51" i="7"/>
  <c r="F51" i="7"/>
  <c r="E51" i="7"/>
  <c r="AC50" i="7"/>
  <c r="AB50" i="7"/>
  <c r="AA50" i="7"/>
  <c r="Z50" i="7"/>
  <c r="Y50" i="7"/>
  <c r="X50" i="7"/>
  <c r="AD50" i="7" s="1"/>
  <c r="P50" i="7"/>
  <c r="O50" i="7"/>
  <c r="N50" i="7"/>
  <c r="M50" i="7"/>
  <c r="L50" i="7"/>
  <c r="K50" i="7"/>
  <c r="J50" i="7"/>
  <c r="I50" i="7"/>
  <c r="H50" i="7"/>
  <c r="G50" i="7"/>
  <c r="F50" i="7"/>
  <c r="E50" i="7"/>
  <c r="AC49" i="7"/>
  <c r="AB49" i="7"/>
  <c r="AA49" i="7"/>
  <c r="Z49" i="7"/>
  <c r="Y49" i="7"/>
  <c r="X49" i="7"/>
  <c r="W49" i="7"/>
  <c r="V49" i="7"/>
  <c r="U49" i="7"/>
  <c r="T49" i="7"/>
  <c r="S49" i="7"/>
  <c r="R49" i="7"/>
  <c r="O49" i="7"/>
  <c r="G49" i="7"/>
  <c r="AC48" i="7"/>
  <c r="AC57" i="7" s="1"/>
  <c r="AB48" i="7"/>
  <c r="AA48" i="7"/>
  <c r="Z48" i="7"/>
  <c r="Y48" i="7"/>
  <c r="Y57" i="7" s="1"/>
  <c r="X48" i="7"/>
  <c r="O48" i="7"/>
  <c r="N48" i="7"/>
  <c r="K48" i="7"/>
  <c r="J48" i="7"/>
  <c r="G48" i="7"/>
  <c r="G59" i="7" s="1"/>
  <c r="F48" i="7"/>
  <c r="AC44" i="7"/>
  <c r="AB44" i="7"/>
  <c r="AA44" i="7"/>
  <c r="Z44" i="7"/>
  <c r="Y44" i="7"/>
  <c r="X44" i="7"/>
  <c r="W44" i="7"/>
  <c r="V44" i="7"/>
  <c r="U44" i="7"/>
  <c r="T44" i="7"/>
  <c r="S44" i="7"/>
  <c r="R44" i="7"/>
  <c r="AH43" i="7"/>
  <c r="AF43" i="7"/>
  <c r="AD43" i="7"/>
  <c r="Q43" i="7"/>
  <c r="AE43" i="7" s="1"/>
  <c r="AH42" i="7"/>
  <c r="AD42" i="7"/>
  <c r="Q42" i="7"/>
  <c r="AD41" i="7"/>
  <c r="AE41" i="7" s="1"/>
  <c r="AF41" i="7" s="1"/>
  <c r="Q41" i="7"/>
  <c r="AH41" i="7" s="1"/>
  <c r="AD40" i="7"/>
  <c r="E40" i="7"/>
  <c r="AD39" i="7"/>
  <c r="AD38" i="7"/>
  <c r="AE38" i="7" s="1"/>
  <c r="AF38" i="7" s="1"/>
  <c r="Q38" i="7"/>
  <c r="AH38" i="7" s="1"/>
  <c r="AE37" i="7"/>
  <c r="AF37" i="7" s="1"/>
  <c r="AD37" i="7"/>
  <c r="Q37" i="7"/>
  <c r="AH37" i="7" s="1"/>
  <c r="AD36" i="7"/>
  <c r="Q36" i="7"/>
  <c r="AE36" i="7" s="1"/>
  <c r="AF36" i="7" s="1"/>
  <c r="AD35" i="7"/>
  <c r="Q35" i="7"/>
  <c r="AE34" i="7"/>
  <c r="AF34" i="7" s="1"/>
  <c r="AD34" i="7"/>
  <c r="Q34" i="7"/>
  <c r="AH34" i="7" s="1"/>
  <c r="AF33" i="7"/>
  <c r="AE33" i="7"/>
  <c r="AD33" i="7"/>
  <c r="Q33" i="7"/>
  <c r="AH33" i="7" s="1"/>
  <c r="AD32" i="7"/>
  <c r="H32" i="7"/>
  <c r="AE31" i="7"/>
  <c r="AF31" i="7" s="1"/>
  <c r="AD31" i="7"/>
  <c r="Q31" i="7"/>
  <c r="AH31" i="7" s="1"/>
  <c r="AF30" i="7"/>
  <c r="AE30" i="7"/>
  <c r="AD30" i="7"/>
  <c r="Q30" i="7"/>
  <c r="AH30" i="7" s="1"/>
  <c r="AH29" i="7"/>
  <c r="AF29" i="7"/>
  <c r="AD29" i="7"/>
  <c r="Q29" i="7"/>
  <c r="AE29" i="7" s="1"/>
  <c r="AH28" i="7"/>
  <c r="AD28" i="7"/>
  <c r="Q28" i="7"/>
  <c r="AD27" i="7"/>
  <c r="AE27" i="7" s="1"/>
  <c r="AF27" i="7" s="1"/>
  <c r="Q27" i="7"/>
  <c r="AH27" i="7" s="1"/>
  <c r="AD26" i="7"/>
  <c r="AH25" i="7"/>
  <c r="AF25" i="7"/>
  <c r="AD25" i="7"/>
  <c r="Q25" i="7"/>
  <c r="AE25" i="7" s="1"/>
  <c r="AD24" i="7"/>
  <c r="Q24" i="7"/>
  <c r="AH24" i="7" s="1"/>
  <c r="AD23" i="7"/>
  <c r="AE23" i="7" s="1"/>
  <c r="AF23" i="7" s="1"/>
  <c r="Q23" i="7"/>
  <c r="AH23" i="7" s="1"/>
  <c r="AD22" i="7"/>
  <c r="P22" i="7"/>
  <c r="O22" i="7"/>
  <c r="O22" i="5" s="1"/>
  <c r="N22" i="7"/>
  <c r="M22" i="7"/>
  <c r="L22" i="7"/>
  <c r="K22" i="7"/>
  <c r="K22" i="5" s="1"/>
  <c r="J22" i="7"/>
  <c r="I22" i="7"/>
  <c r="H22" i="7"/>
  <c r="G22" i="7"/>
  <c r="G22" i="5" s="1"/>
  <c r="F22" i="7"/>
  <c r="E22" i="7"/>
  <c r="AD21" i="7"/>
  <c r="AD20" i="7"/>
  <c r="Q20" i="7"/>
  <c r="Z17" i="7"/>
  <c r="R17" i="7"/>
  <c r="R60" i="7" s="1"/>
  <c r="O17" i="7"/>
  <c r="J17" i="7"/>
  <c r="G17" i="7"/>
  <c r="AH16" i="7"/>
  <c r="AD16" i="7"/>
  <c r="AC15" i="7"/>
  <c r="Z15" i="7"/>
  <c r="Y15" i="7"/>
  <c r="V15" i="7"/>
  <c r="V45" i="7" s="1"/>
  <c r="V46" i="7" s="1"/>
  <c r="U15" i="7"/>
  <c r="R15" i="7"/>
  <c r="AD14" i="7"/>
  <c r="Q14" i="7"/>
  <c r="AE13" i="7"/>
  <c r="AF13" i="7" s="1"/>
  <c r="AD13" i="7"/>
  <c r="Q13" i="7"/>
  <c r="AH13" i="7" s="1"/>
  <c r="AC12" i="7"/>
  <c r="AB12" i="7"/>
  <c r="AB15" i="7" s="1"/>
  <c r="AA12" i="7"/>
  <c r="AA15" i="7" s="1"/>
  <c r="AA58" i="7" s="1"/>
  <c r="Z12" i="7"/>
  <c r="Y12" i="7"/>
  <c r="X12" i="7"/>
  <c r="X15" i="7" s="1"/>
  <c r="W12" i="7"/>
  <c r="W15" i="7" s="1"/>
  <c r="W58" i="7" s="1"/>
  <c r="V12" i="7"/>
  <c r="U12" i="7"/>
  <c r="T12" i="7"/>
  <c r="T15" i="7" s="1"/>
  <c r="S12" i="7"/>
  <c r="S15" i="7" s="1"/>
  <c r="S58" i="7" s="1"/>
  <c r="R12" i="7"/>
  <c r="AD12" i="7" s="1"/>
  <c r="AH11" i="7"/>
  <c r="AE11" i="7"/>
  <c r="AD11" i="7"/>
  <c r="Q11" i="7"/>
  <c r="AD10" i="7"/>
  <c r="Q10" i="7"/>
  <c r="AH9" i="7"/>
  <c r="AD9" i="7"/>
  <c r="Q9" i="7"/>
  <c r="D4" i="7"/>
  <c r="P2" i="7"/>
  <c r="O2" i="7"/>
  <c r="N2" i="7"/>
  <c r="M2" i="7"/>
  <c r="L2" i="7"/>
  <c r="K2" i="7"/>
  <c r="J2" i="7"/>
  <c r="I2" i="7"/>
  <c r="H2" i="7"/>
  <c r="G2" i="7"/>
  <c r="F2" i="7"/>
  <c r="E2" i="7"/>
  <c r="P1" i="7"/>
  <c r="O1" i="7"/>
  <c r="N1" i="7"/>
  <c r="M1" i="7"/>
  <c r="L1" i="7"/>
  <c r="K1" i="7"/>
  <c r="J1" i="7"/>
  <c r="I1" i="7"/>
  <c r="H1" i="7"/>
  <c r="G1" i="7"/>
  <c r="F1" i="7"/>
  <c r="E1" i="7"/>
  <c r="Q109" i="6"/>
  <c r="Q108" i="6"/>
  <c r="Q107" i="6"/>
  <c r="AE101" i="6"/>
  <c r="AF101" i="6" s="1"/>
  <c r="AD101" i="6"/>
  <c r="Q101" i="6"/>
  <c r="AH101" i="6" s="1"/>
  <c r="AH100" i="6"/>
  <c r="AH99" i="6"/>
  <c r="AC97" i="6"/>
  <c r="AB97" i="6"/>
  <c r="AA97" i="6"/>
  <c r="Z97" i="6"/>
  <c r="Y97" i="6"/>
  <c r="X97" i="6"/>
  <c r="W97" i="6"/>
  <c r="V97" i="6"/>
  <c r="U97" i="6"/>
  <c r="T97" i="6"/>
  <c r="S97" i="6"/>
  <c r="R97" i="6"/>
  <c r="P97" i="6"/>
  <c r="O97" i="6"/>
  <c r="N97" i="6"/>
  <c r="M97" i="6"/>
  <c r="L97" i="6"/>
  <c r="K97" i="6"/>
  <c r="J97" i="6"/>
  <c r="I97" i="6"/>
  <c r="H97" i="6"/>
  <c r="G97" i="6"/>
  <c r="F97" i="6"/>
  <c r="E97" i="6"/>
  <c r="AH96" i="6"/>
  <c r="AE96" i="6"/>
  <c r="AF96" i="6" s="1"/>
  <c r="AD96" i="6"/>
  <c r="AH95" i="6"/>
  <c r="AE95" i="6"/>
  <c r="AF95" i="6" s="1"/>
  <c r="AD95" i="6"/>
  <c r="AE94" i="6"/>
  <c r="AF94" i="6" s="1"/>
  <c r="AD94" i="6"/>
  <c r="Q94" i="6"/>
  <c r="AH94" i="6" s="1"/>
  <c r="AD93" i="6"/>
  <c r="Q93" i="6"/>
  <c r="AE93" i="6" s="1"/>
  <c r="AF93" i="6" s="1"/>
  <c r="AD92" i="6"/>
  <c r="Q92" i="6"/>
  <c r="AE91" i="6"/>
  <c r="AF91" i="6" s="1"/>
  <c r="AD91" i="6"/>
  <c r="Q91" i="6"/>
  <c r="AH91" i="6" s="1"/>
  <c r="AF90" i="6"/>
  <c r="AE90" i="6"/>
  <c r="AD90" i="6"/>
  <c r="Q90" i="6"/>
  <c r="AH90" i="6" s="1"/>
  <c r="AH89" i="6"/>
  <c r="AF89" i="6"/>
  <c r="AD89" i="6"/>
  <c r="Q89" i="6"/>
  <c r="AE89" i="6" s="1"/>
  <c r="AH88" i="6"/>
  <c r="AD88" i="6"/>
  <c r="AD97" i="6" s="1"/>
  <c r="Q88" i="6"/>
  <c r="AH87" i="6"/>
  <c r="AC86" i="6"/>
  <c r="AB86" i="6"/>
  <c r="AA86" i="6"/>
  <c r="Z86" i="6"/>
  <c r="Y86" i="6"/>
  <c r="X86" i="6"/>
  <c r="W86" i="6"/>
  <c r="V86" i="6"/>
  <c r="U86" i="6"/>
  <c r="T86" i="6"/>
  <c r="S86" i="6"/>
  <c r="R86" i="6"/>
  <c r="P86" i="6"/>
  <c r="O86" i="6"/>
  <c r="N86" i="6"/>
  <c r="M86" i="6"/>
  <c r="L86" i="6"/>
  <c r="K86" i="6"/>
  <c r="J86" i="6"/>
  <c r="I86" i="6"/>
  <c r="H86" i="6"/>
  <c r="G86" i="6"/>
  <c r="F86" i="6"/>
  <c r="E86" i="6"/>
  <c r="AD85" i="6"/>
  <c r="Q85" i="6"/>
  <c r="AE85" i="6" s="1"/>
  <c r="AF85" i="6" s="1"/>
  <c r="AD84" i="6"/>
  <c r="Q84" i="6"/>
  <c r="AE83" i="6"/>
  <c r="AF83" i="6" s="1"/>
  <c r="AD83" i="6"/>
  <c r="Q83" i="6"/>
  <c r="AH83" i="6" s="1"/>
  <c r="AF82" i="6"/>
  <c r="AE82" i="6"/>
  <c r="AD82" i="6"/>
  <c r="Q82" i="6"/>
  <c r="AH82" i="6" s="1"/>
  <c r="AH81" i="6"/>
  <c r="AF81" i="6"/>
  <c r="AD81" i="6"/>
  <c r="Q81" i="6"/>
  <c r="AE81" i="6" s="1"/>
  <c r="AH80" i="6"/>
  <c r="AD80" i="6"/>
  <c r="Q80" i="6"/>
  <c r="AD79" i="6"/>
  <c r="AE79" i="6" s="1"/>
  <c r="AF79" i="6" s="1"/>
  <c r="Q79" i="6"/>
  <c r="AH79" i="6" s="1"/>
  <c r="AE78" i="6"/>
  <c r="AF78" i="6" s="1"/>
  <c r="AD78" i="6"/>
  <c r="AD86" i="6" s="1"/>
  <c r="Q78" i="6"/>
  <c r="AH77" i="6"/>
  <c r="AD76" i="6"/>
  <c r="AC76" i="6"/>
  <c r="AC98" i="6" s="1"/>
  <c r="AC17" i="6" s="1"/>
  <c r="AB76" i="6"/>
  <c r="AA76" i="6"/>
  <c r="Z76" i="6"/>
  <c r="Z98" i="6" s="1"/>
  <c r="Z17" i="6" s="1"/>
  <c r="Z45" i="6" s="1"/>
  <c r="Y76" i="6"/>
  <c r="Y98" i="6" s="1"/>
  <c r="Y17" i="6" s="1"/>
  <c r="X76" i="6"/>
  <c r="W76" i="6"/>
  <c r="V76" i="6"/>
  <c r="V98" i="6" s="1"/>
  <c r="V17" i="6" s="1"/>
  <c r="U76" i="6"/>
  <c r="U98" i="6" s="1"/>
  <c r="U17" i="6" s="1"/>
  <c r="U60" i="6" s="1"/>
  <c r="T76" i="6"/>
  <c r="S76" i="6"/>
  <c r="R76" i="6"/>
  <c r="R98" i="6" s="1"/>
  <c r="R17" i="6" s="1"/>
  <c r="P76" i="6"/>
  <c r="O76" i="6"/>
  <c r="O98" i="6" s="1"/>
  <c r="N76" i="6"/>
  <c r="M76" i="6"/>
  <c r="M98" i="6" s="1"/>
  <c r="M17" i="6" s="1"/>
  <c r="L76" i="6"/>
  <c r="K76" i="6"/>
  <c r="K98" i="6" s="1"/>
  <c r="J76" i="6"/>
  <c r="J98" i="6" s="1"/>
  <c r="J17" i="6" s="1"/>
  <c r="I76" i="6"/>
  <c r="I98" i="6" s="1"/>
  <c r="I17" i="6" s="1"/>
  <c r="H76" i="6"/>
  <c r="G76" i="6"/>
  <c r="G98" i="6" s="1"/>
  <c r="F76" i="6"/>
  <c r="E76" i="6"/>
  <c r="E98" i="6" s="1"/>
  <c r="E17" i="6" s="1"/>
  <c r="AD75" i="6"/>
  <c r="AE75" i="6" s="1"/>
  <c r="AF75" i="6" s="1"/>
  <c r="Q75" i="6"/>
  <c r="AH75" i="6" s="1"/>
  <c r="AF74" i="6"/>
  <c r="AE74" i="6"/>
  <c r="AD74" i="6"/>
  <c r="Q74" i="6"/>
  <c r="AH74" i="6" s="1"/>
  <c r="AD73" i="6"/>
  <c r="Q73" i="6"/>
  <c r="AH72" i="6"/>
  <c r="AD72" i="6"/>
  <c r="Q72" i="6"/>
  <c r="AE72" i="6" s="1"/>
  <c r="AF72" i="6" s="1"/>
  <c r="AE71" i="6"/>
  <c r="AF71" i="6" s="1"/>
  <c r="AD71" i="6"/>
  <c r="Q71" i="6"/>
  <c r="AH71" i="6" s="1"/>
  <c r="AH70" i="6"/>
  <c r="AC69" i="6"/>
  <c r="AB69" i="6"/>
  <c r="AA69" i="6"/>
  <c r="Z69" i="6"/>
  <c r="Y69" i="6"/>
  <c r="X69" i="6"/>
  <c r="W69" i="6"/>
  <c r="V69" i="6"/>
  <c r="U69" i="6"/>
  <c r="T69" i="6"/>
  <c r="S69" i="6"/>
  <c r="R69" i="6"/>
  <c r="P69" i="6"/>
  <c r="O69" i="6"/>
  <c r="N69" i="6"/>
  <c r="M69" i="6"/>
  <c r="L69" i="6"/>
  <c r="K69" i="6"/>
  <c r="J69" i="6"/>
  <c r="I69" i="6"/>
  <c r="H69" i="6"/>
  <c r="G69" i="6"/>
  <c r="F69" i="6"/>
  <c r="E69" i="6"/>
  <c r="AD68" i="6"/>
  <c r="Q68" i="6"/>
  <c r="AH68" i="6" s="1"/>
  <c r="AD67" i="6"/>
  <c r="AE67" i="6" s="1"/>
  <c r="AF67" i="6" s="1"/>
  <c r="Q67" i="6"/>
  <c r="AH67" i="6" s="1"/>
  <c r="AF66" i="6"/>
  <c r="AE66" i="6"/>
  <c r="AD66" i="6"/>
  <c r="Q66" i="6"/>
  <c r="AH66" i="6" s="1"/>
  <c r="AD65" i="6"/>
  <c r="Q65" i="6"/>
  <c r="AH64" i="6"/>
  <c r="AD64" i="6"/>
  <c r="Q64" i="6"/>
  <c r="AE64" i="6" s="1"/>
  <c r="AF64" i="6" s="1"/>
  <c r="AH63" i="6"/>
  <c r="AH62" i="6"/>
  <c r="AH61" i="6"/>
  <c r="V60" i="6"/>
  <c r="AA59" i="6"/>
  <c r="Z59" i="6"/>
  <c r="S59" i="6"/>
  <c r="R59" i="6"/>
  <c r="P58" i="6"/>
  <c r="H58" i="6"/>
  <c r="W57" i="6"/>
  <c r="V57" i="6"/>
  <c r="U57" i="6"/>
  <c r="T57" i="6"/>
  <c r="S57" i="6"/>
  <c r="R57" i="6"/>
  <c r="U56" i="6"/>
  <c r="R56" i="6"/>
  <c r="W55" i="6"/>
  <c r="W56" i="6" s="1"/>
  <c r="V55" i="6"/>
  <c r="V56" i="6" s="1"/>
  <c r="U55" i="6"/>
  <c r="T55" i="6"/>
  <c r="T56" i="6" s="1"/>
  <c r="S55" i="6"/>
  <c r="S56" i="6" s="1"/>
  <c r="R55" i="6"/>
  <c r="AC54" i="6"/>
  <c r="AB54" i="6"/>
  <c r="AA54" i="6"/>
  <c r="Z54" i="6"/>
  <c r="Y54" i="6"/>
  <c r="X54" i="6"/>
  <c r="P54" i="6"/>
  <c r="O54" i="6"/>
  <c r="N54" i="6"/>
  <c r="M54" i="6"/>
  <c r="L54" i="6"/>
  <c r="K54" i="6"/>
  <c r="J54" i="6"/>
  <c r="I54" i="6"/>
  <c r="H54" i="6"/>
  <c r="G54" i="6"/>
  <c r="F54" i="6"/>
  <c r="E54" i="6"/>
  <c r="Q54" i="6" s="1"/>
  <c r="AC53" i="6"/>
  <c r="AB53" i="6"/>
  <c r="AB55" i="6" s="1"/>
  <c r="AA53" i="6"/>
  <c r="AA55" i="6" s="1"/>
  <c r="AA56" i="6" s="1"/>
  <c r="Z53" i="6"/>
  <c r="AD53" i="6" s="1"/>
  <c r="Y53" i="6"/>
  <c r="X53" i="6"/>
  <c r="X55" i="6" s="1"/>
  <c r="P53" i="6"/>
  <c r="O53" i="6"/>
  <c r="N53" i="6"/>
  <c r="M53" i="6"/>
  <c r="L53" i="6"/>
  <c r="K53" i="6"/>
  <c r="J53" i="6"/>
  <c r="I53" i="6"/>
  <c r="H53" i="6"/>
  <c r="G53" i="6"/>
  <c r="F53" i="6"/>
  <c r="E53" i="6"/>
  <c r="Q53" i="6" s="1"/>
  <c r="AC52" i="6"/>
  <c r="AC55" i="6" s="1"/>
  <c r="AC56" i="6" s="1"/>
  <c r="AB52" i="6"/>
  <c r="AA52" i="6"/>
  <c r="Z52" i="6"/>
  <c r="Z57" i="6" s="1"/>
  <c r="Y52" i="6"/>
  <c r="X52" i="6"/>
  <c r="P52" i="6"/>
  <c r="P55" i="6" s="1"/>
  <c r="L52" i="6"/>
  <c r="H52" i="6"/>
  <c r="H55" i="6" s="1"/>
  <c r="AC51" i="6"/>
  <c r="AB51" i="6"/>
  <c r="AA51" i="6"/>
  <c r="Z51" i="6"/>
  <c r="Y51" i="6"/>
  <c r="X51" i="6"/>
  <c r="AD51" i="6" s="1"/>
  <c r="P51" i="6"/>
  <c r="O51" i="6"/>
  <c r="N51" i="6"/>
  <c r="M51" i="6"/>
  <c r="L51" i="6"/>
  <c r="K51" i="6"/>
  <c r="J51" i="6"/>
  <c r="I51" i="6"/>
  <c r="H51" i="6"/>
  <c r="G51" i="6"/>
  <c r="F51" i="6"/>
  <c r="E51" i="6"/>
  <c r="AC50" i="6"/>
  <c r="AB50" i="6"/>
  <c r="AA50" i="6"/>
  <c r="Z50" i="6"/>
  <c r="Y50" i="6"/>
  <c r="X50" i="6"/>
  <c r="P50" i="6"/>
  <c r="O50" i="6"/>
  <c r="N50" i="6"/>
  <c r="M50" i="6"/>
  <c r="L50" i="6"/>
  <c r="K50" i="6"/>
  <c r="J50" i="6"/>
  <c r="I50" i="6"/>
  <c r="H50" i="6"/>
  <c r="G50" i="6"/>
  <c r="F50" i="6"/>
  <c r="E50" i="6"/>
  <c r="Q50" i="6" s="1"/>
  <c r="AC49" i="6"/>
  <c r="AB49" i="6"/>
  <c r="AA49" i="6"/>
  <c r="Z49" i="6"/>
  <c r="Y49" i="6"/>
  <c r="X49" i="6"/>
  <c r="W49" i="6"/>
  <c r="V49" i="6"/>
  <c r="U49" i="6"/>
  <c r="T49" i="6"/>
  <c r="S49" i="6"/>
  <c r="R49" i="6"/>
  <c r="AD49" i="6" s="1"/>
  <c r="N49" i="6"/>
  <c r="F49" i="6"/>
  <c r="AC48" i="6"/>
  <c r="AB48" i="6"/>
  <c r="AB57" i="6" s="1"/>
  <c r="AA48" i="6"/>
  <c r="Z48" i="6"/>
  <c r="Y48" i="6"/>
  <c r="X48" i="6"/>
  <c r="N48" i="6"/>
  <c r="J48" i="6"/>
  <c r="F48" i="6"/>
  <c r="AC44" i="6"/>
  <c r="AB44" i="6"/>
  <c r="AA44" i="6"/>
  <c r="Z44" i="6"/>
  <c r="Y44" i="6"/>
  <c r="X44" i="6"/>
  <c r="W44" i="6"/>
  <c r="V44" i="6"/>
  <c r="U44" i="6"/>
  <c r="T44" i="6"/>
  <c r="S44" i="6"/>
  <c r="R44" i="6"/>
  <c r="AF43" i="6"/>
  <c r="AE43" i="6"/>
  <c r="AD43" i="6"/>
  <c r="Q43" i="6"/>
  <c r="AH43" i="6" s="1"/>
  <c r="AH42" i="6"/>
  <c r="AF42" i="6"/>
  <c r="AD42" i="6"/>
  <c r="Q42" i="6"/>
  <c r="AE42" i="6" s="1"/>
  <c r="AH41" i="6"/>
  <c r="AD41" i="6"/>
  <c r="Q41" i="6"/>
  <c r="AD40" i="6"/>
  <c r="P40" i="6"/>
  <c r="O40" i="6"/>
  <c r="N40" i="6"/>
  <c r="M40" i="6"/>
  <c r="L40" i="6"/>
  <c r="K40" i="6"/>
  <c r="J40" i="6"/>
  <c r="I40" i="6"/>
  <c r="H40" i="6"/>
  <c r="G40" i="6"/>
  <c r="F40" i="6"/>
  <c r="E40" i="6"/>
  <c r="Q40" i="6" s="1"/>
  <c r="AD39" i="6"/>
  <c r="AD38" i="6"/>
  <c r="Q38" i="6"/>
  <c r="AE38" i="6" s="1"/>
  <c r="AF38" i="6" s="1"/>
  <c r="AD37" i="6"/>
  <c r="Q37" i="6"/>
  <c r="AE36" i="6"/>
  <c r="AF36" i="6" s="1"/>
  <c r="AD36" i="6"/>
  <c r="Q36" i="6"/>
  <c r="AH36" i="6" s="1"/>
  <c r="AF35" i="6"/>
  <c r="AE35" i="6"/>
  <c r="AD35" i="6"/>
  <c r="Q35" i="6"/>
  <c r="AH35" i="6" s="1"/>
  <c r="AH34" i="6"/>
  <c r="AF34" i="6"/>
  <c r="AD34" i="6"/>
  <c r="Q34" i="6"/>
  <c r="AE34" i="6" s="1"/>
  <c r="AH33" i="6"/>
  <c r="AD33" i="6"/>
  <c r="Q33" i="6"/>
  <c r="AD32" i="6"/>
  <c r="AE32" i="6" s="1"/>
  <c r="AF32" i="6" s="1"/>
  <c r="Q32" i="6"/>
  <c r="AH32" i="6" s="1"/>
  <c r="AE31" i="6"/>
  <c r="AF31" i="6" s="1"/>
  <c r="AD31" i="6"/>
  <c r="Q31" i="6"/>
  <c r="AH31" i="6" s="1"/>
  <c r="AD30" i="6"/>
  <c r="Q30" i="6"/>
  <c r="AE30" i="6" s="1"/>
  <c r="AF30" i="6" s="1"/>
  <c r="AD29" i="6"/>
  <c r="Q29" i="6"/>
  <c r="AE28" i="6"/>
  <c r="AF28" i="6" s="1"/>
  <c r="AD28" i="6"/>
  <c r="Q28" i="6"/>
  <c r="AH28" i="6" s="1"/>
  <c r="AF27" i="6"/>
  <c r="AE27" i="6"/>
  <c r="AD27" i="6"/>
  <c r="Q27" i="6"/>
  <c r="AH27" i="6" s="1"/>
  <c r="AH26" i="6"/>
  <c r="AF26" i="6"/>
  <c r="AD26" i="6"/>
  <c r="Q26" i="6"/>
  <c r="AE26" i="6" s="1"/>
  <c r="AH25" i="6"/>
  <c r="AD25" i="6"/>
  <c r="Q25" i="6"/>
  <c r="AD24" i="6"/>
  <c r="Q24" i="6"/>
  <c r="AH24" i="6" s="1"/>
  <c r="AE23" i="6"/>
  <c r="AF23" i="6" s="1"/>
  <c r="AD23" i="6"/>
  <c r="Q23" i="6"/>
  <c r="AH23" i="6" s="1"/>
  <c r="AD22" i="6"/>
  <c r="P22" i="6"/>
  <c r="O22" i="6"/>
  <c r="N22" i="6"/>
  <c r="M22" i="6"/>
  <c r="L22" i="6"/>
  <c r="K22" i="6"/>
  <c r="J22" i="6"/>
  <c r="I22" i="6"/>
  <c r="H22" i="6"/>
  <c r="G22" i="6"/>
  <c r="F22" i="6"/>
  <c r="E22" i="6"/>
  <c r="AD21" i="6"/>
  <c r="Q21" i="6"/>
  <c r="AE20" i="6"/>
  <c r="AF20" i="6" s="1"/>
  <c r="AD20" i="6"/>
  <c r="Q20" i="6"/>
  <c r="O17" i="6"/>
  <c r="K17" i="6"/>
  <c r="G17" i="6"/>
  <c r="AH16" i="6"/>
  <c r="AC15" i="6"/>
  <c r="AC45" i="6" s="1"/>
  <c r="Z15" i="6"/>
  <c r="Z58" i="6" s="1"/>
  <c r="Y15" i="6"/>
  <c r="V15" i="6"/>
  <c r="U15" i="6"/>
  <c r="U45" i="6" s="1"/>
  <c r="R15" i="6"/>
  <c r="R58" i="6" s="1"/>
  <c r="P15" i="6"/>
  <c r="O15" i="6"/>
  <c r="N15" i="6"/>
  <c r="N59" i="6" s="1"/>
  <c r="M15" i="6"/>
  <c r="L15" i="6"/>
  <c r="K15" i="6"/>
  <c r="J15" i="6"/>
  <c r="I15" i="6"/>
  <c r="H15" i="6"/>
  <c r="G15" i="6"/>
  <c r="F15" i="6"/>
  <c r="F59" i="6" s="1"/>
  <c r="E15" i="6"/>
  <c r="AD14" i="6"/>
  <c r="Q14" i="6"/>
  <c r="AE13" i="6"/>
  <c r="AF13" i="6" s="1"/>
  <c r="AD13" i="6"/>
  <c r="Q13" i="6"/>
  <c r="AH13" i="6" s="1"/>
  <c r="AC12" i="6"/>
  <c r="AB12" i="6"/>
  <c r="AB15" i="6" s="1"/>
  <c r="AA12" i="6"/>
  <c r="AA15" i="6" s="1"/>
  <c r="AA58" i="6" s="1"/>
  <c r="Z12" i="6"/>
  <c r="Y12" i="6"/>
  <c r="X12" i="6"/>
  <c r="X15" i="6" s="1"/>
  <c r="X58" i="6" s="1"/>
  <c r="W12" i="6"/>
  <c r="W15" i="6" s="1"/>
  <c r="W59" i="6" s="1"/>
  <c r="V12" i="6"/>
  <c r="U12" i="6"/>
  <c r="T12" i="6"/>
  <c r="T15" i="6" s="1"/>
  <c r="S12" i="6"/>
  <c r="S15" i="6" s="1"/>
  <c r="S58" i="6" s="1"/>
  <c r="R12" i="6"/>
  <c r="AH11" i="6"/>
  <c r="AE11" i="6"/>
  <c r="AD11" i="6"/>
  <c r="Q11" i="6"/>
  <c r="AF10" i="6"/>
  <c r="AD10" i="6"/>
  <c r="Q10" i="6"/>
  <c r="AE10" i="6" s="1"/>
  <c r="AD9" i="6"/>
  <c r="Q9" i="6"/>
  <c r="AH9" i="6" s="1"/>
  <c r="D4" i="6"/>
  <c r="K153" i="5"/>
  <c r="P152" i="5"/>
  <c r="P153" i="5" s="1"/>
  <c r="O152" i="5"/>
  <c r="N152" i="5"/>
  <c r="M152" i="5"/>
  <c r="L152" i="5"/>
  <c r="L153" i="5" s="1"/>
  <c r="K152" i="5"/>
  <c r="J152" i="5"/>
  <c r="I152" i="5"/>
  <c r="H152" i="5"/>
  <c r="H153" i="5" s="1"/>
  <c r="G152" i="5"/>
  <c r="F152" i="5"/>
  <c r="E152" i="5"/>
  <c r="P151" i="5"/>
  <c r="O151" i="5"/>
  <c r="N151" i="5"/>
  <c r="M151" i="5"/>
  <c r="M153" i="5" s="1"/>
  <c r="L151" i="5"/>
  <c r="K151" i="5"/>
  <c r="J151" i="5"/>
  <c r="I151" i="5"/>
  <c r="I153" i="5" s="1"/>
  <c r="H151" i="5"/>
  <c r="G151" i="5"/>
  <c r="F151" i="5"/>
  <c r="E151" i="5"/>
  <c r="E153" i="5" s="1"/>
  <c r="P150" i="5"/>
  <c r="O150" i="5"/>
  <c r="O153" i="5" s="1"/>
  <c r="N150" i="5"/>
  <c r="N153" i="5" s="1"/>
  <c r="M150" i="5"/>
  <c r="L150" i="5"/>
  <c r="K150" i="5"/>
  <c r="J150" i="5"/>
  <c r="J153" i="5" s="1"/>
  <c r="I150" i="5"/>
  <c r="H150" i="5"/>
  <c r="G150" i="5"/>
  <c r="G153" i="5" s="1"/>
  <c r="F150" i="5"/>
  <c r="F153" i="5" s="1"/>
  <c r="E150" i="5"/>
  <c r="Q150" i="5" s="1"/>
  <c r="P146" i="5"/>
  <c r="O146" i="5"/>
  <c r="N146" i="5"/>
  <c r="M146" i="5"/>
  <c r="L146" i="5"/>
  <c r="K146" i="5"/>
  <c r="J146" i="5"/>
  <c r="I146" i="5"/>
  <c r="H146" i="5"/>
  <c r="G146" i="5"/>
  <c r="F146" i="5"/>
  <c r="E146" i="5"/>
  <c r="Q146" i="5" s="1"/>
  <c r="Q145" i="5" s="1"/>
  <c r="Q144" i="5"/>
  <c r="P142" i="5"/>
  <c r="O142" i="5"/>
  <c r="O10" i="5" s="1"/>
  <c r="N142" i="5"/>
  <c r="N10" i="5" s="1"/>
  <c r="M142" i="5"/>
  <c r="L142" i="5"/>
  <c r="K142" i="5"/>
  <c r="K10" i="5" s="1"/>
  <c r="J142" i="5"/>
  <c r="J10" i="5" s="1"/>
  <c r="I142" i="5"/>
  <c r="H142" i="5"/>
  <c r="G142" i="5"/>
  <c r="G10" i="5" s="1"/>
  <c r="F142" i="5"/>
  <c r="F10" i="5" s="1"/>
  <c r="E142" i="5"/>
  <c r="Q140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Q138" i="5" s="1"/>
  <c r="Q137" i="5" s="1"/>
  <c r="Q136" i="5"/>
  <c r="D130" i="5"/>
  <c r="Z129" i="5"/>
  <c r="V129" i="5"/>
  <c r="R129" i="5"/>
  <c r="D129" i="5"/>
  <c r="AA128" i="5"/>
  <c r="W128" i="5"/>
  <c r="S128" i="5"/>
  <c r="D128" i="5"/>
  <c r="AB127" i="5"/>
  <c r="X127" i="5"/>
  <c r="T127" i="5"/>
  <c r="P127" i="5"/>
  <c r="L127" i="5"/>
  <c r="H127" i="5"/>
  <c r="D127" i="5"/>
  <c r="AC126" i="5"/>
  <c r="Y126" i="5"/>
  <c r="U126" i="5"/>
  <c r="M126" i="5"/>
  <c r="I126" i="5"/>
  <c r="D126" i="5"/>
  <c r="Z125" i="5"/>
  <c r="V125" i="5"/>
  <c r="R125" i="5"/>
  <c r="D125" i="5"/>
  <c r="AA124" i="5"/>
  <c r="W124" i="5"/>
  <c r="S124" i="5"/>
  <c r="D124" i="5"/>
  <c r="AB123" i="5"/>
  <c r="X123" i="5"/>
  <c r="T123" i="5"/>
  <c r="P123" i="5"/>
  <c r="L123" i="5"/>
  <c r="H123" i="5"/>
  <c r="D123" i="5"/>
  <c r="AC122" i="5"/>
  <c r="Y122" i="5"/>
  <c r="U122" i="5"/>
  <c r="M122" i="5"/>
  <c r="I122" i="5"/>
  <c r="E122" i="5"/>
  <c r="D122" i="5"/>
  <c r="Z121" i="5"/>
  <c r="V121" i="5"/>
  <c r="R121" i="5"/>
  <c r="D121" i="5"/>
  <c r="AA120" i="5"/>
  <c r="W120" i="5"/>
  <c r="S120" i="5"/>
  <c r="D120" i="5"/>
  <c r="AB119" i="5"/>
  <c r="X119" i="5"/>
  <c r="T119" i="5"/>
  <c r="P119" i="5"/>
  <c r="L119" i="5"/>
  <c r="H119" i="5"/>
  <c r="D119" i="5"/>
  <c r="AC118" i="5"/>
  <c r="Y118" i="5"/>
  <c r="U118" i="5"/>
  <c r="M118" i="5"/>
  <c r="I118" i="5"/>
  <c r="E118" i="5"/>
  <c r="D118" i="5"/>
  <c r="Z117" i="5"/>
  <c r="V117" i="5"/>
  <c r="R117" i="5"/>
  <c r="D117" i="5"/>
  <c r="AA116" i="5"/>
  <c r="W116" i="5"/>
  <c r="S116" i="5"/>
  <c r="D116" i="5"/>
  <c r="AB115" i="5"/>
  <c r="X115" i="5"/>
  <c r="T115" i="5"/>
  <c r="P115" i="5"/>
  <c r="L115" i="5"/>
  <c r="H115" i="5"/>
  <c r="D115" i="5"/>
  <c r="AC114" i="5"/>
  <c r="Y114" i="5"/>
  <c r="U114" i="5"/>
  <c r="M114" i="5"/>
  <c r="I114" i="5"/>
  <c r="E114" i="5"/>
  <c r="D114" i="5"/>
  <c r="Z113" i="5"/>
  <c r="V113" i="5"/>
  <c r="R113" i="5"/>
  <c r="D113" i="5"/>
  <c r="AA112" i="5"/>
  <c r="W112" i="5"/>
  <c r="S112" i="5"/>
  <c r="D112" i="5"/>
  <c r="AB111" i="5"/>
  <c r="X111" i="5"/>
  <c r="T111" i="5"/>
  <c r="P111" i="5"/>
  <c r="L111" i="5"/>
  <c r="H111" i="5"/>
  <c r="D111" i="5"/>
  <c r="AC110" i="5"/>
  <c r="Y110" i="5"/>
  <c r="U110" i="5"/>
  <c r="M110" i="5"/>
  <c r="I110" i="5"/>
  <c r="E110" i="5"/>
  <c r="D110" i="5"/>
  <c r="Z109" i="5"/>
  <c r="V109" i="5"/>
  <c r="R109" i="5"/>
  <c r="D109" i="5"/>
  <c r="AA108" i="5"/>
  <c r="W108" i="5"/>
  <c r="S108" i="5"/>
  <c r="D108" i="5"/>
  <c r="AB107" i="5"/>
  <c r="X107" i="5"/>
  <c r="T107" i="5"/>
  <c r="D107" i="5"/>
  <c r="AC106" i="5"/>
  <c r="Y106" i="5"/>
  <c r="U106" i="5"/>
  <c r="D106" i="5"/>
  <c r="AH105" i="5"/>
  <c r="D105" i="5"/>
  <c r="AH104" i="5"/>
  <c r="AH102" i="5"/>
  <c r="AC101" i="5"/>
  <c r="AB101" i="5"/>
  <c r="AA101" i="5"/>
  <c r="Z101" i="5"/>
  <c r="Y101" i="5"/>
  <c r="X101" i="5"/>
  <c r="W101" i="5"/>
  <c r="V101" i="5"/>
  <c r="U101" i="5"/>
  <c r="T101" i="5"/>
  <c r="S101" i="5"/>
  <c r="R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AH100" i="5"/>
  <c r="AH96" i="5"/>
  <c r="AC96" i="5"/>
  <c r="AB96" i="5"/>
  <c r="AA96" i="5"/>
  <c r="Z96" i="5"/>
  <c r="Y96" i="5"/>
  <c r="X96" i="5"/>
  <c r="W96" i="5"/>
  <c r="V96" i="5"/>
  <c r="U96" i="5"/>
  <c r="T96" i="5"/>
  <c r="S96" i="5"/>
  <c r="R96" i="5"/>
  <c r="AD96" i="5" s="1"/>
  <c r="AE96" i="5" s="1"/>
  <c r="AF96" i="5" s="1"/>
  <c r="P96" i="5"/>
  <c r="O96" i="5"/>
  <c r="N96" i="5"/>
  <c r="M96" i="5"/>
  <c r="L96" i="5"/>
  <c r="K96" i="5"/>
  <c r="J96" i="5"/>
  <c r="I96" i="5"/>
  <c r="H96" i="5"/>
  <c r="G96" i="5"/>
  <c r="F96" i="5"/>
  <c r="E96" i="5"/>
  <c r="AH95" i="5"/>
  <c r="AC95" i="5"/>
  <c r="AB95" i="5"/>
  <c r="AA95" i="5"/>
  <c r="Z95" i="5"/>
  <c r="Y95" i="5"/>
  <c r="X95" i="5"/>
  <c r="W95" i="5"/>
  <c r="V95" i="5"/>
  <c r="U95" i="5"/>
  <c r="T95" i="5"/>
  <c r="S95" i="5"/>
  <c r="R95" i="5"/>
  <c r="AD95" i="5" s="1"/>
  <c r="AE95" i="5" s="1"/>
  <c r="AF95" i="5" s="1"/>
  <c r="P95" i="5"/>
  <c r="O95" i="5"/>
  <c r="N95" i="5"/>
  <c r="M95" i="5"/>
  <c r="L95" i="5"/>
  <c r="K95" i="5"/>
  <c r="J95" i="5"/>
  <c r="I95" i="5"/>
  <c r="H95" i="5"/>
  <c r="G95" i="5"/>
  <c r="F95" i="5"/>
  <c r="E95" i="5"/>
  <c r="AC94" i="5"/>
  <c r="AB94" i="5"/>
  <c r="AA94" i="5"/>
  <c r="Z94" i="5"/>
  <c r="Y94" i="5"/>
  <c r="X94" i="5"/>
  <c r="W94" i="5"/>
  <c r="V94" i="5"/>
  <c r="U94" i="5"/>
  <c r="T94" i="5"/>
  <c r="S94" i="5"/>
  <c r="R94" i="5"/>
  <c r="AD94" i="5" s="1"/>
  <c r="P94" i="5"/>
  <c r="O94" i="5"/>
  <c r="N94" i="5"/>
  <c r="M94" i="5"/>
  <c r="L94" i="5"/>
  <c r="K94" i="5"/>
  <c r="J94" i="5"/>
  <c r="I94" i="5"/>
  <c r="H94" i="5"/>
  <c r="G94" i="5"/>
  <c r="F94" i="5"/>
  <c r="E94" i="5"/>
  <c r="AC93" i="5"/>
  <c r="AB93" i="5"/>
  <c r="AA93" i="5"/>
  <c r="Z93" i="5"/>
  <c r="Y93" i="5"/>
  <c r="X93" i="5"/>
  <c r="W93" i="5"/>
  <c r="V93" i="5"/>
  <c r="U93" i="5"/>
  <c r="T93" i="5"/>
  <c r="S93" i="5"/>
  <c r="R93" i="5"/>
  <c r="AD93" i="5" s="1"/>
  <c r="P93" i="5"/>
  <c r="O93" i="5"/>
  <c r="N93" i="5"/>
  <c r="M93" i="5"/>
  <c r="L93" i="5"/>
  <c r="K93" i="5"/>
  <c r="J93" i="5"/>
  <c r="I93" i="5"/>
  <c r="H93" i="5"/>
  <c r="G93" i="5"/>
  <c r="F93" i="5"/>
  <c r="E93" i="5"/>
  <c r="Q93" i="5" s="1"/>
  <c r="AH93" i="5" s="1"/>
  <c r="AC92" i="5"/>
  <c r="AB92" i="5"/>
  <c r="AA92" i="5"/>
  <c r="Z92" i="5"/>
  <c r="Y92" i="5"/>
  <c r="X92" i="5"/>
  <c r="W92" i="5"/>
  <c r="V92" i="5"/>
  <c r="U92" i="5"/>
  <c r="T92" i="5"/>
  <c r="S92" i="5"/>
  <c r="R92" i="5"/>
  <c r="P92" i="5"/>
  <c r="O92" i="5"/>
  <c r="N92" i="5"/>
  <c r="M92" i="5"/>
  <c r="L92" i="5"/>
  <c r="K92" i="5"/>
  <c r="J92" i="5"/>
  <c r="I92" i="5"/>
  <c r="H92" i="5"/>
  <c r="G92" i="5"/>
  <c r="F92" i="5"/>
  <c r="E92" i="5"/>
  <c r="Q92" i="5" s="1"/>
  <c r="AC91" i="5"/>
  <c r="AB91" i="5"/>
  <c r="AA91" i="5"/>
  <c r="Z91" i="5"/>
  <c r="Y91" i="5"/>
  <c r="X91" i="5"/>
  <c r="W91" i="5"/>
  <c r="V91" i="5"/>
  <c r="U91" i="5"/>
  <c r="T91" i="5"/>
  <c r="S91" i="5"/>
  <c r="R91" i="5"/>
  <c r="AD91" i="5" s="1"/>
  <c r="P91" i="5"/>
  <c r="O91" i="5"/>
  <c r="N91" i="5"/>
  <c r="M91" i="5"/>
  <c r="L91" i="5"/>
  <c r="K91" i="5"/>
  <c r="J91" i="5"/>
  <c r="I91" i="5"/>
  <c r="H91" i="5"/>
  <c r="G91" i="5"/>
  <c r="F91" i="5"/>
  <c r="E91" i="5"/>
  <c r="Q91" i="5" s="1"/>
  <c r="AH91" i="5" s="1"/>
  <c r="AC90" i="5"/>
  <c r="AB90" i="5"/>
  <c r="AA90" i="5"/>
  <c r="Z90" i="5"/>
  <c r="Z97" i="5" s="1"/>
  <c r="Y90" i="5"/>
  <c r="X90" i="5"/>
  <c r="W90" i="5"/>
  <c r="V90" i="5"/>
  <c r="V97" i="5" s="1"/>
  <c r="U90" i="5"/>
  <c r="T90" i="5"/>
  <c r="S90" i="5"/>
  <c r="R90" i="5"/>
  <c r="R97" i="5" s="1"/>
  <c r="P90" i="5"/>
  <c r="O90" i="5"/>
  <c r="N90" i="5"/>
  <c r="M90" i="5"/>
  <c r="L90" i="5"/>
  <c r="K90" i="5"/>
  <c r="J90" i="5"/>
  <c r="J97" i="5" s="1"/>
  <c r="I90" i="5"/>
  <c r="H90" i="5"/>
  <c r="G90" i="5"/>
  <c r="F90" i="5"/>
  <c r="E90" i="5"/>
  <c r="Q90" i="5" s="1"/>
  <c r="AC89" i="5"/>
  <c r="AB89" i="5"/>
  <c r="AA89" i="5"/>
  <c r="Z89" i="5"/>
  <c r="Y89" i="5"/>
  <c r="X89" i="5"/>
  <c r="W89" i="5"/>
  <c r="V89" i="5"/>
  <c r="U89" i="5"/>
  <c r="T89" i="5"/>
  <c r="S89" i="5"/>
  <c r="R89" i="5"/>
  <c r="P89" i="5"/>
  <c r="O89" i="5"/>
  <c r="N89" i="5"/>
  <c r="M89" i="5"/>
  <c r="L89" i="5"/>
  <c r="K89" i="5"/>
  <c r="J89" i="5"/>
  <c r="I89" i="5"/>
  <c r="H89" i="5"/>
  <c r="G89" i="5"/>
  <c r="F89" i="5"/>
  <c r="E89" i="5"/>
  <c r="AC88" i="5"/>
  <c r="AC97" i="5" s="1"/>
  <c r="AB88" i="5"/>
  <c r="AA88" i="5"/>
  <c r="Z88" i="5"/>
  <c r="Y88" i="5"/>
  <c r="Y97" i="5" s="1"/>
  <c r="X88" i="5"/>
  <c r="W88" i="5"/>
  <c r="V88" i="5"/>
  <c r="U88" i="5"/>
  <c r="U97" i="5" s="1"/>
  <c r="T88" i="5"/>
  <c r="S88" i="5"/>
  <c r="R88" i="5"/>
  <c r="P88" i="5"/>
  <c r="O88" i="5"/>
  <c r="N88" i="5"/>
  <c r="M88" i="5"/>
  <c r="M97" i="5" s="1"/>
  <c r="L88" i="5"/>
  <c r="K88" i="5"/>
  <c r="J88" i="5"/>
  <c r="I88" i="5"/>
  <c r="I97" i="5" s="1"/>
  <c r="H88" i="5"/>
  <c r="G88" i="5"/>
  <c r="F88" i="5"/>
  <c r="E88" i="5"/>
  <c r="E97" i="5" s="1"/>
  <c r="AH87" i="5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AH85" i="5" s="1"/>
  <c r="AC84" i="5"/>
  <c r="AB84" i="5"/>
  <c r="AA84" i="5"/>
  <c r="Z84" i="5"/>
  <c r="Y84" i="5"/>
  <c r="X84" i="5"/>
  <c r="W84" i="5"/>
  <c r="V84" i="5"/>
  <c r="U84" i="5"/>
  <c r="T84" i="5"/>
  <c r="S84" i="5"/>
  <c r="R84" i="5"/>
  <c r="AD84" i="5" s="1"/>
  <c r="P84" i="5"/>
  <c r="O84" i="5"/>
  <c r="N84" i="5"/>
  <c r="M84" i="5"/>
  <c r="L84" i="5"/>
  <c r="K84" i="5"/>
  <c r="J84" i="5"/>
  <c r="I84" i="5"/>
  <c r="H84" i="5"/>
  <c r="G84" i="5"/>
  <c r="F84" i="5"/>
  <c r="E84" i="5"/>
  <c r="Q84" i="5" s="1"/>
  <c r="AE84" i="5" s="1"/>
  <c r="AF84" i="5" s="1"/>
  <c r="AC83" i="5"/>
  <c r="AB83" i="5"/>
  <c r="AA83" i="5"/>
  <c r="Z83" i="5"/>
  <c r="Y83" i="5"/>
  <c r="X83" i="5"/>
  <c r="W83" i="5"/>
  <c r="V83" i="5"/>
  <c r="U83" i="5"/>
  <c r="T83" i="5"/>
  <c r="S83" i="5"/>
  <c r="R83" i="5"/>
  <c r="AD83" i="5" s="1"/>
  <c r="P83" i="5"/>
  <c r="O83" i="5"/>
  <c r="N83" i="5"/>
  <c r="M83" i="5"/>
  <c r="L83" i="5"/>
  <c r="K83" i="5"/>
  <c r="J83" i="5"/>
  <c r="I83" i="5"/>
  <c r="H83" i="5"/>
  <c r="G83" i="5"/>
  <c r="F83" i="5"/>
  <c r="E83" i="5"/>
  <c r="Q83" i="5" s="1"/>
  <c r="AC82" i="5"/>
  <c r="AB82" i="5"/>
  <c r="AA82" i="5"/>
  <c r="Z82" i="5"/>
  <c r="Y82" i="5"/>
  <c r="X82" i="5"/>
  <c r="W82" i="5"/>
  <c r="V82" i="5"/>
  <c r="U82" i="5"/>
  <c r="T82" i="5"/>
  <c r="S82" i="5"/>
  <c r="R82" i="5"/>
  <c r="AD82" i="5" s="1"/>
  <c r="P82" i="5"/>
  <c r="O82" i="5"/>
  <c r="N82" i="5"/>
  <c r="M82" i="5"/>
  <c r="L82" i="5"/>
  <c r="K82" i="5"/>
  <c r="J82" i="5"/>
  <c r="I82" i="5"/>
  <c r="H82" i="5"/>
  <c r="G82" i="5"/>
  <c r="F82" i="5"/>
  <c r="E82" i="5"/>
  <c r="AC81" i="5"/>
  <c r="AB81" i="5"/>
  <c r="AA81" i="5"/>
  <c r="Z81" i="5"/>
  <c r="Y81" i="5"/>
  <c r="X81" i="5"/>
  <c r="W81" i="5"/>
  <c r="V81" i="5"/>
  <c r="U81" i="5"/>
  <c r="T81" i="5"/>
  <c r="S81" i="5"/>
  <c r="R81" i="5"/>
  <c r="AD81" i="5" s="1"/>
  <c r="P81" i="5"/>
  <c r="O81" i="5"/>
  <c r="N81" i="5"/>
  <c r="M81" i="5"/>
  <c r="L81" i="5"/>
  <c r="K81" i="5"/>
  <c r="J81" i="5"/>
  <c r="I81" i="5"/>
  <c r="H81" i="5"/>
  <c r="G81" i="5"/>
  <c r="F81" i="5"/>
  <c r="E81" i="5"/>
  <c r="Q81" i="5" s="1"/>
  <c r="AH81" i="5" s="1"/>
  <c r="AC80" i="5"/>
  <c r="AB80" i="5"/>
  <c r="AA80" i="5"/>
  <c r="Z80" i="5"/>
  <c r="Y80" i="5"/>
  <c r="X80" i="5"/>
  <c r="W80" i="5"/>
  <c r="V80" i="5"/>
  <c r="U80" i="5"/>
  <c r="T80" i="5"/>
  <c r="S80" i="5"/>
  <c r="R80" i="5"/>
  <c r="P80" i="5"/>
  <c r="O80" i="5"/>
  <c r="N80" i="5"/>
  <c r="M80" i="5"/>
  <c r="L80" i="5"/>
  <c r="K80" i="5"/>
  <c r="J80" i="5"/>
  <c r="I80" i="5"/>
  <c r="H80" i="5"/>
  <c r="G80" i="5"/>
  <c r="F80" i="5"/>
  <c r="E80" i="5"/>
  <c r="Q80" i="5" s="1"/>
  <c r="AC79" i="5"/>
  <c r="AB79" i="5"/>
  <c r="AA79" i="5"/>
  <c r="Z79" i="5"/>
  <c r="Y79" i="5"/>
  <c r="X79" i="5"/>
  <c r="W79" i="5"/>
  <c r="V79" i="5"/>
  <c r="U79" i="5"/>
  <c r="T79" i="5"/>
  <c r="S79" i="5"/>
  <c r="R79" i="5"/>
  <c r="AD79" i="5" s="1"/>
  <c r="P79" i="5"/>
  <c r="O79" i="5"/>
  <c r="N79" i="5"/>
  <c r="M79" i="5"/>
  <c r="L79" i="5"/>
  <c r="K79" i="5"/>
  <c r="J79" i="5"/>
  <c r="I79" i="5"/>
  <c r="H79" i="5"/>
  <c r="G79" i="5"/>
  <c r="F79" i="5"/>
  <c r="E79" i="5"/>
  <c r="Q79" i="5" s="1"/>
  <c r="AC78" i="5"/>
  <c r="AB78" i="5"/>
  <c r="AB86" i="5" s="1"/>
  <c r="AA78" i="5"/>
  <c r="AA86" i="5" s="1"/>
  <c r="Z78" i="5"/>
  <c r="Z86" i="5" s="1"/>
  <c r="Y78" i="5"/>
  <c r="X78" i="5"/>
  <c r="X86" i="5" s="1"/>
  <c r="W78" i="5"/>
  <c r="W86" i="5" s="1"/>
  <c r="V78" i="5"/>
  <c r="V86" i="5" s="1"/>
  <c r="U78" i="5"/>
  <c r="T78" i="5"/>
  <c r="T86" i="5" s="1"/>
  <c r="S78" i="5"/>
  <c r="S86" i="5" s="1"/>
  <c r="R78" i="5"/>
  <c r="R86" i="5" s="1"/>
  <c r="P78" i="5"/>
  <c r="O78" i="5"/>
  <c r="N78" i="5"/>
  <c r="N86" i="5" s="1"/>
  <c r="M78" i="5"/>
  <c r="M86" i="5" s="1"/>
  <c r="L78" i="5"/>
  <c r="K78" i="5"/>
  <c r="K86" i="5" s="1"/>
  <c r="J78" i="5"/>
  <c r="J86" i="5" s="1"/>
  <c r="I78" i="5"/>
  <c r="I86" i="5" s="1"/>
  <c r="H78" i="5"/>
  <c r="G78" i="5"/>
  <c r="F78" i="5"/>
  <c r="F86" i="5" s="1"/>
  <c r="E78" i="5"/>
  <c r="E86" i="5" s="1"/>
  <c r="AH77" i="5"/>
  <c r="H76" i="5"/>
  <c r="AC75" i="5"/>
  <c r="AB75" i="5"/>
  <c r="AA75" i="5"/>
  <c r="Z75" i="5"/>
  <c r="Y75" i="5"/>
  <c r="X75" i="5"/>
  <c r="W75" i="5"/>
  <c r="V75" i="5"/>
  <c r="U75" i="5"/>
  <c r="U76" i="5" s="1"/>
  <c r="T75" i="5"/>
  <c r="S75" i="5"/>
  <c r="R75" i="5"/>
  <c r="AD75" i="5" s="1"/>
  <c r="P75" i="5"/>
  <c r="O75" i="5"/>
  <c r="N75" i="5"/>
  <c r="M75" i="5"/>
  <c r="L75" i="5"/>
  <c r="K75" i="5"/>
  <c r="J75" i="5"/>
  <c r="I75" i="5"/>
  <c r="I76" i="5" s="1"/>
  <c r="H75" i="5"/>
  <c r="G75" i="5"/>
  <c r="F75" i="5"/>
  <c r="E75" i="5"/>
  <c r="Q75" i="5" s="1"/>
  <c r="AC74" i="5"/>
  <c r="AC76" i="5" s="1"/>
  <c r="AB74" i="5"/>
  <c r="AA74" i="5"/>
  <c r="Z74" i="5"/>
  <c r="Y74" i="5"/>
  <c r="X74" i="5"/>
  <c r="W74" i="5"/>
  <c r="V74" i="5"/>
  <c r="U74" i="5"/>
  <c r="T74" i="5"/>
  <c r="S74" i="5"/>
  <c r="R74" i="5"/>
  <c r="AD74" i="5" s="1"/>
  <c r="P74" i="5"/>
  <c r="O74" i="5"/>
  <c r="N74" i="5"/>
  <c r="M74" i="5"/>
  <c r="L74" i="5"/>
  <c r="K74" i="5"/>
  <c r="J74" i="5"/>
  <c r="I74" i="5"/>
  <c r="H74" i="5"/>
  <c r="G74" i="5"/>
  <c r="F74" i="5"/>
  <c r="E74" i="5"/>
  <c r="Q74" i="5" s="1"/>
  <c r="AH74" i="5" s="1"/>
  <c r="AC73" i="5"/>
  <c r="AB73" i="5"/>
  <c r="AA73" i="5"/>
  <c r="Z73" i="5"/>
  <c r="Y73" i="5"/>
  <c r="Y76" i="5" s="1"/>
  <c r="X73" i="5"/>
  <c r="W73" i="5"/>
  <c r="V73" i="5"/>
  <c r="U73" i="5"/>
  <c r="T73" i="5"/>
  <c r="S73" i="5"/>
  <c r="R73" i="5"/>
  <c r="AD73" i="5" s="1"/>
  <c r="P73" i="5"/>
  <c r="O73" i="5"/>
  <c r="N73" i="5"/>
  <c r="M73" i="5"/>
  <c r="M76" i="5" s="1"/>
  <c r="L73" i="5"/>
  <c r="K73" i="5"/>
  <c r="J73" i="5"/>
  <c r="I73" i="5"/>
  <c r="H73" i="5"/>
  <c r="G73" i="5"/>
  <c r="F73" i="5"/>
  <c r="E73" i="5"/>
  <c r="E76" i="5" s="1"/>
  <c r="AC72" i="5"/>
  <c r="AB72" i="5"/>
  <c r="AA72" i="5"/>
  <c r="Z72" i="5"/>
  <c r="Z76" i="5" s="1"/>
  <c r="Y72" i="5"/>
  <c r="X72" i="5"/>
  <c r="W72" i="5"/>
  <c r="V72" i="5"/>
  <c r="V76" i="5" s="1"/>
  <c r="U72" i="5"/>
  <c r="T72" i="5"/>
  <c r="S72" i="5"/>
  <c r="R72" i="5"/>
  <c r="P72" i="5"/>
  <c r="O72" i="5"/>
  <c r="N72" i="5"/>
  <c r="N76" i="5" s="1"/>
  <c r="M72" i="5"/>
  <c r="L72" i="5"/>
  <c r="K72" i="5"/>
  <c r="J72" i="5"/>
  <c r="J76" i="5" s="1"/>
  <c r="I72" i="5"/>
  <c r="H72" i="5"/>
  <c r="G72" i="5"/>
  <c r="F72" i="5"/>
  <c r="F76" i="5" s="1"/>
  <c r="E72" i="5"/>
  <c r="Q72" i="5" s="1"/>
  <c r="AH72" i="5" s="1"/>
  <c r="AC71" i="5"/>
  <c r="AB71" i="5"/>
  <c r="AB76" i="5" s="1"/>
  <c r="AA71" i="5"/>
  <c r="AA76" i="5" s="1"/>
  <c r="Z71" i="5"/>
  <c r="Y71" i="5"/>
  <c r="X71" i="5"/>
  <c r="X76" i="5" s="1"/>
  <c r="W71" i="5"/>
  <c r="W76" i="5" s="1"/>
  <c r="V71" i="5"/>
  <c r="U71" i="5"/>
  <c r="T71" i="5"/>
  <c r="T76" i="5" s="1"/>
  <c r="S71" i="5"/>
  <c r="S76" i="5" s="1"/>
  <c r="R71" i="5"/>
  <c r="P71" i="5"/>
  <c r="P76" i="5" s="1"/>
  <c r="O71" i="5"/>
  <c r="O76" i="5" s="1"/>
  <c r="N71" i="5"/>
  <c r="M71" i="5"/>
  <c r="L71" i="5"/>
  <c r="L76" i="5" s="1"/>
  <c r="K71" i="5"/>
  <c r="K76" i="5" s="1"/>
  <c r="J71" i="5"/>
  <c r="I71" i="5"/>
  <c r="H71" i="5"/>
  <c r="G71" i="5"/>
  <c r="G76" i="5" s="1"/>
  <c r="F71" i="5"/>
  <c r="E71" i="5"/>
  <c r="AH70" i="5"/>
  <c r="AC68" i="5"/>
  <c r="AB68" i="5"/>
  <c r="AA68" i="5"/>
  <c r="Z68" i="5"/>
  <c r="Y68" i="5"/>
  <c r="X68" i="5"/>
  <c r="W68" i="5"/>
  <c r="V68" i="5"/>
  <c r="V69" i="5" s="1"/>
  <c r="U68" i="5"/>
  <c r="T68" i="5"/>
  <c r="S68" i="5"/>
  <c r="R68" i="5"/>
  <c r="AD68" i="5" s="1"/>
  <c r="P68" i="5"/>
  <c r="O68" i="5"/>
  <c r="N68" i="5"/>
  <c r="M68" i="5"/>
  <c r="L68" i="5"/>
  <c r="K68" i="5"/>
  <c r="J68" i="5"/>
  <c r="I68" i="5"/>
  <c r="H68" i="5"/>
  <c r="G68" i="5"/>
  <c r="F68" i="5"/>
  <c r="E68" i="5"/>
  <c r="Q68" i="5" s="1"/>
  <c r="AH68" i="5" s="1"/>
  <c r="AC67" i="5"/>
  <c r="AB67" i="5"/>
  <c r="AA67" i="5"/>
  <c r="Z67" i="5"/>
  <c r="Y67" i="5"/>
  <c r="X67" i="5"/>
  <c r="W67" i="5"/>
  <c r="V67" i="5"/>
  <c r="U67" i="5"/>
  <c r="T67" i="5"/>
  <c r="S67" i="5"/>
  <c r="R67" i="5"/>
  <c r="P67" i="5"/>
  <c r="O67" i="5"/>
  <c r="N67" i="5"/>
  <c r="M67" i="5"/>
  <c r="L67" i="5"/>
  <c r="K67" i="5"/>
  <c r="J67" i="5"/>
  <c r="I67" i="5"/>
  <c r="H67" i="5"/>
  <c r="G67" i="5"/>
  <c r="F67" i="5"/>
  <c r="E67" i="5"/>
  <c r="AC66" i="5"/>
  <c r="AB66" i="5"/>
  <c r="AA66" i="5"/>
  <c r="Z66" i="5"/>
  <c r="Y66" i="5"/>
  <c r="X66" i="5"/>
  <c r="W66" i="5"/>
  <c r="V66" i="5"/>
  <c r="U66" i="5"/>
  <c r="T66" i="5"/>
  <c r="S66" i="5"/>
  <c r="R66" i="5"/>
  <c r="AD66" i="5" s="1"/>
  <c r="P66" i="5"/>
  <c r="O66" i="5"/>
  <c r="N66" i="5"/>
  <c r="M66" i="5"/>
  <c r="L66" i="5"/>
  <c r="K66" i="5"/>
  <c r="J66" i="5"/>
  <c r="I66" i="5"/>
  <c r="H66" i="5"/>
  <c r="G66" i="5"/>
  <c r="F66" i="5"/>
  <c r="E66" i="5"/>
  <c r="Q66" i="5" s="1"/>
  <c r="AC65" i="5"/>
  <c r="AC69" i="5" s="1"/>
  <c r="AB65" i="5"/>
  <c r="AA65" i="5"/>
  <c r="Z65" i="5"/>
  <c r="Y65" i="5"/>
  <c r="Y69" i="5" s="1"/>
  <c r="X65" i="5"/>
  <c r="W65" i="5"/>
  <c r="V65" i="5"/>
  <c r="U65" i="5"/>
  <c r="U69" i="5" s="1"/>
  <c r="T65" i="5"/>
  <c r="S65" i="5"/>
  <c r="R65" i="5"/>
  <c r="AD65" i="5" s="1"/>
  <c r="P65" i="5"/>
  <c r="O65" i="5"/>
  <c r="N65" i="5"/>
  <c r="M65" i="5"/>
  <c r="M69" i="5" s="1"/>
  <c r="L65" i="5"/>
  <c r="K65" i="5"/>
  <c r="J65" i="5"/>
  <c r="I65" i="5"/>
  <c r="I69" i="5" s="1"/>
  <c r="H65" i="5"/>
  <c r="G65" i="5"/>
  <c r="F65" i="5"/>
  <c r="E65" i="5"/>
  <c r="Q65" i="5" s="1"/>
  <c r="AC64" i="5"/>
  <c r="AB64" i="5"/>
  <c r="AB69" i="5" s="1"/>
  <c r="AA64" i="5"/>
  <c r="AA69" i="5" s="1"/>
  <c r="Z64" i="5"/>
  <c r="Z69" i="5" s="1"/>
  <c r="Y64" i="5"/>
  <c r="X64" i="5"/>
  <c r="X69" i="5" s="1"/>
  <c r="W64" i="5"/>
  <c r="W69" i="5" s="1"/>
  <c r="V64" i="5"/>
  <c r="U64" i="5"/>
  <c r="T64" i="5"/>
  <c r="T69" i="5" s="1"/>
  <c r="S64" i="5"/>
  <c r="S69" i="5" s="1"/>
  <c r="R64" i="5"/>
  <c r="AD64" i="5" s="1"/>
  <c r="P64" i="5"/>
  <c r="P69" i="5" s="1"/>
  <c r="O64" i="5"/>
  <c r="O69" i="5" s="1"/>
  <c r="N64" i="5"/>
  <c r="N69" i="5" s="1"/>
  <c r="M64" i="5"/>
  <c r="L64" i="5"/>
  <c r="L69" i="5" s="1"/>
  <c r="K64" i="5"/>
  <c r="K69" i="5" s="1"/>
  <c r="J64" i="5"/>
  <c r="J69" i="5" s="1"/>
  <c r="I64" i="5"/>
  <c r="H64" i="5"/>
  <c r="H69" i="5" s="1"/>
  <c r="G64" i="5"/>
  <c r="G69" i="5" s="1"/>
  <c r="F64" i="5"/>
  <c r="F69" i="5" s="1"/>
  <c r="E64" i="5"/>
  <c r="AH63" i="5"/>
  <c r="AH62" i="5"/>
  <c r="AH61" i="5"/>
  <c r="AC57" i="5"/>
  <c r="AB57" i="5"/>
  <c r="AA57" i="5"/>
  <c r="Z57" i="5"/>
  <c r="Y57" i="5"/>
  <c r="X57" i="5"/>
  <c r="W57" i="5"/>
  <c r="V57" i="5"/>
  <c r="U57" i="5"/>
  <c r="T57" i="5"/>
  <c r="S57" i="5"/>
  <c r="R57" i="5"/>
  <c r="N57" i="5"/>
  <c r="F57" i="5"/>
  <c r="Z56" i="5"/>
  <c r="V56" i="5"/>
  <c r="R56" i="5"/>
  <c r="AC55" i="5"/>
  <c r="AC56" i="5" s="1"/>
  <c r="AB55" i="5"/>
  <c r="AB56" i="5" s="1"/>
  <c r="AA55" i="5"/>
  <c r="AA56" i="5" s="1"/>
  <c r="Z55" i="5"/>
  <c r="Y55" i="5"/>
  <c r="Y56" i="5" s="1"/>
  <c r="X55" i="5"/>
  <c r="X56" i="5" s="1"/>
  <c r="W55" i="5"/>
  <c r="W56" i="5" s="1"/>
  <c r="V55" i="5"/>
  <c r="U55" i="5"/>
  <c r="U56" i="5" s="1"/>
  <c r="T55" i="5"/>
  <c r="T56" i="5" s="1"/>
  <c r="S55" i="5"/>
  <c r="S56" i="5" s="1"/>
  <c r="R55" i="5"/>
  <c r="P55" i="5"/>
  <c r="M55" i="5"/>
  <c r="M56" i="5" s="1"/>
  <c r="L55" i="5"/>
  <c r="L56" i="5" s="1"/>
  <c r="I55" i="5"/>
  <c r="H55" i="5"/>
  <c r="H56" i="5" s="1"/>
  <c r="E55" i="5"/>
  <c r="AH54" i="5"/>
  <c r="AF54" i="5"/>
  <c r="AD54" i="5"/>
  <c r="Q54" i="5"/>
  <c r="AE54" i="5" s="1"/>
  <c r="AD53" i="5"/>
  <c r="Q53" i="5"/>
  <c r="AH53" i="5" s="1"/>
  <c r="AD52" i="5"/>
  <c r="P52" i="5"/>
  <c r="P57" i="5" s="1"/>
  <c r="O52" i="5"/>
  <c r="O55" i="5" s="1"/>
  <c r="O56" i="5" s="1"/>
  <c r="N52" i="5"/>
  <c r="N121" i="5" s="1"/>
  <c r="M52" i="5"/>
  <c r="M52" i="8" s="1"/>
  <c r="L52" i="5"/>
  <c r="L57" i="5" s="1"/>
  <c r="K52" i="5"/>
  <c r="K55" i="5" s="1"/>
  <c r="K56" i="5" s="1"/>
  <c r="J52" i="5"/>
  <c r="I52" i="5"/>
  <c r="I52" i="8" s="1"/>
  <c r="H52" i="5"/>
  <c r="H57" i="5" s="1"/>
  <c r="G52" i="5"/>
  <c r="F52" i="5"/>
  <c r="F129" i="5" s="1"/>
  <c r="E52" i="5"/>
  <c r="AF51" i="5"/>
  <c r="AE51" i="5"/>
  <c r="AD51" i="5"/>
  <c r="Q51" i="5"/>
  <c r="AH51" i="5" s="1"/>
  <c r="AH50" i="5"/>
  <c r="AF50" i="5"/>
  <c r="AD50" i="5"/>
  <c r="Q50" i="5"/>
  <c r="AE50" i="5" s="1"/>
  <c r="W49" i="5"/>
  <c r="V49" i="5"/>
  <c r="U49" i="5"/>
  <c r="T49" i="5"/>
  <c r="AD49" i="5" s="1"/>
  <c r="S49" i="5"/>
  <c r="R49" i="5"/>
  <c r="P49" i="5"/>
  <c r="O49" i="5"/>
  <c r="K49" i="5"/>
  <c r="H49" i="5"/>
  <c r="G49" i="5"/>
  <c r="AD48" i="5"/>
  <c r="P48" i="5"/>
  <c r="O48" i="5"/>
  <c r="O48" i="8" s="1"/>
  <c r="N48" i="5"/>
  <c r="N49" i="5" s="1"/>
  <c r="M48" i="5"/>
  <c r="L48" i="5"/>
  <c r="K48" i="5"/>
  <c r="K48" i="8" s="1"/>
  <c r="J48" i="5"/>
  <c r="J49" i="5" s="1"/>
  <c r="I48" i="5"/>
  <c r="I57" i="5" s="1"/>
  <c r="H48" i="5"/>
  <c r="G48" i="5"/>
  <c r="G48" i="8" s="1"/>
  <c r="F48" i="5"/>
  <c r="F49" i="5" s="1"/>
  <c r="E48" i="5"/>
  <c r="AC43" i="5"/>
  <c r="AC129" i="5" s="1"/>
  <c r="AB43" i="5"/>
  <c r="AB129" i="5" s="1"/>
  <c r="AA43" i="5"/>
  <c r="AA129" i="5" s="1"/>
  <c r="Z43" i="5"/>
  <c r="Y43" i="5"/>
  <c r="Y129" i="5" s="1"/>
  <c r="X43" i="5"/>
  <c r="X129" i="5" s="1"/>
  <c r="W43" i="5"/>
  <c r="W129" i="5" s="1"/>
  <c r="V43" i="5"/>
  <c r="U43" i="5"/>
  <c r="U129" i="5" s="1"/>
  <c r="T43" i="5"/>
  <c r="T129" i="5" s="1"/>
  <c r="S43" i="5"/>
  <c r="S129" i="5" s="1"/>
  <c r="R43" i="5"/>
  <c r="P43" i="5"/>
  <c r="P129" i="5" s="1"/>
  <c r="O43" i="5"/>
  <c r="O129" i="5" s="1"/>
  <c r="N43" i="5"/>
  <c r="M43" i="5"/>
  <c r="M129" i="5" s="1"/>
  <c r="L43" i="5"/>
  <c r="L129" i="5" s="1"/>
  <c r="K43" i="5"/>
  <c r="K129" i="5" s="1"/>
  <c r="J43" i="5"/>
  <c r="I43" i="5"/>
  <c r="I129" i="5" s="1"/>
  <c r="H43" i="5"/>
  <c r="H129" i="5" s="1"/>
  <c r="G43" i="5"/>
  <c r="G129" i="5" s="1"/>
  <c r="F43" i="5"/>
  <c r="E43" i="5"/>
  <c r="E129" i="5" s="1"/>
  <c r="AC42" i="5"/>
  <c r="AC128" i="5" s="1"/>
  <c r="AB42" i="5"/>
  <c r="AB128" i="5" s="1"/>
  <c r="AA42" i="5"/>
  <c r="Z42" i="5"/>
  <c r="Z128" i="5" s="1"/>
  <c r="Y42" i="5"/>
  <c r="Y128" i="5" s="1"/>
  <c r="X42" i="5"/>
  <c r="X128" i="5" s="1"/>
  <c r="W42" i="5"/>
  <c r="V42" i="5"/>
  <c r="V128" i="5" s="1"/>
  <c r="U42" i="5"/>
  <c r="U128" i="5" s="1"/>
  <c r="T42" i="5"/>
  <c r="T128" i="5" s="1"/>
  <c r="S42" i="5"/>
  <c r="R42" i="5"/>
  <c r="R128" i="5" s="1"/>
  <c r="P42" i="5"/>
  <c r="P128" i="5" s="1"/>
  <c r="O42" i="5"/>
  <c r="N42" i="5"/>
  <c r="N128" i="5" s="1"/>
  <c r="M42" i="5"/>
  <c r="M128" i="5" s="1"/>
  <c r="L42" i="5"/>
  <c r="L128" i="5" s="1"/>
  <c r="K42" i="5"/>
  <c r="J42" i="5"/>
  <c r="J128" i="5" s="1"/>
  <c r="I42" i="5"/>
  <c r="I128" i="5" s="1"/>
  <c r="H42" i="5"/>
  <c r="H128" i="5" s="1"/>
  <c r="G42" i="5"/>
  <c r="F42" i="5"/>
  <c r="F128" i="5" s="1"/>
  <c r="E42" i="5"/>
  <c r="E128" i="5" s="1"/>
  <c r="AC41" i="5"/>
  <c r="AC127" i="5" s="1"/>
  <c r="AB41" i="5"/>
  <c r="AA41" i="5"/>
  <c r="AA127" i="5" s="1"/>
  <c r="Z41" i="5"/>
  <c r="Z127" i="5" s="1"/>
  <c r="Y41" i="5"/>
  <c r="Y127" i="5" s="1"/>
  <c r="X41" i="5"/>
  <c r="W41" i="5"/>
  <c r="W127" i="5" s="1"/>
  <c r="V41" i="5"/>
  <c r="V127" i="5" s="1"/>
  <c r="U41" i="5"/>
  <c r="U127" i="5" s="1"/>
  <c r="T41" i="5"/>
  <c r="S41" i="5"/>
  <c r="S127" i="5" s="1"/>
  <c r="R41" i="5"/>
  <c r="R127" i="5" s="1"/>
  <c r="P41" i="5"/>
  <c r="O41" i="5"/>
  <c r="O127" i="5" s="1"/>
  <c r="N41" i="5"/>
  <c r="N127" i="5" s="1"/>
  <c r="M41" i="5"/>
  <c r="M127" i="5" s="1"/>
  <c r="L41" i="5"/>
  <c r="K41" i="5"/>
  <c r="K127" i="5" s="1"/>
  <c r="J41" i="5"/>
  <c r="J127" i="5" s="1"/>
  <c r="I41" i="5"/>
  <c r="I127" i="5" s="1"/>
  <c r="H41" i="5"/>
  <c r="G41" i="5"/>
  <c r="G127" i="5" s="1"/>
  <c r="F41" i="5"/>
  <c r="F127" i="5" s="1"/>
  <c r="E41" i="5"/>
  <c r="E127" i="5" s="1"/>
  <c r="AC40" i="5"/>
  <c r="AB40" i="5"/>
  <c r="AB126" i="5" s="1"/>
  <c r="AA40" i="5"/>
  <c r="AA126" i="5" s="1"/>
  <c r="Z40" i="5"/>
  <c r="Z126" i="5" s="1"/>
  <c r="Y40" i="5"/>
  <c r="X40" i="5"/>
  <c r="X126" i="5" s="1"/>
  <c r="W40" i="5"/>
  <c r="W126" i="5" s="1"/>
  <c r="V40" i="5"/>
  <c r="V126" i="5" s="1"/>
  <c r="U40" i="5"/>
  <c r="T40" i="5"/>
  <c r="T126" i="5" s="1"/>
  <c r="S40" i="5"/>
  <c r="S126" i="5" s="1"/>
  <c r="R40" i="5"/>
  <c r="R126" i="5" s="1"/>
  <c r="P40" i="5"/>
  <c r="P126" i="5" s="1"/>
  <c r="O40" i="5"/>
  <c r="O126" i="5" s="1"/>
  <c r="N40" i="5"/>
  <c r="N126" i="5" s="1"/>
  <c r="M40" i="5"/>
  <c r="L40" i="5"/>
  <c r="L126" i="5" s="1"/>
  <c r="K40" i="5"/>
  <c r="K126" i="5" s="1"/>
  <c r="J40" i="5"/>
  <c r="J126" i="5" s="1"/>
  <c r="I40" i="5"/>
  <c r="H40" i="5"/>
  <c r="H126" i="5" s="1"/>
  <c r="G40" i="5"/>
  <c r="G126" i="5" s="1"/>
  <c r="F40" i="5"/>
  <c r="F126" i="5" s="1"/>
  <c r="AC39" i="5"/>
  <c r="AC125" i="5" s="1"/>
  <c r="AB39" i="5"/>
  <c r="AB125" i="5" s="1"/>
  <c r="AA39" i="5"/>
  <c r="AA125" i="5" s="1"/>
  <c r="Z39" i="5"/>
  <c r="Y39" i="5"/>
  <c r="Y125" i="5" s="1"/>
  <c r="X39" i="5"/>
  <c r="X125" i="5" s="1"/>
  <c r="W39" i="5"/>
  <c r="W125" i="5" s="1"/>
  <c r="V39" i="5"/>
  <c r="U39" i="5"/>
  <c r="U125" i="5" s="1"/>
  <c r="T39" i="5"/>
  <c r="T125" i="5" s="1"/>
  <c r="S39" i="5"/>
  <c r="S125" i="5" s="1"/>
  <c r="R39" i="5"/>
  <c r="AC38" i="5"/>
  <c r="AC124" i="5" s="1"/>
  <c r="AB38" i="5"/>
  <c r="AB124" i="5" s="1"/>
  <c r="AA38" i="5"/>
  <c r="Z38" i="5"/>
  <c r="Z124" i="5" s="1"/>
  <c r="Y38" i="5"/>
  <c r="Y124" i="5" s="1"/>
  <c r="X38" i="5"/>
  <c r="X124" i="5" s="1"/>
  <c r="W38" i="5"/>
  <c r="V38" i="5"/>
  <c r="V124" i="5" s="1"/>
  <c r="U38" i="5"/>
  <c r="U124" i="5" s="1"/>
  <c r="T38" i="5"/>
  <c r="T124" i="5" s="1"/>
  <c r="S38" i="5"/>
  <c r="R38" i="5"/>
  <c r="R124" i="5" s="1"/>
  <c r="P38" i="5"/>
  <c r="P124" i="5" s="1"/>
  <c r="O38" i="5"/>
  <c r="N38" i="5"/>
  <c r="N124" i="5" s="1"/>
  <c r="M38" i="5"/>
  <c r="M124" i="5" s="1"/>
  <c r="L38" i="5"/>
  <c r="L124" i="5" s="1"/>
  <c r="K38" i="5"/>
  <c r="J38" i="5"/>
  <c r="J124" i="5" s="1"/>
  <c r="I38" i="5"/>
  <c r="I124" i="5" s="1"/>
  <c r="H38" i="5"/>
  <c r="H124" i="5" s="1"/>
  <c r="G38" i="5"/>
  <c r="F38" i="5"/>
  <c r="F124" i="5" s="1"/>
  <c r="E38" i="5"/>
  <c r="E124" i="5" s="1"/>
  <c r="AC37" i="5"/>
  <c r="AC123" i="5" s="1"/>
  <c r="AB37" i="5"/>
  <c r="AA37" i="5"/>
  <c r="AA123" i="5" s="1"/>
  <c r="Z37" i="5"/>
  <c r="Z123" i="5" s="1"/>
  <c r="Y37" i="5"/>
  <c r="Y123" i="5" s="1"/>
  <c r="X37" i="5"/>
  <c r="W37" i="5"/>
  <c r="W123" i="5" s="1"/>
  <c r="V37" i="5"/>
  <c r="V123" i="5" s="1"/>
  <c r="U37" i="5"/>
  <c r="U123" i="5" s="1"/>
  <c r="T37" i="5"/>
  <c r="S37" i="5"/>
  <c r="S123" i="5" s="1"/>
  <c r="R37" i="5"/>
  <c r="R123" i="5" s="1"/>
  <c r="P37" i="5"/>
  <c r="O37" i="5"/>
  <c r="O123" i="5" s="1"/>
  <c r="N37" i="5"/>
  <c r="N123" i="5" s="1"/>
  <c r="M37" i="5"/>
  <c r="M123" i="5" s="1"/>
  <c r="L37" i="5"/>
  <c r="K37" i="5"/>
  <c r="K123" i="5" s="1"/>
  <c r="J37" i="5"/>
  <c r="J123" i="5" s="1"/>
  <c r="I37" i="5"/>
  <c r="I123" i="5" s="1"/>
  <c r="H37" i="5"/>
  <c r="G37" i="5"/>
  <c r="G123" i="5" s="1"/>
  <c r="F37" i="5"/>
  <c r="F123" i="5" s="1"/>
  <c r="E37" i="5"/>
  <c r="E123" i="5" s="1"/>
  <c r="AC36" i="5"/>
  <c r="AB36" i="5"/>
  <c r="AB122" i="5" s="1"/>
  <c r="AA36" i="5"/>
  <c r="AA122" i="5" s="1"/>
  <c r="Z36" i="5"/>
  <c r="Z122" i="5" s="1"/>
  <c r="Y36" i="5"/>
  <c r="X36" i="5"/>
  <c r="X122" i="5" s="1"/>
  <c r="W36" i="5"/>
  <c r="W122" i="5" s="1"/>
  <c r="V36" i="5"/>
  <c r="V122" i="5" s="1"/>
  <c r="U36" i="5"/>
  <c r="T36" i="5"/>
  <c r="T122" i="5" s="1"/>
  <c r="S36" i="5"/>
  <c r="S122" i="5" s="1"/>
  <c r="R36" i="5"/>
  <c r="R122" i="5" s="1"/>
  <c r="P36" i="5"/>
  <c r="P122" i="5" s="1"/>
  <c r="O36" i="5"/>
  <c r="O122" i="5" s="1"/>
  <c r="N36" i="5"/>
  <c r="N122" i="5" s="1"/>
  <c r="M36" i="5"/>
  <c r="L36" i="5"/>
  <c r="L122" i="5" s="1"/>
  <c r="K36" i="5"/>
  <c r="K122" i="5" s="1"/>
  <c r="J36" i="5"/>
  <c r="J122" i="5" s="1"/>
  <c r="I36" i="5"/>
  <c r="H36" i="5"/>
  <c r="H122" i="5" s="1"/>
  <c r="G36" i="5"/>
  <c r="G122" i="5" s="1"/>
  <c r="F36" i="5"/>
  <c r="F122" i="5" s="1"/>
  <c r="E36" i="5"/>
  <c r="AC35" i="5"/>
  <c r="AC121" i="5" s="1"/>
  <c r="AB35" i="5"/>
  <c r="AB121" i="5" s="1"/>
  <c r="AA35" i="5"/>
  <c r="AA121" i="5" s="1"/>
  <c r="Z35" i="5"/>
  <c r="Y35" i="5"/>
  <c r="Y121" i="5" s="1"/>
  <c r="X35" i="5"/>
  <c r="X121" i="5" s="1"/>
  <c r="W35" i="5"/>
  <c r="W121" i="5" s="1"/>
  <c r="V35" i="5"/>
  <c r="U35" i="5"/>
  <c r="U121" i="5" s="1"/>
  <c r="T35" i="5"/>
  <c r="T121" i="5" s="1"/>
  <c r="S35" i="5"/>
  <c r="S121" i="5" s="1"/>
  <c r="R35" i="5"/>
  <c r="P35" i="5"/>
  <c r="P121" i="5" s="1"/>
  <c r="O35" i="5"/>
  <c r="O121" i="5" s="1"/>
  <c r="N35" i="5"/>
  <c r="M35" i="5"/>
  <c r="M121" i="5" s="1"/>
  <c r="L35" i="5"/>
  <c r="L121" i="5" s="1"/>
  <c r="K35" i="5"/>
  <c r="K121" i="5" s="1"/>
  <c r="J35" i="5"/>
  <c r="I35" i="5"/>
  <c r="I121" i="5" s="1"/>
  <c r="H35" i="5"/>
  <c r="H121" i="5" s="1"/>
  <c r="G35" i="5"/>
  <c r="G121" i="5" s="1"/>
  <c r="F35" i="5"/>
  <c r="E35" i="5"/>
  <c r="E121" i="5" s="1"/>
  <c r="AC34" i="5"/>
  <c r="AC120" i="5" s="1"/>
  <c r="AB34" i="5"/>
  <c r="AB120" i="5" s="1"/>
  <c r="AA34" i="5"/>
  <c r="Z34" i="5"/>
  <c r="Z120" i="5" s="1"/>
  <c r="Y34" i="5"/>
  <c r="Y120" i="5" s="1"/>
  <c r="X34" i="5"/>
  <c r="X120" i="5" s="1"/>
  <c r="W34" i="5"/>
  <c r="V34" i="5"/>
  <c r="V120" i="5" s="1"/>
  <c r="U34" i="5"/>
  <c r="U120" i="5" s="1"/>
  <c r="T34" i="5"/>
  <c r="T120" i="5" s="1"/>
  <c r="S34" i="5"/>
  <c r="R34" i="5"/>
  <c r="R120" i="5" s="1"/>
  <c r="P34" i="5"/>
  <c r="P120" i="5" s="1"/>
  <c r="O34" i="5"/>
  <c r="N34" i="5"/>
  <c r="N120" i="5" s="1"/>
  <c r="M34" i="5"/>
  <c r="M120" i="5" s="1"/>
  <c r="L34" i="5"/>
  <c r="L120" i="5" s="1"/>
  <c r="K34" i="5"/>
  <c r="J34" i="5"/>
  <c r="J120" i="5" s="1"/>
  <c r="I34" i="5"/>
  <c r="I120" i="5" s="1"/>
  <c r="H34" i="5"/>
  <c r="H120" i="5" s="1"/>
  <c r="G34" i="5"/>
  <c r="F34" i="5"/>
  <c r="F120" i="5" s="1"/>
  <c r="E34" i="5"/>
  <c r="E120" i="5" s="1"/>
  <c r="AC33" i="5"/>
  <c r="AC119" i="5" s="1"/>
  <c r="AB33" i="5"/>
  <c r="AA33" i="5"/>
  <c r="AA119" i="5" s="1"/>
  <c r="Z33" i="5"/>
  <c r="Z119" i="5" s="1"/>
  <c r="Y33" i="5"/>
  <c r="Y119" i="5" s="1"/>
  <c r="X33" i="5"/>
  <c r="W33" i="5"/>
  <c r="W119" i="5" s="1"/>
  <c r="V33" i="5"/>
  <c r="V119" i="5" s="1"/>
  <c r="U33" i="5"/>
  <c r="U119" i="5" s="1"/>
  <c r="T33" i="5"/>
  <c r="S33" i="5"/>
  <c r="S119" i="5" s="1"/>
  <c r="R33" i="5"/>
  <c r="R119" i="5" s="1"/>
  <c r="P33" i="5"/>
  <c r="O33" i="5"/>
  <c r="O119" i="5" s="1"/>
  <c r="N33" i="5"/>
  <c r="N119" i="5" s="1"/>
  <c r="M33" i="5"/>
  <c r="M119" i="5" s="1"/>
  <c r="L33" i="5"/>
  <c r="K33" i="5"/>
  <c r="K119" i="5" s="1"/>
  <c r="J33" i="5"/>
  <c r="J119" i="5" s="1"/>
  <c r="I33" i="5"/>
  <c r="I119" i="5" s="1"/>
  <c r="H33" i="5"/>
  <c r="G33" i="5"/>
  <c r="G119" i="5" s="1"/>
  <c r="F33" i="5"/>
  <c r="F119" i="5" s="1"/>
  <c r="E33" i="5"/>
  <c r="E119" i="5" s="1"/>
  <c r="AC32" i="5"/>
  <c r="AB32" i="5"/>
  <c r="AB118" i="5" s="1"/>
  <c r="AA32" i="5"/>
  <c r="AA118" i="5" s="1"/>
  <c r="Z32" i="5"/>
  <c r="Z118" i="5" s="1"/>
  <c r="Y32" i="5"/>
  <c r="X32" i="5"/>
  <c r="X118" i="5" s="1"/>
  <c r="W32" i="5"/>
  <c r="W118" i="5" s="1"/>
  <c r="V32" i="5"/>
  <c r="V118" i="5" s="1"/>
  <c r="U32" i="5"/>
  <c r="T32" i="5"/>
  <c r="T118" i="5" s="1"/>
  <c r="S32" i="5"/>
  <c r="S118" i="5" s="1"/>
  <c r="R32" i="5"/>
  <c r="R118" i="5" s="1"/>
  <c r="P32" i="5"/>
  <c r="P118" i="5" s="1"/>
  <c r="O32" i="5"/>
  <c r="O118" i="5" s="1"/>
  <c r="N32" i="5"/>
  <c r="N118" i="5" s="1"/>
  <c r="M32" i="5"/>
  <c r="L32" i="5"/>
  <c r="L118" i="5" s="1"/>
  <c r="K32" i="5"/>
  <c r="K118" i="5" s="1"/>
  <c r="J32" i="5"/>
  <c r="J118" i="5" s="1"/>
  <c r="I32" i="5"/>
  <c r="G32" i="5"/>
  <c r="G118" i="5" s="1"/>
  <c r="F32" i="5"/>
  <c r="F118" i="5" s="1"/>
  <c r="E32" i="5"/>
  <c r="AC31" i="5"/>
  <c r="AC117" i="5" s="1"/>
  <c r="AB31" i="5"/>
  <c r="AB117" i="5" s="1"/>
  <c r="AA31" i="5"/>
  <c r="AA117" i="5" s="1"/>
  <c r="Z31" i="5"/>
  <c r="Y31" i="5"/>
  <c r="Y117" i="5" s="1"/>
  <c r="X31" i="5"/>
  <c r="X117" i="5" s="1"/>
  <c r="W31" i="5"/>
  <c r="W117" i="5" s="1"/>
  <c r="V31" i="5"/>
  <c r="U31" i="5"/>
  <c r="U117" i="5" s="1"/>
  <c r="T31" i="5"/>
  <c r="T117" i="5" s="1"/>
  <c r="S31" i="5"/>
  <c r="S117" i="5" s="1"/>
  <c r="R31" i="5"/>
  <c r="AD31" i="5" s="1"/>
  <c r="AD117" i="5" s="1"/>
  <c r="P31" i="5"/>
  <c r="P117" i="5" s="1"/>
  <c r="O31" i="5"/>
  <c r="O117" i="5" s="1"/>
  <c r="N31" i="5"/>
  <c r="M31" i="5"/>
  <c r="M117" i="5" s="1"/>
  <c r="L31" i="5"/>
  <c r="L117" i="5" s="1"/>
  <c r="K31" i="5"/>
  <c r="K117" i="5" s="1"/>
  <c r="J31" i="5"/>
  <c r="I31" i="5"/>
  <c r="I117" i="5" s="1"/>
  <c r="H31" i="5"/>
  <c r="H117" i="5" s="1"/>
  <c r="G31" i="5"/>
  <c r="G117" i="5" s="1"/>
  <c r="F31" i="5"/>
  <c r="E31" i="5"/>
  <c r="E117" i="5" s="1"/>
  <c r="AC30" i="5"/>
  <c r="AC116" i="5" s="1"/>
  <c r="AB30" i="5"/>
  <c r="AB116" i="5" s="1"/>
  <c r="AA30" i="5"/>
  <c r="Z30" i="5"/>
  <c r="Z116" i="5" s="1"/>
  <c r="Y30" i="5"/>
  <c r="Y116" i="5" s="1"/>
  <c r="X30" i="5"/>
  <c r="X116" i="5" s="1"/>
  <c r="W30" i="5"/>
  <c r="V30" i="5"/>
  <c r="V116" i="5" s="1"/>
  <c r="U30" i="5"/>
  <c r="U116" i="5" s="1"/>
  <c r="T30" i="5"/>
  <c r="T116" i="5" s="1"/>
  <c r="S30" i="5"/>
  <c r="R30" i="5"/>
  <c r="R116" i="5" s="1"/>
  <c r="P30" i="5"/>
  <c r="P116" i="5" s="1"/>
  <c r="O30" i="5"/>
  <c r="N30" i="5"/>
  <c r="N116" i="5" s="1"/>
  <c r="M30" i="5"/>
  <c r="M116" i="5" s="1"/>
  <c r="L30" i="5"/>
  <c r="L116" i="5" s="1"/>
  <c r="K30" i="5"/>
  <c r="J30" i="5"/>
  <c r="J116" i="5" s="1"/>
  <c r="I30" i="5"/>
  <c r="I116" i="5" s="1"/>
  <c r="H30" i="5"/>
  <c r="H116" i="5" s="1"/>
  <c r="G30" i="5"/>
  <c r="F30" i="5"/>
  <c r="F116" i="5" s="1"/>
  <c r="E30" i="5"/>
  <c r="E116" i="5" s="1"/>
  <c r="AC29" i="5"/>
  <c r="AC115" i="5" s="1"/>
  <c r="AB29" i="5"/>
  <c r="AA29" i="5"/>
  <c r="AA115" i="5" s="1"/>
  <c r="Z29" i="5"/>
  <c r="Z115" i="5" s="1"/>
  <c r="Y29" i="5"/>
  <c r="Y115" i="5" s="1"/>
  <c r="X29" i="5"/>
  <c r="W29" i="5"/>
  <c r="W115" i="5" s="1"/>
  <c r="V29" i="5"/>
  <c r="V115" i="5" s="1"/>
  <c r="U29" i="5"/>
  <c r="U115" i="5" s="1"/>
  <c r="T29" i="5"/>
  <c r="S29" i="5"/>
  <c r="S115" i="5" s="1"/>
  <c r="R29" i="5"/>
  <c r="R115" i="5" s="1"/>
  <c r="P29" i="5"/>
  <c r="O29" i="5"/>
  <c r="O115" i="5" s="1"/>
  <c r="N29" i="5"/>
  <c r="N115" i="5" s="1"/>
  <c r="M29" i="5"/>
  <c r="M115" i="5" s="1"/>
  <c r="L29" i="5"/>
  <c r="K29" i="5"/>
  <c r="K115" i="5" s="1"/>
  <c r="J29" i="5"/>
  <c r="J115" i="5" s="1"/>
  <c r="I29" i="5"/>
  <c r="I115" i="5" s="1"/>
  <c r="H29" i="5"/>
  <c r="G29" i="5"/>
  <c r="G115" i="5" s="1"/>
  <c r="F29" i="5"/>
  <c r="F115" i="5" s="1"/>
  <c r="E29" i="5"/>
  <c r="E115" i="5" s="1"/>
  <c r="AC28" i="5"/>
  <c r="AB28" i="5"/>
  <c r="AB114" i="5" s="1"/>
  <c r="AA28" i="5"/>
  <c r="AA114" i="5" s="1"/>
  <c r="Z28" i="5"/>
  <c r="Z114" i="5" s="1"/>
  <c r="Y28" i="5"/>
  <c r="X28" i="5"/>
  <c r="X114" i="5" s="1"/>
  <c r="W28" i="5"/>
  <c r="W114" i="5" s="1"/>
  <c r="V28" i="5"/>
  <c r="V114" i="5" s="1"/>
  <c r="U28" i="5"/>
  <c r="T28" i="5"/>
  <c r="T114" i="5" s="1"/>
  <c r="S28" i="5"/>
  <c r="S114" i="5" s="1"/>
  <c r="R28" i="5"/>
  <c r="R114" i="5" s="1"/>
  <c r="P28" i="5"/>
  <c r="P114" i="5" s="1"/>
  <c r="O28" i="5"/>
  <c r="O114" i="5" s="1"/>
  <c r="N28" i="5"/>
  <c r="N114" i="5" s="1"/>
  <c r="M28" i="5"/>
  <c r="L28" i="5"/>
  <c r="L114" i="5" s="1"/>
  <c r="K28" i="5"/>
  <c r="K114" i="5" s="1"/>
  <c r="J28" i="5"/>
  <c r="J114" i="5" s="1"/>
  <c r="I28" i="5"/>
  <c r="H28" i="5"/>
  <c r="H114" i="5" s="1"/>
  <c r="G28" i="5"/>
  <c r="G114" i="5" s="1"/>
  <c r="F28" i="5"/>
  <c r="F114" i="5" s="1"/>
  <c r="E28" i="5"/>
  <c r="Q28" i="5" s="1"/>
  <c r="AC27" i="5"/>
  <c r="AC113" i="5" s="1"/>
  <c r="AB27" i="5"/>
  <c r="AB113" i="5" s="1"/>
  <c r="AA27" i="5"/>
  <c r="AA113" i="5" s="1"/>
  <c r="Z27" i="5"/>
  <c r="Y27" i="5"/>
  <c r="Y113" i="5" s="1"/>
  <c r="X27" i="5"/>
  <c r="X113" i="5" s="1"/>
  <c r="W27" i="5"/>
  <c r="W113" i="5" s="1"/>
  <c r="V27" i="5"/>
  <c r="U27" i="5"/>
  <c r="U113" i="5" s="1"/>
  <c r="T27" i="5"/>
  <c r="T113" i="5" s="1"/>
  <c r="S27" i="5"/>
  <c r="S113" i="5" s="1"/>
  <c r="R27" i="5"/>
  <c r="P27" i="5"/>
  <c r="P113" i="5" s="1"/>
  <c r="O27" i="5"/>
  <c r="O113" i="5" s="1"/>
  <c r="N27" i="5"/>
  <c r="M27" i="5"/>
  <c r="M113" i="5" s="1"/>
  <c r="L27" i="5"/>
  <c r="L113" i="5" s="1"/>
  <c r="K27" i="5"/>
  <c r="K113" i="5" s="1"/>
  <c r="J27" i="5"/>
  <c r="I27" i="5"/>
  <c r="I113" i="5" s="1"/>
  <c r="H27" i="5"/>
  <c r="H113" i="5" s="1"/>
  <c r="G27" i="5"/>
  <c r="G113" i="5" s="1"/>
  <c r="F27" i="5"/>
  <c r="E27" i="5"/>
  <c r="E113" i="5" s="1"/>
  <c r="AC26" i="5"/>
  <c r="AC112" i="5" s="1"/>
  <c r="AB26" i="5"/>
  <c r="AB112" i="5" s="1"/>
  <c r="AA26" i="5"/>
  <c r="Z26" i="5"/>
  <c r="Z112" i="5" s="1"/>
  <c r="Y26" i="5"/>
  <c r="Y112" i="5" s="1"/>
  <c r="X26" i="5"/>
  <c r="X112" i="5" s="1"/>
  <c r="W26" i="5"/>
  <c r="V26" i="5"/>
  <c r="V112" i="5" s="1"/>
  <c r="U26" i="5"/>
  <c r="U112" i="5" s="1"/>
  <c r="T26" i="5"/>
  <c r="T112" i="5" s="1"/>
  <c r="S26" i="5"/>
  <c r="R26" i="5"/>
  <c r="R112" i="5" s="1"/>
  <c r="AC25" i="5"/>
  <c r="AC111" i="5" s="1"/>
  <c r="AB25" i="5"/>
  <c r="AA25" i="5"/>
  <c r="AA111" i="5" s="1"/>
  <c r="Z25" i="5"/>
  <c r="Z111" i="5" s="1"/>
  <c r="Y25" i="5"/>
  <c r="Y111" i="5" s="1"/>
  <c r="X25" i="5"/>
  <c r="W25" i="5"/>
  <c r="W111" i="5" s="1"/>
  <c r="V25" i="5"/>
  <c r="V111" i="5" s="1"/>
  <c r="U25" i="5"/>
  <c r="U111" i="5" s="1"/>
  <c r="T25" i="5"/>
  <c r="S25" i="5"/>
  <c r="S111" i="5" s="1"/>
  <c r="R25" i="5"/>
  <c r="R111" i="5" s="1"/>
  <c r="P25" i="5"/>
  <c r="O25" i="5"/>
  <c r="O111" i="5" s="1"/>
  <c r="N25" i="5"/>
  <c r="N111" i="5" s="1"/>
  <c r="M25" i="5"/>
  <c r="M111" i="5" s="1"/>
  <c r="L25" i="5"/>
  <c r="K25" i="5"/>
  <c r="K111" i="5" s="1"/>
  <c r="J25" i="5"/>
  <c r="J111" i="5" s="1"/>
  <c r="I25" i="5"/>
  <c r="I111" i="5" s="1"/>
  <c r="H25" i="5"/>
  <c r="G25" i="5"/>
  <c r="G111" i="5" s="1"/>
  <c r="F25" i="5"/>
  <c r="F111" i="5" s="1"/>
  <c r="E25" i="5"/>
  <c r="E111" i="5" s="1"/>
  <c r="AC24" i="5"/>
  <c r="AB24" i="5"/>
  <c r="AB110" i="5" s="1"/>
  <c r="AA24" i="5"/>
  <c r="AA110" i="5" s="1"/>
  <c r="Z24" i="5"/>
  <c r="Z110" i="5" s="1"/>
  <c r="Y24" i="5"/>
  <c r="X24" i="5"/>
  <c r="X110" i="5" s="1"/>
  <c r="W24" i="5"/>
  <c r="W110" i="5" s="1"/>
  <c r="V24" i="5"/>
  <c r="V110" i="5" s="1"/>
  <c r="U24" i="5"/>
  <c r="T24" i="5"/>
  <c r="T110" i="5" s="1"/>
  <c r="S24" i="5"/>
  <c r="S110" i="5" s="1"/>
  <c r="R24" i="5"/>
  <c r="R110" i="5" s="1"/>
  <c r="P24" i="5"/>
  <c r="P110" i="5" s="1"/>
  <c r="O24" i="5"/>
  <c r="O110" i="5" s="1"/>
  <c r="N24" i="5"/>
  <c r="N110" i="5" s="1"/>
  <c r="M24" i="5"/>
  <c r="L24" i="5"/>
  <c r="L110" i="5" s="1"/>
  <c r="K24" i="5"/>
  <c r="K110" i="5" s="1"/>
  <c r="J24" i="5"/>
  <c r="J110" i="5" s="1"/>
  <c r="I24" i="5"/>
  <c r="H24" i="5"/>
  <c r="H110" i="5" s="1"/>
  <c r="G24" i="5"/>
  <c r="G110" i="5" s="1"/>
  <c r="F24" i="5"/>
  <c r="F110" i="5" s="1"/>
  <c r="E24" i="5"/>
  <c r="Q24" i="5" s="1"/>
  <c r="AC23" i="5"/>
  <c r="AC109" i="5" s="1"/>
  <c r="AB23" i="5"/>
  <c r="AB109" i="5" s="1"/>
  <c r="AA23" i="5"/>
  <c r="AA109" i="5" s="1"/>
  <c r="Z23" i="5"/>
  <c r="Y23" i="5"/>
  <c r="Y109" i="5" s="1"/>
  <c r="X23" i="5"/>
  <c r="X109" i="5" s="1"/>
  <c r="W23" i="5"/>
  <c r="W109" i="5" s="1"/>
  <c r="V23" i="5"/>
  <c r="U23" i="5"/>
  <c r="U109" i="5" s="1"/>
  <c r="T23" i="5"/>
  <c r="T109" i="5" s="1"/>
  <c r="S23" i="5"/>
  <c r="S109" i="5" s="1"/>
  <c r="R23" i="5"/>
  <c r="P23" i="5"/>
  <c r="P109" i="5" s="1"/>
  <c r="O23" i="5"/>
  <c r="O109" i="5" s="1"/>
  <c r="N23" i="5"/>
  <c r="M23" i="5"/>
  <c r="M109" i="5" s="1"/>
  <c r="L23" i="5"/>
  <c r="L109" i="5" s="1"/>
  <c r="K23" i="5"/>
  <c r="K109" i="5" s="1"/>
  <c r="J23" i="5"/>
  <c r="I23" i="5"/>
  <c r="I109" i="5" s="1"/>
  <c r="H23" i="5"/>
  <c r="H109" i="5" s="1"/>
  <c r="G23" i="5"/>
  <c r="G109" i="5" s="1"/>
  <c r="F23" i="5"/>
  <c r="E23" i="5"/>
  <c r="E109" i="5" s="1"/>
  <c r="AC22" i="5"/>
  <c r="AC108" i="5" s="1"/>
  <c r="AB22" i="5"/>
  <c r="AB108" i="5" s="1"/>
  <c r="AA22" i="5"/>
  <c r="Z22" i="5"/>
  <c r="Z108" i="5" s="1"/>
  <c r="Y22" i="5"/>
  <c r="Y108" i="5" s="1"/>
  <c r="X22" i="5"/>
  <c r="X108" i="5" s="1"/>
  <c r="W22" i="5"/>
  <c r="V22" i="5"/>
  <c r="V108" i="5" s="1"/>
  <c r="U22" i="5"/>
  <c r="U108" i="5" s="1"/>
  <c r="T22" i="5"/>
  <c r="T108" i="5" s="1"/>
  <c r="S22" i="5"/>
  <c r="R22" i="5"/>
  <c r="R108" i="5" s="1"/>
  <c r="P22" i="5"/>
  <c r="P108" i="5" s="1"/>
  <c r="M22" i="5"/>
  <c r="M108" i="5" s="1"/>
  <c r="L22" i="5"/>
  <c r="L108" i="5" s="1"/>
  <c r="I22" i="5"/>
  <c r="I108" i="5" s="1"/>
  <c r="H22" i="5"/>
  <c r="H108" i="5" s="1"/>
  <c r="E22" i="5"/>
  <c r="E108" i="5" s="1"/>
  <c r="AC21" i="5"/>
  <c r="AB21" i="5"/>
  <c r="AA21" i="5"/>
  <c r="AA107" i="5" s="1"/>
  <c r="Z21" i="5"/>
  <c r="Z107" i="5" s="1"/>
  <c r="Y21" i="5"/>
  <c r="Y107" i="5" s="1"/>
  <c r="X21" i="5"/>
  <c r="W21" i="5"/>
  <c r="W107" i="5" s="1"/>
  <c r="V21" i="5"/>
  <c r="V107" i="5" s="1"/>
  <c r="U21" i="5"/>
  <c r="T21" i="5"/>
  <c r="S21" i="5"/>
  <c r="S107" i="5" s="1"/>
  <c r="R21" i="5"/>
  <c r="R107" i="5" s="1"/>
  <c r="AC20" i="5"/>
  <c r="AB20" i="5"/>
  <c r="AB132" i="5" s="1"/>
  <c r="AA20" i="5"/>
  <c r="Z20" i="5"/>
  <c r="Z106" i="5" s="1"/>
  <c r="Y20" i="5"/>
  <c r="X20" i="5"/>
  <c r="X132" i="5" s="1"/>
  <c r="W20" i="5"/>
  <c r="W44" i="5" s="1"/>
  <c r="V20" i="5"/>
  <c r="U20" i="5"/>
  <c r="T20" i="5"/>
  <c r="T132" i="5" s="1"/>
  <c r="S20" i="5"/>
  <c r="R20" i="5"/>
  <c r="R106" i="5" s="1"/>
  <c r="AH16" i="5"/>
  <c r="AD15" i="5"/>
  <c r="AC15" i="5"/>
  <c r="Z15" i="5"/>
  <c r="Y15" i="5"/>
  <c r="Y58" i="5" s="1"/>
  <c r="V15" i="5"/>
  <c r="U15" i="5"/>
  <c r="R15" i="5"/>
  <c r="AD14" i="5"/>
  <c r="Q14" i="5"/>
  <c r="AD13" i="5"/>
  <c r="N13" i="5"/>
  <c r="N15" i="5" s="1"/>
  <c r="J13" i="5"/>
  <c r="F13" i="5"/>
  <c r="F15" i="5" s="1"/>
  <c r="AC12" i="5"/>
  <c r="AB12" i="5"/>
  <c r="AB15" i="5" s="1"/>
  <c r="AB58" i="5" s="1"/>
  <c r="AA12" i="5"/>
  <c r="AA15" i="5" s="1"/>
  <c r="AA59" i="5" s="1"/>
  <c r="Z12" i="5"/>
  <c r="Y12" i="5"/>
  <c r="X12" i="5"/>
  <c r="X15" i="5" s="1"/>
  <c r="X105" i="6" s="1"/>
  <c r="W12" i="5"/>
  <c r="W15" i="5" s="1"/>
  <c r="V12" i="5"/>
  <c r="U12" i="5"/>
  <c r="T12" i="5"/>
  <c r="T15" i="5" s="1"/>
  <c r="T58" i="5" s="1"/>
  <c r="S12" i="5"/>
  <c r="S15" i="5" s="1"/>
  <c r="S59" i="5" s="1"/>
  <c r="R12" i="5"/>
  <c r="O12" i="5"/>
  <c r="O13" i="5" s="1"/>
  <c r="G12" i="5"/>
  <c r="G13" i="5" s="1"/>
  <c r="AD11" i="5"/>
  <c r="P11" i="5"/>
  <c r="O11" i="5"/>
  <c r="N11" i="5"/>
  <c r="M11" i="5"/>
  <c r="L11" i="5"/>
  <c r="L12" i="5" s="1"/>
  <c r="K11" i="5"/>
  <c r="K12" i="5" s="1"/>
  <c r="J11" i="5"/>
  <c r="I11" i="5"/>
  <c r="H11" i="5"/>
  <c r="G11" i="5"/>
  <c r="F11" i="5"/>
  <c r="E11" i="5"/>
  <c r="AD10" i="5"/>
  <c r="P10" i="5"/>
  <c r="P12" i="5" s="1"/>
  <c r="M10" i="5"/>
  <c r="L10" i="5"/>
  <c r="I10" i="5"/>
  <c r="H10" i="5"/>
  <c r="H12" i="5" s="1"/>
  <c r="E10" i="5"/>
  <c r="Q10" i="5" s="1"/>
  <c r="AD9" i="5"/>
  <c r="AD12" i="5" s="1"/>
  <c r="P9" i="5"/>
  <c r="O9" i="5"/>
  <c r="N9" i="5"/>
  <c r="N12" i="5" s="1"/>
  <c r="M9" i="5"/>
  <c r="M12" i="5" s="1"/>
  <c r="M13" i="5" s="1"/>
  <c r="L9" i="5"/>
  <c r="K9" i="5"/>
  <c r="J9" i="5"/>
  <c r="J12" i="5" s="1"/>
  <c r="J15" i="5" s="1"/>
  <c r="I9" i="5"/>
  <c r="I12" i="5" s="1"/>
  <c r="I13" i="5" s="1"/>
  <c r="H9" i="5"/>
  <c r="G9" i="5"/>
  <c r="F9" i="5"/>
  <c r="F12" i="5" s="1"/>
  <c r="E9" i="5"/>
  <c r="E12" i="5" s="1"/>
  <c r="E13" i="5" s="1"/>
  <c r="AD7" i="5"/>
  <c r="AD7" i="7" s="1"/>
  <c r="AC7" i="5"/>
  <c r="AC7" i="8" s="1"/>
  <c r="AB7" i="5"/>
  <c r="AA7" i="5"/>
  <c r="Z7" i="5"/>
  <c r="Z7" i="7" s="1"/>
  <c r="Y7" i="5"/>
  <c r="Y7" i="8" s="1"/>
  <c r="X7" i="5"/>
  <c r="W7" i="5"/>
  <c r="V7" i="5"/>
  <c r="V7" i="7" s="1"/>
  <c r="U7" i="5"/>
  <c r="U7" i="8" s="1"/>
  <c r="T7" i="5"/>
  <c r="S7" i="5"/>
  <c r="R7" i="5"/>
  <c r="R7" i="7" s="1"/>
  <c r="Q7" i="5"/>
  <c r="Q7" i="8" s="1"/>
  <c r="P7" i="5"/>
  <c r="O7" i="5"/>
  <c r="N7" i="5"/>
  <c r="N7" i="7" s="1"/>
  <c r="M7" i="5"/>
  <c r="M7" i="8" s="1"/>
  <c r="L7" i="5"/>
  <c r="K7" i="5"/>
  <c r="J7" i="5"/>
  <c r="J7" i="7" s="1"/>
  <c r="I7" i="5"/>
  <c r="I7" i="8" s="1"/>
  <c r="H7" i="5"/>
  <c r="G7" i="5"/>
  <c r="F7" i="5"/>
  <c r="F7" i="7" s="1"/>
  <c r="E7" i="5"/>
  <c r="E7" i="8" s="1"/>
  <c r="AD6" i="5"/>
  <c r="AC6" i="5"/>
  <c r="AB6" i="5"/>
  <c r="AB6" i="7" s="1"/>
  <c r="AA6" i="5"/>
  <c r="AA6" i="8" s="1"/>
  <c r="Z6" i="5"/>
  <c r="Y6" i="5"/>
  <c r="X6" i="5"/>
  <c r="X6" i="7" s="1"/>
  <c r="W6" i="5"/>
  <c r="W6" i="8" s="1"/>
  <c r="V6" i="5"/>
  <c r="U6" i="5"/>
  <c r="T6" i="5"/>
  <c r="T6" i="7" s="1"/>
  <c r="S6" i="5"/>
  <c r="S6" i="8" s="1"/>
  <c r="R6" i="5"/>
  <c r="Q6" i="5"/>
  <c r="P6" i="5"/>
  <c r="P6" i="7" s="1"/>
  <c r="O6" i="5"/>
  <c r="O6" i="8" s="1"/>
  <c r="N6" i="5"/>
  <c r="M6" i="5"/>
  <c r="L6" i="5"/>
  <c r="L6" i="7" s="1"/>
  <c r="K6" i="5"/>
  <c r="K6" i="8" s="1"/>
  <c r="J6" i="5"/>
  <c r="I6" i="5"/>
  <c r="H6" i="5"/>
  <c r="H6" i="7" s="1"/>
  <c r="G6" i="5"/>
  <c r="G6" i="8" s="1"/>
  <c r="F6" i="5"/>
  <c r="E6" i="5"/>
  <c r="D4" i="5"/>
  <c r="AI78" i="1"/>
  <c r="Q77" i="1"/>
  <c r="AP77" i="1" s="1"/>
  <c r="AM76" i="1"/>
  <c r="Q76" i="1"/>
  <c r="AP76" i="1" s="1"/>
  <c r="AB73" i="1"/>
  <c r="X73" i="1"/>
  <c r="T73" i="1"/>
  <c r="AC72" i="1"/>
  <c r="AB72" i="1"/>
  <c r="AA72" i="1"/>
  <c r="Z72" i="1"/>
  <c r="Y72" i="1"/>
  <c r="Y74" i="1" s="1"/>
  <c r="Y75" i="1" s="1"/>
  <c r="X72" i="1"/>
  <c r="W72" i="1"/>
  <c r="V72" i="1"/>
  <c r="U72" i="1"/>
  <c r="T72" i="1"/>
  <c r="S72" i="1"/>
  <c r="R72" i="1"/>
  <c r="P72" i="1"/>
  <c r="N72" i="1"/>
  <c r="M72" i="1"/>
  <c r="L72" i="1"/>
  <c r="J72" i="1"/>
  <c r="I72" i="1"/>
  <c r="H72" i="1"/>
  <c r="F72" i="1"/>
  <c r="E72" i="1"/>
  <c r="AC71" i="1"/>
  <c r="AC73" i="1" s="1"/>
  <c r="AB71" i="1"/>
  <c r="AA71" i="1"/>
  <c r="AA73" i="1" s="1"/>
  <c r="Z71" i="1"/>
  <c r="Z73" i="1" s="1"/>
  <c r="Y71" i="1"/>
  <c r="Y73" i="1" s="1"/>
  <c r="X71" i="1"/>
  <c r="W71" i="1"/>
  <c r="W73" i="1" s="1"/>
  <c r="V71" i="1"/>
  <c r="V73" i="1" s="1"/>
  <c r="U71" i="1"/>
  <c r="U73" i="1" s="1"/>
  <c r="T71" i="1"/>
  <c r="S71" i="1"/>
  <c r="S73" i="1" s="1"/>
  <c r="R71" i="1"/>
  <c r="R73" i="1" s="1"/>
  <c r="O71" i="1"/>
  <c r="N71" i="1"/>
  <c r="K71" i="1"/>
  <c r="J71" i="1"/>
  <c r="J73" i="1" s="1"/>
  <c r="G71" i="1"/>
  <c r="F71" i="1"/>
  <c r="AM70" i="1"/>
  <c r="AC67" i="1"/>
  <c r="AB67" i="1"/>
  <c r="AA67" i="1"/>
  <c r="Z67" i="1"/>
  <c r="Y67" i="1"/>
  <c r="X67" i="1"/>
  <c r="W67" i="1"/>
  <c r="V67" i="1"/>
  <c r="U67" i="1"/>
  <c r="T67" i="1"/>
  <c r="S67" i="1"/>
  <c r="R67" i="1"/>
  <c r="AD67" i="1" s="1"/>
  <c r="P67" i="1"/>
  <c r="O67" i="1"/>
  <c r="N67" i="1"/>
  <c r="M67" i="1"/>
  <c r="L67" i="1"/>
  <c r="K67" i="1"/>
  <c r="J67" i="1"/>
  <c r="I67" i="1"/>
  <c r="H67" i="1"/>
  <c r="G67" i="1"/>
  <c r="F67" i="1"/>
  <c r="E67" i="1"/>
  <c r="Q67" i="1" s="1"/>
  <c r="AM66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P63" i="1"/>
  <c r="O63" i="1"/>
  <c r="N63" i="1"/>
  <c r="M63" i="1"/>
  <c r="L63" i="1"/>
  <c r="K63" i="1"/>
  <c r="J63" i="1"/>
  <c r="I63" i="1"/>
  <c r="H63" i="1"/>
  <c r="G63" i="1"/>
  <c r="F63" i="1"/>
  <c r="E63" i="1"/>
  <c r="Q63" i="1" s="1"/>
  <c r="AM63" i="1" s="1"/>
  <c r="AM62" i="1"/>
  <c r="AM61" i="1"/>
  <c r="AE61" i="1"/>
  <c r="Q61" i="1"/>
  <c r="AM60" i="1"/>
  <c r="AD59" i="1"/>
  <c r="AE59" i="1" s="1"/>
  <c r="Q59" i="1"/>
  <c r="AH59" i="1" s="1"/>
  <c r="AM58" i="1"/>
  <c r="K55" i="1"/>
  <c r="AC54" i="1"/>
  <c r="AB54" i="1"/>
  <c r="AA54" i="1"/>
  <c r="Z54" i="1"/>
  <c r="Y54" i="1"/>
  <c r="X54" i="1"/>
  <c r="W54" i="1"/>
  <c r="V54" i="1"/>
  <c r="U54" i="1"/>
  <c r="T54" i="1"/>
  <c r="S54" i="1"/>
  <c r="R54" i="1"/>
  <c r="AD54" i="1" s="1"/>
  <c r="P54" i="1"/>
  <c r="O54" i="1"/>
  <c r="N54" i="1"/>
  <c r="M54" i="1"/>
  <c r="L54" i="1"/>
  <c r="K54" i="1"/>
  <c r="J54" i="1"/>
  <c r="I54" i="1"/>
  <c r="H54" i="1"/>
  <c r="G54" i="1"/>
  <c r="F54" i="1"/>
  <c r="E54" i="1"/>
  <c r="AC53" i="1"/>
  <c r="AB53" i="1"/>
  <c r="AA53" i="1"/>
  <c r="Z53" i="1"/>
  <c r="Y53" i="1"/>
  <c r="X53" i="1"/>
  <c r="W53" i="1"/>
  <c r="V53" i="1"/>
  <c r="U53" i="1"/>
  <c r="T53" i="1"/>
  <c r="S53" i="1"/>
  <c r="R53" i="1"/>
  <c r="AD53" i="1" s="1"/>
  <c r="P53" i="1"/>
  <c r="O53" i="1"/>
  <c r="N53" i="1"/>
  <c r="M53" i="1"/>
  <c r="L53" i="1"/>
  <c r="K53" i="1"/>
  <c r="J53" i="1"/>
  <c r="I53" i="1"/>
  <c r="H53" i="1"/>
  <c r="G53" i="1"/>
  <c r="F53" i="1"/>
  <c r="E53" i="1"/>
  <c r="AC52" i="1"/>
  <c r="AB52" i="1"/>
  <c r="AA52" i="1"/>
  <c r="Z52" i="1"/>
  <c r="Y52" i="1"/>
  <c r="X52" i="1"/>
  <c r="W52" i="1"/>
  <c r="V52" i="1"/>
  <c r="U52" i="1"/>
  <c r="T52" i="1"/>
  <c r="S52" i="1"/>
  <c r="R52" i="1"/>
  <c r="P52" i="1"/>
  <c r="O52" i="1"/>
  <c r="N52" i="1"/>
  <c r="M52" i="1"/>
  <c r="L52" i="1"/>
  <c r="K52" i="1"/>
  <c r="J52" i="1"/>
  <c r="I52" i="1"/>
  <c r="H52" i="1"/>
  <c r="G52" i="1"/>
  <c r="F52" i="1"/>
  <c r="E52" i="1"/>
  <c r="Q52" i="1" s="1"/>
  <c r="AC51" i="1"/>
  <c r="AB51" i="1"/>
  <c r="AA51" i="1"/>
  <c r="AA55" i="1" s="1"/>
  <c r="Z51" i="1"/>
  <c r="Y51" i="1"/>
  <c r="X51" i="1"/>
  <c r="X55" i="1" s="1"/>
  <c r="W51" i="1"/>
  <c r="W55" i="1" s="1"/>
  <c r="V51" i="1"/>
  <c r="U51" i="1"/>
  <c r="T51" i="1"/>
  <c r="S51" i="1"/>
  <c r="S55" i="1" s="1"/>
  <c r="R51" i="1"/>
  <c r="P51" i="1"/>
  <c r="O51" i="1"/>
  <c r="N51" i="1"/>
  <c r="M51" i="1"/>
  <c r="L51" i="1"/>
  <c r="K51" i="1"/>
  <c r="J51" i="1"/>
  <c r="I51" i="1"/>
  <c r="H51" i="1"/>
  <c r="G51" i="1"/>
  <c r="F51" i="1"/>
  <c r="E51" i="1"/>
  <c r="AC50" i="1"/>
  <c r="AB50" i="1"/>
  <c r="AA50" i="1"/>
  <c r="Z50" i="1"/>
  <c r="Y50" i="1"/>
  <c r="X50" i="1"/>
  <c r="W50" i="1"/>
  <c r="V50" i="1"/>
  <c r="U50" i="1"/>
  <c r="T50" i="1"/>
  <c r="S50" i="1"/>
  <c r="R50" i="1"/>
  <c r="AD50" i="1" s="1"/>
  <c r="P50" i="1"/>
  <c r="O50" i="1"/>
  <c r="N50" i="1"/>
  <c r="M50" i="1"/>
  <c r="L50" i="1"/>
  <c r="K50" i="1"/>
  <c r="J50" i="1"/>
  <c r="I50" i="1"/>
  <c r="H50" i="1"/>
  <c r="G50" i="1"/>
  <c r="F50" i="1"/>
  <c r="E50" i="1"/>
  <c r="Q50" i="1" s="1"/>
  <c r="AJ50" i="1" s="1"/>
  <c r="AC49" i="1"/>
  <c r="AB49" i="1"/>
  <c r="AA49" i="1"/>
  <c r="Z49" i="1"/>
  <c r="Z55" i="1" s="1"/>
  <c r="Y49" i="1"/>
  <c r="X49" i="1"/>
  <c r="W49" i="1"/>
  <c r="V49" i="1"/>
  <c r="V55" i="1" s="1"/>
  <c r="U49" i="1"/>
  <c r="T49" i="1"/>
  <c r="S49" i="1"/>
  <c r="R49" i="1"/>
  <c r="R55" i="1" s="1"/>
  <c r="P49" i="1"/>
  <c r="P55" i="1" s="1"/>
  <c r="O49" i="1"/>
  <c r="N49" i="1"/>
  <c r="M49" i="1"/>
  <c r="M55" i="1" s="1"/>
  <c r="L49" i="1"/>
  <c r="L55" i="1" s="1"/>
  <c r="K49" i="1"/>
  <c r="J49" i="1"/>
  <c r="I49" i="1"/>
  <c r="I55" i="1" s="1"/>
  <c r="H49" i="1"/>
  <c r="H55" i="1" s="1"/>
  <c r="G49" i="1"/>
  <c r="F49" i="1"/>
  <c r="E49" i="1"/>
  <c r="E55" i="1" s="1"/>
  <c r="AM48" i="1"/>
  <c r="AH48" i="1"/>
  <c r="AB47" i="1"/>
  <c r="W47" i="1"/>
  <c r="P47" i="1"/>
  <c r="L47" i="1"/>
  <c r="H47" i="1"/>
  <c r="AM46" i="1"/>
  <c r="AJ46" i="1"/>
  <c r="Q46" i="1"/>
  <c r="AC45" i="1"/>
  <c r="AB45" i="1"/>
  <c r="AA45" i="1"/>
  <c r="AA47" i="1" s="1"/>
  <c r="Z45" i="1"/>
  <c r="Y45" i="1"/>
  <c r="X45" i="1"/>
  <c r="W45" i="1"/>
  <c r="V45" i="1"/>
  <c r="U45" i="1"/>
  <c r="T45" i="1"/>
  <c r="S45" i="1"/>
  <c r="S47" i="1" s="1"/>
  <c r="R45" i="1"/>
  <c r="AD45" i="1" s="1"/>
  <c r="P45" i="1"/>
  <c r="O45" i="1"/>
  <c r="N45" i="1"/>
  <c r="M45" i="1"/>
  <c r="L45" i="1"/>
  <c r="K45" i="1"/>
  <c r="J45" i="1"/>
  <c r="I45" i="1"/>
  <c r="H45" i="1"/>
  <c r="G45" i="1"/>
  <c r="F45" i="1"/>
  <c r="E45" i="1"/>
  <c r="AH44" i="1"/>
  <c r="AC44" i="1"/>
  <c r="AB44" i="1"/>
  <c r="AA44" i="1"/>
  <c r="Z44" i="1"/>
  <c r="Y44" i="1"/>
  <c r="X44" i="1"/>
  <c r="X47" i="1" s="1"/>
  <c r="W44" i="1"/>
  <c r="V44" i="1"/>
  <c r="U44" i="1"/>
  <c r="T44" i="1"/>
  <c r="T47" i="1" s="1"/>
  <c r="S44" i="1"/>
  <c r="R44" i="1"/>
  <c r="AD44" i="1" s="1"/>
  <c r="Q44" i="1"/>
  <c r="AC43" i="1"/>
  <c r="AC47" i="1" s="1"/>
  <c r="AB43" i="1"/>
  <c r="AA43" i="1"/>
  <c r="Z43" i="1"/>
  <c r="Z47" i="1" s="1"/>
  <c r="Y43" i="1"/>
  <c r="Y47" i="1" s="1"/>
  <c r="X43" i="1"/>
  <c r="W43" i="1"/>
  <c r="V43" i="1"/>
  <c r="V47" i="1" s="1"/>
  <c r="U43" i="1"/>
  <c r="U47" i="1" s="1"/>
  <c r="T43" i="1"/>
  <c r="S43" i="1"/>
  <c r="R43" i="1"/>
  <c r="R47" i="1" s="1"/>
  <c r="P43" i="1"/>
  <c r="O43" i="1"/>
  <c r="O47" i="1" s="1"/>
  <c r="N43" i="1"/>
  <c r="M43" i="1"/>
  <c r="M47" i="1" s="1"/>
  <c r="L43" i="1"/>
  <c r="K43" i="1"/>
  <c r="K47" i="1" s="1"/>
  <c r="J43" i="1"/>
  <c r="I43" i="1"/>
  <c r="I47" i="1" s="1"/>
  <c r="H43" i="1"/>
  <c r="G43" i="1"/>
  <c r="G47" i="1" s="1"/>
  <c r="F43" i="1"/>
  <c r="E43" i="1"/>
  <c r="AM42" i="1"/>
  <c r="AH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AM40" i="1" s="1"/>
  <c r="AJ39" i="1"/>
  <c r="AC39" i="1"/>
  <c r="AB39" i="1"/>
  <c r="AA39" i="1"/>
  <c r="Z39" i="1"/>
  <c r="Y39" i="1"/>
  <c r="X39" i="1"/>
  <c r="W39" i="1"/>
  <c r="V39" i="1"/>
  <c r="U39" i="1"/>
  <c r="T39" i="1"/>
  <c r="S39" i="1"/>
  <c r="R39" i="1"/>
  <c r="AD39" i="1" s="1"/>
  <c r="Q39" i="1"/>
  <c r="AM38" i="1"/>
  <c r="AC34" i="1"/>
  <c r="AB34" i="1"/>
  <c r="AA34" i="1"/>
  <c r="Z34" i="1"/>
  <c r="Y34" i="1"/>
  <c r="X34" i="1"/>
  <c r="W34" i="1"/>
  <c r="V34" i="1"/>
  <c r="U34" i="1"/>
  <c r="T34" i="1"/>
  <c r="S34" i="1"/>
  <c r="R34" i="1"/>
  <c r="AD34" i="1" s="1"/>
  <c r="P34" i="1"/>
  <c r="O34" i="1"/>
  <c r="N34" i="1"/>
  <c r="M34" i="1"/>
  <c r="L34" i="1"/>
  <c r="K34" i="1"/>
  <c r="J34" i="1"/>
  <c r="I34" i="1"/>
  <c r="H34" i="1"/>
  <c r="G34" i="1"/>
  <c r="F34" i="1"/>
  <c r="E34" i="1"/>
  <c r="AC33" i="1"/>
  <c r="Y33" i="1"/>
  <c r="X33" i="1"/>
  <c r="U33" i="1"/>
  <c r="AC32" i="1"/>
  <c r="AB32" i="1"/>
  <c r="AA32" i="1"/>
  <c r="Z32" i="1"/>
  <c r="Y32" i="1"/>
  <c r="X32" i="1"/>
  <c r="W32" i="1"/>
  <c r="V32" i="1"/>
  <c r="U32" i="1"/>
  <c r="T32" i="1"/>
  <c r="S32" i="1"/>
  <c r="R32" i="1"/>
  <c r="AM29" i="1"/>
  <c r="AA27" i="1"/>
  <c r="Y27" i="1"/>
  <c r="W27" i="1"/>
  <c r="S27" i="1"/>
  <c r="O27" i="1"/>
  <c r="K27" i="1"/>
  <c r="G27" i="1"/>
  <c r="AC26" i="1"/>
  <c r="AB26" i="1"/>
  <c r="AA26" i="1"/>
  <c r="Z26" i="1"/>
  <c r="Y26" i="1"/>
  <c r="X26" i="1"/>
  <c r="W26" i="1"/>
  <c r="V26" i="1"/>
  <c r="U26" i="1"/>
  <c r="T26" i="1"/>
  <c r="S26" i="1"/>
  <c r="R26" i="1"/>
  <c r="P26" i="1"/>
  <c r="O26" i="1"/>
  <c r="N26" i="1"/>
  <c r="M26" i="1"/>
  <c r="L26" i="1"/>
  <c r="K26" i="1"/>
  <c r="J26" i="1"/>
  <c r="I26" i="1"/>
  <c r="H26" i="1"/>
  <c r="G26" i="1"/>
  <c r="F26" i="1"/>
  <c r="E26" i="1"/>
  <c r="Q26" i="1" s="1"/>
  <c r="AM22" i="1"/>
  <c r="AM17" i="1"/>
  <c r="AC15" i="1"/>
  <c r="AC27" i="1" s="1"/>
  <c r="AB15" i="1"/>
  <c r="AB27" i="1" s="1"/>
  <c r="AA15" i="1"/>
  <c r="Z15" i="1"/>
  <c r="Z27" i="1" s="1"/>
  <c r="Y15" i="1"/>
  <c r="X15" i="1"/>
  <c r="X27" i="1" s="1"/>
  <c r="W15" i="1"/>
  <c r="V15" i="1"/>
  <c r="V27" i="1" s="1"/>
  <c r="U15" i="1"/>
  <c r="U27" i="1" s="1"/>
  <c r="T15" i="1"/>
  <c r="T27" i="1" s="1"/>
  <c r="S15" i="1"/>
  <c r="R15" i="1"/>
  <c r="R27" i="1" s="1"/>
  <c r="P15" i="1"/>
  <c r="P27" i="1" s="1"/>
  <c r="O15" i="1"/>
  <c r="N15" i="1"/>
  <c r="N27" i="1" s="1"/>
  <c r="M15" i="1"/>
  <c r="M27" i="1" s="1"/>
  <c r="L15" i="1"/>
  <c r="L27" i="1" s="1"/>
  <c r="K15" i="1"/>
  <c r="H15" i="1"/>
  <c r="H27" i="1" s="1"/>
  <c r="G15" i="1"/>
  <c r="F15" i="1"/>
  <c r="F27" i="1" s="1"/>
  <c r="E15" i="1"/>
  <c r="E27" i="1" s="1"/>
  <c r="AM14" i="1"/>
  <c r="AH14" i="1"/>
  <c r="AD14" i="1"/>
  <c r="AD26" i="1" s="1"/>
  <c r="Q14" i="1"/>
  <c r="AJ14" i="1" s="1"/>
  <c r="Y13" i="1"/>
  <c r="N13" i="1"/>
  <c r="F13" i="1"/>
  <c r="Z12" i="1"/>
  <c r="AC11" i="1"/>
  <c r="AC74" i="1" s="1"/>
  <c r="AC75" i="1" s="1"/>
  <c r="AB11" i="1"/>
  <c r="AA11" i="1"/>
  <c r="Z11" i="1"/>
  <c r="Y11" i="1"/>
  <c r="X11" i="1"/>
  <c r="W11" i="1"/>
  <c r="V11" i="1"/>
  <c r="U11" i="1"/>
  <c r="U74" i="1" s="1"/>
  <c r="U75" i="1" s="1"/>
  <c r="T11" i="1"/>
  <c r="S11" i="1"/>
  <c r="R11" i="1"/>
  <c r="N11" i="1"/>
  <c r="M55" i="50" s="1"/>
  <c r="J11" i="1"/>
  <c r="F11" i="1"/>
  <c r="E55" i="50" s="1"/>
  <c r="P2" i="1"/>
  <c r="O2" i="1"/>
  <c r="N2" i="1"/>
  <c r="M2" i="1"/>
  <c r="L2" i="1"/>
  <c r="K2" i="1"/>
  <c r="J2" i="1"/>
  <c r="I2" i="1"/>
  <c r="H2" i="1"/>
  <c r="G2" i="1"/>
  <c r="F2" i="1"/>
  <c r="E2" i="1"/>
  <c r="AM77" i="1" l="1"/>
  <c r="AE76" i="1"/>
  <c r="Z16" i="1"/>
  <c r="AH26" i="1"/>
  <c r="AM26" i="1"/>
  <c r="AJ26" i="1"/>
  <c r="AE26" i="1"/>
  <c r="AH52" i="1"/>
  <c r="AJ52" i="1"/>
  <c r="AM52" i="1"/>
  <c r="P15" i="5"/>
  <c r="P13" i="5"/>
  <c r="W130" i="5"/>
  <c r="AD69" i="5"/>
  <c r="AE66" i="5"/>
  <c r="AF66" i="5" s="1"/>
  <c r="AH66" i="5"/>
  <c r="Z46" i="6"/>
  <c r="M55" i="47"/>
  <c r="M56" i="50"/>
  <c r="AD11" i="1"/>
  <c r="AE14" i="1"/>
  <c r="AD15" i="1"/>
  <c r="AD27" i="1" s="1"/>
  <c r="AD32" i="1"/>
  <c r="G55" i="1"/>
  <c r="O55" i="1"/>
  <c r="T55" i="1"/>
  <c r="AB55" i="1"/>
  <c r="Q53" i="1"/>
  <c r="S74" i="1"/>
  <c r="S75" i="1" s="1"/>
  <c r="W74" i="1"/>
  <c r="W75" i="1" s="1"/>
  <c r="AA74" i="1"/>
  <c r="AA75" i="1" s="1"/>
  <c r="E6" i="9"/>
  <c r="E6" i="8"/>
  <c r="E6" i="7"/>
  <c r="E6" i="6"/>
  <c r="I6" i="9"/>
  <c r="I6" i="8"/>
  <c r="I6" i="6"/>
  <c r="I6" i="7"/>
  <c r="M6" i="9"/>
  <c r="M6" i="8"/>
  <c r="M6" i="7"/>
  <c r="M6" i="6"/>
  <c r="Q6" i="9"/>
  <c r="Q6" i="8"/>
  <c r="Q6" i="6"/>
  <c r="Q6" i="7"/>
  <c r="U6" i="9"/>
  <c r="U6" i="8"/>
  <c r="U6" i="7"/>
  <c r="U6" i="6"/>
  <c r="Y6" i="9"/>
  <c r="Y6" i="8"/>
  <c r="Y6" i="6"/>
  <c r="Y6" i="7"/>
  <c r="AH54" i="6"/>
  <c r="H13" i="5"/>
  <c r="H15" i="5" s="1"/>
  <c r="K13" i="5"/>
  <c r="K15" i="5" s="1"/>
  <c r="AE65" i="5"/>
  <c r="AF65" i="5" s="1"/>
  <c r="AH65" i="5"/>
  <c r="R45" i="6"/>
  <c r="R46" i="6" s="1"/>
  <c r="E55" i="47"/>
  <c r="E56" i="50"/>
  <c r="I55" i="50"/>
  <c r="J74" i="1"/>
  <c r="J75" i="1" s="1"/>
  <c r="AH39" i="1"/>
  <c r="AE39" i="1"/>
  <c r="AE44" i="1"/>
  <c r="AM44" i="1"/>
  <c r="AJ44" i="1"/>
  <c r="U55" i="1"/>
  <c r="Y55" i="1"/>
  <c r="AC55" i="1"/>
  <c r="Q54" i="1"/>
  <c r="AE63" i="1"/>
  <c r="N74" i="1"/>
  <c r="AE77" i="1"/>
  <c r="AJ77" i="1"/>
  <c r="J105" i="6"/>
  <c r="J59" i="5"/>
  <c r="J58" i="5"/>
  <c r="J20" i="8"/>
  <c r="AE10" i="5"/>
  <c r="AF10" i="5" s="1"/>
  <c r="AH10" i="5"/>
  <c r="N105" i="6"/>
  <c r="N59" i="5"/>
  <c r="N58" i="5"/>
  <c r="N20" i="8"/>
  <c r="AB98" i="5"/>
  <c r="AB17" i="5" s="1"/>
  <c r="AB103" i="5" s="1"/>
  <c r="AE79" i="5"/>
  <c r="AF79" i="5" s="1"/>
  <c r="AH79" i="5"/>
  <c r="AH80" i="5"/>
  <c r="AE83" i="5"/>
  <c r="AF83" i="5" s="1"/>
  <c r="AH83" i="5"/>
  <c r="AH50" i="6"/>
  <c r="AE50" i="6"/>
  <c r="AF50" i="6" s="1"/>
  <c r="AG34" i="10"/>
  <c r="AM67" i="1"/>
  <c r="AJ67" i="1"/>
  <c r="AH67" i="1"/>
  <c r="AE67" i="1"/>
  <c r="Q34" i="1"/>
  <c r="AM39" i="1"/>
  <c r="Q43" i="1"/>
  <c r="AD43" i="1"/>
  <c r="AD47" i="1" s="1"/>
  <c r="Q45" i="1"/>
  <c r="AH50" i="1"/>
  <c r="AE50" i="1"/>
  <c r="AM50" i="1"/>
  <c r="AD52" i="1"/>
  <c r="AE52" i="1" s="1"/>
  <c r="R74" i="1"/>
  <c r="R75" i="1" s="1"/>
  <c r="V74" i="1"/>
  <c r="V75" i="1" s="1"/>
  <c r="Z74" i="1"/>
  <c r="Z75" i="1" s="1"/>
  <c r="L13" i="5"/>
  <c r="L15" i="5" s="1"/>
  <c r="F105" i="6"/>
  <c r="F59" i="5"/>
  <c r="F58" i="5"/>
  <c r="F20" i="8"/>
  <c r="M98" i="5"/>
  <c r="M17" i="5" s="1"/>
  <c r="M103" i="5" s="1"/>
  <c r="AE75" i="5"/>
  <c r="AF75" i="5" s="1"/>
  <c r="AH75" i="5"/>
  <c r="I98" i="5"/>
  <c r="I17" i="5" s="1"/>
  <c r="I103" i="5" s="1"/>
  <c r="AD40" i="1"/>
  <c r="AE40" i="1" s="1"/>
  <c r="F47" i="1"/>
  <c r="J47" i="1"/>
  <c r="N47" i="1"/>
  <c r="AH46" i="1"/>
  <c r="AE46" i="1"/>
  <c r="F55" i="1"/>
  <c r="J55" i="1"/>
  <c r="N55" i="1"/>
  <c r="AJ59" i="1"/>
  <c r="F73" i="1"/>
  <c r="N73" i="1"/>
  <c r="T74" i="1"/>
  <c r="T75" i="1" s="1"/>
  <c r="X74" i="1"/>
  <c r="X75" i="1" s="1"/>
  <c r="AB74" i="1"/>
  <c r="AB75" i="1" s="1"/>
  <c r="F74" i="1"/>
  <c r="F6" i="9"/>
  <c r="F6" i="8"/>
  <c r="F6" i="6"/>
  <c r="J6" i="9"/>
  <c r="J6" i="8"/>
  <c r="J6" i="7"/>
  <c r="N6" i="9"/>
  <c r="N6" i="8"/>
  <c r="N6" i="6"/>
  <c r="R6" i="9"/>
  <c r="R6" i="8"/>
  <c r="R6" i="7"/>
  <c r="V6" i="9"/>
  <c r="V6" i="8"/>
  <c r="V6" i="6"/>
  <c r="Z6" i="9"/>
  <c r="Z6" i="8"/>
  <c r="Z6" i="7"/>
  <c r="AD6" i="9"/>
  <c r="AD6" i="8"/>
  <c r="AD6" i="6"/>
  <c r="H7" i="9"/>
  <c r="H7" i="8"/>
  <c r="H7" i="7"/>
  <c r="L7" i="9"/>
  <c r="L7" i="8"/>
  <c r="L7" i="6"/>
  <c r="P7" i="9"/>
  <c r="P7" i="8"/>
  <c r="P7" i="7"/>
  <c r="T7" i="9"/>
  <c r="T7" i="8"/>
  <c r="T7" i="6"/>
  <c r="X7" i="9"/>
  <c r="X7" i="8"/>
  <c r="X7" i="7"/>
  <c r="AB7" i="9"/>
  <c r="AB7" i="8"/>
  <c r="AB7" i="6"/>
  <c r="Q11" i="5"/>
  <c r="R105" i="6"/>
  <c r="R59" i="5"/>
  <c r="R58" i="5"/>
  <c r="R19" i="8"/>
  <c r="Z105" i="6"/>
  <c r="Z59" i="5"/>
  <c r="Z58" i="5"/>
  <c r="Z105" i="8"/>
  <c r="Z19" i="8"/>
  <c r="U44" i="5"/>
  <c r="Y44" i="5"/>
  <c r="AC44" i="5"/>
  <c r="Q30" i="5"/>
  <c r="AD32" i="5"/>
  <c r="AD118" i="5" s="1"/>
  <c r="AD35" i="5"/>
  <c r="AD121" i="5" s="1"/>
  <c r="Q37" i="5"/>
  <c r="AD39" i="5"/>
  <c r="AD125" i="5" s="1"/>
  <c r="AD41" i="5"/>
  <c r="AD127" i="5" s="1"/>
  <c r="G59" i="8"/>
  <c r="G49" i="8"/>
  <c r="K59" i="8"/>
  <c r="K49" i="8"/>
  <c r="O59" i="8"/>
  <c r="O49" i="8"/>
  <c r="Q52" i="5"/>
  <c r="I55" i="8"/>
  <c r="I56" i="8" s="1"/>
  <c r="I58" i="8"/>
  <c r="M55" i="8"/>
  <c r="M58" i="8"/>
  <c r="AC84" i="15"/>
  <c r="AC84" i="12"/>
  <c r="AD55" i="5"/>
  <c r="I56" i="5"/>
  <c r="X58" i="5"/>
  <c r="AE68" i="5"/>
  <c r="AF68" i="5" s="1"/>
  <c r="R69" i="5"/>
  <c r="J98" i="5"/>
  <c r="J17" i="5" s="1"/>
  <c r="J103" i="5" s="1"/>
  <c r="Q73" i="5"/>
  <c r="G86" i="5"/>
  <c r="O86" i="5"/>
  <c r="AH84" i="5"/>
  <c r="AD88" i="5"/>
  <c r="AD97" i="5" s="1"/>
  <c r="F97" i="5"/>
  <c r="F98" i="5" s="1"/>
  <c r="F17" i="5" s="1"/>
  <c r="N97" i="5"/>
  <c r="N98" i="5" s="1"/>
  <c r="N17" i="5" s="1"/>
  <c r="Q101" i="5"/>
  <c r="F117" i="5"/>
  <c r="R132" i="5"/>
  <c r="H7" i="6"/>
  <c r="AE37" i="6"/>
  <c r="AF37" i="6" s="1"/>
  <c r="AH37" i="6"/>
  <c r="R60" i="6"/>
  <c r="F98" i="6"/>
  <c r="F17" i="6" s="1"/>
  <c r="N98" i="6"/>
  <c r="N17" i="6" s="1"/>
  <c r="AE84" i="6"/>
  <c r="AF84" i="6" s="1"/>
  <c r="AH84" i="6"/>
  <c r="AE92" i="6"/>
  <c r="AF92" i="6" s="1"/>
  <c r="AH92" i="6"/>
  <c r="AD6" i="7"/>
  <c r="AE20" i="7"/>
  <c r="AF20" i="7" s="1"/>
  <c r="AH20" i="7"/>
  <c r="E111" i="7"/>
  <c r="E26" i="7"/>
  <c r="E21" i="7"/>
  <c r="M111" i="7"/>
  <c r="M26" i="7"/>
  <c r="M26" i="5" s="1"/>
  <c r="M112" i="5" s="1"/>
  <c r="M21" i="7"/>
  <c r="Z55" i="7"/>
  <c r="Z56" i="7" s="1"/>
  <c r="Z57" i="7"/>
  <c r="AD52" i="7"/>
  <c r="AH69" i="7"/>
  <c r="AE93" i="7"/>
  <c r="AF93" i="7" s="1"/>
  <c r="AH93" i="7"/>
  <c r="R58" i="8"/>
  <c r="AD15" i="8"/>
  <c r="R45" i="8"/>
  <c r="R46" i="8" s="1"/>
  <c r="R59" i="8"/>
  <c r="V58" i="8"/>
  <c r="V45" i="8"/>
  <c r="V46" i="8" s="1"/>
  <c r="Z58" i="8"/>
  <c r="Z45" i="8"/>
  <c r="Z59" i="8"/>
  <c r="AD12" i="8"/>
  <c r="AE12" i="8" s="1"/>
  <c r="AF12" i="8" s="1"/>
  <c r="AE35" i="9"/>
  <c r="AF35" i="9" s="1"/>
  <c r="AH35" i="9"/>
  <c r="AE90" i="9"/>
  <c r="AF90" i="9" s="1"/>
  <c r="Q97" i="9"/>
  <c r="AH90" i="9"/>
  <c r="M42" i="10"/>
  <c r="AG46" i="10"/>
  <c r="Y50" i="10"/>
  <c r="AD53" i="10"/>
  <c r="AE53" i="10" s="1"/>
  <c r="AG53" i="10"/>
  <c r="AD54" i="10"/>
  <c r="AE54" i="10" s="1"/>
  <c r="AG54" i="10"/>
  <c r="X181" i="10"/>
  <c r="AB181" i="10"/>
  <c r="AA101" i="10"/>
  <c r="M198" i="10"/>
  <c r="AC75" i="10"/>
  <c r="G203" i="10"/>
  <c r="P88" i="10"/>
  <c r="J126" i="10"/>
  <c r="J121" i="10"/>
  <c r="J189" i="10" s="1"/>
  <c r="V126" i="10"/>
  <c r="V121" i="10"/>
  <c r="V198" i="10" s="1"/>
  <c r="AB217" i="10"/>
  <c r="AB201" i="10"/>
  <c r="AB196" i="10"/>
  <c r="AB192" i="10"/>
  <c r="AB188" i="10"/>
  <c r="AB213" i="10"/>
  <c r="AB197" i="10"/>
  <c r="AB193" i="10"/>
  <c r="AB189" i="10"/>
  <c r="AB185" i="10"/>
  <c r="AB225" i="10"/>
  <c r="AB209" i="10"/>
  <c r="AB198" i="10"/>
  <c r="AB194" i="10"/>
  <c r="AB190" i="10"/>
  <c r="AB186" i="10"/>
  <c r="AB221" i="10"/>
  <c r="AB205" i="10"/>
  <c r="P132" i="10"/>
  <c r="AG114" i="10"/>
  <c r="Q121" i="10"/>
  <c r="Q228" i="10" s="1"/>
  <c r="AG168" i="10"/>
  <c r="Q176" i="10"/>
  <c r="Y176" i="10"/>
  <c r="AC168" i="10"/>
  <c r="AD168" i="10" s="1"/>
  <c r="AE168" i="10" s="1"/>
  <c r="P95" i="13"/>
  <c r="AD11" i="13"/>
  <c r="AE11" i="13" s="1"/>
  <c r="AG11" i="13"/>
  <c r="X42" i="10"/>
  <c r="Q51" i="1"/>
  <c r="AD51" i="1"/>
  <c r="AM59" i="1"/>
  <c r="AJ76" i="1"/>
  <c r="AH76" i="1"/>
  <c r="Z78" i="1"/>
  <c r="E15" i="5"/>
  <c r="M15" i="5"/>
  <c r="U105" i="6"/>
  <c r="U46" i="6" s="1"/>
  <c r="U59" i="5"/>
  <c r="U19" i="8"/>
  <c r="AC105" i="9"/>
  <c r="AC105" i="6"/>
  <c r="AC46" i="6" s="1"/>
  <c r="AC59" i="5"/>
  <c r="AC105" i="8"/>
  <c r="V132" i="5"/>
  <c r="AD20" i="5"/>
  <c r="U107" i="5"/>
  <c r="U132" i="5"/>
  <c r="Y132" i="5"/>
  <c r="AC107" i="5"/>
  <c r="AC132" i="5"/>
  <c r="AD23" i="5"/>
  <c r="AD109" i="5" s="1"/>
  <c r="Q25" i="5"/>
  <c r="AD27" i="5"/>
  <c r="AD113" i="5" s="1"/>
  <c r="Q29" i="5"/>
  <c r="Q34" i="5"/>
  <c r="AD37" i="5"/>
  <c r="AD123" i="5" s="1"/>
  <c r="AD40" i="5"/>
  <c r="AD126" i="5" s="1"/>
  <c r="AD43" i="5"/>
  <c r="AD129" i="5" s="1"/>
  <c r="R44" i="5"/>
  <c r="Z44" i="5"/>
  <c r="H48" i="8"/>
  <c r="H48" i="6"/>
  <c r="H48" i="9"/>
  <c r="H48" i="7"/>
  <c r="H71" i="1"/>
  <c r="H73" i="1" s="1"/>
  <c r="L48" i="8"/>
  <c r="L48" i="6"/>
  <c r="L48" i="9"/>
  <c r="L48" i="7"/>
  <c r="L71" i="1"/>
  <c r="L73" i="1" s="1"/>
  <c r="P48" i="8"/>
  <c r="P48" i="6"/>
  <c r="P48" i="9"/>
  <c r="P48" i="7"/>
  <c r="P71" i="1"/>
  <c r="P73" i="1" s="1"/>
  <c r="L49" i="5"/>
  <c r="F52" i="8"/>
  <c r="F52" i="6"/>
  <c r="F55" i="5"/>
  <c r="F56" i="5" s="1"/>
  <c r="F52" i="9"/>
  <c r="F52" i="7"/>
  <c r="J52" i="8"/>
  <c r="J52" i="6"/>
  <c r="J55" i="5"/>
  <c r="J56" i="5" s="1"/>
  <c r="J52" i="9"/>
  <c r="J52" i="7"/>
  <c r="Q52" i="7" s="1"/>
  <c r="J129" i="5"/>
  <c r="J121" i="5"/>
  <c r="J117" i="5"/>
  <c r="J113" i="5"/>
  <c r="J109" i="5"/>
  <c r="N52" i="8"/>
  <c r="N52" i="6"/>
  <c r="N55" i="5"/>
  <c r="N56" i="5" s="1"/>
  <c r="N52" i="9"/>
  <c r="N52" i="7"/>
  <c r="E56" i="5"/>
  <c r="P56" i="5"/>
  <c r="J57" i="5"/>
  <c r="AD57" i="5"/>
  <c r="T59" i="5"/>
  <c r="AB59" i="5"/>
  <c r="Q64" i="5"/>
  <c r="Q67" i="5"/>
  <c r="AD67" i="5"/>
  <c r="E69" i="5"/>
  <c r="E98" i="5" s="1"/>
  <c r="E17" i="5" s="1"/>
  <c r="E103" i="5" s="1"/>
  <c r="Q71" i="5"/>
  <c r="AD71" i="5"/>
  <c r="AH92" i="5"/>
  <c r="F113" i="5"/>
  <c r="N117" i="5"/>
  <c r="N129" i="5"/>
  <c r="Z132" i="5"/>
  <c r="J6" i="6"/>
  <c r="P7" i="6"/>
  <c r="AE29" i="6"/>
  <c r="AF29" i="6" s="1"/>
  <c r="AH29" i="6"/>
  <c r="J59" i="6"/>
  <c r="J49" i="6"/>
  <c r="AC57" i="6"/>
  <c r="AE65" i="6"/>
  <c r="AF65" i="6" s="1"/>
  <c r="AH65" i="6"/>
  <c r="F6" i="7"/>
  <c r="L7" i="7"/>
  <c r="H32" i="5"/>
  <c r="H118" i="5" s="1"/>
  <c r="Q32" i="7"/>
  <c r="AD69" i="7"/>
  <c r="AE69" i="7" s="1"/>
  <c r="AF69" i="7" s="1"/>
  <c r="AE64" i="7"/>
  <c r="AF64" i="7" s="1"/>
  <c r="H98" i="7"/>
  <c r="H17" i="7" s="1"/>
  <c r="L98" i="7"/>
  <c r="L17" i="7" s="1"/>
  <c r="P98" i="7"/>
  <c r="P17" i="7" s="1"/>
  <c r="U98" i="7"/>
  <c r="U17" i="7" s="1"/>
  <c r="Y98" i="7"/>
  <c r="Y17" i="7" s="1"/>
  <c r="Y45" i="7" s="1"/>
  <c r="Y46" i="7" s="1"/>
  <c r="AC98" i="7"/>
  <c r="AC17" i="7" s="1"/>
  <c r="AD97" i="7"/>
  <c r="AE88" i="7"/>
  <c r="AF88" i="7" s="1"/>
  <c r="AH12" i="8"/>
  <c r="Q15" i="8"/>
  <c r="AC19" i="8"/>
  <c r="X60" i="8"/>
  <c r="AB60" i="8"/>
  <c r="V59" i="8"/>
  <c r="I42" i="10"/>
  <c r="J197" i="10"/>
  <c r="V201" i="10"/>
  <c r="J210" i="10"/>
  <c r="I214" i="10"/>
  <c r="Q218" i="10"/>
  <c r="AC91" i="10"/>
  <c r="G219" i="10"/>
  <c r="V224" i="10"/>
  <c r="Z224" i="10"/>
  <c r="AC111" i="10"/>
  <c r="AC129" i="10" s="1"/>
  <c r="AD152" i="10"/>
  <c r="AE152" i="10" s="1"/>
  <c r="AG152" i="10"/>
  <c r="AG169" i="10"/>
  <c r="AD171" i="10"/>
  <c r="AE171" i="10" s="1"/>
  <c r="AB187" i="10"/>
  <c r="AD31" i="13"/>
  <c r="AE31" i="13" s="1"/>
  <c r="AG31" i="13"/>
  <c r="AD71" i="1"/>
  <c r="AD73" i="1" s="1"/>
  <c r="AD72" i="1"/>
  <c r="AD74" i="1" s="1"/>
  <c r="S58" i="5"/>
  <c r="S19" i="8"/>
  <c r="S105" i="6"/>
  <c r="W58" i="5"/>
  <c r="W19" i="8"/>
  <c r="W105" i="6"/>
  <c r="AA58" i="5"/>
  <c r="AA105" i="8"/>
  <c r="AA19" i="8"/>
  <c r="AA105" i="9"/>
  <c r="AA105" i="6"/>
  <c r="V105" i="6"/>
  <c r="V59" i="5"/>
  <c r="V58" i="5"/>
  <c r="V19" i="8"/>
  <c r="AD59" i="5"/>
  <c r="AD58" i="5"/>
  <c r="S132" i="5"/>
  <c r="S106" i="5"/>
  <c r="W132" i="5"/>
  <c r="W106" i="5"/>
  <c r="AA132" i="5"/>
  <c r="AA106" i="5"/>
  <c r="AD21" i="5"/>
  <c r="AD107" i="5" s="1"/>
  <c r="AD25" i="5"/>
  <c r="AD111" i="5" s="1"/>
  <c r="AD29" i="5"/>
  <c r="AD115" i="5" s="1"/>
  <c r="Q33" i="5"/>
  <c r="Q36" i="5"/>
  <c r="AD36" i="5"/>
  <c r="AD122" i="5" s="1"/>
  <c r="Q42" i="5"/>
  <c r="S44" i="5"/>
  <c r="AA44" i="5"/>
  <c r="E48" i="9"/>
  <c r="E48" i="7"/>
  <c r="E71" i="1"/>
  <c r="E49" i="5"/>
  <c r="E48" i="8"/>
  <c r="E48" i="6"/>
  <c r="E59" i="6" s="1"/>
  <c r="I48" i="9"/>
  <c r="I48" i="7"/>
  <c r="I71" i="1"/>
  <c r="I73" i="1" s="1"/>
  <c r="I49" i="5"/>
  <c r="I48" i="8"/>
  <c r="I57" i="8" s="1"/>
  <c r="I48" i="6"/>
  <c r="I49" i="6" s="1"/>
  <c r="M48" i="9"/>
  <c r="M48" i="7"/>
  <c r="M71" i="1"/>
  <c r="M73" i="1" s="1"/>
  <c r="M49" i="5"/>
  <c r="M48" i="8"/>
  <c r="M48" i="6"/>
  <c r="M49" i="6" s="1"/>
  <c r="Q48" i="5"/>
  <c r="G52" i="9"/>
  <c r="G52" i="7"/>
  <c r="G57" i="5"/>
  <c r="G72" i="1"/>
  <c r="G73" i="1" s="1"/>
  <c r="G52" i="8"/>
  <c r="G52" i="6"/>
  <c r="G128" i="5"/>
  <c r="G124" i="5"/>
  <c r="G120" i="5"/>
  <c r="G116" i="5"/>
  <c r="G108" i="5"/>
  <c r="K52" i="9"/>
  <c r="K52" i="7"/>
  <c r="K57" i="5"/>
  <c r="K72" i="1"/>
  <c r="K73" i="1" s="1"/>
  <c r="K52" i="6"/>
  <c r="K128" i="5"/>
  <c r="K124" i="5"/>
  <c r="K120" i="5"/>
  <c r="K116" i="5"/>
  <c r="K108" i="5"/>
  <c r="O52" i="9"/>
  <c r="O52" i="7"/>
  <c r="O57" i="5"/>
  <c r="O72" i="1"/>
  <c r="O73" i="1" s="1"/>
  <c r="O52" i="8"/>
  <c r="O52" i="6"/>
  <c r="O128" i="5"/>
  <c r="O124" i="5"/>
  <c r="O120" i="5"/>
  <c r="O116" i="5"/>
  <c r="O108" i="5"/>
  <c r="AE53" i="5"/>
  <c r="AF53" i="5" s="1"/>
  <c r="G55" i="5"/>
  <c r="G56" i="5" s="1"/>
  <c r="E57" i="5"/>
  <c r="M57" i="5"/>
  <c r="W59" i="5"/>
  <c r="AD78" i="5"/>
  <c r="AH90" i="5"/>
  <c r="AD90" i="5"/>
  <c r="AE90" i="5" s="1"/>
  <c r="AF90" i="5" s="1"/>
  <c r="AE93" i="5"/>
  <c r="AF93" i="5" s="1"/>
  <c r="F109" i="5"/>
  <c r="N113" i="5"/>
  <c r="Q151" i="5"/>
  <c r="R6" i="6"/>
  <c r="X7" i="6"/>
  <c r="T59" i="6"/>
  <c r="T58" i="6"/>
  <c r="X59" i="6"/>
  <c r="AB59" i="6"/>
  <c r="AB58" i="6"/>
  <c r="AD44" i="6"/>
  <c r="AE24" i="6"/>
  <c r="AF24" i="6" s="1"/>
  <c r="Y55" i="6"/>
  <c r="Y56" i="6" s="1"/>
  <c r="Y57" i="6"/>
  <c r="AD52" i="6"/>
  <c r="Y45" i="6"/>
  <c r="AC60" i="6"/>
  <c r="N6" i="7"/>
  <c r="T7" i="7"/>
  <c r="K59" i="7"/>
  <c r="K49" i="7"/>
  <c r="AE25" i="8"/>
  <c r="AF25" i="8" s="1"/>
  <c r="AH25" i="8"/>
  <c r="AH50" i="8"/>
  <c r="AE50" i="8"/>
  <c r="AF50" i="8" s="1"/>
  <c r="AH54" i="8"/>
  <c r="AE54" i="8"/>
  <c r="AF54" i="8" s="1"/>
  <c r="AE72" i="8"/>
  <c r="AF72" i="8" s="1"/>
  <c r="Q76" i="8"/>
  <c r="AH72" i="8"/>
  <c r="AE83" i="8"/>
  <c r="AF83" i="8" s="1"/>
  <c r="AH83" i="8"/>
  <c r="Q15" i="9"/>
  <c r="AH12" i="9"/>
  <c r="U59" i="9"/>
  <c r="U58" i="9"/>
  <c r="Y59" i="9"/>
  <c r="Y45" i="9"/>
  <c r="Y46" i="9" s="1"/>
  <c r="Y58" i="9"/>
  <c r="AC59" i="9"/>
  <c r="AC58" i="9"/>
  <c r="L57" i="9"/>
  <c r="L55" i="9"/>
  <c r="L56" i="9" s="1"/>
  <c r="L58" i="9"/>
  <c r="Z105" i="9"/>
  <c r="T50" i="10"/>
  <c r="T48" i="10"/>
  <c r="P64" i="10"/>
  <c r="AG68" i="10"/>
  <c r="J200" i="10"/>
  <c r="V204" i="10"/>
  <c r="Z204" i="10"/>
  <c r="T209" i="10"/>
  <c r="J213" i="10"/>
  <c r="V217" i="10"/>
  <c r="V227" i="10"/>
  <c r="W101" i="10"/>
  <c r="AD110" i="10"/>
  <c r="AE110" i="10" s="1"/>
  <c r="AG110" i="10"/>
  <c r="AC117" i="10"/>
  <c r="W177" i="10"/>
  <c r="W57" i="10" s="1"/>
  <c r="AG96" i="20"/>
  <c r="AD96" i="20"/>
  <c r="AE96" i="20" s="1"/>
  <c r="O98" i="21"/>
  <c r="O27" i="21"/>
  <c r="O30" i="21"/>
  <c r="O33" i="21" s="1"/>
  <c r="O23" i="10"/>
  <c r="P97" i="21"/>
  <c r="AD13" i="21"/>
  <c r="AE13" i="21" s="1"/>
  <c r="AG13" i="21"/>
  <c r="AC6" i="9"/>
  <c r="AC6" i="8"/>
  <c r="AC6" i="7"/>
  <c r="AC6" i="6"/>
  <c r="G7" i="9"/>
  <c r="G7" i="8"/>
  <c r="G7" i="6"/>
  <c r="G7" i="7"/>
  <c r="K7" i="9"/>
  <c r="K7" i="8"/>
  <c r="K7" i="7"/>
  <c r="K7" i="6"/>
  <c r="O7" i="9"/>
  <c r="O7" i="8"/>
  <c r="O7" i="6"/>
  <c r="O7" i="7"/>
  <c r="S7" i="9"/>
  <c r="S7" i="8"/>
  <c r="S7" i="7"/>
  <c r="S7" i="6"/>
  <c r="W7" i="9"/>
  <c r="W7" i="8"/>
  <c r="W7" i="6"/>
  <c r="W7" i="7"/>
  <c r="AA7" i="9"/>
  <c r="AA7" i="8"/>
  <c r="AA7" i="7"/>
  <c r="AA7" i="6"/>
  <c r="Q13" i="5"/>
  <c r="Q9" i="5"/>
  <c r="G15" i="5"/>
  <c r="O15" i="5"/>
  <c r="T19" i="8"/>
  <c r="T105" i="6"/>
  <c r="X19" i="8"/>
  <c r="AB105" i="8"/>
  <c r="AB19" i="8"/>
  <c r="AB105" i="9"/>
  <c r="AB105" i="6"/>
  <c r="AH14" i="5"/>
  <c r="AE14" i="5"/>
  <c r="I15" i="5"/>
  <c r="Y105" i="9"/>
  <c r="Y105" i="6"/>
  <c r="Y59" i="5"/>
  <c r="Y19" i="8"/>
  <c r="Y105" i="8"/>
  <c r="Y46" i="8" s="1"/>
  <c r="AH24" i="5"/>
  <c r="Q110" i="5"/>
  <c r="AD24" i="5"/>
  <c r="AD110" i="5" s="1"/>
  <c r="AH28" i="5"/>
  <c r="Q114" i="5"/>
  <c r="AD28" i="5"/>
  <c r="AD114" i="5" s="1"/>
  <c r="AD33" i="5"/>
  <c r="AD119" i="5" s="1"/>
  <c r="Q38" i="5"/>
  <c r="Q41" i="5"/>
  <c r="V44" i="5"/>
  <c r="U58" i="5"/>
  <c r="AC58" i="5"/>
  <c r="X59" i="5"/>
  <c r="R76" i="5"/>
  <c r="AD72" i="5"/>
  <c r="AE72" i="5" s="1"/>
  <c r="AF72" i="5" s="1"/>
  <c r="V98" i="5"/>
  <c r="V17" i="5" s="1"/>
  <c r="V103" i="5" s="1"/>
  <c r="Z98" i="5"/>
  <c r="Z17" i="5" s="1"/>
  <c r="Z103" i="5" s="1"/>
  <c r="AE81" i="5"/>
  <c r="AF81" i="5" s="1"/>
  <c r="Q88" i="5"/>
  <c r="AE91" i="5"/>
  <c r="AF91" i="5" s="1"/>
  <c r="V106" i="5"/>
  <c r="N109" i="5"/>
  <c r="F121" i="5"/>
  <c r="Q152" i="5"/>
  <c r="Q153" i="5" s="1"/>
  <c r="Z6" i="6"/>
  <c r="V58" i="6"/>
  <c r="V45" i="6"/>
  <c r="V59" i="6"/>
  <c r="AD15" i="6"/>
  <c r="AE21" i="6"/>
  <c r="AF21" i="6" s="1"/>
  <c r="AH21" i="6"/>
  <c r="AH40" i="6"/>
  <c r="AE40" i="6"/>
  <c r="AF40" i="6" s="1"/>
  <c r="AD48" i="6"/>
  <c r="X57" i="6"/>
  <c r="L55" i="6"/>
  <c r="L56" i="6" s="1"/>
  <c r="L57" i="6"/>
  <c r="L58" i="6"/>
  <c r="AH53" i="6"/>
  <c r="AE53" i="6"/>
  <c r="AF53" i="6" s="1"/>
  <c r="X56" i="6"/>
  <c r="AB56" i="6"/>
  <c r="AE73" i="6"/>
  <c r="AF73" i="6" s="1"/>
  <c r="Q76" i="6"/>
  <c r="AH73" i="6"/>
  <c r="V6" i="7"/>
  <c r="AB7" i="7"/>
  <c r="AE10" i="7"/>
  <c r="AF10" i="7" s="1"/>
  <c r="AH10" i="7"/>
  <c r="R59" i="7"/>
  <c r="R58" i="7"/>
  <c r="R45" i="7"/>
  <c r="R46" i="7" s="1"/>
  <c r="AD15" i="7"/>
  <c r="Z59" i="7"/>
  <c r="Z58" i="7"/>
  <c r="Z45" i="7"/>
  <c r="Z46" i="7" s="1"/>
  <c r="AE35" i="7"/>
  <c r="AF35" i="7" s="1"/>
  <c r="AH35" i="7"/>
  <c r="AE73" i="7"/>
  <c r="AF73" i="7" s="1"/>
  <c r="AH73" i="7"/>
  <c r="K52" i="8"/>
  <c r="AD17" i="8"/>
  <c r="AE78" i="8"/>
  <c r="AF78" i="8" s="1"/>
  <c r="AD86" i="8"/>
  <c r="J59" i="9"/>
  <c r="J49" i="9"/>
  <c r="AH53" i="9"/>
  <c r="AE53" i="9"/>
  <c r="AF53" i="9" s="1"/>
  <c r="AE79" i="9"/>
  <c r="AF79" i="9" s="1"/>
  <c r="AH79" i="9"/>
  <c r="G130" i="10"/>
  <c r="L133" i="10"/>
  <c r="F135" i="10"/>
  <c r="AG36" i="10"/>
  <c r="AD40" i="10"/>
  <c r="AE40" i="10" s="1"/>
  <c r="AG45" i="10"/>
  <c r="AD45" i="10"/>
  <c r="AE45" i="10" s="1"/>
  <c r="I190" i="10"/>
  <c r="V190" i="10"/>
  <c r="Z190" i="10"/>
  <c r="P72" i="10"/>
  <c r="V207" i="10"/>
  <c r="G212" i="10"/>
  <c r="J216" i="10"/>
  <c r="V220" i="10"/>
  <c r="Q222" i="10"/>
  <c r="AC95" i="10"/>
  <c r="G223" i="10"/>
  <c r="E133" i="10"/>
  <c r="AC133" i="10"/>
  <c r="AG120" i="10"/>
  <c r="H138" i="10"/>
  <c r="AD120" i="10"/>
  <c r="AE120" i="10" s="1"/>
  <c r="AD31" i="12"/>
  <c r="AE31" i="12" s="1"/>
  <c r="AG31" i="12"/>
  <c r="Z81" i="13"/>
  <c r="Z82" i="13" s="1"/>
  <c r="AD10" i="16"/>
  <c r="AE10" i="16" s="1"/>
  <c r="P94" i="16"/>
  <c r="AG10" i="16"/>
  <c r="P95" i="11"/>
  <c r="AD11" i="11"/>
  <c r="AE11" i="11" s="1"/>
  <c r="M98" i="11"/>
  <c r="M30" i="11"/>
  <c r="M27" i="11"/>
  <c r="M11" i="10"/>
  <c r="AD60" i="11"/>
  <c r="AE60" i="11" s="1"/>
  <c r="AG60" i="11"/>
  <c r="P97" i="13"/>
  <c r="AD13" i="13"/>
  <c r="AE13" i="13" s="1"/>
  <c r="AD18" i="13"/>
  <c r="AE18" i="13" s="1"/>
  <c r="AG18" i="13"/>
  <c r="P22" i="13"/>
  <c r="P43" i="13"/>
  <c r="AD46" i="13"/>
  <c r="AE46" i="13" s="1"/>
  <c r="AG46" i="13"/>
  <c r="O14" i="10"/>
  <c r="O98" i="14"/>
  <c r="D29" i="14"/>
  <c r="D33" i="14"/>
  <c r="AG31" i="14"/>
  <c r="AD31" i="14"/>
  <c r="AE31" i="14" s="1"/>
  <c r="N33" i="15"/>
  <c r="N29" i="15"/>
  <c r="AC133" i="15"/>
  <c r="AD125" i="15"/>
  <c r="AE125" i="15" s="1"/>
  <c r="AD13" i="16"/>
  <c r="AE13" i="16" s="1"/>
  <c r="AG13" i="16"/>
  <c r="P97" i="16"/>
  <c r="O30" i="16"/>
  <c r="O98" i="16"/>
  <c r="O27" i="16"/>
  <c r="O16" i="10"/>
  <c r="AD52" i="16"/>
  <c r="AE52" i="16" s="1"/>
  <c r="AG52" i="16"/>
  <c r="AD55" i="16"/>
  <c r="AE55" i="16" s="1"/>
  <c r="AG55" i="16"/>
  <c r="AD10" i="17"/>
  <c r="AE10" i="17" s="1"/>
  <c r="P94" i="17"/>
  <c r="AG10" i="17"/>
  <c r="E98" i="17"/>
  <c r="E30" i="17"/>
  <c r="E33" i="17" s="1"/>
  <c r="E27" i="17"/>
  <c r="E26" i="17"/>
  <c r="E18" i="10"/>
  <c r="L98" i="17"/>
  <c r="L27" i="17"/>
  <c r="L26" i="17"/>
  <c r="L30" i="17"/>
  <c r="L33" i="17" s="1"/>
  <c r="AG76" i="17"/>
  <c r="AD76" i="17"/>
  <c r="AE76" i="17" s="1"/>
  <c r="AD78" i="17"/>
  <c r="AE78" i="17" s="1"/>
  <c r="AG78" i="17"/>
  <c r="AC90" i="17"/>
  <c r="AD89" i="17"/>
  <c r="AE89" i="17" s="1"/>
  <c r="AC105" i="17"/>
  <c r="AC134" i="17" s="1"/>
  <c r="AD102" i="17"/>
  <c r="AE102" i="17" s="1"/>
  <c r="AG112" i="17"/>
  <c r="F98" i="18"/>
  <c r="F27" i="18"/>
  <c r="F17" i="10"/>
  <c r="P96" i="18"/>
  <c r="AG12" i="18"/>
  <c r="AD12" i="18"/>
  <c r="AE12" i="18" s="1"/>
  <c r="L115" i="18"/>
  <c r="N27" i="19"/>
  <c r="N19" i="10"/>
  <c r="N98" i="19"/>
  <c r="F121" i="19"/>
  <c r="G121" i="19" s="1"/>
  <c r="H121" i="19" s="1"/>
  <c r="I121" i="19" s="1"/>
  <c r="J121" i="19" s="1"/>
  <c r="K121" i="19" s="1"/>
  <c r="L121" i="19" s="1"/>
  <c r="M121" i="19" s="1"/>
  <c r="N121" i="19" s="1"/>
  <c r="O121" i="19" s="1"/>
  <c r="E164" i="10"/>
  <c r="M27" i="20"/>
  <c r="M20" i="10"/>
  <c r="M30" i="20"/>
  <c r="AD56" i="20"/>
  <c r="AE56" i="20" s="1"/>
  <c r="AG56" i="20"/>
  <c r="M98" i="20"/>
  <c r="H27" i="21"/>
  <c r="H98" i="21"/>
  <c r="H23" i="10"/>
  <c r="AD21" i="21"/>
  <c r="AE21" i="21" s="1"/>
  <c r="AG21" i="21"/>
  <c r="AD62" i="21"/>
  <c r="AE62" i="21" s="1"/>
  <c r="AG62" i="21"/>
  <c r="K27" i="22"/>
  <c r="K21" i="10"/>
  <c r="K98" i="22"/>
  <c r="AD116" i="23"/>
  <c r="AE116" i="23" s="1"/>
  <c r="AG116" i="23"/>
  <c r="AD128" i="24"/>
  <c r="AE128" i="24" s="1"/>
  <c r="AG128" i="24"/>
  <c r="AD80" i="5"/>
  <c r="AE80" i="5" s="1"/>
  <c r="AF80" i="5" s="1"/>
  <c r="Q82" i="5"/>
  <c r="G97" i="5"/>
  <c r="G98" i="5" s="1"/>
  <c r="G17" i="5" s="1"/>
  <c r="G103" i="5" s="1"/>
  <c r="K97" i="5"/>
  <c r="K98" i="5" s="1"/>
  <c r="K17" i="5" s="1"/>
  <c r="K103" i="5" s="1"/>
  <c r="O97" i="5"/>
  <c r="O98" i="5" s="1"/>
  <c r="O17" i="5" s="1"/>
  <c r="O103" i="5" s="1"/>
  <c r="S97" i="5"/>
  <c r="S98" i="5" s="1"/>
  <c r="S17" i="5" s="1"/>
  <c r="W97" i="5"/>
  <c r="W98" i="5" s="1"/>
  <c r="W17" i="5" s="1"/>
  <c r="AA97" i="5"/>
  <c r="AA98" i="5" s="1"/>
  <c r="AA17" i="5" s="1"/>
  <c r="AH10" i="6"/>
  <c r="I59" i="6"/>
  <c r="M58" i="6"/>
  <c r="Y59" i="6"/>
  <c r="Y58" i="6"/>
  <c r="AD50" i="6"/>
  <c r="Q51" i="6"/>
  <c r="AD54" i="6"/>
  <c r="AE54" i="6" s="1"/>
  <c r="AF54" i="6" s="1"/>
  <c r="Z55" i="6"/>
  <c r="Z56" i="6" s="1"/>
  <c r="P57" i="6"/>
  <c r="S98" i="6"/>
  <c r="S17" i="6" s="1"/>
  <c r="S60" i="6" s="1"/>
  <c r="W98" i="6"/>
  <c r="W17" i="6" s="1"/>
  <c r="W45" i="6" s="1"/>
  <c r="W46" i="6" s="1"/>
  <c r="AA98" i="6"/>
  <c r="AA17" i="6" s="1"/>
  <c r="AA60" i="6" s="1"/>
  <c r="Q12" i="7"/>
  <c r="AE9" i="7"/>
  <c r="AF9" i="7" s="1"/>
  <c r="AH14" i="7"/>
  <c r="AE14" i="7"/>
  <c r="U45" i="7"/>
  <c r="U46" i="7" s="1"/>
  <c r="U59" i="7"/>
  <c r="U58" i="7"/>
  <c r="AC45" i="7"/>
  <c r="AC46" i="7" s="1"/>
  <c r="AC59" i="7"/>
  <c r="AC58" i="7"/>
  <c r="AD44" i="7"/>
  <c r="Q22" i="7"/>
  <c r="T60" i="7"/>
  <c r="F59" i="7"/>
  <c r="F49" i="7"/>
  <c r="N59" i="7"/>
  <c r="N49" i="7"/>
  <c r="AD49" i="7"/>
  <c r="Q51" i="7"/>
  <c r="H57" i="7"/>
  <c r="H55" i="7"/>
  <c r="P55" i="7"/>
  <c r="AE54" i="7"/>
  <c r="AF54" i="7" s="1"/>
  <c r="AH54" i="7"/>
  <c r="P58" i="7"/>
  <c r="S59" i="7"/>
  <c r="E98" i="7"/>
  <c r="E17" i="7" s="1"/>
  <c r="I98" i="7"/>
  <c r="I17" i="7" s="1"/>
  <c r="M98" i="7"/>
  <c r="M17" i="7" s="1"/>
  <c r="AD76" i="7"/>
  <c r="AD98" i="7" s="1"/>
  <c r="AD103" i="7" s="1"/>
  <c r="AH81" i="7"/>
  <c r="S45" i="8"/>
  <c r="S46" i="8" s="1"/>
  <c r="S59" i="8"/>
  <c r="W45" i="8"/>
  <c r="W46" i="8" s="1"/>
  <c r="W59" i="8"/>
  <c r="AA45" i="8"/>
  <c r="AA46" i="8" s="1"/>
  <c r="AA59" i="8"/>
  <c r="X45" i="8"/>
  <c r="X46" i="8" s="1"/>
  <c r="X59" i="8"/>
  <c r="X58" i="8"/>
  <c r="AD19" i="8"/>
  <c r="Q22" i="8"/>
  <c r="AH29" i="8"/>
  <c r="AC45" i="8"/>
  <c r="AC46" i="8" s="1"/>
  <c r="Y55" i="8"/>
  <c r="Y57" i="8"/>
  <c r="AD52" i="8"/>
  <c r="AC55" i="8"/>
  <c r="AC56" i="8" s="1"/>
  <c r="AC57" i="8"/>
  <c r="W58" i="8"/>
  <c r="AH91" i="8"/>
  <c r="R59" i="9"/>
  <c r="AD15" i="9"/>
  <c r="R58" i="9"/>
  <c r="V59" i="9"/>
  <c r="V58" i="9"/>
  <c r="Z59" i="9"/>
  <c r="Z45" i="9"/>
  <c r="Z46" i="9" s="1"/>
  <c r="Z58" i="9"/>
  <c r="AD44" i="9"/>
  <c r="AH23" i="9"/>
  <c r="T60" i="9"/>
  <c r="AB60" i="9"/>
  <c r="AA45" i="9"/>
  <c r="AA46" i="9" s="1"/>
  <c r="E56" i="9"/>
  <c r="M56" i="9"/>
  <c r="Z55" i="9"/>
  <c r="Z56" i="9" s="1"/>
  <c r="Z57" i="9"/>
  <c r="AD52" i="9"/>
  <c r="AD69" i="9"/>
  <c r="AE64" i="9"/>
  <c r="AF64" i="9" s="1"/>
  <c r="AE69" i="9"/>
  <c r="AF69" i="9" s="1"/>
  <c r="AH72" i="9"/>
  <c r="AH83" i="9"/>
  <c r="AH94" i="9"/>
  <c r="G6" i="26"/>
  <c r="G6" i="27"/>
  <c r="G6" i="23"/>
  <c r="G6" i="22"/>
  <c r="G6" i="25"/>
  <c r="G6" i="24"/>
  <c r="G6" i="17"/>
  <c r="G6" i="16"/>
  <c r="G6" i="13"/>
  <c r="G6" i="19"/>
  <c r="G6" i="18"/>
  <c r="G6" i="15"/>
  <c r="G6" i="14"/>
  <c r="G6" i="21"/>
  <c r="G6" i="11"/>
  <c r="K6" i="26"/>
  <c r="K6" i="27"/>
  <c r="K6" i="23"/>
  <c r="K6" i="22"/>
  <c r="K6" i="25"/>
  <c r="K6" i="24"/>
  <c r="K6" i="17"/>
  <c r="K6" i="16"/>
  <c r="K6" i="13"/>
  <c r="K6" i="19"/>
  <c r="K6" i="18"/>
  <c r="K6" i="12"/>
  <c r="K6" i="15"/>
  <c r="K6" i="20"/>
  <c r="O6" i="26"/>
  <c r="O6" i="27"/>
  <c r="O6" i="23"/>
  <c r="O6" i="22"/>
  <c r="O6" i="25"/>
  <c r="O6" i="24"/>
  <c r="O6" i="17"/>
  <c r="O6" i="16"/>
  <c r="O6" i="13"/>
  <c r="O6" i="21"/>
  <c r="O6" i="20"/>
  <c r="O6" i="19"/>
  <c r="O6" i="18"/>
  <c r="O6" i="15"/>
  <c r="O6" i="11"/>
  <c r="O6" i="12"/>
  <c r="O6" i="14"/>
  <c r="S6" i="26"/>
  <c r="S6" i="27"/>
  <c r="S6" i="23"/>
  <c r="S6" i="22"/>
  <c r="S6" i="25"/>
  <c r="S6" i="24"/>
  <c r="S6" i="17"/>
  <c r="S6" i="16"/>
  <c r="S6" i="13"/>
  <c r="S6" i="15"/>
  <c r="S6" i="14"/>
  <c r="S6" i="21"/>
  <c r="S6" i="20"/>
  <c r="S6" i="11"/>
  <c r="S6" i="12"/>
  <c r="W6" i="26"/>
  <c r="W6" i="27"/>
  <c r="W6" i="23"/>
  <c r="W6" i="22"/>
  <c r="W6" i="25"/>
  <c r="W6" i="24"/>
  <c r="W6" i="17"/>
  <c r="W6" i="16"/>
  <c r="W6" i="13"/>
  <c r="W6" i="19"/>
  <c r="W6" i="18"/>
  <c r="W6" i="15"/>
  <c r="W6" i="14"/>
  <c r="W6" i="20"/>
  <c r="W6" i="21"/>
  <c r="W6" i="11"/>
  <c r="AA6" i="26"/>
  <c r="AA6" i="27"/>
  <c r="AA6" i="23"/>
  <c r="AA6" i="22"/>
  <c r="AA6" i="25"/>
  <c r="AA6" i="24"/>
  <c r="AA6" i="17"/>
  <c r="AA6" i="16"/>
  <c r="AA6" i="13"/>
  <c r="AA6" i="19"/>
  <c r="AA6" i="18"/>
  <c r="AA6" i="20"/>
  <c r="AA6" i="12"/>
  <c r="AA6" i="21"/>
  <c r="AA6" i="14"/>
  <c r="E7" i="26"/>
  <c r="E7" i="27"/>
  <c r="E7" i="23"/>
  <c r="E7" i="22"/>
  <c r="E7" i="25"/>
  <c r="E7" i="24"/>
  <c r="E7" i="17"/>
  <c r="E7" i="16"/>
  <c r="E7" i="13"/>
  <c r="E7" i="21"/>
  <c r="E7" i="20"/>
  <c r="E7" i="14"/>
  <c r="E7" i="11"/>
  <c r="E7" i="12"/>
  <c r="E7" i="19"/>
  <c r="E7" i="18"/>
  <c r="E7" i="15"/>
  <c r="I7" i="26"/>
  <c r="I7" i="27"/>
  <c r="I7" i="23"/>
  <c r="I7" i="22"/>
  <c r="I7" i="25"/>
  <c r="I7" i="24"/>
  <c r="I7" i="17"/>
  <c r="I7" i="16"/>
  <c r="I7" i="13"/>
  <c r="I7" i="15"/>
  <c r="I7" i="14"/>
  <c r="I7" i="21"/>
  <c r="I7" i="20"/>
  <c r="I7" i="19"/>
  <c r="I7" i="18"/>
  <c r="I7" i="11"/>
  <c r="I7" i="12"/>
  <c r="M7" i="26"/>
  <c r="M7" i="27"/>
  <c r="M7" i="23"/>
  <c r="M7" i="22"/>
  <c r="M7" i="25"/>
  <c r="M7" i="24"/>
  <c r="M7" i="17"/>
  <c r="M7" i="16"/>
  <c r="M7" i="13"/>
  <c r="M7" i="19"/>
  <c r="M7" i="18"/>
  <c r="M7" i="15"/>
  <c r="M7" i="14"/>
  <c r="M7" i="21"/>
  <c r="M7" i="11"/>
  <c r="Q7" i="26"/>
  <c r="Q7" i="27"/>
  <c r="Q7" i="23"/>
  <c r="Q7" i="22"/>
  <c r="Q7" i="25"/>
  <c r="Q7" i="24"/>
  <c r="Q7" i="17"/>
  <c r="Q7" i="16"/>
  <c r="Q7" i="13"/>
  <c r="Q7" i="19"/>
  <c r="Q7" i="18"/>
  <c r="Q7" i="12"/>
  <c r="Q7" i="15"/>
  <c r="Q7" i="20"/>
  <c r="U7" i="26"/>
  <c r="U7" i="27"/>
  <c r="U7" i="23"/>
  <c r="U7" i="22"/>
  <c r="U7" i="25"/>
  <c r="U7" i="24"/>
  <c r="U7" i="17"/>
  <c r="U7" i="16"/>
  <c r="U7" i="13"/>
  <c r="U7" i="21"/>
  <c r="U7" i="20"/>
  <c r="U7" i="19"/>
  <c r="U7" i="18"/>
  <c r="U7" i="15"/>
  <c r="U7" i="11"/>
  <c r="U7" i="12"/>
  <c r="U7" i="14"/>
  <c r="Y7" i="26"/>
  <c r="Y7" i="27"/>
  <c r="Y7" i="23"/>
  <c r="Y7" i="22"/>
  <c r="Y7" i="25"/>
  <c r="Y7" i="24"/>
  <c r="Y7" i="17"/>
  <c r="Y7" i="16"/>
  <c r="Y7" i="13"/>
  <c r="Y7" i="15"/>
  <c r="Y7" i="14"/>
  <c r="Y7" i="21"/>
  <c r="Y7" i="20"/>
  <c r="Y7" i="11"/>
  <c r="Y7" i="12"/>
  <c r="AC7" i="26"/>
  <c r="AC7" i="27"/>
  <c r="AC7" i="23"/>
  <c r="AC7" i="22"/>
  <c r="AC7" i="25"/>
  <c r="AC7" i="24"/>
  <c r="AC7" i="17"/>
  <c r="AC7" i="16"/>
  <c r="AC7" i="13"/>
  <c r="AC7" i="19"/>
  <c r="AC7" i="18"/>
  <c r="AC7" i="15"/>
  <c r="AC7" i="14"/>
  <c r="AC7" i="20"/>
  <c r="AC7" i="21"/>
  <c r="AC7" i="11"/>
  <c r="U24" i="10"/>
  <c r="AC14" i="10"/>
  <c r="AC19" i="10"/>
  <c r="J42" i="10"/>
  <c r="S42" i="10"/>
  <c r="AA42" i="10"/>
  <c r="P31" i="10"/>
  <c r="AC31" i="10"/>
  <c r="AC34" i="10"/>
  <c r="AD34" i="10" s="1"/>
  <c r="AE34" i="10" s="1"/>
  <c r="AC38" i="10"/>
  <c r="AG41" i="10"/>
  <c r="AD41" i="10"/>
  <c r="AE41" i="10" s="1"/>
  <c r="V19" i="1"/>
  <c r="R101" i="10"/>
  <c r="V101" i="10"/>
  <c r="V228" i="10" s="1"/>
  <c r="Z101" i="10"/>
  <c r="P61" i="10"/>
  <c r="AC61" i="10"/>
  <c r="G189" i="10"/>
  <c r="J190" i="10"/>
  <c r="Q191" i="10"/>
  <c r="V192" i="10"/>
  <c r="P66" i="10"/>
  <c r="K194" i="10"/>
  <c r="J195" i="10"/>
  <c r="V195" i="10"/>
  <c r="P69" i="10"/>
  <c r="AC69" i="10"/>
  <c r="G197" i="10"/>
  <c r="J198" i="10"/>
  <c r="Q199" i="10"/>
  <c r="K200" i="10"/>
  <c r="AB200" i="10"/>
  <c r="J201" i="10"/>
  <c r="P76" i="10"/>
  <c r="AB203" i="10"/>
  <c r="J204" i="10"/>
  <c r="V205" i="10"/>
  <c r="AC79" i="10"/>
  <c r="V208" i="10"/>
  <c r="T210" i="10"/>
  <c r="AB210" i="10"/>
  <c r="V211" i="10"/>
  <c r="T213" i="10"/>
  <c r="J214" i="10"/>
  <c r="T216" i="10"/>
  <c r="AB216" i="10"/>
  <c r="J217" i="10"/>
  <c r="I218" i="10"/>
  <c r="P92" i="10"/>
  <c r="AB219" i="10"/>
  <c r="J220" i="10"/>
  <c r="E222" i="10"/>
  <c r="Z222" i="10"/>
  <c r="P96" i="10"/>
  <c r="AB223" i="10"/>
  <c r="J224" i="10"/>
  <c r="V225" i="10"/>
  <c r="Z225" i="10"/>
  <c r="D226" i="10"/>
  <c r="AC99" i="10"/>
  <c r="F121" i="10"/>
  <c r="F189" i="10" s="1"/>
  <c r="R121" i="10"/>
  <c r="AC110" i="10"/>
  <c r="V128" i="10"/>
  <c r="P112" i="10"/>
  <c r="AC130" i="10"/>
  <c r="O131" i="10"/>
  <c r="AC114" i="10"/>
  <c r="AC132" i="10" s="1"/>
  <c r="P116" i="10"/>
  <c r="P118" i="10"/>
  <c r="E121" i="10"/>
  <c r="U121" i="10"/>
  <c r="U188" i="10" s="1"/>
  <c r="H133" i="10"/>
  <c r="R148" i="10"/>
  <c r="V148" i="10"/>
  <c r="Z148" i="10"/>
  <c r="Z177" i="10" s="1"/>
  <c r="Z57" i="10" s="1"/>
  <c r="Z184" i="10" s="1"/>
  <c r="P153" i="10"/>
  <c r="AC153" i="10"/>
  <c r="T165" i="10"/>
  <c r="T177" i="10" s="1"/>
  <c r="T57" i="10" s="1"/>
  <c r="X165" i="10"/>
  <c r="AB165" i="10"/>
  <c r="AB177" i="10" s="1"/>
  <c r="AB57" i="10" s="1"/>
  <c r="Q165" i="10"/>
  <c r="S176" i="10"/>
  <c r="S177" i="10" s="1"/>
  <c r="S57" i="10" s="1"/>
  <c r="W176" i="10"/>
  <c r="AA176" i="10"/>
  <c r="AA177" i="10" s="1"/>
  <c r="AA57" i="10" s="1"/>
  <c r="AC173" i="10"/>
  <c r="P179" i="10"/>
  <c r="X185" i="10"/>
  <c r="L186" i="10"/>
  <c r="D188" i="10"/>
  <c r="H189" i="10"/>
  <c r="X189" i="10"/>
  <c r="L190" i="10"/>
  <c r="H193" i="10"/>
  <c r="X193" i="10"/>
  <c r="L194" i="10"/>
  <c r="D196" i="10"/>
  <c r="H197" i="10"/>
  <c r="X197" i="10"/>
  <c r="L198" i="10"/>
  <c r="X200" i="10"/>
  <c r="L205" i="10"/>
  <c r="X216" i="10"/>
  <c r="Q7" i="11"/>
  <c r="E11" i="10"/>
  <c r="E98" i="11"/>
  <c r="I30" i="11"/>
  <c r="I27" i="11"/>
  <c r="I11" i="10"/>
  <c r="AG11" i="11"/>
  <c r="AD19" i="11"/>
  <c r="AE19" i="11" s="1"/>
  <c r="AG19" i="11"/>
  <c r="AG20" i="11"/>
  <c r="G52" i="10"/>
  <c r="K52" i="10"/>
  <c r="O52" i="10"/>
  <c r="E27" i="11"/>
  <c r="U81" i="11"/>
  <c r="U82" i="11" s="1"/>
  <c r="AD44" i="11"/>
  <c r="AE44" i="11" s="1"/>
  <c r="AG44" i="11"/>
  <c r="AG45" i="11"/>
  <c r="AG73" i="11"/>
  <c r="AC105" i="11"/>
  <c r="AC122" i="11"/>
  <c r="AG121" i="11"/>
  <c r="AD121" i="11"/>
  <c r="AE121" i="11" s="1"/>
  <c r="G6" i="12"/>
  <c r="P10" i="12"/>
  <c r="H98" i="12"/>
  <c r="H13" i="10"/>
  <c r="H30" i="12"/>
  <c r="H27" i="12"/>
  <c r="R98" i="12"/>
  <c r="R13" i="10"/>
  <c r="AC13" i="10" s="1"/>
  <c r="V27" i="12"/>
  <c r="V81" i="12" s="1"/>
  <c r="V82" i="12" s="1"/>
  <c r="V98" i="12"/>
  <c r="V13" i="10"/>
  <c r="Z27" i="12"/>
  <c r="Z81" i="12" s="1"/>
  <c r="Z82" i="12" s="1"/>
  <c r="Z13" i="10"/>
  <c r="Z128" i="10" s="1"/>
  <c r="AA81" i="12"/>
  <c r="AA82" i="12" s="1"/>
  <c r="L29" i="12"/>
  <c r="L33" i="12"/>
  <c r="AG41" i="12"/>
  <c r="AD41" i="12"/>
  <c r="AE41" i="12" s="1"/>
  <c r="P43" i="12"/>
  <c r="AG57" i="12"/>
  <c r="AD57" i="12"/>
  <c r="AE57" i="12" s="1"/>
  <c r="AD74" i="12"/>
  <c r="AE74" i="12" s="1"/>
  <c r="AG74" i="12"/>
  <c r="AG75" i="12"/>
  <c r="AD86" i="12"/>
  <c r="AE86" i="12" s="1"/>
  <c r="AG86" i="12"/>
  <c r="Z98" i="12"/>
  <c r="AG13" i="13"/>
  <c r="V81" i="13"/>
  <c r="V82" i="13" s="1"/>
  <c r="U81" i="13"/>
  <c r="U82" i="13" s="1"/>
  <c r="AC80" i="13"/>
  <c r="AD38" i="13"/>
  <c r="AE38" i="13" s="1"/>
  <c r="AC134" i="13"/>
  <c r="R134" i="13"/>
  <c r="R35" i="13" s="1"/>
  <c r="V134" i="13"/>
  <c r="V35" i="13" s="1"/>
  <c r="Z134" i="13"/>
  <c r="Z35" i="13" s="1"/>
  <c r="P26" i="14"/>
  <c r="G98" i="14"/>
  <c r="G30" i="14"/>
  <c r="G27" i="14"/>
  <c r="G14" i="10"/>
  <c r="F65" i="10"/>
  <c r="J192" i="10"/>
  <c r="N65" i="10"/>
  <c r="AG122" i="14"/>
  <c r="AA6" i="15"/>
  <c r="AG90" i="15"/>
  <c r="AD11" i="16"/>
  <c r="AE11" i="16" s="1"/>
  <c r="P95" i="16"/>
  <c r="AG11" i="16"/>
  <c r="D14" i="16"/>
  <c r="AG22" i="16"/>
  <c r="M33" i="16"/>
  <c r="M29" i="16"/>
  <c r="AG112" i="16"/>
  <c r="AD112" i="16"/>
  <c r="AE112" i="16" s="1"/>
  <c r="F14" i="17"/>
  <c r="J14" i="17"/>
  <c r="N14" i="17"/>
  <c r="Y27" i="17"/>
  <c r="Y81" i="17" s="1"/>
  <c r="Y82" i="17" s="1"/>
  <c r="AD125" i="17"/>
  <c r="AE125" i="17" s="1"/>
  <c r="AG125" i="17"/>
  <c r="S6" i="18"/>
  <c r="L98" i="18"/>
  <c r="L27" i="18"/>
  <c r="L17" i="10"/>
  <c r="T81" i="18"/>
  <c r="T82" i="18" s="1"/>
  <c r="AD50" i="18"/>
  <c r="AE50" i="18" s="1"/>
  <c r="AG50" i="18"/>
  <c r="AD53" i="18"/>
  <c r="AE53" i="18" s="1"/>
  <c r="AG53" i="18"/>
  <c r="O104" i="18"/>
  <c r="P104" i="18" s="1"/>
  <c r="Y7" i="19"/>
  <c r="AG12" i="19"/>
  <c r="P96" i="19"/>
  <c r="AD12" i="19"/>
  <c r="AE12" i="19" s="1"/>
  <c r="AD41" i="19"/>
  <c r="AE41" i="19" s="1"/>
  <c r="AG41" i="19"/>
  <c r="AD85" i="19"/>
  <c r="AE85" i="19" s="1"/>
  <c r="P90" i="19"/>
  <c r="AG85" i="19"/>
  <c r="P121" i="19"/>
  <c r="G98" i="20"/>
  <c r="G30" i="20"/>
  <c r="G27" i="20"/>
  <c r="G20" i="10"/>
  <c r="K98" i="20"/>
  <c r="K30" i="20"/>
  <c r="K27" i="20"/>
  <c r="K20" i="10"/>
  <c r="F31" i="20"/>
  <c r="F29" i="20" s="1"/>
  <c r="F38" i="10"/>
  <c r="F42" i="10" s="1"/>
  <c r="J31" i="20"/>
  <c r="J29" i="20" s="1"/>
  <c r="J38" i="10"/>
  <c r="N31" i="20"/>
  <c r="N29" i="20" s="1"/>
  <c r="N38" i="10"/>
  <c r="N42" i="10" s="1"/>
  <c r="W27" i="20"/>
  <c r="W38" i="10"/>
  <c r="W42" i="10" s="1"/>
  <c r="AA27" i="20"/>
  <c r="AA81" i="20" s="1"/>
  <c r="AA82" i="20" s="1"/>
  <c r="AG78" i="20"/>
  <c r="AD78" i="20"/>
  <c r="AE78" i="20" s="1"/>
  <c r="P112" i="20"/>
  <c r="AD107" i="20"/>
  <c r="AE107" i="20" s="1"/>
  <c r="AG107" i="20"/>
  <c r="AG117" i="20"/>
  <c r="AD117" i="20"/>
  <c r="AE117" i="20" s="1"/>
  <c r="P122" i="20"/>
  <c r="AD119" i="20"/>
  <c r="AE119" i="20" s="1"/>
  <c r="AG119" i="20"/>
  <c r="Q7" i="21"/>
  <c r="S98" i="21"/>
  <c r="S27" i="21"/>
  <c r="S81" i="21" s="1"/>
  <c r="S82" i="21" s="1"/>
  <c r="W98" i="21"/>
  <c r="W27" i="21"/>
  <c r="W81" i="21" s="1"/>
  <c r="W82" i="21" s="1"/>
  <c r="AA27" i="21"/>
  <c r="AA81" i="21" s="1"/>
  <c r="AA82" i="21" s="1"/>
  <c r="AA98" i="21"/>
  <c r="AD54" i="21"/>
  <c r="AE54" i="21" s="1"/>
  <c r="AG54" i="21"/>
  <c r="AD73" i="22"/>
  <c r="AE73" i="22" s="1"/>
  <c r="AG73" i="22"/>
  <c r="G118" i="22"/>
  <c r="F161" i="10"/>
  <c r="AD33" i="24"/>
  <c r="AE33" i="24" s="1"/>
  <c r="AG33" i="24"/>
  <c r="AD38" i="24"/>
  <c r="AE38" i="24" s="1"/>
  <c r="AG38" i="24"/>
  <c r="AD45" i="24"/>
  <c r="AE45" i="24" s="1"/>
  <c r="AG45" i="24"/>
  <c r="AG9" i="25"/>
  <c r="P93" i="25"/>
  <c r="AD9" i="25"/>
  <c r="AE9" i="25" s="1"/>
  <c r="AC93" i="25"/>
  <c r="AC14" i="25"/>
  <c r="AG95" i="25"/>
  <c r="AC105" i="26"/>
  <c r="AC134" i="26" s="1"/>
  <c r="AD102" i="26"/>
  <c r="AE102" i="26" s="1"/>
  <c r="H86" i="5"/>
  <c r="H98" i="5" s="1"/>
  <c r="H17" i="5" s="1"/>
  <c r="H103" i="5" s="1"/>
  <c r="L86" i="5"/>
  <c r="L98" i="5" s="1"/>
  <c r="L17" i="5" s="1"/>
  <c r="L103" i="5" s="1"/>
  <c r="P86" i="5"/>
  <c r="P98" i="5" s="1"/>
  <c r="P17" i="5" s="1"/>
  <c r="P103" i="5" s="1"/>
  <c r="U86" i="5"/>
  <c r="U98" i="5" s="1"/>
  <c r="U17" i="5" s="1"/>
  <c r="Y86" i="5"/>
  <c r="Y98" i="5" s="1"/>
  <c r="Y17" i="5" s="1"/>
  <c r="AC86" i="5"/>
  <c r="AC98" i="5" s="1"/>
  <c r="AC17" i="5" s="1"/>
  <c r="AD85" i="5"/>
  <c r="AE85" i="5" s="1"/>
  <c r="AF85" i="5" s="1"/>
  <c r="H97" i="5"/>
  <c r="L97" i="5"/>
  <c r="P97" i="5"/>
  <c r="T97" i="5"/>
  <c r="T98" i="5" s="1"/>
  <c r="T17" i="5" s="1"/>
  <c r="X97" i="5"/>
  <c r="X98" i="5" s="1"/>
  <c r="X17" i="5" s="1"/>
  <c r="AB97" i="5"/>
  <c r="Q89" i="5"/>
  <c r="AD89" i="5"/>
  <c r="AD92" i="5"/>
  <c r="AE92" i="5" s="1"/>
  <c r="AF92" i="5" s="1"/>
  <c r="Q94" i="5"/>
  <c r="AD101" i="5"/>
  <c r="Q142" i="5"/>
  <c r="Q141" i="5" s="1"/>
  <c r="AD12" i="6"/>
  <c r="J58" i="6"/>
  <c r="N58" i="6"/>
  <c r="AE25" i="6"/>
  <c r="AF25" i="6" s="1"/>
  <c r="AH30" i="6"/>
  <c r="AE33" i="6"/>
  <c r="AF33" i="6" s="1"/>
  <c r="AH38" i="6"/>
  <c r="AE41" i="6"/>
  <c r="AF41" i="6" s="1"/>
  <c r="H56" i="6"/>
  <c r="P56" i="6"/>
  <c r="AA57" i="6"/>
  <c r="AD69" i="6"/>
  <c r="AD98" i="6" s="1"/>
  <c r="AD103" i="6" s="1"/>
  <c r="Q69" i="6"/>
  <c r="H98" i="6"/>
  <c r="H17" i="6" s="1"/>
  <c r="L98" i="6"/>
  <c r="L17" i="6" s="1"/>
  <c r="P98" i="6"/>
  <c r="P17" i="6" s="1"/>
  <c r="T98" i="6"/>
  <c r="T17" i="6" s="1"/>
  <c r="T45" i="6" s="1"/>
  <c r="T46" i="6" s="1"/>
  <c r="X98" i="6"/>
  <c r="X17" i="6" s="1"/>
  <c r="X45" i="6" s="1"/>
  <c r="X46" i="6" s="1"/>
  <c r="AB98" i="6"/>
  <c r="AB17" i="6" s="1"/>
  <c r="AB60" i="6" s="1"/>
  <c r="AE80" i="6"/>
  <c r="AF80" i="6" s="1"/>
  <c r="AH85" i="6"/>
  <c r="Q97" i="6"/>
  <c r="AE88" i="6"/>
  <c r="AF88" i="6" s="1"/>
  <c r="AH93" i="6"/>
  <c r="T45" i="7"/>
  <c r="T46" i="7" s="1"/>
  <c r="T59" i="7"/>
  <c r="X45" i="7"/>
  <c r="X46" i="7" s="1"/>
  <c r="X59" i="7"/>
  <c r="AB45" i="7"/>
  <c r="AB46" i="7" s="1"/>
  <c r="AB59" i="7"/>
  <c r="V59" i="7"/>
  <c r="V58" i="7"/>
  <c r="AE28" i="7"/>
  <c r="AF28" i="7" s="1"/>
  <c r="AH36" i="7"/>
  <c r="AE42" i="7"/>
  <c r="AF42" i="7" s="1"/>
  <c r="U60" i="7"/>
  <c r="Y60" i="7"/>
  <c r="AC60" i="7"/>
  <c r="Q50" i="7"/>
  <c r="I55" i="7"/>
  <c r="X57" i="7"/>
  <c r="AB57" i="7"/>
  <c r="AD53" i="7"/>
  <c r="AE53" i="7" s="1"/>
  <c r="AF53" i="7" s="1"/>
  <c r="AB55" i="7"/>
  <c r="AB56" i="7" s="1"/>
  <c r="T58" i="7"/>
  <c r="W59" i="7"/>
  <c r="S98" i="7"/>
  <c r="S17" i="7" s="1"/>
  <c r="S45" i="7" s="1"/>
  <c r="S46" i="7" s="1"/>
  <c r="W98" i="7"/>
  <c r="W17" i="7" s="1"/>
  <c r="W60" i="7" s="1"/>
  <c r="AA98" i="7"/>
  <c r="AA17" i="7" s="1"/>
  <c r="AA45" i="7" s="1"/>
  <c r="AA46" i="7" s="1"/>
  <c r="R60" i="8"/>
  <c r="V60" i="8"/>
  <c r="Z60" i="8"/>
  <c r="AD44" i="8"/>
  <c r="AA56" i="8"/>
  <c r="AA58" i="8"/>
  <c r="AE64" i="8"/>
  <c r="AF64" i="8" s="1"/>
  <c r="Q69" i="8"/>
  <c r="AD97" i="8"/>
  <c r="AE90" i="8"/>
  <c r="AF90" i="8" s="1"/>
  <c r="Q97" i="8"/>
  <c r="AH11" i="9"/>
  <c r="AE11" i="9"/>
  <c r="AB59" i="9"/>
  <c r="S60" i="9"/>
  <c r="Q22" i="9"/>
  <c r="AC60" i="9"/>
  <c r="F59" i="9"/>
  <c r="F49" i="9"/>
  <c r="N59" i="9"/>
  <c r="N49" i="9"/>
  <c r="AD49" i="9"/>
  <c r="Q51" i="9"/>
  <c r="H57" i="9"/>
  <c r="H55" i="9"/>
  <c r="H56" i="9" s="1"/>
  <c r="P57" i="9"/>
  <c r="P55" i="9"/>
  <c r="P56" i="9" s="1"/>
  <c r="Q54" i="9"/>
  <c r="P58" i="9"/>
  <c r="S59" i="9"/>
  <c r="AH69" i="9"/>
  <c r="AD76" i="9"/>
  <c r="AD98" i="9" s="1"/>
  <c r="AE71" i="9"/>
  <c r="AF71" i="9" s="1"/>
  <c r="E98" i="9"/>
  <c r="E17" i="9" s="1"/>
  <c r="I98" i="9"/>
  <c r="I17" i="9" s="1"/>
  <c r="M98" i="9"/>
  <c r="M17" i="9" s="1"/>
  <c r="Q76" i="9"/>
  <c r="U98" i="9"/>
  <c r="U17" i="9" s="1"/>
  <c r="U45" i="9" s="1"/>
  <c r="U46" i="9" s="1"/>
  <c r="Y98" i="9"/>
  <c r="Y17" i="9" s="1"/>
  <c r="Y60" i="9" s="1"/>
  <c r="AC98" i="9"/>
  <c r="AC17" i="9" s="1"/>
  <c r="AC45" i="9" s="1"/>
  <c r="AC46" i="9" s="1"/>
  <c r="Q86" i="9"/>
  <c r="Q24" i="10"/>
  <c r="AB24" i="10"/>
  <c r="AC20" i="10"/>
  <c r="G42" i="10"/>
  <c r="K42" i="10"/>
  <c r="O42" i="10"/>
  <c r="P32" i="10"/>
  <c r="AC32" i="10"/>
  <c r="P35" i="10"/>
  <c r="P37" i="10"/>
  <c r="AC46" i="10"/>
  <c r="AD46" i="10" s="1"/>
  <c r="AE46" i="10" s="1"/>
  <c r="AC47" i="10"/>
  <c r="Z55" i="10"/>
  <c r="G187" i="10"/>
  <c r="K187" i="10"/>
  <c r="E188" i="10"/>
  <c r="M188" i="10"/>
  <c r="V188" i="10"/>
  <c r="P62" i="10"/>
  <c r="AC62" i="10"/>
  <c r="G190" i="10"/>
  <c r="K190" i="10"/>
  <c r="J191" i="10"/>
  <c r="V191" i="10"/>
  <c r="Z191" i="10"/>
  <c r="E192" i="10"/>
  <c r="E193" i="10"/>
  <c r="M193" i="10"/>
  <c r="V193" i="10"/>
  <c r="P67" i="10"/>
  <c r="AC67" i="10"/>
  <c r="G195" i="10"/>
  <c r="E196" i="10"/>
  <c r="I196" i="10"/>
  <c r="V196" i="10"/>
  <c r="Z196" i="10"/>
  <c r="P70" i="10"/>
  <c r="AC70" i="10"/>
  <c r="G198" i="10"/>
  <c r="F199" i="10"/>
  <c r="J199" i="10"/>
  <c r="V199" i="10"/>
  <c r="P73" i="10"/>
  <c r="J202" i="10"/>
  <c r="AB204" i="10"/>
  <c r="J205" i="10"/>
  <c r="E206" i="10"/>
  <c r="I206" i="10"/>
  <c r="Z206" i="10"/>
  <c r="P80" i="10"/>
  <c r="AB207" i="10"/>
  <c r="J208" i="10"/>
  <c r="V209" i="10"/>
  <c r="Z209" i="10"/>
  <c r="D210" i="10"/>
  <c r="AC83" i="10"/>
  <c r="V212" i="10"/>
  <c r="D213" i="10"/>
  <c r="AB214" i="10"/>
  <c r="V215" i="10"/>
  <c r="D216" i="10"/>
  <c r="K217" i="10"/>
  <c r="J218" i="10"/>
  <c r="K220" i="10"/>
  <c r="AB220" i="10"/>
  <c r="T221" i="10"/>
  <c r="J222" i="10"/>
  <c r="G224" i="10"/>
  <c r="T224" i="10"/>
  <c r="AB224" i="10"/>
  <c r="J225" i="10"/>
  <c r="E226" i="10"/>
  <c r="I226" i="10"/>
  <c r="P100" i="10"/>
  <c r="AB227" i="10"/>
  <c r="M126" i="10"/>
  <c r="T121" i="10"/>
  <c r="T187" i="10" s="1"/>
  <c r="P109" i="10"/>
  <c r="AC109" i="10"/>
  <c r="S111" i="10"/>
  <c r="S129" i="10" s="1"/>
  <c r="P113" i="10"/>
  <c r="AC113" i="10"/>
  <c r="AC131" i="10" s="1"/>
  <c r="M135" i="10"/>
  <c r="AC118" i="10"/>
  <c r="AC136" i="10" s="1"/>
  <c r="I121" i="10"/>
  <c r="Y121" i="10"/>
  <c r="Y188" i="10" s="1"/>
  <c r="W126" i="10"/>
  <c r="AC146" i="10"/>
  <c r="AC148" i="10" s="1"/>
  <c r="P150" i="10"/>
  <c r="Q177" i="10"/>
  <c r="Q57" i="10" s="1"/>
  <c r="U177" i="10"/>
  <c r="U57" i="10" s="1"/>
  <c r="Y177" i="10"/>
  <c r="Y57" i="10" s="1"/>
  <c r="AC150" i="10"/>
  <c r="AC155" i="10" s="1"/>
  <c r="P154" i="10"/>
  <c r="T176" i="10"/>
  <c r="X176" i="10"/>
  <c r="AB176" i="10"/>
  <c r="AC169" i="10"/>
  <c r="AD169" i="10" s="1"/>
  <c r="AE169" i="10" s="1"/>
  <c r="P174" i="10"/>
  <c r="AC174" i="10"/>
  <c r="H188" i="10"/>
  <c r="X188" i="10"/>
  <c r="L189" i="10"/>
  <c r="X192" i="10"/>
  <c r="L193" i="10"/>
  <c r="D195" i="10"/>
  <c r="H196" i="10"/>
  <c r="X196" i="10"/>
  <c r="L197" i="10"/>
  <c r="H200" i="10"/>
  <c r="X204" i="10"/>
  <c r="L209" i="10"/>
  <c r="H216" i="10"/>
  <c r="X220" i="10"/>
  <c r="L225" i="10"/>
  <c r="P232" i="10"/>
  <c r="P234" i="10"/>
  <c r="AA6" i="11"/>
  <c r="F11" i="10"/>
  <c r="F126" i="10" s="1"/>
  <c r="F98" i="11"/>
  <c r="F30" i="11"/>
  <c r="F27" i="11"/>
  <c r="J11" i="10"/>
  <c r="J98" i="11"/>
  <c r="N30" i="11"/>
  <c r="N27" i="11"/>
  <c r="N11" i="10"/>
  <c r="D30" i="11"/>
  <c r="D27" i="11"/>
  <c r="D11" i="10"/>
  <c r="P12" i="11"/>
  <c r="H30" i="11"/>
  <c r="H98" i="11"/>
  <c r="H27" i="11"/>
  <c r="H11" i="10"/>
  <c r="R98" i="11"/>
  <c r="R11" i="10"/>
  <c r="R27" i="11"/>
  <c r="R81" i="11" s="1"/>
  <c r="R82" i="11" s="1"/>
  <c r="V11" i="10"/>
  <c r="V24" i="10" s="1"/>
  <c r="V48" i="10" s="1"/>
  <c r="V98" i="11"/>
  <c r="V27" i="11"/>
  <c r="Z11" i="10"/>
  <c r="Z24" i="10" s="1"/>
  <c r="Z48" i="10" s="1"/>
  <c r="Z98" i="11"/>
  <c r="L52" i="10"/>
  <c r="J27" i="11"/>
  <c r="Z27" i="11"/>
  <c r="Z81" i="11" s="1"/>
  <c r="Z82" i="11" s="1"/>
  <c r="E30" i="11"/>
  <c r="D52" i="10"/>
  <c r="P31" i="11"/>
  <c r="N52" i="10"/>
  <c r="AC80" i="11"/>
  <c r="AD38" i="11"/>
  <c r="AE38" i="11" s="1"/>
  <c r="AG59" i="11"/>
  <c r="AD59" i="11"/>
  <c r="AE59" i="11" s="1"/>
  <c r="AD85" i="11"/>
  <c r="AE85" i="11" s="1"/>
  <c r="AG85" i="11"/>
  <c r="P90" i="11"/>
  <c r="AG86" i="11"/>
  <c r="G121" i="10"/>
  <c r="G226" i="10" s="1"/>
  <c r="K121" i="10"/>
  <c r="O121" i="10"/>
  <c r="I98" i="11"/>
  <c r="AC133" i="11"/>
  <c r="AC7" i="12"/>
  <c r="G14" i="12"/>
  <c r="K14" i="12"/>
  <c r="O14" i="12"/>
  <c r="AG12" i="12"/>
  <c r="S98" i="12"/>
  <c r="W98" i="12"/>
  <c r="AA98" i="12"/>
  <c r="R27" i="12"/>
  <c r="R81" i="12" s="1"/>
  <c r="R82" i="12" s="1"/>
  <c r="AC33" i="12"/>
  <c r="P96" i="12"/>
  <c r="AD116" i="12"/>
  <c r="AE116" i="12" s="1"/>
  <c r="AG116" i="12"/>
  <c r="AC133" i="12"/>
  <c r="AD125" i="12"/>
  <c r="AE125" i="12" s="1"/>
  <c r="AD130" i="12"/>
  <c r="AE130" i="12" s="1"/>
  <c r="AG130" i="12"/>
  <c r="P93" i="13"/>
  <c r="AD9" i="13"/>
  <c r="AE9" i="13" s="1"/>
  <c r="H14" i="13"/>
  <c r="S98" i="13"/>
  <c r="S27" i="13"/>
  <c r="S81" i="13" s="1"/>
  <c r="S82" i="13" s="1"/>
  <c r="S12" i="10"/>
  <c r="S127" i="10" s="1"/>
  <c r="W98" i="13"/>
  <c r="W12" i="10"/>
  <c r="W127" i="10" s="1"/>
  <c r="AA27" i="13"/>
  <c r="AA81" i="13" s="1"/>
  <c r="AA82" i="13" s="1"/>
  <c r="AA12" i="10"/>
  <c r="AA24" i="10" s="1"/>
  <c r="W27" i="13"/>
  <c r="W81" i="13" s="1"/>
  <c r="W82" i="13" s="1"/>
  <c r="AD59" i="13"/>
  <c r="AE59" i="13" s="1"/>
  <c r="AG59" i="13"/>
  <c r="AD62" i="13"/>
  <c r="AE62" i="13" s="1"/>
  <c r="AG62" i="13"/>
  <c r="AD88" i="13"/>
  <c r="AE88" i="13" s="1"/>
  <c r="AG88" i="13"/>
  <c r="AD128" i="13"/>
  <c r="AE128" i="13" s="1"/>
  <c r="AG128" i="13"/>
  <c r="P133" i="13"/>
  <c r="AD132" i="13"/>
  <c r="AE132" i="13" s="1"/>
  <c r="AG132" i="13"/>
  <c r="O30" i="14"/>
  <c r="AD55" i="14"/>
  <c r="AE55" i="14" s="1"/>
  <c r="AG55" i="14"/>
  <c r="AD66" i="14"/>
  <c r="AE66" i="14" s="1"/>
  <c r="AG66" i="14"/>
  <c r="AD70" i="14"/>
  <c r="AE70" i="14" s="1"/>
  <c r="AG70" i="14"/>
  <c r="AG105" i="14"/>
  <c r="AD120" i="14"/>
  <c r="AE120" i="14" s="1"/>
  <c r="AG120" i="14"/>
  <c r="K30" i="15"/>
  <c r="K98" i="15"/>
  <c r="K26" i="15"/>
  <c r="K27" i="15" s="1"/>
  <c r="AG31" i="15"/>
  <c r="AD31" i="15"/>
  <c r="AE31" i="15" s="1"/>
  <c r="AD9" i="16"/>
  <c r="AE9" i="16" s="1"/>
  <c r="P93" i="16"/>
  <c r="AG9" i="16"/>
  <c r="H14" i="16"/>
  <c r="AD40" i="16"/>
  <c r="AE40" i="16" s="1"/>
  <c r="AG40" i="16"/>
  <c r="AD68" i="16"/>
  <c r="AE68" i="16" s="1"/>
  <c r="AG68" i="16"/>
  <c r="AD71" i="16"/>
  <c r="AE71" i="16" s="1"/>
  <c r="AG71" i="16"/>
  <c r="AG12" i="17"/>
  <c r="P96" i="17"/>
  <c r="AD12" i="17"/>
  <c r="AE12" i="17" s="1"/>
  <c r="AC36" i="10"/>
  <c r="AD36" i="10" s="1"/>
  <c r="AE36" i="10" s="1"/>
  <c r="D98" i="18"/>
  <c r="D17" i="10"/>
  <c r="E98" i="18"/>
  <c r="E27" i="18"/>
  <c r="D27" i="18"/>
  <c r="Y27" i="18"/>
  <c r="Y81" i="18" s="1"/>
  <c r="Y82" i="18" s="1"/>
  <c r="AD38" i="18"/>
  <c r="AE38" i="18" s="1"/>
  <c r="AG38" i="18"/>
  <c r="K116" i="18"/>
  <c r="F162" i="10"/>
  <c r="G119" i="18"/>
  <c r="S6" i="19"/>
  <c r="AC80" i="19"/>
  <c r="AD56" i="19"/>
  <c r="AE56" i="19" s="1"/>
  <c r="AG56" i="19"/>
  <c r="S98" i="19"/>
  <c r="S116" i="10"/>
  <c r="S134" i="10" s="1"/>
  <c r="W98" i="19"/>
  <c r="W116" i="10"/>
  <c r="W134" i="10" s="1"/>
  <c r="AA98" i="19"/>
  <c r="AA116" i="10"/>
  <c r="AA134" i="10" s="1"/>
  <c r="AD12" i="20"/>
  <c r="AE12" i="20" s="1"/>
  <c r="AG12" i="20"/>
  <c r="AG50" i="20"/>
  <c r="AD50" i="20"/>
  <c r="AE50" i="20" s="1"/>
  <c r="AD52" i="20"/>
  <c r="AE52" i="20" s="1"/>
  <c r="AG52" i="20"/>
  <c r="G135" i="10"/>
  <c r="K135" i="10"/>
  <c r="AG133" i="20"/>
  <c r="K6" i="21"/>
  <c r="G14" i="21"/>
  <c r="H30" i="21"/>
  <c r="H33" i="21" s="1"/>
  <c r="AD46" i="21"/>
  <c r="AE46" i="21" s="1"/>
  <c r="AG46" i="21"/>
  <c r="AD129" i="21"/>
  <c r="AE129" i="21" s="1"/>
  <c r="AG129" i="21"/>
  <c r="AD26" i="22"/>
  <c r="AE26" i="22" s="1"/>
  <c r="AG26" i="22"/>
  <c r="P97" i="23"/>
  <c r="AD13" i="23"/>
  <c r="AE13" i="23" s="1"/>
  <c r="AG13" i="23"/>
  <c r="E98" i="24"/>
  <c r="E27" i="24"/>
  <c r="Q12" i="6"/>
  <c r="AE9" i="6"/>
  <c r="AF9" i="6" s="1"/>
  <c r="S45" i="6"/>
  <c r="S46" i="6" s="1"/>
  <c r="AA45" i="6"/>
  <c r="AA46" i="6" s="1"/>
  <c r="AH14" i="6"/>
  <c r="AE14" i="6"/>
  <c r="U59" i="6"/>
  <c r="U58" i="6"/>
  <c r="AC59" i="6"/>
  <c r="AC58" i="6"/>
  <c r="Q22" i="6"/>
  <c r="W58" i="6"/>
  <c r="AE68" i="6"/>
  <c r="AF68" i="6" s="1"/>
  <c r="Q86" i="6"/>
  <c r="Y59" i="7"/>
  <c r="Y58" i="7"/>
  <c r="AE24" i="7"/>
  <c r="AF24" i="7" s="1"/>
  <c r="E40" i="5"/>
  <c r="Q40" i="7"/>
  <c r="J59" i="7"/>
  <c r="J49" i="7"/>
  <c r="AD48" i="7"/>
  <c r="L57" i="7"/>
  <c r="L55" i="7"/>
  <c r="Y56" i="7"/>
  <c r="AC56" i="7"/>
  <c r="Q76" i="7"/>
  <c r="T45" i="8"/>
  <c r="T46" i="8" s="1"/>
  <c r="T59" i="8"/>
  <c r="T58" i="8"/>
  <c r="AB45" i="8"/>
  <c r="AB46" i="8" s="1"/>
  <c r="AB59" i="8"/>
  <c r="AB58" i="8"/>
  <c r="Q51" i="8"/>
  <c r="H56" i="8"/>
  <c r="P56" i="8"/>
  <c r="AA57" i="8"/>
  <c r="AH53" i="8"/>
  <c r="AE53" i="8"/>
  <c r="AF53" i="8" s="1"/>
  <c r="AD69" i="8"/>
  <c r="AD76" i="8"/>
  <c r="AE71" i="8"/>
  <c r="AF71" i="8" s="1"/>
  <c r="Q86" i="8"/>
  <c r="F22" i="5"/>
  <c r="J22" i="5"/>
  <c r="J108" i="5" s="1"/>
  <c r="N22" i="5"/>
  <c r="N108" i="5" s="1"/>
  <c r="Q50" i="9"/>
  <c r="I56" i="9"/>
  <c r="X57" i="9"/>
  <c r="AB57" i="9"/>
  <c r="AB56" i="9"/>
  <c r="W59" i="9"/>
  <c r="R98" i="9"/>
  <c r="R17" i="9" s="1"/>
  <c r="V98" i="9"/>
  <c r="V17" i="9" s="1"/>
  <c r="V60" i="9" s="1"/>
  <c r="Z98" i="9"/>
  <c r="Z17" i="9" s="1"/>
  <c r="Z60" i="9" s="1"/>
  <c r="S24" i="10"/>
  <c r="S48" i="10" s="1"/>
  <c r="X24" i="10"/>
  <c r="D30" i="10"/>
  <c r="H30" i="10"/>
  <c r="H42" i="10" s="1"/>
  <c r="L30" i="10"/>
  <c r="L42" i="10" s="1"/>
  <c r="AB30" i="10"/>
  <c r="AB42" i="10" s="1"/>
  <c r="P33" i="10"/>
  <c r="AD39" i="10"/>
  <c r="AE39" i="10" s="1"/>
  <c r="AG39" i="10"/>
  <c r="AC44" i="10"/>
  <c r="AD44" i="10" s="1"/>
  <c r="AE44" i="10" s="1"/>
  <c r="S50" i="10"/>
  <c r="P60" i="10"/>
  <c r="T101" i="10"/>
  <c r="T228" i="10" s="1"/>
  <c r="X101" i="10"/>
  <c r="X228" i="10" s="1"/>
  <c r="AB101" i="10"/>
  <c r="AB228" i="10" s="1"/>
  <c r="J188" i="10"/>
  <c r="E189" i="10"/>
  <c r="I189" i="10"/>
  <c r="M189" i="10"/>
  <c r="V189" i="10"/>
  <c r="Z189" i="10"/>
  <c r="P63" i="10"/>
  <c r="Y190" i="10"/>
  <c r="AC63" i="10"/>
  <c r="G191" i="10"/>
  <c r="K191" i="10"/>
  <c r="O191" i="10"/>
  <c r="G192" i="10"/>
  <c r="J193" i="10"/>
  <c r="E194" i="10"/>
  <c r="I194" i="10"/>
  <c r="V194" i="10"/>
  <c r="Z194" i="10"/>
  <c r="J196" i="10"/>
  <c r="E197" i="10"/>
  <c r="I197" i="10"/>
  <c r="V197" i="10"/>
  <c r="Z197" i="10"/>
  <c r="P71" i="10"/>
  <c r="U198" i="10"/>
  <c r="AC71" i="10"/>
  <c r="G199" i="10"/>
  <c r="K199" i="10"/>
  <c r="E200" i="10"/>
  <c r="V200" i="10"/>
  <c r="Z200" i="10"/>
  <c r="G202" i="10"/>
  <c r="T202" i="10"/>
  <c r="AB202" i="10"/>
  <c r="V203" i="10"/>
  <c r="K205" i="10"/>
  <c r="T205" i="10"/>
  <c r="J206" i="10"/>
  <c r="G208" i="10"/>
  <c r="K208" i="10"/>
  <c r="T208" i="10"/>
  <c r="AB208" i="10"/>
  <c r="J209" i="10"/>
  <c r="E210" i="10"/>
  <c r="I210" i="10"/>
  <c r="M210" i="10"/>
  <c r="P84" i="10"/>
  <c r="AB211" i="10"/>
  <c r="J212" i="10"/>
  <c r="V213" i="10"/>
  <c r="U214" i="10"/>
  <c r="AC87" i="10"/>
  <c r="G215" i="10"/>
  <c r="K215" i="10"/>
  <c r="R216" i="10"/>
  <c r="V216" i="10"/>
  <c r="G218" i="10"/>
  <c r="O218" i="10"/>
  <c r="T218" i="10"/>
  <c r="AB218" i="10"/>
  <c r="V219" i="10"/>
  <c r="G222" i="10"/>
  <c r="O222" i="10"/>
  <c r="T222" i="10"/>
  <c r="AB222" i="10"/>
  <c r="V223" i="10"/>
  <c r="K225" i="10"/>
  <c r="O225" i="10"/>
  <c r="T225" i="10"/>
  <c r="J226" i="10"/>
  <c r="S101" i="10"/>
  <c r="I126" i="10"/>
  <c r="N126" i="10"/>
  <c r="N121" i="10"/>
  <c r="N207" i="10" s="1"/>
  <c r="Z121" i="10"/>
  <c r="Z198" i="10" s="1"/>
  <c r="D128" i="10"/>
  <c r="N128" i="10"/>
  <c r="P111" i="10"/>
  <c r="O129" i="10"/>
  <c r="P115" i="10"/>
  <c r="P117" i="10"/>
  <c r="AD119" i="10"/>
  <c r="AE119" i="10" s="1"/>
  <c r="AG119" i="10"/>
  <c r="AC137" i="10"/>
  <c r="M121" i="10"/>
  <c r="M195" i="10" s="1"/>
  <c r="AA126" i="10"/>
  <c r="D129" i="10"/>
  <c r="L137" i="10"/>
  <c r="R177" i="10"/>
  <c r="R57" i="10" s="1"/>
  <c r="V177" i="10"/>
  <c r="V57" i="10" s="1"/>
  <c r="AC167" i="10"/>
  <c r="AD170" i="10"/>
  <c r="AE170" i="10" s="1"/>
  <c r="AG170" i="10"/>
  <c r="AC175" i="10"/>
  <c r="AD175" i="10" s="1"/>
  <c r="AE175" i="10" s="1"/>
  <c r="D186" i="10"/>
  <c r="H187" i="10"/>
  <c r="X187" i="10"/>
  <c r="L188" i="10"/>
  <c r="D190" i="10"/>
  <c r="D194" i="10"/>
  <c r="L196" i="10"/>
  <c r="D198" i="10"/>
  <c r="H204" i="10"/>
  <c r="X208" i="10"/>
  <c r="L213" i="10"/>
  <c r="H220" i="10"/>
  <c r="X224" i="10"/>
  <c r="K6" i="11"/>
  <c r="AG18" i="11"/>
  <c r="AD18" i="11"/>
  <c r="AE18" i="11" s="1"/>
  <c r="P22" i="11"/>
  <c r="J29" i="11"/>
  <c r="J33" i="11"/>
  <c r="D65" i="10"/>
  <c r="H65" i="10"/>
  <c r="H192" i="10" s="1"/>
  <c r="L65" i="10"/>
  <c r="L192" i="10" s="1"/>
  <c r="P43" i="11"/>
  <c r="P112" i="11"/>
  <c r="AD107" i="11"/>
  <c r="AE107" i="11" s="1"/>
  <c r="AD122" i="11"/>
  <c r="AE122" i="11" s="1"/>
  <c r="AG122" i="11"/>
  <c r="M7" i="12"/>
  <c r="D98" i="12"/>
  <c r="D13" i="10"/>
  <c r="D30" i="12"/>
  <c r="D27" i="12"/>
  <c r="D26" i="12"/>
  <c r="F30" i="12"/>
  <c r="F26" i="12"/>
  <c r="F98" i="12"/>
  <c r="F13" i="10"/>
  <c r="J30" i="12"/>
  <c r="J26" i="12"/>
  <c r="J27" i="12" s="1"/>
  <c r="J13" i="10"/>
  <c r="AD13" i="12"/>
  <c r="AE13" i="12" s="1"/>
  <c r="P97" i="12"/>
  <c r="N30" i="12"/>
  <c r="N26" i="12"/>
  <c r="N98" i="12"/>
  <c r="N27" i="12"/>
  <c r="N13" i="10"/>
  <c r="AD17" i="12"/>
  <c r="AE17" i="12" s="1"/>
  <c r="AG17" i="12"/>
  <c r="P22" i="12"/>
  <c r="H52" i="10"/>
  <c r="W81" i="12"/>
  <c r="W82" i="12" s="1"/>
  <c r="AD42" i="12"/>
  <c r="AE42" i="12" s="1"/>
  <c r="AG42" i="12"/>
  <c r="AD58" i="12"/>
  <c r="AE58" i="12" s="1"/>
  <c r="AG58" i="12"/>
  <c r="AG73" i="12"/>
  <c r="AD73" i="12"/>
  <c r="AE73" i="12" s="1"/>
  <c r="AC80" i="12"/>
  <c r="AG85" i="12"/>
  <c r="AD85" i="12"/>
  <c r="AE85" i="12" s="1"/>
  <c r="P90" i="12"/>
  <c r="P84" i="12"/>
  <c r="AD87" i="12"/>
  <c r="AE87" i="12" s="1"/>
  <c r="G26" i="13"/>
  <c r="G14" i="13"/>
  <c r="K26" i="13"/>
  <c r="K14" i="13"/>
  <c r="O26" i="13"/>
  <c r="O14" i="13"/>
  <c r="M98" i="13"/>
  <c r="M30" i="13"/>
  <c r="M27" i="13"/>
  <c r="M12" i="10"/>
  <c r="AD76" i="13"/>
  <c r="AE76" i="13" s="1"/>
  <c r="AG76" i="13"/>
  <c r="AC112" i="13"/>
  <c r="AD116" i="13"/>
  <c r="AE116" i="13" s="1"/>
  <c r="AG116" i="13"/>
  <c r="Q7" i="14"/>
  <c r="O27" i="14"/>
  <c r="AC133" i="14"/>
  <c r="AD133" i="14" s="1"/>
  <c r="AE133" i="14" s="1"/>
  <c r="AG133" i="14"/>
  <c r="E14" i="15"/>
  <c r="G33" i="15"/>
  <c r="P31" i="16"/>
  <c r="AD86" i="16"/>
  <c r="AE86" i="16" s="1"/>
  <c r="AC84" i="16"/>
  <c r="AC90" i="16"/>
  <c r="AD129" i="17"/>
  <c r="AE129" i="17" s="1"/>
  <c r="AG129" i="17"/>
  <c r="N98" i="18"/>
  <c r="N17" i="10"/>
  <c r="AC35" i="10"/>
  <c r="AG33" i="18"/>
  <c r="AD33" i="18"/>
  <c r="AE33" i="18" s="1"/>
  <c r="AD66" i="18"/>
  <c r="AE66" i="18" s="1"/>
  <c r="AG66" i="18"/>
  <c r="AD69" i="18"/>
  <c r="AE69" i="18" s="1"/>
  <c r="AG69" i="18"/>
  <c r="M103" i="18"/>
  <c r="H117" i="18"/>
  <c r="G160" i="10"/>
  <c r="I118" i="18"/>
  <c r="AD132" i="18"/>
  <c r="AE132" i="18" s="1"/>
  <c r="AG132" i="18"/>
  <c r="D98" i="19"/>
  <c r="D19" i="10"/>
  <c r="E27" i="19"/>
  <c r="E98" i="19"/>
  <c r="E19" i="10"/>
  <c r="L98" i="19"/>
  <c r="L27" i="19"/>
  <c r="L19" i="10"/>
  <c r="D27" i="19"/>
  <c r="AG43" i="19"/>
  <c r="AD43" i="19"/>
  <c r="AE43" i="19" s="1"/>
  <c r="G115" i="19"/>
  <c r="F158" i="10"/>
  <c r="I116" i="19"/>
  <c r="H159" i="10"/>
  <c r="P118" i="19"/>
  <c r="M7" i="20"/>
  <c r="F98" i="20"/>
  <c r="F30" i="20"/>
  <c r="F27" i="20"/>
  <c r="AG66" i="20"/>
  <c r="AD66" i="20"/>
  <c r="AE66" i="20" s="1"/>
  <c r="AD68" i="20"/>
  <c r="AE68" i="20" s="1"/>
  <c r="AG68" i="20"/>
  <c r="AD41" i="21"/>
  <c r="AE41" i="21" s="1"/>
  <c r="AG41" i="21"/>
  <c r="AG43" i="21"/>
  <c r="AD43" i="21"/>
  <c r="AE43" i="21" s="1"/>
  <c r="AD70" i="21"/>
  <c r="AE70" i="21" s="1"/>
  <c r="AG70" i="21"/>
  <c r="AD73" i="21"/>
  <c r="AE73" i="21" s="1"/>
  <c r="AG73" i="21"/>
  <c r="P97" i="22"/>
  <c r="AD13" i="22"/>
  <c r="AE13" i="22" s="1"/>
  <c r="AG13" i="22"/>
  <c r="AD57" i="23"/>
  <c r="AE57" i="23" s="1"/>
  <c r="AG57" i="23"/>
  <c r="G27" i="24"/>
  <c r="G98" i="24"/>
  <c r="K27" i="24"/>
  <c r="K98" i="24"/>
  <c r="O27" i="24"/>
  <c r="O98" i="24"/>
  <c r="P97" i="26"/>
  <c r="AD13" i="26"/>
  <c r="AE13" i="26" s="1"/>
  <c r="AG13" i="26"/>
  <c r="AD44" i="26"/>
  <c r="AE44" i="26" s="1"/>
  <c r="AG44" i="26"/>
  <c r="AD52" i="26"/>
  <c r="AE52" i="26" s="1"/>
  <c r="AG52" i="26"/>
  <c r="AD60" i="26"/>
  <c r="AE60" i="26" s="1"/>
  <c r="AG60" i="26"/>
  <c r="AD68" i="26"/>
  <c r="AE68" i="26" s="1"/>
  <c r="AG68" i="26"/>
  <c r="AG69" i="28"/>
  <c r="AD38" i="31"/>
  <c r="AE38" i="31" s="1"/>
  <c r="P43" i="31"/>
  <c r="AG43" i="31" s="1"/>
  <c r="AG38" i="31"/>
  <c r="AD59" i="31"/>
  <c r="AE59" i="31" s="1"/>
  <c r="AG59" i="31"/>
  <c r="X55" i="7"/>
  <c r="X56" i="7" s="1"/>
  <c r="E58" i="7"/>
  <c r="I58" i="7"/>
  <c r="M58" i="7"/>
  <c r="AH66" i="7"/>
  <c r="AH74" i="7"/>
  <c r="AH78" i="7"/>
  <c r="AH82" i="7"/>
  <c r="Q86" i="7"/>
  <c r="AH90" i="7"/>
  <c r="AH94" i="7"/>
  <c r="AH9" i="8"/>
  <c r="AH26" i="8"/>
  <c r="AH30" i="8"/>
  <c r="AH34" i="8"/>
  <c r="AH38" i="8"/>
  <c r="AH42" i="8"/>
  <c r="H58" i="8"/>
  <c r="L58" i="8"/>
  <c r="P58" i="8"/>
  <c r="AH65" i="8"/>
  <c r="AH73" i="8"/>
  <c r="AH80" i="8"/>
  <c r="AH84" i="8"/>
  <c r="AH88" i="8"/>
  <c r="AH92" i="8"/>
  <c r="AD12" i="9"/>
  <c r="AE12" i="9" s="1"/>
  <c r="AF12" i="9" s="1"/>
  <c r="AH13" i="9"/>
  <c r="AH20" i="9"/>
  <c r="AH24" i="9"/>
  <c r="AH28" i="9"/>
  <c r="AH32" i="9"/>
  <c r="AH36" i="9"/>
  <c r="AH40" i="9"/>
  <c r="T45" i="9"/>
  <c r="T46" i="9" s="1"/>
  <c r="X45" i="9"/>
  <c r="X46" i="9" s="1"/>
  <c r="AB45" i="9"/>
  <c r="AB46" i="9" s="1"/>
  <c r="Q52" i="9"/>
  <c r="X55" i="9"/>
  <c r="X56" i="9" s="1"/>
  <c r="E58" i="9"/>
  <c r="I58" i="9"/>
  <c r="M58" i="9"/>
  <c r="AH66" i="9"/>
  <c r="AH73" i="9"/>
  <c r="AH80" i="9"/>
  <c r="AH84" i="9"/>
  <c r="AH91" i="9"/>
  <c r="AH101" i="9"/>
  <c r="D6" i="27"/>
  <c r="D6" i="25"/>
  <c r="D6" i="24"/>
  <c r="D6" i="26"/>
  <c r="D6" i="19"/>
  <c r="D6" i="18"/>
  <c r="D6" i="11"/>
  <c r="D6" i="23"/>
  <c r="D6" i="22"/>
  <c r="D6" i="21"/>
  <c r="D6" i="20"/>
  <c r="D6" i="16"/>
  <c r="D6" i="13"/>
  <c r="H6" i="27"/>
  <c r="H6" i="25"/>
  <c r="H6" i="24"/>
  <c r="H6" i="23"/>
  <c r="H6" i="22"/>
  <c r="H6" i="19"/>
  <c r="H6" i="18"/>
  <c r="H6" i="11"/>
  <c r="H6" i="26"/>
  <c r="H6" i="17"/>
  <c r="H6" i="15"/>
  <c r="H6" i="14"/>
  <c r="H6" i="21"/>
  <c r="H6" i="20"/>
  <c r="L6" i="27"/>
  <c r="L6" i="25"/>
  <c r="L6" i="24"/>
  <c r="L6" i="26"/>
  <c r="L6" i="19"/>
  <c r="L6" i="18"/>
  <c r="L6" i="11"/>
  <c r="L6" i="23"/>
  <c r="L6" i="17"/>
  <c r="L6" i="15"/>
  <c r="L6" i="14"/>
  <c r="P6" i="27"/>
  <c r="P6" i="25"/>
  <c r="P6" i="24"/>
  <c r="P6" i="26"/>
  <c r="P6" i="23"/>
  <c r="P6" i="22"/>
  <c r="P6" i="19"/>
  <c r="P6" i="18"/>
  <c r="P6" i="11"/>
  <c r="P6" i="16"/>
  <c r="P6" i="13"/>
  <c r="T6" i="27"/>
  <c r="T6" i="25"/>
  <c r="T6" i="24"/>
  <c r="T6" i="26"/>
  <c r="T6" i="19"/>
  <c r="T6" i="18"/>
  <c r="T6" i="11"/>
  <c r="T6" i="23"/>
  <c r="T6" i="22"/>
  <c r="T6" i="21"/>
  <c r="T6" i="20"/>
  <c r="T6" i="16"/>
  <c r="T6" i="13"/>
  <c r="X6" i="27"/>
  <c r="X6" i="25"/>
  <c r="X6" i="24"/>
  <c r="X6" i="23"/>
  <c r="X6" i="22"/>
  <c r="X6" i="19"/>
  <c r="X6" i="18"/>
  <c r="X6" i="11"/>
  <c r="X6" i="26"/>
  <c r="X6" i="17"/>
  <c r="X6" i="15"/>
  <c r="X6" i="14"/>
  <c r="X6" i="21"/>
  <c r="X6" i="20"/>
  <c r="AB6" i="27"/>
  <c r="AB6" i="25"/>
  <c r="AB6" i="24"/>
  <c r="AB6" i="26"/>
  <c r="AB6" i="19"/>
  <c r="AB6" i="18"/>
  <c r="AB6" i="11"/>
  <c r="AB6" i="23"/>
  <c r="AB6" i="17"/>
  <c r="AB6" i="15"/>
  <c r="AB6" i="14"/>
  <c r="F7" i="27"/>
  <c r="F7" i="25"/>
  <c r="F7" i="24"/>
  <c r="F7" i="26"/>
  <c r="F7" i="23"/>
  <c r="F7" i="22"/>
  <c r="F7" i="19"/>
  <c r="F7" i="18"/>
  <c r="F7" i="11"/>
  <c r="F7" i="16"/>
  <c r="F7" i="13"/>
  <c r="J7" i="27"/>
  <c r="J7" i="25"/>
  <c r="J7" i="24"/>
  <c r="J7" i="26"/>
  <c r="J7" i="19"/>
  <c r="J7" i="18"/>
  <c r="J7" i="11"/>
  <c r="J7" i="23"/>
  <c r="J7" i="22"/>
  <c r="J7" i="21"/>
  <c r="J7" i="20"/>
  <c r="J7" i="16"/>
  <c r="J7" i="13"/>
  <c r="N7" i="27"/>
  <c r="N7" i="25"/>
  <c r="N7" i="24"/>
  <c r="N7" i="23"/>
  <c r="N7" i="22"/>
  <c r="N7" i="19"/>
  <c r="N7" i="18"/>
  <c r="N7" i="11"/>
  <c r="N7" i="26"/>
  <c r="N7" i="17"/>
  <c r="N7" i="15"/>
  <c r="N7" i="14"/>
  <c r="N7" i="21"/>
  <c r="N7" i="20"/>
  <c r="R7" i="27"/>
  <c r="R7" i="25"/>
  <c r="R7" i="24"/>
  <c r="R7" i="26"/>
  <c r="R7" i="19"/>
  <c r="R7" i="18"/>
  <c r="R7" i="11"/>
  <c r="R7" i="23"/>
  <c r="R7" i="17"/>
  <c r="R7" i="15"/>
  <c r="R7" i="14"/>
  <c r="V7" i="27"/>
  <c r="V7" i="25"/>
  <c r="V7" i="24"/>
  <c r="V7" i="26"/>
  <c r="V7" i="23"/>
  <c r="V7" i="22"/>
  <c r="V7" i="19"/>
  <c r="V7" i="18"/>
  <c r="V7" i="11"/>
  <c r="V7" i="16"/>
  <c r="V7" i="13"/>
  <c r="Z7" i="27"/>
  <c r="Z7" i="25"/>
  <c r="Z7" i="24"/>
  <c r="Z7" i="26"/>
  <c r="Z7" i="19"/>
  <c r="Z7" i="18"/>
  <c r="Z7" i="11"/>
  <c r="Z7" i="23"/>
  <c r="Z7" i="22"/>
  <c r="Z7" i="21"/>
  <c r="Z7" i="20"/>
  <c r="Z7" i="16"/>
  <c r="Z7" i="13"/>
  <c r="AC29" i="10"/>
  <c r="S55" i="10"/>
  <c r="W55" i="10"/>
  <c r="X19" i="1" s="1"/>
  <c r="AA55" i="10"/>
  <c r="AC60" i="10"/>
  <c r="AC64" i="10"/>
  <c r="AC68" i="10"/>
  <c r="AD68" i="10" s="1"/>
  <c r="AE68" i="10" s="1"/>
  <c r="AC72" i="10"/>
  <c r="E203" i="10"/>
  <c r="I203" i="10"/>
  <c r="M203" i="10"/>
  <c r="AC76" i="10"/>
  <c r="P77" i="10"/>
  <c r="E207" i="10"/>
  <c r="I207" i="10"/>
  <c r="M207" i="10"/>
  <c r="AC80" i="10"/>
  <c r="P81" i="10"/>
  <c r="E211" i="10"/>
  <c r="I211" i="10"/>
  <c r="M211" i="10"/>
  <c r="AC84" i="10"/>
  <c r="P85" i="10"/>
  <c r="E215" i="10"/>
  <c r="I215" i="10"/>
  <c r="M215" i="10"/>
  <c r="AC88" i="10"/>
  <c r="P89" i="10"/>
  <c r="E219" i="10"/>
  <c r="I219" i="10"/>
  <c r="M219" i="10"/>
  <c r="AC92" i="10"/>
  <c r="P93" i="10"/>
  <c r="E223" i="10"/>
  <c r="I223" i="10"/>
  <c r="M223" i="10"/>
  <c r="AC96" i="10"/>
  <c r="P97" i="10"/>
  <c r="E227" i="10"/>
  <c r="I227" i="10"/>
  <c r="M227" i="10"/>
  <c r="AC100" i="10"/>
  <c r="AG107" i="10"/>
  <c r="H126" i="10"/>
  <c r="L126" i="10"/>
  <c r="T126" i="10"/>
  <c r="X126" i="10"/>
  <c r="AB126" i="10"/>
  <c r="Q129" i="10"/>
  <c r="D130" i="10"/>
  <c r="Q133" i="10"/>
  <c r="D134" i="10"/>
  <c r="Q137" i="10"/>
  <c r="Q148" i="10"/>
  <c r="Q181" i="10"/>
  <c r="U181" i="10"/>
  <c r="Y181" i="10"/>
  <c r="E187" i="10"/>
  <c r="I187" i="10"/>
  <c r="M187" i="10"/>
  <c r="Q187" i="10"/>
  <c r="Q189" i="10"/>
  <c r="Q197" i="10"/>
  <c r="M6" i="11"/>
  <c r="AC6" i="11"/>
  <c r="H7" i="11"/>
  <c r="S7" i="11"/>
  <c r="G14" i="11"/>
  <c r="K14" i="11"/>
  <c r="O14" i="11"/>
  <c r="P10" i="11"/>
  <c r="S98" i="11"/>
  <c r="W98" i="11"/>
  <c r="AA98" i="11"/>
  <c r="L27" i="11"/>
  <c r="Q27" i="11"/>
  <c r="Q81" i="11" s="1"/>
  <c r="Q82" i="11" s="1"/>
  <c r="AB27" i="11"/>
  <c r="AB81" i="11" s="1"/>
  <c r="AB82" i="11" s="1"/>
  <c r="AD39" i="11"/>
  <c r="AE39" i="11" s="1"/>
  <c r="AD41" i="11"/>
  <c r="AE41" i="11" s="1"/>
  <c r="AD55" i="11"/>
  <c r="AE55" i="11" s="1"/>
  <c r="AD57" i="11"/>
  <c r="AE57" i="11" s="1"/>
  <c r="AD71" i="11"/>
  <c r="AE71" i="11" s="1"/>
  <c r="F134" i="11"/>
  <c r="F35" i="11" s="1"/>
  <c r="J134" i="11"/>
  <c r="J35" i="11" s="1"/>
  <c r="N134" i="11"/>
  <c r="N35" i="11" s="1"/>
  <c r="R134" i="11"/>
  <c r="R35" i="11" s="1"/>
  <c r="V134" i="11"/>
  <c r="V35" i="11" s="1"/>
  <c r="AC35" i="11" s="1"/>
  <c r="Z134" i="11"/>
  <c r="Z35" i="11" s="1"/>
  <c r="AD105" i="11"/>
  <c r="AE105" i="11" s="1"/>
  <c r="AD117" i="11"/>
  <c r="AE117" i="11" s="1"/>
  <c r="AD119" i="11"/>
  <c r="AE119" i="11" s="1"/>
  <c r="AD133" i="11"/>
  <c r="AE133" i="11" s="1"/>
  <c r="H6" i="12"/>
  <c r="M6" i="12"/>
  <c r="X6" i="12"/>
  <c r="N7" i="12"/>
  <c r="S7" i="12"/>
  <c r="P9" i="12"/>
  <c r="AC22" i="12"/>
  <c r="AD21" i="12"/>
  <c r="AE21" i="12" s="1"/>
  <c r="S27" i="12"/>
  <c r="S81" i="12" s="1"/>
  <c r="S82" i="12" s="1"/>
  <c r="X27" i="12"/>
  <c r="X81" i="12" s="1"/>
  <c r="X82" i="12" s="1"/>
  <c r="AD39" i="12"/>
  <c r="AE39" i="12" s="1"/>
  <c r="AD46" i="12"/>
  <c r="AE46" i="12" s="1"/>
  <c r="AD53" i="12"/>
  <c r="AE53" i="12" s="1"/>
  <c r="AD55" i="12"/>
  <c r="AE55" i="12" s="1"/>
  <c r="AD62" i="12"/>
  <c r="AE62" i="12" s="1"/>
  <c r="AD69" i="12"/>
  <c r="AE69" i="12" s="1"/>
  <c r="AD71" i="12"/>
  <c r="AE71" i="12" s="1"/>
  <c r="AD78" i="12"/>
  <c r="AE78" i="12" s="1"/>
  <c r="AG105" i="12"/>
  <c r="AD103" i="12"/>
  <c r="AE103" i="12" s="1"/>
  <c r="G134" i="12"/>
  <c r="G35" i="12" s="1"/>
  <c r="AD110" i="12"/>
  <c r="AE110" i="12" s="1"/>
  <c r="AG118" i="12"/>
  <c r="AG126" i="12"/>
  <c r="AD126" i="12"/>
  <c r="AE126" i="12" s="1"/>
  <c r="AG131" i="12"/>
  <c r="AG132" i="12"/>
  <c r="AG136" i="12"/>
  <c r="L6" i="13"/>
  <c r="V6" i="13"/>
  <c r="G7" i="13"/>
  <c r="R7" i="13"/>
  <c r="AB7" i="13"/>
  <c r="D26" i="13"/>
  <c r="P26" i="13" s="1"/>
  <c r="P10" i="13"/>
  <c r="P14" i="13" s="1"/>
  <c r="D14" i="13"/>
  <c r="T27" i="13"/>
  <c r="E27" i="13"/>
  <c r="E30" i="13"/>
  <c r="AG47" i="13"/>
  <c r="AG48" i="13"/>
  <c r="AG63" i="13"/>
  <c r="AG64" i="13"/>
  <c r="AG111" i="13"/>
  <c r="AD111" i="13"/>
  <c r="AE111" i="13" s="1"/>
  <c r="P141" i="13"/>
  <c r="D6" i="14"/>
  <c r="J7" i="14"/>
  <c r="H30" i="14"/>
  <c r="H27" i="14"/>
  <c r="AC14" i="14"/>
  <c r="AC93" i="14"/>
  <c r="J98" i="14"/>
  <c r="J30" i="14"/>
  <c r="N98" i="14"/>
  <c r="N30" i="14"/>
  <c r="N27" i="14"/>
  <c r="P11" i="14"/>
  <c r="P13" i="14"/>
  <c r="AA81" i="14"/>
  <c r="AA82" i="14" s="1"/>
  <c r="AG39" i="14"/>
  <c r="AD50" i="14"/>
  <c r="AE50" i="14" s="1"/>
  <c r="AG50" i="14"/>
  <c r="AG51" i="14"/>
  <c r="X98" i="14"/>
  <c r="AC35" i="14"/>
  <c r="AC105" i="14"/>
  <c r="AC122" i="14"/>
  <c r="AD122" i="14" s="1"/>
  <c r="AE122" i="14" s="1"/>
  <c r="AG116" i="14"/>
  <c r="AD116" i="14"/>
  <c r="AE116" i="14" s="1"/>
  <c r="AG121" i="14"/>
  <c r="J6" i="15"/>
  <c r="T6" i="15"/>
  <c r="P7" i="15"/>
  <c r="Z7" i="15"/>
  <c r="N98" i="15"/>
  <c r="N26" i="15"/>
  <c r="N27" i="15" s="1"/>
  <c r="P10" i="15"/>
  <c r="AC94" i="15"/>
  <c r="P12" i="15"/>
  <c r="O26" i="15"/>
  <c r="O27" i="15" s="1"/>
  <c r="O30" i="15"/>
  <c r="F26" i="15"/>
  <c r="S81" i="15"/>
  <c r="S82" i="15" s="1"/>
  <c r="AG41" i="15"/>
  <c r="AD41" i="15"/>
  <c r="AE41" i="15" s="1"/>
  <c r="P43" i="15"/>
  <c r="AG45" i="15"/>
  <c r="AG57" i="15"/>
  <c r="AD57" i="15"/>
  <c r="AE57" i="15" s="1"/>
  <c r="AG61" i="15"/>
  <c r="AG73" i="15"/>
  <c r="AD73" i="15"/>
  <c r="AE73" i="15" s="1"/>
  <c r="AG77" i="15"/>
  <c r="AC80" i="15"/>
  <c r="AG85" i="15"/>
  <c r="AD85" i="15"/>
  <c r="AE85" i="15" s="1"/>
  <c r="P84" i="15"/>
  <c r="AD87" i="15"/>
  <c r="AE87" i="15" s="1"/>
  <c r="AG89" i="15"/>
  <c r="Q98" i="15"/>
  <c r="AG114" i="15"/>
  <c r="P122" i="15"/>
  <c r="AD114" i="15"/>
  <c r="AE114" i="15" s="1"/>
  <c r="AG118" i="15"/>
  <c r="AG126" i="15"/>
  <c r="AD126" i="15"/>
  <c r="AE126" i="15" s="1"/>
  <c r="AG130" i="15"/>
  <c r="X6" i="16"/>
  <c r="H7" i="16"/>
  <c r="L14" i="16"/>
  <c r="AC94" i="16"/>
  <c r="Y98" i="16"/>
  <c r="AG17" i="16"/>
  <c r="AD17" i="16"/>
  <c r="AE17" i="16" s="1"/>
  <c r="AG21" i="16"/>
  <c r="G27" i="16"/>
  <c r="AC33" i="16"/>
  <c r="AC29" i="16"/>
  <c r="AD32" i="16"/>
  <c r="AE32" i="16" s="1"/>
  <c r="AG32" i="16"/>
  <c r="AD39" i="16"/>
  <c r="AE39" i="16" s="1"/>
  <c r="AG56" i="16"/>
  <c r="AG57" i="16"/>
  <c r="AG87" i="16"/>
  <c r="AD87" i="16"/>
  <c r="AE87" i="16" s="1"/>
  <c r="W98" i="16"/>
  <c r="AD102" i="16"/>
  <c r="AE102" i="16" s="1"/>
  <c r="P105" i="16"/>
  <c r="D134" i="16"/>
  <c r="D35" i="16" s="1"/>
  <c r="AG124" i="16"/>
  <c r="P133" i="16"/>
  <c r="AD124" i="16"/>
  <c r="AE124" i="16" s="1"/>
  <c r="AG128" i="16"/>
  <c r="J6" i="17"/>
  <c r="U6" i="17"/>
  <c r="F7" i="17"/>
  <c r="P7" i="17"/>
  <c r="AA7" i="17"/>
  <c r="G26" i="17"/>
  <c r="G27" i="17" s="1"/>
  <c r="G98" i="17"/>
  <c r="AB98" i="17"/>
  <c r="AB27" i="17"/>
  <c r="AD22" i="17"/>
  <c r="AE22" i="17" s="1"/>
  <c r="AG22" i="17"/>
  <c r="AC80" i="17"/>
  <c r="AG48" i="17"/>
  <c r="AD48" i="17"/>
  <c r="AE48" i="17" s="1"/>
  <c r="AG52" i="17"/>
  <c r="AG64" i="17"/>
  <c r="AD64" i="17"/>
  <c r="AE64" i="17" s="1"/>
  <c r="AG68" i="17"/>
  <c r="K134" i="17"/>
  <c r="K35" i="17" s="1"/>
  <c r="O134" i="17"/>
  <c r="O35" i="17" s="1"/>
  <c r="AG107" i="17"/>
  <c r="AD107" i="17"/>
  <c r="AE107" i="17" s="1"/>
  <c r="AG111" i="17"/>
  <c r="AD136" i="17"/>
  <c r="AE136" i="17" s="1"/>
  <c r="AG136" i="17"/>
  <c r="J6" i="18"/>
  <c r="U6" i="18"/>
  <c r="P7" i="18"/>
  <c r="AA7" i="18"/>
  <c r="AB98" i="18"/>
  <c r="AB27" i="18"/>
  <c r="AB81" i="18" s="1"/>
  <c r="AB82" i="18" s="1"/>
  <c r="AD22" i="18"/>
  <c r="AE22" i="18" s="1"/>
  <c r="AC80" i="18"/>
  <c r="AG54" i="18"/>
  <c r="AG55" i="18"/>
  <c r="AG70" i="18"/>
  <c r="AG71" i="18"/>
  <c r="I98" i="18"/>
  <c r="T98" i="18"/>
  <c r="AG107" i="18"/>
  <c r="AD136" i="18"/>
  <c r="AE136" i="18" s="1"/>
  <c r="AG136" i="18"/>
  <c r="U6" i="19"/>
  <c r="AA7" i="19"/>
  <c r="F27" i="19"/>
  <c r="F98" i="19"/>
  <c r="AB98" i="19"/>
  <c r="AB27" i="19"/>
  <c r="AB81" i="19" s="1"/>
  <c r="AB82" i="19" s="1"/>
  <c r="AD22" i="19"/>
  <c r="AE22" i="19" s="1"/>
  <c r="AG24" i="19"/>
  <c r="Y27" i="19"/>
  <c r="AD32" i="19"/>
  <c r="AE32" i="19" s="1"/>
  <c r="AG32" i="19"/>
  <c r="AD52" i="19"/>
  <c r="AE52" i="19" s="1"/>
  <c r="AG52" i="19"/>
  <c r="AG53" i="19"/>
  <c r="AD68" i="19"/>
  <c r="AE68" i="19" s="1"/>
  <c r="AG68" i="19"/>
  <c r="AG69" i="19"/>
  <c r="AG86" i="19"/>
  <c r="T134" i="19"/>
  <c r="T35" i="19" s="1"/>
  <c r="AD107" i="19"/>
  <c r="AE107" i="19" s="1"/>
  <c r="AG109" i="19"/>
  <c r="AC122" i="19"/>
  <c r="P117" i="19"/>
  <c r="V6" i="20"/>
  <c r="F7" i="20"/>
  <c r="AB7" i="20"/>
  <c r="J14" i="20"/>
  <c r="N14" i="20"/>
  <c r="P11" i="20"/>
  <c r="R27" i="20"/>
  <c r="D33" i="20"/>
  <c r="P43" i="20"/>
  <c r="Y98" i="20"/>
  <c r="H134" i="20"/>
  <c r="H35" i="20" s="1"/>
  <c r="L134" i="20"/>
  <c r="L35" i="20" s="1"/>
  <c r="AG105" i="20"/>
  <c r="AD105" i="20"/>
  <c r="AE105" i="20" s="1"/>
  <c r="X134" i="20"/>
  <c r="X35" i="20" s="1"/>
  <c r="AB134" i="20"/>
  <c r="AB35" i="20" s="1"/>
  <c r="AC133" i="20"/>
  <c r="AC134" i="20" s="1"/>
  <c r="L6" i="21"/>
  <c r="R7" i="21"/>
  <c r="K14" i="21"/>
  <c r="P10" i="21"/>
  <c r="T98" i="21"/>
  <c r="T27" i="21"/>
  <c r="X27" i="21"/>
  <c r="X98" i="21"/>
  <c r="AB98" i="21"/>
  <c r="AB27" i="21"/>
  <c r="AG18" i="21"/>
  <c r="AG26" i="21"/>
  <c r="AD49" i="21"/>
  <c r="AE49" i="21" s="1"/>
  <c r="AG49" i="21"/>
  <c r="AD57" i="21"/>
  <c r="AE57" i="21" s="1"/>
  <c r="AG57" i="21"/>
  <c r="AD65" i="21"/>
  <c r="AE65" i="21" s="1"/>
  <c r="AG65" i="21"/>
  <c r="AD109" i="21"/>
  <c r="AE109" i="21" s="1"/>
  <c r="P112" i="21"/>
  <c r="AG109" i="21"/>
  <c r="P133" i="21"/>
  <c r="AD136" i="21"/>
  <c r="AE136" i="21" s="1"/>
  <c r="AG136" i="21"/>
  <c r="S81" i="22"/>
  <c r="S82" i="22" s="1"/>
  <c r="AD65" i="22"/>
  <c r="AE65" i="22" s="1"/>
  <c r="AG65" i="22"/>
  <c r="AD86" i="22"/>
  <c r="AE86" i="22" s="1"/>
  <c r="P90" i="22"/>
  <c r="AG86" i="22"/>
  <c r="F105" i="22"/>
  <c r="G102" i="22"/>
  <c r="H98" i="23"/>
  <c r="H30" i="23"/>
  <c r="H33" i="23" s="1"/>
  <c r="H26" i="23"/>
  <c r="H27" i="23" s="1"/>
  <c r="N6" i="24"/>
  <c r="AD74" i="24"/>
  <c r="AE74" i="24" s="1"/>
  <c r="AG74" i="24"/>
  <c r="AD109" i="24"/>
  <c r="AE109" i="24" s="1"/>
  <c r="AG109" i="24"/>
  <c r="AD120" i="24"/>
  <c r="AE120" i="24" s="1"/>
  <c r="AG120" i="24"/>
  <c r="E98" i="25"/>
  <c r="E27" i="25"/>
  <c r="M98" i="25"/>
  <c r="M27" i="25"/>
  <c r="D98" i="25"/>
  <c r="D27" i="25"/>
  <c r="L98" i="25"/>
  <c r="L27" i="25"/>
  <c r="AD18" i="26"/>
  <c r="AE18" i="26" s="1"/>
  <c r="P22" i="26"/>
  <c r="AG18" i="26"/>
  <c r="AD16" i="35"/>
  <c r="AE14" i="35"/>
  <c r="AE32" i="35"/>
  <c r="AF32" i="35" s="1"/>
  <c r="AH32" i="35"/>
  <c r="AJ40" i="1"/>
  <c r="E47" i="1"/>
  <c r="Q49" i="1"/>
  <c r="AD22" i="5"/>
  <c r="AD108" i="5" s="1"/>
  <c r="Q23" i="5"/>
  <c r="AD26" i="5"/>
  <c r="AD112" i="5" s="1"/>
  <c r="Q27" i="5"/>
  <c r="AD30" i="5"/>
  <c r="AD116" i="5" s="1"/>
  <c r="Q31" i="5"/>
  <c r="AD34" i="5"/>
  <c r="AD120" i="5" s="1"/>
  <c r="Q35" i="5"/>
  <c r="AD38" i="5"/>
  <c r="AD124" i="5" s="1"/>
  <c r="AD42" i="5"/>
  <c r="AD128" i="5" s="1"/>
  <c r="Q43" i="5"/>
  <c r="T44" i="5"/>
  <c r="X44" i="5"/>
  <c r="AB44" i="5"/>
  <c r="G6" i="6"/>
  <c r="K6" i="6"/>
  <c r="O6" i="6"/>
  <c r="S6" i="6"/>
  <c r="W6" i="6"/>
  <c r="AA6" i="6"/>
  <c r="E7" i="6"/>
  <c r="I7" i="6"/>
  <c r="M7" i="6"/>
  <c r="Q7" i="6"/>
  <c r="U7" i="6"/>
  <c r="Y7" i="6"/>
  <c r="AC7" i="6"/>
  <c r="G48" i="6"/>
  <c r="K48" i="6"/>
  <c r="O48" i="6"/>
  <c r="E52" i="6"/>
  <c r="I52" i="6"/>
  <c r="I58" i="6" s="1"/>
  <c r="M52" i="6"/>
  <c r="AH78" i="6"/>
  <c r="G6" i="7"/>
  <c r="K6" i="7"/>
  <c r="O6" i="7"/>
  <c r="S6" i="7"/>
  <c r="W6" i="7"/>
  <c r="AA6" i="7"/>
  <c r="E7" i="7"/>
  <c r="I7" i="7"/>
  <c r="M7" i="7"/>
  <c r="Q7" i="7"/>
  <c r="U7" i="7"/>
  <c r="Y7" i="7"/>
  <c r="AC7" i="7"/>
  <c r="AH71" i="7"/>
  <c r="Q97" i="7"/>
  <c r="E52" i="8"/>
  <c r="U58" i="8"/>
  <c r="Y58" i="8"/>
  <c r="AC58" i="8"/>
  <c r="E6" i="26"/>
  <c r="E6" i="24"/>
  <c r="E6" i="27"/>
  <c r="E6" i="25"/>
  <c r="E6" i="23"/>
  <c r="E6" i="20"/>
  <c r="E6" i="15"/>
  <c r="E6" i="16"/>
  <c r="E6" i="13"/>
  <c r="I6" i="27"/>
  <c r="I6" i="22"/>
  <c r="I6" i="26"/>
  <c r="I6" i="20"/>
  <c r="I6" i="15"/>
  <c r="I6" i="24"/>
  <c r="I6" i="21"/>
  <c r="I6" i="25"/>
  <c r="I6" i="16"/>
  <c r="I6" i="13"/>
  <c r="M6" i="26"/>
  <c r="M6" i="27"/>
  <c r="M6" i="24"/>
  <c r="M6" i="25"/>
  <c r="M6" i="23"/>
  <c r="M6" i="20"/>
  <c r="M6" i="15"/>
  <c r="M6" i="19"/>
  <c r="M6" i="18"/>
  <c r="M6" i="17"/>
  <c r="M6" i="14"/>
  <c r="M6" i="22"/>
  <c r="M6" i="21"/>
  <c r="Q6" i="27"/>
  <c r="Q6" i="22"/>
  <c r="Q6" i="20"/>
  <c r="Q6" i="15"/>
  <c r="Q6" i="24"/>
  <c r="Q6" i="25"/>
  <c r="Q6" i="19"/>
  <c r="Q6" i="18"/>
  <c r="Q6" i="17"/>
  <c r="Q6" i="14"/>
  <c r="U6" i="26"/>
  <c r="U6" i="24"/>
  <c r="U6" i="25"/>
  <c r="U6" i="23"/>
  <c r="U6" i="20"/>
  <c r="U6" i="15"/>
  <c r="U6" i="16"/>
  <c r="U6" i="13"/>
  <c r="U6" i="27"/>
  <c r="Y6" i="27"/>
  <c r="Y6" i="22"/>
  <c r="Y6" i="26"/>
  <c r="Y6" i="20"/>
  <c r="Y6" i="15"/>
  <c r="Y6" i="24"/>
  <c r="Y6" i="21"/>
  <c r="Y6" i="23"/>
  <c r="Y6" i="16"/>
  <c r="Y6" i="13"/>
  <c r="AC6" i="26"/>
  <c r="AC6" i="24"/>
  <c r="AC6" i="25"/>
  <c r="AC6" i="23"/>
  <c r="AC6" i="20"/>
  <c r="AC6" i="15"/>
  <c r="AC6" i="27"/>
  <c r="AC6" i="19"/>
  <c r="AC6" i="18"/>
  <c r="AC6" i="17"/>
  <c r="AC6" i="14"/>
  <c r="AC6" i="22"/>
  <c r="AC6" i="21"/>
  <c r="G7" i="27"/>
  <c r="G7" i="22"/>
  <c r="G7" i="20"/>
  <c r="G7" i="15"/>
  <c r="G7" i="24"/>
  <c r="G7" i="23"/>
  <c r="G7" i="19"/>
  <c r="G7" i="18"/>
  <c r="G7" i="17"/>
  <c r="G7" i="14"/>
  <c r="K7" i="26"/>
  <c r="K7" i="24"/>
  <c r="K7" i="27"/>
  <c r="K7" i="25"/>
  <c r="K7" i="23"/>
  <c r="K7" i="20"/>
  <c r="K7" i="15"/>
  <c r="K7" i="16"/>
  <c r="K7" i="13"/>
  <c r="O7" i="27"/>
  <c r="O7" i="22"/>
  <c r="O7" i="26"/>
  <c r="O7" i="20"/>
  <c r="O7" i="15"/>
  <c r="O7" i="24"/>
  <c r="O7" i="21"/>
  <c r="O7" i="25"/>
  <c r="O7" i="16"/>
  <c r="O7" i="13"/>
  <c r="S7" i="26"/>
  <c r="S7" i="27"/>
  <c r="S7" i="24"/>
  <c r="S7" i="25"/>
  <c r="S7" i="23"/>
  <c r="S7" i="20"/>
  <c r="S7" i="15"/>
  <c r="S7" i="19"/>
  <c r="S7" i="18"/>
  <c r="S7" i="17"/>
  <c r="S7" i="14"/>
  <c r="S7" i="22"/>
  <c r="S7" i="21"/>
  <c r="W7" i="27"/>
  <c r="W7" i="22"/>
  <c r="W7" i="20"/>
  <c r="W7" i="15"/>
  <c r="W7" i="24"/>
  <c r="W7" i="25"/>
  <c r="W7" i="26"/>
  <c r="W7" i="19"/>
  <c r="W7" i="18"/>
  <c r="W7" i="17"/>
  <c r="W7" i="14"/>
  <c r="AA7" i="26"/>
  <c r="AA7" i="24"/>
  <c r="AA7" i="25"/>
  <c r="AA7" i="23"/>
  <c r="AA7" i="20"/>
  <c r="AA7" i="15"/>
  <c r="AA7" i="27"/>
  <c r="AA7" i="16"/>
  <c r="AA7" i="13"/>
  <c r="I200" i="10"/>
  <c r="M200" i="10"/>
  <c r="Q200" i="10"/>
  <c r="AC73" i="10"/>
  <c r="P74" i="10"/>
  <c r="E204" i="10"/>
  <c r="I204" i="10"/>
  <c r="M204" i="10"/>
  <c r="Q204" i="10"/>
  <c r="AC77" i="10"/>
  <c r="P78" i="10"/>
  <c r="E208" i="10"/>
  <c r="I208" i="10"/>
  <c r="M208" i="10"/>
  <c r="Q208" i="10"/>
  <c r="AC81" i="10"/>
  <c r="P82" i="10"/>
  <c r="E212" i="10"/>
  <c r="I212" i="10"/>
  <c r="M212" i="10"/>
  <c r="Q212" i="10"/>
  <c r="AC85" i="10"/>
  <c r="P86" i="10"/>
  <c r="E216" i="10"/>
  <c r="I216" i="10"/>
  <c r="M216" i="10"/>
  <c r="Q216" i="10"/>
  <c r="AC89" i="10"/>
  <c r="P90" i="10"/>
  <c r="E220" i="10"/>
  <c r="I220" i="10"/>
  <c r="M220" i="10"/>
  <c r="Q220" i="10"/>
  <c r="AC93" i="10"/>
  <c r="E224" i="10"/>
  <c r="I224" i="10"/>
  <c r="M224" i="10"/>
  <c r="U224" i="10"/>
  <c r="AC97" i="10"/>
  <c r="P98" i="10"/>
  <c r="P108" i="10"/>
  <c r="Q126" i="10"/>
  <c r="Q130" i="10"/>
  <c r="Q134" i="10"/>
  <c r="D135" i="10"/>
  <c r="Q138" i="10"/>
  <c r="P167" i="10"/>
  <c r="R181" i="10"/>
  <c r="V181" i="10"/>
  <c r="Z181" i="10"/>
  <c r="J187" i="10"/>
  <c r="V187" i="10"/>
  <c r="Z187" i="10"/>
  <c r="I6" i="11"/>
  <c r="N6" i="11"/>
  <c r="Y6" i="11"/>
  <c r="O7" i="11"/>
  <c r="T7" i="11"/>
  <c r="P9" i="11"/>
  <c r="P13" i="11"/>
  <c r="AD17" i="11"/>
  <c r="AE17" i="11" s="1"/>
  <c r="X27" i="11"/>
  <c r="X81" i="11" s="1"/>
  <c r="X82" i="11" s="1"/>
  <c r="AC27" i="11"/>
  <c r="AD52" i="11"/>
  <c r="AE52" i="11" s="1"/>
  <c r="AD68" i="11"/>
  <c r="AE68" i="11" s="1"/>
  <c r="L98" i="11"/>
  <c r="AD102" i="11"/>
  <c r="AE102" i="11" s="1"/>
  <c r="AD114" i="11"/>
  <c r="AE114" i="11" s="1"/>
  <c r="AD130" i="11"/>
  <c r="AE130" i="11" s="1"/>
  <c r="P141" i="11"/>
  <c r="D6" i="12"/>
  <c r="I6" i="12"/>
  <c r="T6" i="12"/>
  <c r="Y6" i="12"/>
  <c r="J7" i="12"/>
  <c r="O7" i="12"/>
  <c r="Z7" i="12"/>
  <c r="E14" i="12"/>
  <c r="I14" i="12"/>
  <c r="M14" i="12"/>
  <c r="AC93" i="12"/>
  <c r="AC14" i="12"/>
  <c r="P11" i="12"/>
  <c r="T27" i="12"/>
  <c r="T81" i="12" s="1"/>
  <c r="T82" i="12" s="1"/>
  <c r="AD50" i="12"/>
  <c r="AE50" i="12" s="1"/>
  <c r="AD66" i="12"/>
  <c r="AE66" i="12" s="1"/>
  <c r="AC35" i="12"/>
  <c r="AD107" i="12"/>
  <c r="AE107" i="12" s="1"/>
  <c r="AG110" i="12"/>
  <c r="AD115" i="12"/>
  <c r="AE115" i="12" s="1"/>
  <c r="AG115" i="12"/>
  <c r="M6" i="13"/>
  <c r="X6" i="13"/>
  <c r="H7" i="13"/>
  <c r="S7" i="13"/>
  <c r="L14" i="13"/>
  <c r="AG17" i="13"/>
  <c r="AD17" i="13"/>
  <c r="AE17" i="13" s="1"/>
  <c r="AC29" i="13"/>
  <c r="AC33" i="13"/>
  <c r="AG32" i="13"/>
  <c r="AG42" i="13"/>
  <c r="AD42" i="13"/>
  <c r="AE42" i="13" s="1"/>
  <c r="AG58" i="13"/>
  <c r="AD58" i="13"/>
  <c r="AE58" i="13" s="1"/>
  <c r="AD86" i="13"/>
  <c r="AE86" i="13" s="1"/>
  <c r="P90" i="13"/>
  <c r="P122" i="13"/>
  <c r="AG117" i="13"/>
  <c r="AG127" i="13"/>
  <c r="AD127" i="13"/>
  <c r="AE127" i="13" s="1"/>
  <c r="E6" i="14"/>
  <c r="P6" i="14"/>
  <c r="K7" i="14"/>
  <c r="V7" i="14"/>
  <c r="E14" i="14"/>
  <c r="I14" i="14"/>
  <c r="M14" i="14"/>
  <c r="L98" i="14"/>
  <c r="L30" i="14"/>
  <c r="L27" i="14"/>
  <c r="S81" i="14"/>
  <c r="S82" i="14" s="1"/>
  <c r="W98" i="14"/>
  <c r="AA98" i="14"/>
  <c r="J27" i="14"/>
  <c r="AG65" i="14"/>
  <c r="AD65" i="14"/>
  <c r="AE65" i="14" s="1"/>
  <c r="AG71" i="14"/>
  <c r="P90" i="14"/>
  <c r="AD85" i="14"/>
  <c r="AE85" i="14" s="1"/>
  <c r="AG104" i="14"/>
  <c r="AD104" i="14"/>
  <c r="AE104" i="14" s="1"/>
  <c r="V6" i="15"/>
  <c r="F7" i="15"/>
  <c r="G98" i="15"/>
  <c r="I14" i="15"/>
  <c r="M14" i="15"/>
  <c r="F30" i="15"/>
  <c r="F27" i="15"/>
  <c r="AC14" i="15"/>
  <c r="G26" i="15"/>
  <c r="G27" i="15" s="1"/>
  <c r="U27" i="15"/>
  <c r="U81" i="15" s="1"/>
  <c r="U82" i="15" s="1"/>
  <c r="AC90" i="15"/>
  <c r="AD90" i="15" s="1"/>
  <c r="AE90" i="15" s="1"/>
  <c r="V134" i="15"/>
  <c r="V35" i="15" s="1"/>
  <c r="V81" i="15" s="1"/>
  <c r="V82" i="15" s="1"/>
  <c r="Z134" i="15"/>
  <c r="Z35" i="15" s="1"/>
  <c r="Z81" i="15" s="1"/>
  <c r="Z82" i="15" s="1"/>
  <c r="AC122" i="15"/>
  <c r="Q6" i="16"/>
  <c r="AB6" i="16"/>
  <c r="W7" i="16"/>
  <c r="E30" i="16"/>
  <c r="E27" i="16"/>
  <c r="AC98" i="16"/>
  <c r="I98" i="16"/>
  <c r="I30" i="16"/>
  <c r="I27" i="16"/>
  <c r="AC22" i="16"/>
  <c r="AD22" i="16" s="1"/>
  <c r="AE22" i="16" s="1"/>
  <c r="S27" i="16"/>
  <c r="S81" i="16" s="1"/>
  <c r="S82" i="16" s="1"/>
  <c r="AG41" i="16"/>
  <c r="AG51" i="16"/>
  <c r="AD51" i="16"/>
  <c r="AE51" i="16" s="1"/>
  <c r="AG67" i="16"/>
  <c r="AD67" i="16"/>
  <c r="AE67" i="16" s="1"/>
  <c r="E98" i="16"/>
  <c r="AA98" i="16"/>
  <c r="F134" i="16"/>
  <c r="F35" i="16" s="1"/>
  <c r="J134" i="16"/>
  <c r="J35" i="16" s="1"/>
  <c r="V134" i="16"/>
  <c r="V35" i="16" s="1"/>
  <c r="Z134" i="16"/>
  <c r="Z35" i="16" s="1"/>
  <c r="AC133" i="16"/>
  <c r="D6" i="17"/>
  <c r="N6" i="17"/>
  <c r="Y6" i="17"/>
  <c r="J7" i="17"/>
  <c r="T7" i="17"/>
  <c r="P11" i="17"/>
  <c r="P13" i="17"/>
  <c r="AC97" i="17"/>
  <c r="Q98" i="17"/>
  <c r="Q27" i="17"/>
  <c r="Q81" i="17" s="1"/>
  <c r="Q82" i="17" s="1"/>
  <c r="U98" i="17"/>
  <c r="U27" i="17"/>
  <c r="U81" i="17" s="1"/>
  <c r="U82" i="17" s="1"/>
  <c r="AC14" i="17"/>
  <c r="AA81" i="17"/>
  <c r="AA82" i="17" s="1"/>
  <c r="I26" i="17"/>
  <c r="I27" i="17" s="1"/>
  <c r="T81" i="17"/>
  <c r="T82" i="17" s="1"/>
  <c r="P43" i="17"/>
  <c r="AD77" i="17"/>
  <c r="AE77" i="17" s="1"/>
  <c r="AG77" i="17"/>
  <c r="P134" i="17"/>
  <c r="AG105" i="17"/>
  <c r="AC112" i="17"/>
  <c r="AD112" i="17" s="1"/>
  <c r="AE112" i="17" s="1"/>
  <c r="AD124" i="17"/>
  <c r="AE124" i="17" s="1"/>
  <c r="AG124" i="17"/>
  <c r="P133" i="17"/>
  <c r="N6" i="18"/>
  <c r="Y6" i="18"/>
  <c r="T7" i="18"/>
  <c r="P9" i="18"/>
  <c r="P11" i="18"/>
  <c r="P13" i="18"/>
  <c r="Q98" i="18"/>
  <c r="Q27" i="18"/>
  <c r="Q81" i="18" s="1"/>
  <c r="Q82" i="18" s="1"/>
  <c r="U98" i="18"/>
  <c r="U27" i="18"/>
  <c r="U81" i="18" s="1"/>
  <c r="U82" i="18" s="1"/>
  <c r="AC14" i="18"/>
  <c r="AG39" i="18"/>
  <c r="AG49" i="18"/>
  <c r="AD49" i="18"/>
  <c r="AE49" i="18" s="1"/>
  <c r="AG65" i="18"/>
  <c r="AD65" i="18"/>
  <c r="AE65" i="18" s="1"/>
  <c r="M98" i="18"/>
  <c r="V134" i="18"/>
  <c r="V35" i="18" s="1"/>
  <c r="Z134" i="18"/>
  <c r="Z35" i="18" s="1"/>
  <c r="AC35" i="18"/>
  <c r="F121" i="18"/>
  <c r="Y6" i="19"/>
  <c r="P9" i="19"/>
  <c r="P11" i="19"/>
  <c r="P13" i="19"/>
  <c r="Q27" i="19"/>
  <c r="Q98" i="19"/>
  <c r="U27" i="19"/>
  <c r="U81" i="19" s="1"/>
  <c r="U82" i="19" s="1"/>
  <c r="AC14" i="19"/>
  <c r="I27" i="19"/>
  <c r="T27" i="19"/>
  <c r="T81" i="19" s="1"/>
  <c r="T82" i="19" s="1"/>
  <c r="AA81" i="19"/>
  <c r="AA82" i="19" s="1"/>
  <c r="AC33" i="19"/>
  <c r="AD30" i="19"/>
  <c r="AE30" i="19" s="1"/>
  <c r="AD39" i="19"/>
  <c r="AE39" i="19" s="1"/>
  <c r="AG57" i="19"/>
  <c r="Q134" i="19"/>
  <c r="Q35" i="19" s="1"/>
  <c r="U134" i="19"/>
  <c r="U35" i="19" s="1"/>
  <c r="Y134" i="19"/>
  <c r="Y35" i="19" s="1"/>
  <c r="AC134" i="19"/>
  <c r="H114" i="19"/>
  <c r="L6" i="20"/>
  <c r="R7" i="20"/>
  <c r="O14" i="20"/>
  <c r="U27" i="20"/>
  <c r="U81" i="20" s="1"/>
  <c r="U82" i="20" s="1"/>
  <c r="U98" i="20"/>
  <c r="P22" i="20"/>
  <c r="AD17" i="20"/>
  <c r="AE17" i="20" s="1"/>
  <c r="V27" i="20"/>
  <c r="V81" i="20" s="1"/>
  <c r="V82" i="20" s="1"/>
  <c r="D28" i="20"/>
  <c r="H33" i="20"/>
  <c r="H28" i="20"/>
  <c r="AC29" i="20"/>
  <c r="AD51" i="20"/>
  <c r="AE51" i="20" s="1"/>
  <c r="AG51" i="20"/>
  <c r="AD67" i="20"/>
  <c r="AE67" i="20" s="1"/>
  <c r="AG67" i="20"/>
  <c r="AD85" i="20"/>
  <c r="AE85" i="20" s="1"/>
  <c r="P90" i="20"/>
  <c r="AC98" i="20"/>
  <c r="M134" i="20"/>
  <c r="M35" i="20" s="1"/>
  <c r="S134" i="20"/>
  <c r="S35" i="20" s="1"/>
  <c r="W134" i="20"/>
  <c r="W35" i="20" s="1"/>
  <c r="AD118" i="20"/>
  <c r="AE118" i="20" s="1"/>
  <c r="AG118" i="20"/>
  <c r="E6" i="21"/>
  <c r="P6" i="21"/>
  <c r="K7" i="21"/>
  <c r="V7" i="21"/>
  <c r="D14" i="21"/>
  <c r="L14" i="21"/>
  <c r="AD42" i="21"/>
  <c r="AE42" i="21" s="1"/>
  <c r="AG42" i="21"/>
  <c r="AD74" i="21"/>
  <c r="AE74" i="21" s="1"/>
  <c r="AG74" i="21"/>
  <c r="AD87" i="21"/>
  <c r="AE87" i="21" s="1"/>
  <c r="AG87" i="21"/>
  <c r="AC133" i="21"/>
  <c r="AB6" i="22"/>
  <c r="P93" i="22"/>
  <c r="AD9" i="22"/>
  <c r="AE9" i="22" s="1"/>
  <c r="AG9" i="22"/>
  <c r="L98" i="22"/>
  <c r="L27" i="22"/>
  <c r="AD33" i="22"/>
  <c r="AE33" i="22" s="1"/>
  <c r="AG33" i="22"/>
  <c r="AD57" i="22"/>
  <c r="AE57" i="22" s="1"/>
  <c r="AG57" i="22"/>
  <c r="W7" i="23"/>
  <c r="F134" i="23"/>
  <c r="F35" i="23" s="1"/>
  <c r="G134" i="24"/>
  <c r="G35" i="24" s="1"/>
  <c r="K134" i="24"/>
  <c r="K35" i="24" s="1"/>
  <c r="O134" i="24"/>
  <c r="O35" i="24" s="1"/>
  <c r="Y6" i="25"/>
  <c r="AD66" i="25"/>
  <c r="AE66" i="25" s="1"/>
  <c r="AG66" i="25"/>
  <c r="AD77" i="25"/>
  <c r="AE77" i="25" s="1"/>
  <c r="AG77" i="25"/>
  <c r="G7" i="26"/>
  <c r="AD49" i="1"/>
  <c r="AD55" i="1" s="1"/>
  <c r="Q78" i="5"/>
  <c r="T106" i="5"/>
  <c r="X106" i="5"/>
  <c r="AB106" i="5"/>
  <c r="H6" i="6"/>
  <c r="L6" i="6"/>
  <c r="P6" i="6"/>
  <c r="T6" i="6"/>
  <c r="X6" i="6"/>
  <c r="AB6" i="6"/>
  <c r="F7" i="6"/>
  <c r="J7" i="6"/>
  <c r="N7" i="6"/>
  <c r="R7" i="6"/>
  <c r="V7" i="6"/>
  <c r="Z7" i="6"/>
  <c r="AD7" i="6"/>
  <c r="AH20" i="6"/>
  <c r="AE9" i="8"/>
  <c r="AF9" i="8" s="1"/>
  <c r="AH78" i="8"/>
  <c r="AH78" i="9"/>
  <c r="F6" i="26"/>
  <c r="F6" i="27"/>
  <c r="F6" i="23"/>
  <c r="F6" i="22"/>
  <c r="F6" i="25"/>
  <c r="F6" i="21"/>
  <c r="F6" i="14"/>
  <c r="F6" i="12"/>
  <c r="F6" i="24"/>
  <c r="F6" i="19"/>
  <c r="F6" i="18"/>
  <c r="F6" i="17"/>
  <c r="J6" i="26"/>
  <c r="J6" i="27"/>
  <c r="J6" i="23"/>
  <c r="J6" i="22"/>
  <c r="J6" i="24"/>
  <c r="J6" i="21"/>
  <c r="J6" i="14"/>
  <c r="J6" i="12"/>
  <c r="J6" i="25"/>
  <c r="J6" i="20"/>
  <c r="J6" i="16"/>
  <c r="J6" i="13"/>
  <c r="N6" i="26"/>
  <c r="N6" i="27"/>
  <c r="N6" i="23"/>
  <c r="N6" i="22"/>
  <c r="N6" i="25"/>
  <c r="N6" i="21"/>
  <c r="N6" i="14"/>
  <c r="N6" i="12"/>
  <c r="N6" i="15"/>
  <c r="N6" i="20"/>
  <c r="N6" i="16"/>
  <c r="N6" i="13"/>
  <c r="R6" i="26"/>
  <c r="R6" i="27"/>
  <c r="R6" i="23"/>
  <c r="R6" i="22"/>
  <c r="R6" i="24"/>
  <c r="R6" i="21"/>
  <c r="R6" i="14"/>
  <c r="R6" i="12"/>
  <c r="R6" i="25"/>
  <c r="R6" i="19"/>
  <c r="R6" i="18"/>
  <c r="R6" i="17"/>
  <c r="R6" i="15"/>
  <c r="V6" i="26"/>
  <c r="V6" i="27"/>
  <c r="V6" i="23"/>
  <c r="V6" i="22"/>
  <c r="V6" i="25"/>
  <c r="V6" i="21"/>
  <c r="V6" i="14"/>
  <c r="V6" i="12"/>
  <c r="V6" i="19"/>
  <c r="V6" i="18"/>
  <c r="V6" i="17"/>
  <c r="Z6" i="26"/>
  <c r="Z6" i="27"/>
  <c r="Z6" i="23"/>
  <c r="Z6" i="22"/>
  <c r="Z6" i="24"/>
  <c r="Z6" i="21"/>
  <c r="Z6" i="14"/>
  <c r="Z6" i="12"/>
  <c r="Z6" i="25"/>
  <c r="Z6" i="20"/>
  <c r="Z6" i="16"/>
  <c r="Z6" i="13"/>
  <c r="D7" i="26"/>
  <c r="D7" i="27"/>
  <c r="D7" i="23"/>
  <c r="D7" i="22"/>
  <c r="D7" i="25"/>
  <c r="D7" i="21"/>
  <c r="D7" i="14"/>
  <c r="D7" i="12"/>
  <c r="D7" i="15"/>
  <c r="D7" i="24"/>
  <c r="D7" i="20"/>
  <c r="D7" i="16"/>
  <c r="D7" i="13"/>
  <c r="H7" i="26"/>
  <c r="H7" i="27"/>
  <c r="H7" i="23"/>
  <c r="H7" i="22"/>
  <c r="H7" i="24"/>
  <c r="H7" i="21"/>
  <c r="H7" i="14"/>
  <c r="H7" i="12"/>
  <c r="H7" i="25"/>
  <c r="H7" i="19"/>
  <c r="H7" i="18"/>
  <c r="H7" i="17"/>
  <c r="H7" i="15"/>
  <c r="L7" i="26"/>
  <c r="L7" i="27"/>
  <c r="L7" i="23"/>
  <c r="L7" i="22"/>
  <c r="L7" i="25"/>
  <c r="L7" i="21"/>
  <c r="L7" i="14"/>
  <c r="L7" i="12"/>
  <c r="L7" i="24"/>
  <c r="L7" i="19"/>
  <c r="L7" i="18"/>
  <c r="L7" i="17"/>
  <c r="P7" i="26"/>
  <c r="P7" i="27"/>
  <c r="P7" i="23"/>
  <c r="P7" i="22"/>
  <c r="P7" i="24"/>
  <c r="P7" i="21"/>
  <c r="P7" i="14"/>
  <c r="P7" i="12"/>
  <c r="P7" i="25"/>
  <c r="P7" i="20"/>
  <c r="P7" i="16"/>
  <c r="P7" i="13"/>
  <c r="T7" i="26"/>
  <c r="T7" i="27"/>
  <c r="T7" i="23"/>
  <c r="T7" i="22"/>
  <c r="T7" i="25"/>
  <c r="T7" i="21"/>
  <c r="T7" i="14"/>
  <c r="T7" i="12"/>
  <c r="T7" i="15"/>
  <c r="T7" i="20"/>
  <c r="T7" i="16"/>
  <c r="T7" i="13"/>
  <c r="X7" i="26"/>
  <c r="X7" i="27"/>
  <c r="X7" i="23"/>
  <c r="X7" i="22"/>
  <c r="X7" i="24"/>
  <c r="X7" i="21"/>
  <c r="X7" i="14"/>
  <c r="X7" i="12"/>
  <c r="X7" i="25"/>
  <c r="X7" i="19"/>
  <c r="X7" i="18"/>
  <c r="X7" i="17"/>
  <c r="X7" i="15"/>
  <c r="AB7" i="26"/>
  <c r="AB7" i="27"/>
  <c r="AB7" i="23"/>
  <c r="AB7" i="22"/>
  <c r="AB7" i="25"/>
  <c r="AB7" i="21"/>
  <c r="AB7" i="14"/>
  <c r="AB7" i="12"/>
  <c r="AB7" i="19"/>
  <c r="AB7" i="18"/>
  <c r="AB7" i="17"/>
  <c r="AC51" i="10"/>
  <c r="E201" i="10"/>
  <c r="I201" i="10"/>
  <c r="M201" i="10"/>
  <c r="Q201" i="10"/>
  <c r="AC74" i="10"/>
  <c r="P75" i="10"/>
  <c r="E205" i="10"/>
  <c r="I205" i="10"/>
  <c r="M205" i="10"/>
  <c r="Q205" i="10"/>
  <c r="AC78" i="10"/>
  <c r="P79" i="10"/>
  <c r="E209" i="10"/>
  <c r="I209" i="10"/>
  <c r="M209" i="10"/>
  <c r="Q209" i="10"/>
  <c r="AC82" i="10"/>
  <c r="P83" i="10"/>
  <c r="E213" i="10"/>
  <c r="I213" i="10"/>
  <c r="M213" i="10"/>
  <c r="Q213" i="10"/>
  <c r="AC86" i="10"/>
  <c r="P87" i="10"/>
  <c r="E217" i="10"/>
  <c r="I217" i="10"/>
  <c r="M217" i="10"/>
  <c r="Q217" i="10"/>
  <c r="AC90" i="10"/>
  <c r="P91" i="10"/>
  <c r="AC94" i="10"/>
  <c r="P95" i="10"/>
  <c r="E225" i="10"/>
  <c r="I225" i="10"/>
  <c r="M225" i="10"/>
  <c r="AC98" i="10"/>
  <c r="P99" i="10"/>
  <c r="S181" i="10"/>
  <c r="AA181" i="10"/>
  <c r="P233" i="10"/>
  <c r="E6" i="11"/>
  <c r="J6" i="11"/>
  <c r="U6" i="11"/>
  <c r="Z6" i="11"/>
  <c r="K7" i="11"/>
  <c r="P7" i="11"/>
  <c r="AA7" i="11"/>
  <c r="L29" i="11"/>
  <c r="AC29" i="11"/>
  <c r="AD40" i="11"/>
  <c r="AE40" i="11" s="1"/>
  <c r="AD56" i="11"/>
  <c r="AE56" i="11" s="1"/>
  <c r="AD118" i="11"/>
  <c r="AE118" i="11" s="1"/>
  <c r="E6" i="12"/>
  <c r="P6" i="12"/>
  <c r="U6" i="12"/>
  <c r="F7" i="12"/>
  <c r="K7" i="12"/>
  <c r="V7" i="12"/>
  <c r="AA7" i="12"/>
  <c r="L26" i="12"/>
  <c r="AD38" i="12"/>
  <c r="AE38" i="12" s="1"/>
  <c r="AD54" i="12"/>
  <c r="AE54" i="12" s="1"/>
  <c r="AD70" i="12"/>
  <c r="AE70" i="12" s="1"/>
  <c r="AC112" i="12"/>
  <c r="AD112" i="12" s="1"/>
  <c r="AE112" i="12" s="1"/>
  <c r="AD111" i="12"/>
  <c r="AE111" i="12" s="1"/>
  <c r="P122" i="12"/>
  <c r="AD114" i="12"/>
  <c r="AE114" i="12" s="1"/>
  <c r="AD127" i="12"/>
  <c r="AE127" i="12" s="1"/>
  <c r="AG127" i="12"/>
  <c r="F6" i="13"/>
  <c r="Q6" i="13"/>
  <c r="AB6" i="13"/>
  <c r="L7" i="13"/>
  <c r="W7" i="13"/>
  <c r="AC98" i="13"/>
  <c r="AC27" i="13"/>
  <c r="I98" i="13"/>
  <c r="I30" i="13"/>
  <c r="I27" i="13"/>
  <c r="R81" i="13"/>
  <c r="R82" i="13" s="1"/>
  <c r="P134" i="13"/>
  <c r="AD105" i="13"/>
  <c r="AE105" i="13" s="1"/>
  <c r="AD112" i="13"/>
  <c r="AE112" i="13" s="1"/>
  <c r="AG112" i="13"/>
  <c r="I6" i="14"/>
  <c r="T6" i="14"/>
  <c r="O7" i="14"/>
  <c r="Z7" i="14"/>
  <c r="AG10" i="14"/>
  <c r="P94" i="14"/>
  <c r="P12" i="14"/>
  <c r="F98" i="14"/>
  <c r="F30" i="14"/>
  <c r="AB98" i="14"/>
  <c r="AB27" i="14"/>
  <c r="AB81" i="14" s="1"/>
  <c r="AB82" i="14" s="1"/>
  <c r="V81" i="14"/>
  <c r="V82" i="14" s="1"/>
  <c r="K33" i="14"/>
  <c r="K29" i="14"/>
  <c r="AD38" i="14"/>
  <c r="AE38" i="14" s="1"/>
  <c r="AG49" i="14"/>
  <c r="AD49" i="14"/>
  <c r="AE49" i="14" s="1"/>
  <c r="H98" i="14"/>
  <c r="AD108" i="14"/>
  <c r="AE108" i="14" s="1"/>
  <c r="P112" i="14"/>
  <c r="AD117" i="14"/>
  <c r="AE117" i="14" s="1"/>
  <c r="AG117" i="14"/>
  <c r="AG132" i="14"/>
  <c r="AD132" i="14"/>
  <c r="AE132" i="14" s="1"/>
  <c r="P141" i="14"/>
  <c r="D6" i="15"/>
  <c r="Z6" i="15"/>
  <c r="J7" i="15"/>
  <c r="P11" i="15"/>
  <c r="AG13" i="15"/>
  <c r="P97" i="15"/>
  <c r="J26" i="15"/>
  <c r="J27" i="15" s="1"/>
  <c r="J30" i="15"/>
  <c r="R81" i="15"/>
  <c r="R82" i="15" s="1"/>
  <c r="AD42" i="15"/>
  <c r="AE42" i="15" s="1"/>
  <c r="AG42" i="15"/>
  <c r="AD58" i="15"/>
  <c r="AE58" i="15" s="1"/>
  <c r="AG58" i="15"/>
  <c r="AD74" i="15"/>
  <c r="AE74" i="15" s="1"/>
  <c r="AG74" i="15"/>
  <c r="AD86" i="15"/>
  <c r="AE86" i="15" s="1"/>
  <c r="AG86" i="15"/>
  <c r="P105" i="15"/>
  <c r="AD102" i="15"/>
  <c r="AE102" i="15" s="1"/>
  <c r="F134" i="15"/>
  <c r="F35" i="15" s="1"/>
  <c r="J134" i="15"/>
  <c r="J35" i="15" s="1"/>
  <c r="AD115" i="15"/>
  <c r="AE115" i="15" s="1"/>
  <c r="AG115" i="15"/>
  <c r="AD127" i="15"/>
  <c r="AE127" i="15" s="1"/>
  <c r="AG127" i="15"/>
  <c r="H6" i="16"/>
  <c r="R6" i="16"/>
  <c r="AC6" i="16"/>
  <c r="N7" i="16"/>
  <c r="X7" i="16"/>
  <c r="K30" i="16"/>
  <c r="K27" i="16"/>
  <c r="AC96" i="16"/>
  <c r="AD18" i="16"/>
  <c r="AE18" i="16" s="1"/>
  <c r="AG18" i="16"/>
  <c r="G33" i="16"/>
  <c r="AC80" i="16"/>
  <c r="AD88" i="16"/>
  <c r="AE88" i="16" s="1"/>
  <c r="AG88" i="16"/>
  <c r="G98" i="16"/>
  <c r="P122" i="16"/>
  <c r="AD114" i="16"/>
  <c r="AE114" i="16" s="1"/>
  <c r="AD125" i="16"/>
  <c r="AE125" i="16" s="1"/>
  <c r="AG125" i="16"/>
  <c r="P141" i="16"/>
  <c r="E6" i="17"/>
  <c r="P6" i="17"/>
  <c r="Z6" i="17"/>
  <c r="K7" i="17"/>
  <c r="V7" i="17"/>
  <c r="I98" i="17"/>
  <c r="I30" i="17"/>
  <c r="I33" i="17" s="1"/>
  <c r="M98" i="17"/>
  <c r="M30" i="17"/>
  <c r="M33" i="17" s="1"/>
  <c r="M26" i="17"/>
  <c r="M27" i="17" s="1"/>
  <c r="O26" i="17"/>
  <c r="O27" i="17" s="1"/>
  <c r="O30" i="17"/>
  <c r="O33" i="17" s="1"/>
  <c r="K26" i="17"/>
  <c r="K98" i="17"/>
  <c r="K27" i="17"/>
  <c r="G33" i="17"/>
  <c r="AD49" i="17"/>
  <c r="AE49" i="17" s="1"/>
  <c r="AG49" i="17"/>
  <c r="AD65" i="17"/>
  <c r="AE65" i="17" s="1"/>
  <c r="AG65" i="17"/>
  <c r="AD90" i="17"/>
  <c r="AE90" i="17" s="1"/>
  <c r="V134" i="17"/>
  <c r="V35" i="17" s="1"/>
  <c r="Z134" i="17"/>
  <c r="Z35" i="17" s="1"/>
  <c r="AD108" i="17"/>
  <c r="AE108" i="17" s="1"/>
  <c r="AG108" i="17"/>
  <c r="E134" i="17"/>
  <c r="E35" i="17" s="1"/>
  <c r="E6" i="18"/>
  <c r="Z6" i="18"/>
  <c r="K7" i="18"/>
  <c r="J98" i="18"/>
  <c r="J27" i="18"/>
  <c r="P90" i="18"/>
  <c r="AD85" i="18"/>
  <c r="AE85" i="18" s="1"/>
  <c r="E6" i="19"/>
  <c r="Z6" i="19"/>
  <c r="K7" i="19"/>
  <c r="M27" i="19"/>
  <c r="AG31" i="19"/>
  <c r="AD31" i="19"/>
  <c r="AE31" i="19" s="1"/>
  <c r="P33" i="19"/>
  <c r="AG51" i="19"/>
  <c r="AD51" i="19"/>
  <c r="AE51" i="19" s="1"/>
  <c r="AG67" i="19"/>
  <c r="AD67" i="19"/>
  <c r="AE67" i="19" s="1"/>
  <c r="P119" i="19"/>
  <c r="F6" i="20"/>
  <c r="P6" i="20"/>
  <c r="L7" i="20"/>
  <c r="V7" i="20"/>
  <c r="E27" i="20"/>
  <c r="E98" i="20"/>
  <c r="E30" i="20"/>
  <c r="P97" i="20"/>
  <c r="AG13" i="20"/>
  <c r="Z27" i="20"/>
  <c r="Z98" i="20"/>
  <c r="I30" i="20"/>
  <c r="AD38" i="20"/>
  <c r="AE38" i="20" s="1"/>
  <c r="I98" i="20"/>
  <c r="G134" i="20"/>
  <c r="G35" i="20" s="1"/>
  <c r="Q6" i="21"/>
  <c r="AB6" i="21"/>
  <c r="W7" i="21"/>
  <c r="F98" i="21"/>
  <c r="F30" i="21"/>
  <c r="F33" i="21" s="1"/>
  <c r="J98" i="21"/>
  <c r="J30" i="21"/>
  <c r="J33" i="21" s="1"/>
  <c r="J27" i="21"/>
  <c r="N98" i="21"/>
  <c r="N30" i="21"/>
  <c r="N33" i="21" s="1"/>
  <c r="AD104" i="21"/>
  <c r="AE104" i="21" s="1"/>
  <c r="P105" i="21"/>
  <c r="AG104" i="21"/>
  <c r="AD120" i="21"/>
  <c r="AE120" i="21" s="1"/>
  <c r="AG120" i="21"/>
  <c r="E6" i="22"/>
  <c r="K7" i="22"/>
  <c r="D98" i="22"/>
  <c r="D27" i="22"/>
  <c r="AD22" i="22"/>
  <c r="AE22" i="22" s="1"/>
  <c r="AG22" i="22"/>
  <c r="AD49" i="22"/>
  <c r="AE49" i="22" s="1"/>
  <c r="AG49" i="22"/>
  <c r="AC112" i="22"/>
  <c r="AC134" i="22" s="1"/>
  <c r="I6" i="23"/>
  <c r="AD65" i="23"/>
  <c r="AE65" i="23" s="1"/>
  <c r="AG65" i="23"/>
  <c r="T7" i="24"/>
  <c r="M98" i="24"/>
  <c r="M27" i="24"/>
  <c r="AD11" i="24"/>
  <c r="AE11" i="24" s="1"/>
  <c r="AG11" i="24"/>
  <c r="P95" i="24"/>
  <c r="AD53" i="24"/>
  <c r="AE53" i="24" s="1"/>
  <c r="AG53" i="24"/>
  <c r="AD87" i="24"/>
  <c r="AE87" i="24" s="1"/>
  <c r="AG87" i="24"/>
  <c r="G7" i="25"/>
  <c r="T98" i="25"/>
  <c r="T27" i="25"/>
  <c r="X98" i="25"/>
  <c r="X27" i="25"/>
  <c r="AB98" i="25"/>
  <c r="AB27" i="25"/>
  <c r="I27" i="25"/>
  <c r="AC80" i="25"/>
  <c r="AD40" i="25"/>
  <c r="AE40" i="25" s="1"/>
  <c r="AD58" i="25"/>
  <c r="AE58" i="25" s="1"/>
  <c r="AG58" i="25"/>
  <c r="AD116" i="26"/>
  <c r="AE116" i="26" s="1"/>
  <c r="AG116" i="26"/>
  <c r="AB77" i="28"/>
  <c r="AG60" i="28"/>
  <c r="AD60" i="28"/>
  <c r="AE60" i="28" s="1"/>
  <c r="AG64" i="28"/>
  <c r="AD64" i="28"/>
  <c r="AE64" i="28" s="1"/>
  <c r="AH9" i="40"/>
  <c r="AE9" i="40"/>
  <c r="AE10" i="40" s="1"/>
  <c r="AF10" i="40" s="1"/>
  <c r="Q10" i="40"/>
  <c r="Q17" i="40" s="1"/>
  <c r="I17" i="40"/>
  <c r="H17" i="28"/>
  <c r="H18" i="28" s="1"/>
  <c r="I13" i="1" s="1"/>
  <c r="P12" i="13"/>
  <c r="X27" i="13"/>
  <c r="AC93" i="13"/>
  <c r="D134" i="13"/>
  <c r="D35" i="13" s="1"/>
  <c r="H134" i="13"/>
  <c r="H35" i="13" s="1"/>
  <c r="L134" i="13"/>
  <c r="L35" i="13" s="1"/>
  <c r="T134" i="13"/>
  <c r="T35" i="13" s="1"/>
  <c r="AC35" i="13" s="1"/>
  <c r="X134" i="13"/>
  <c r="X35" i="13" s="1"/>
  <c r="AB134" i="13"/>
  <c r="AB35" i="13" s="1"/>
  <c r="AB81" i="13" s="1"/>
  <c r="AB82" i="13" s="1"/>
  <c r="AD120" i="13"/>
  <c r="AE120" i="13" s="1"/>
  <c r="R98" i="14"/>
  <c r="V98" i="14"/>
  <c r="Z98" i="14"/>
  <c r="AD17" i="14"/>
  <c r="AE17" i="14" s="1"/>
  <c r="R27" i="14"/>
  <c r="R81" i="14" s="1"/>
  <c r="R82" i="14" s="1"/>
  <c r="W27" i="14"/>
  <c r="W81" i="14" s="1"/>
  <c r="W82" i="14" s="1"/>
  <c r="AD42" i="14"/>
  <c r="AE42" i="14" s="1"/>
  <c r="P43" i="14"/>
  <c r="AD58" i="14"/>
  <c r="AE58" i="14" s="1"/>
  <c r="AD74" i="14"/>
  <c r="AE74" i="14" s="1"/>
  <c r="AD88" i="14"/>
  <c r="AE88" i="14" s="1"/>
  <c r="AD125" i="14"/>
  <c r="AE125" i="14" s="1"/>
  <c r="P22" i="15"/>
  <c r="AG17" i="15"/>
  <c r="R98" i="15"/>
  <c r="W98" i="15"/>
  <c r="AC95" i="16"/>
  <c r="P12" i="16"/>
  <c r="T27" i="16"/>
  <c r="T81" i="16" s="1"/>
  <c r="T82" i="16" s="1"/>
  <c r="AC122" i="16"/>
  <c r="AC134" i="16" s="1"/>
  <c r="AC137" i="16" s="1"/>
  <c r="R81" i="17"/>
  <c r="R82" i="17" s="1"/>
  <c r="V81" i="17"/>
  <c r="V82" i="17" s="1"/>
  <c r="Z81" i="17"/>
  <c r="Z82" i="17" s="1"/>
  <c r="H30" i="17"/>
  <c r="H33" i="17" s="1"/>
  <c r="AG38" i="17"/>
  <c r="R98" i="18"/>
  <c r="V98" i="18"/>
  <c r="Z98" i="18"/>
  <c r="Z27" i="18"/>
  <c r="Z81" i="18" s="1"/>
  <c r="Z82" i="18" s="1"/>
  <c r="P43" i="18"/>
  <c r="AG125" i="18"/>
  <c r="R27" i="19"/>
  <c r="R81" i="19" s="1"/>
  <c r="R82" i="19" s="1"/>
  <c r="V27" i="19"/>
  <c r="V81" i="19" s="1"/>
  <c r="V82" i="19" s="1"/>
  <c r="Z27" i="19"/>
  <c r="Z81" i="19" s="1"/>
  <c r="Z82" i="19" s="1"/>
  <c r="V98" i="19"/>
  <c r="P9" i="20"/>
  <c r="S98" i="20"/>
  <c r="W98" i="20"/>
  <c r="AA98" i="20"/>
  <c r="S27" i="20"/>
  <c r="S81" i="20" s="1"/>
  <c r="S82" i="20" s="1"/>
  <c r="AC80" i="20"/>
  <c r="F134" i="20"/>
  <c r="F35" i="20" s="1"/>
  <c r="J134" i="20"/>
  <c r="J35" i="20" s="1"/>
  <c r="N134" i="20"/>
  <c r="N35" i="20" s="1"/>
  <c r="R134" i="20"/>
  <c r="R35" i="20" s="1"/>
  <c r="V134" i="20"/>
  <c r="V35" i="20" s="1"/>
  <c r="Z134" i="20"/>
  <c r="Z35" i="20" s="1"/>
  <c r="P9" i="21"/>
  <c r="P12" i="21"/>
  <c r="Z81" i="21"/>
  <c r="Z82" i="21" s="1"/>
  <c r="AD38" i="21"/>
  <c r="AE38" i="21" s="1"/>
  <c r="AD88" i="21"/>
  <c r="AE88" i="21" s="1"/>
  <c r="AG88" i="21"/>
  <c r="AC122" i="21"/>
  <c r="AD122" i="21" s="1"/>
  <c r="AE122" i="21" s="1"/>
  <c r="AD128" i="21"/>
  <c r="AE128" i="21" s="1"/>
  <c r="AG128" i="21"/>
  <c r="G14" i="22"/>
  <c r="O14" i="22"/>
  <c r="P11" i="22"/>
  <c r="AD17" i="22"/>
  <c r="AE17" i="22" s="1"/>
  <c r="AG17" i="22"/>
  <c r="AD32" i="22"/>
  <c r="AE32" i="22" s="1"/>
  <c r="AG32" i="22"/>
  <c r="AC80" i="22"/>
  <c r="AD39" i="22"/>
  <c r="AE39" i="22" s="1"/>
  <c r="R134" i="22"/>
  <c r="R35" i="22" s="1"/>
  <c r="V134" i="22"/>
  <c r="V35" i="22" s="1"/>
  <c r="Z134" i="22"/>
  <c r="Z35" i="22" s="1"/>
  <c r="G114" i="22"/>
  <c r="P9" i="23"/>
  <c r="L98" i="23"/>
  <c r="L30" i="23"/>
  <c r="L33" i="23" s="1"/>
  <c r="L27" i="23"/>
  <c r="L26" i="23"/>
  <c r="AC93" i="23"/>
  <c r="AC14" i="23"/>
  <c r="G26" i="23"/>
  <c r="G27" i="23" s="1"/>
  <c r="G98" i="23"/>
  <c r="G30" i="23"/>
  <c r="G33" i="23" s="1"/>
  <c r="K26" i="23"/>
  <c r="K27" i="23" s="1"/>
  <c r="K98" i="23"/>
  <c r="O26" i="23"/>
  <c r="O27" i="23" s="1"/>
  <c r="O98" i="23"/>
  <c r="O30" i="23"/>
  <c r="O33" i="23" s="1"/>
  <c r="T98" i="23"/>
  <c r="T27" i="23"/>
  <c r="T81" i="23" s="1"/>
  <c r="T82" i="23" s="1"/>
  <c r="AB98" i="23"/>
  <c r="AB27" i="23"/>
  <c r="AB81" i="23" s="1"/>
  <c r="AB82" i="23" s="1"/>
  <c r="AC33" i="23"/>
  <c r="AD49" i="23"/>
  <c r="AE49" i="23" s="1"/>
  <c r="AG49" i="23"/>
  <c r="J134" i="23"/>
  <c r="J35" i="23" s="1"/>
  <c r="AD127" i="23"/>
  <c r="AE127" i="23" s="1"/>
  <c r="AG127" i="23"/>
  <c r="AC14" i="24"/>
  <c r="S81" i="24"/>
  <c r="S82" i="24" s="1"/>
  <c r="W81" i="24"/>
  <c r="W82" i="24" s="1"/>
  <c r="AA81" i="24"/>
  <c r="AA82" i="24" s="1"/>
  <c r="AD69" i="24"/>
  <c r="AE69" i="24" s="1"/>
  <c r="AG69" i="24"/>
  <c r="AG13" i="25"/>
  <c r="P97" i="25"/>
  <c r="AD13" i="25"/>
  <c r="AE13" i="25" s="1"/>
  <c r="AD18" i="25"/>
  <c r="AE18" i="25" s="1"/>
  <c r="P22" i="25"/>
  <c r="AG18" i="25"/>
  <c r="AD50" i="25"/>
  <c r="AE50" i="25" s="1"/>
  <c r="AG50" i="25"/>
  <c r="AD87" i="25"/>
  <c r="AE87" i="25" s="1"/>
  <c r="AG87" i="25"/>
  <c r="AC122" i="25"/>
  <c r="H98" i="26"/>
  <c r="H27" i="26"/>
  <c r="AD33" i="26"/>
  <c r="AE33" i="26" s="1"/>
  <c r="AG33" i="26"/>
  <c r="AC80" i="26"/>
  <c r="AD132" i="26"/>
  <c r="AE132" i="26" s="1"/>
  <c r="AG132" i="26"/>
  <c r="K62" i="27"/>
  <c r="K63" i="27" s="1"/>
  <c r="AD18" i="39"/>
  <c r="P133" i="12"/>
  <c r="AG124" i="12"/>
  <c r="F14" i="13"/>
  <c r="J14" i="13"/>
  <c r="N14" i="13"/>
  <c r="Y27" i="13"/>
  <c r="Y81" i="13" s="1"/>
  <c r="Y82" i="13" s="1"/>
  <c r="AD39" i="13"/>
  <c r="AE39" i="13" s="1"/>
  <c r="AD55" i="13"/>
  <c r="AE55" i="13" s="1"/>
  <c r="AD71" i="13"/>
  <c r="AE71" i="13" s="1"/>
  <c r="AD85" i="13"/>
  <c r="AE85" i="13" s="1"/>
  <c r="AD108" i="13"/>
  <c r="AE108" i="13" s="1"/>
  <c r="AD114" i="13"/>
  <c r="AE114" i="13" s="1"/>
  <c r="AD124" i="13"/>
  <c r="AE124" i="13" s="1"/>
  <c r="AD136" i="13"/>
  <c r="AE136" i="13" s="1"/>
  <c r="P9" i="14"/>
  <c r="AC22" i="14"/>
  <c r="AD21" i="14"/>
  <c r="AE21" i="14" s="1"/>
  <c r="P22" i="14"/>
  <c r="AD46" i="14"/>
  <c r="AE46" i="14" s="1"/>
  <c r="AD62" i="14"/>
  <c r="AE62" i="14" s="1"/>
  <c r="AD78" i="14"/>
  <c r="AE78" i="14" s="1"/>
  <c r="AD129" i="14"/>
  <c r="AE129" i="14" s="1"/>
  <c r="D98" i="15"/>
  <c r="D30" i="15"/>
  <c r="D27" i="15"/>
  <c r="H98" i="15"/>
  <c r="H30" i="15"/>
  <c r="H27" i="15"/>
  <c r="L98" i="15"/>
  <c r="L30" i="15"/>
  <c r="L27" i="15"/>
  <c r="P9" i="15"/>
  <c r="AD20" i="15"/>
  <c r="AE20" i="15" s="1"/>
  <c r="AD25" i="15"/>
  <c r="AE25" i="15" s="1"/>
  <c r="D26" i="15"/>
  <c r="AC33" i="15"/>
  <c r="AD32" i="15"/>
  <c r="AE32" i="15" s="1"/>
  <c r="AD38" i="15"/>
  <c r="AE38" i="15" s="1"/>
  <c r="AD54" i="15"/>
  <c r="AE54" i="15" s="1"/>
  <c r="AD70" i="15"/>
  <c r="AE70" i="15" s="1"/>
  <c r="AC112" i="15"/>
  <c r="AC134" i="15" s="1"/>
  <c r="AD111" i="15"/>
  <c r="AE111" i="15" s="1"/>
  <c r="P112" i="15"/>
  <c r="P133" i="15"/>
  <c r="AG124" i="15"/>
  <c r="F14" i="16"/>
  <c r="J14" i="16"/>
  <c r="N14" i="16"/>
  <c r="AD38" i="16"/>
  <c r="AE38" i="16" s="1"/>
  <c r="AD48" i="16"/>
  <c r="AE48" i="16" s="1"/>
  <c r="AD64" i="16"/>
  <c r="AE64" i="16" s="1"/>
  <c r="AD76" i="16"/>
  <c r="AE76" i="16" s="1"/>
  <c r="P90" i="16"/>
  <c r="AG85" i="16"/>
  <c r="E134" i="16"/>
  <c r="E35" i="16" s="1"/>
  <c r="I134" i="16"/>
  <c r="I35" i="16" s="1"/>
  <c r="M134" i="16"/>
  <c r="M35" i="16" s="1"/>
  <c r="Q134" i="16"/>
  <c r="Q35" i="16" s="1"/>
  <c r="U134" i="16"/>
  <c r="U35" i="16" s="1"/>
  <c r="U81" i="16" s="1"/>
  <c r="U82" i="16" s="1"/>
  <c r="Y134" i="16"/>
  <c r="Y35" i="16" s="1"/>
  <c r="Y81" i="16" s="1"/>
  <c r="Y82" i="16" s="1"/>
  <c r="AD109" i="16"/>
  <c r="AE109" i="16" s="1"/>
  <c r="AD121" i="16"/>
  <c r="AE121" i="16" s="1"/>
  <c r="P9" i="17"/>
  <c r="P31" i="17"/>
  <c r="D29" i="17"/>
  <c r="W27" i="17"/>
  <c r="W81" i="17" s="1"/>
  <c r="W82" i="17" s="1"/>
  <c r="AD41" i="17"/>
  <c r="AE41" i="17" s="1"/>
  <c r="AD45" i="17"/>
  <c r="AE45" i="17" s="1"/>
  <c r="AD61" i="17"/>
  <c r="AE61" i="17" s="1"/>
  <c r="AD73" i="17"/>
  <c r="AE73" i="17" s="1"/>
  <c r="AD104" i="17"/>
  <c r="AE104" i="17" s="1"/>
  <c r="D134" i="17"/>
  <c r="D35" i="17" s="1"/>
  <c r="H134" i="17"/>
  <c r="H35" i="17" s="1"/>
  <c r="L134" i="17"/>
  <c r="L35" i="17" s="1"/>
  <c r="T134" i="17"/>
  <c r="T35" i="17" s="1"/>
  <c r="X134" i="17"/>
  <c r="X35" i="17" s="1"/>
  <c r="X81" i="17" s="1"/>
  <c r="X82" i="17" s="1"/>
  <c r="AB134" i="17"/>
  <c r="AB35" i="17" s="1"/>
  <c r="AD120" i="17"/>
  <c r="AE120" i="17" s="1"/>
  <c r="G14" i="18"/>
  <c r="K14" i="18"/>
  <c r="O14" i="18"/>
  <c r="P10" i="18"/>
  <c r="S81" i="18"/>
  <c r="S82" i="18" s="1"/>
  <c r="W81" i="18"/>
  <c r="W82" i="18" s="1"/>
  <c r="AA81" i="18"/>
  <c r="AA82" i="18" s="1"/>
  <c r="V27" i="18"/>
  <c r="V81" i="18" s="1"/>
  <c r="V82" i="18" s="1"/>
  <c r="AD30" i="18"/>
  <c r="AE30" i="18" s="1"/>
  <c r="AD46" i="18"/>
  <c r="AE46" i="18" s="1"/>
  <c r="AD62" i="18"/>
  <c r="AE62" i="18" s="1"/>
  <c r="AD78" i="18"/>
  <c r="AE78" i="18" s="1"/>
  <c r="E105" i="18"/>
  <c r="F102" i="18"/>
  <c r="G114" i="18"/>
  <c r="AC133" i="18"/>
  <c r="AC134" i="18" s="1"/>
  <c r="AD124" i="18"/>
  <c r="AE124" i="18" s="1"/>
  <c r="AD128" i="18"/>
  <c r="AE128" i="18" s="1"/>
  <c r="G14" i="19"/>
  <c r="K14" i="19"/>
  <c r="O14" i="19"/>
  <c r="P10" i="19"/>
  <c r="AD38" i="19"/>
  <c r="AE38" i="19" s="1"/>
  <c r="AD48" i="19"/>
  <c r="AE48" i="19" s="1"/>
  <c r="AD64" i="19"/>
  <c r="AE64" i="19" s="1"/>
  <c r="AD76" i="19"/>
  <c r="AE76" i="19" s="1"/>
  <c r="R98" i="19"/>
  <c r="F102" i="19"/>
  <c r="F103" i="19"/>
  <c r="F104" i="19"/>
  <c r="E105" i="19"/>
  <c r="P10" i="20"/>
  <c r="T81" i="20"/>
  <c r="T82" i="20" s="1"/>
  <c r="X81" i="20"/>
  <c r="X82" i="20" s="1"/>
  <c r="AB81" i="20"/>
  <c r="AB82" i="20" s="1"/>
  <c r="D29" i="20"/>
  <c r="L30" i="20"/>
  <c r="AD47" i="20"/>
  <c r="AE47" i="20" s="1"/>
  <c r="AD63" i="20"/>
  <c r="AE63" i="20" s="1"/>
  <c r="AD75" i="20"/>
  <c r="AE75" i="20" s="1"/>
  <c r="AC93" i="20"/>
  <c r="L98" i="20"/>
  <c r="AD102" i="20"/>
  <c r="AE102" i="20" s="1"/>
  <c r="AD114" i="20"/>
  <c r="AE114" i="20" s="1"/>
  <c r="AD130" i="20"/>
  <c r="AE130" i="20" s="1"/>
  <c r="P141" i="20"/>
  <c r="E14" i="21"/>
  <c r="I14" i="21"/>
  <c r="M14" i="21"/>
  <c r="AC93" i="21"/>
  <c r="AC14" i="21"/>
  <c r="P11" i="21"/>
  <c r="AC22" i="21"/>
  <c r="P31" i="21"/>
  <c r="P22" i="21"/>
  <c r="AD32" i="21"/>
  <c r="AE32" i="21" s="1"/>
  <c r="AC80" i="21"/>
  <c r="AD77" i="21"/>
  <c r="AE77" i="21" s="1"/>
  <c r="AD121" i="21"/>
  <c r="AE121" i="21" s="1"/>
  <c r="AG121" i="21"/>
  <c r="J27" i="22"/>
  <c r="J98" i="22"/>
  <c r="P10" i="22"/>
  <c r="P12" i="22"/>
  <c r="R81" i="22"/>
  <c r="R82" i="22" s="1"/>
  <c r="V81" i="22"/>
  <c r="V82" i="22" s="1"/>
  <c r="Z81" i="22"/>
  <c r="Z82" i="22" s="1"/>
  <c r="AD44" i="22"/>
  <c r="AE44" i="22" s="1"/>
  <c r="AG44" i="22"/>
  <c r="AD52" i="22"/>
  <c r="AE52" i="22" s="1"/>
  <c r="AG52" i="22"/>
  <c r="AD60" i="22"/>
  <c r="AE60" i="22" s="1"/>
  <c r="AG60" i="22"/>
  <c r="AD68" i="22"/>
  <c r="AE68" i="22" s="1"/>
  <c r="AG68" i="22"/>
  <c r="AD76" i="22"/>
  <c r="AE76" i="22" s="1"/>
  <c r="AG76" i="22"/>
  <c r="F98" i="22"/>
  <c r="P104" i="22"/>
  <c r="F121" i="22"/>
  <c r="G121" i="22" s="1"/>
  <c r="H121" i="22" s="1"/>
  <c r="I121" i="22" s="1"/>
  <c r="J121" i="22" s="1"/>
  <c r="K121" i="22" s="1"/>
  <c r="L121" i="22" s="1"/>
  <c r="M121" i="22" s="1"/>
  <c r="N121" i="22" s="1"/>
  <c r="O121" i="22" s="1"/>
  <c r="AD127" i="22"/>
  <c r="AE127" i="22" s="1"/>
  <c r="AG127" i="22"/>
  <c r="E14" i="23"/>
  <c r="I14" i="23"/>
  <c r="M14" i="23"/>
  <c r="AD10" i="23"/>
  <c r="AE10" i="23" s="1"/>
  <c r="P94" i="23"/>
  <c r="AG10" i="23"/>
  <c r="AD18" i="23"/>
  <c r="AE18" i="23" s="1"/>
  <c r="AG18" i="23"/>
  <c r="AC80" i="23"/>
  <c r="AD39" i="23"/>
  <c r="AE39" i="23" s="1"/>
  <c r="AD77" i="23"/>
  <c r="AE77" i="23" s="1"/>
  <c r="AG77" i="23"/>
  <c r="AD87" i="23"/>
  <c r="AE87" i="23" s="1"/>
  <c r="AG87" i="23"/>
  <c r="AD108" i="23"/>
  <c r="AE108" i="23" s="1"/>
  <c r="AG108" i="23"/>
  <c r="I14" i="24"/>
  <c r="D27" i="24"/>
  <c r="D98" i="24"/>
  <c r="L27" i="24"/>
  <c r="L98" i="24"/>
  <c r="T81" i="24"/>
  <c r="T82" i="24" s="1"/>
  <c r="AD19" i="24"/>
  <c r="AE19" i="24" s="1"/>
  <c r="AG19" i="24"/>
  <c r="AD61" i="24"/>
  <c r="AE61" i="24" s="1"/>
  <c r="AG61" i="24"/>
  <c r="AD77" i="24"/>
  <c r="AE77" i="24" s="1"/>
  <c r="AG77" i="24"/>
  <c r="H98" i="25"/>
  <c r="H27" i="25"/>
  <c r="AD30" i="25"/>
  <c r="AE30" i="25" s="1"/>
  <c r="P33" i="25"/>
  <c r="AG30" i="25"/>
  <c r="AD109" i="25"/>
  <c r="AE109" i="25" s="1"/>
  <c r="AG109" i="25"/>
  <c r="AD120" i="25"/>
  <c r="AE120" i="25" s="1"/>
  <c r="AG120" i="25"/>
  <c r="AD128" i="25"/>
  <c r="AE128" i="25" s="1"/>
  <c r="AG128" i="25"/>
  <c r="AD124" i="26"/>
  <c r="AE124" i="26" s="1"/>
  <c r="P133" i="26"/>
  <c r="AG124" i="26"/>
  <c r="W42" i="28"/>
  <c r="AA42" i="28"/>
  <c r="AG14" i="28"/>
  <c r="Q53" i="35"/>
  <c r="AH53" i="35" s="1"/>
  <c r="AH48" i="35"/>
  <c r="AD26" i="36"/>
  <c r="AE17" i="36"/>
  <c r="AF17" i="36" s="1"/>
  <c r="F14" i="23"/>
  <c r="J14" i="23"/>
  <c r="N14" i="23"/>
  <c r="Q98" i="23"/>
  <c r="U98" i="23"/>
  <c r="Y98" i="23"/>
  <c r="P96" i="23"/>
  <c r="AC105" i="23"/>
  <c r="G134" i="23"/>
  <c r="G35" i="23" s="1"/>
  <c r="K134" i="23"/>
  <c r="K35" i="23" s="1"/>
  <c r="O134" i="23"/>
  <c r="O35" i="23" s="1"/>
  <c r="AD124" i="23"/>
  <c r="AE124" i="23" s="1"/>
  <c r="P133" i="23"/>
  <c r="AG9" i="24"/>
  <c r="P93" i="24"/>
  <c r="AG13" i="24"/>
  <c r="P97" i="24"/>
  <c r="P14" i="24"/>
  <c r="AC80" i="24"/>
  <c r="P90" i="24"/>
  <c r="AC93" i="24"/>
  <c r="T98" i="24"/>
  <c r="AB98" i="24"/>
  <c r="AC105" i="24"/>
  <c r="AC134" i="24" s="1"/>
  <c r="P133" i="24"/>
  <c r="P12" i="25"/>
  <c r="P90" i="25"/>
  <c r="AC105" i="25"/>
  <c r="AC134" i="25" s="1"/>
  <c r="P133" i="25"/>
  <c r="P9" i="26"/>
  <c r="AD26" i="26"/>
  <c r="AE26" i="26" s="1"/>
  <c r="AG26" i="26"/>
  <c r="L27" i="26"/>
  <c r="AD86" i="26"/>
  <c r="AE86" i="26" s="1"/>
  <c r="P90" i="26"/>
  <c r="AG86" i="26"/>
  <c r="AD107" i="26"/>
  <c r="AE107" i="26" s="1"/>
  <c r="AG107" i="26"/>
  <c r="P112" i="26"/>
  <c r="AD127" i="26"/>
  <c r="AE127" i="26" s="1"/>
  <c r="AG127" i="26"/>
  <c r="Z62" i="27"/>
  <c r="Z63" i="27" s="1"/>
  <c r="P79" i="27"/>
  <c r="AC17" i="28"/>
  <c r="AC23" i="28"/>
  <c r="AG61" i="28"/>
  <c r="D29" i="31"/>
  <c r="T30" i="28"/>
  <c r="X30" i="28"/>
  <c r="AB30" i="28"/>
  <c r="AE23" i="33"/>
  <c r="AF23" i="33" s="1"/>
  <c r="AH23" i="33"/>
  <c r="AE60" i="33"/>
  <c r="AF60" i="33" s="1"/>
  <c r="Q66" i="33"/>
  <c r="AH66" i="33" s="1"/>
  <c r="AH60" i="33"/>
  <c r="AE20" i="34"/>
  <c r="AF20" i="34" s="1"/>
  <c r="AF18" i="34"/>
  <c r="AH53" i="37"/>
  <c r="AD31" i="41"/>
  <c r="AE31" i="41" s="1"/>
  <c r="S27" i="11"/>
  <c r="S81" i="11" s="1"/>
  <c r="S82" i="11" s="1"/>
  <c r="W27" i="11"/>
  <c r="W81" i="11" s="1"/>
  <c r="W82" i="11" s="1"/>
  <c r="AA27" i="11"/>
  <c r="AA81" i="11" s="1"/>
  <c r="AA82" i="11" s="1"/>
  <c r="AG114" i="13"/>
  <c r="T27" i="15"/>
  <c r="T81" i="15" s="1"/>
  <c r="T82" i="15" s="1"/>
  <c r="X27" i="15"/>
  <c r="X81" i="15" s="1"/>
  <c r="X82" i="15" s="1"/>
  <c r="AB27" i="15"/>
  <c r="AB81" i="15" s="1"/>
  <c r="AB82" i="15" s="1"/>
  <c r="R27" i="16"/>
  <c r="R81" i="16" s="1"/>
  <c r="R82" i="16" s="1"/>
  <c r="V27" i="16"/>
  <c r="V81" i="16" s="1"/>
  <c r="V82" i="16" s="1"/>
  <c r="Z27" i="16"/>
  <c r="Z81" i="16" s="1"/>
  <c r="Z82" i="16" s="1"/>
  <c r="AG114" i="17"/>
  <c r="Q98" i="21"/>
  <c r="U98" i="21"/>
  <c r="Y98" i="21"/>
  <c r="P90" i="21"/>
  <c r="AG85" i="21"/>
  <c r="AC105" i="21"/>
  <c r="AD108" i="21"/>
  <c r="AE108" i="21" s="1"/>
  <c r="AG18" i="22"/>
  <c r="AD21" i="22"/>
  <c r="AE21" i="22" s="1"/>
  <c r="P43" i="22"/>
  <c r="AG45" i="22"/>
  <c r="AD48" i="22"/>
  <c r="AE48" i="22" s="1"/>
  <c r="AG53" i="22"/>
  <c r="AD56" i="22"/>
  <c r="AE56" i="22" s="1"/>
  <c r="AG61" i="22"/>
  <c r="AD64" i="22"/>
  <c r="AE64" i="22" s="1"/>
  <c r="AG69" i="22"/>
  <c r="AD72" i="22"/>
  <c r="AE72" i="22" s="1"/>
  <c r="AG77" i="22"/>
  <c r="AG87" i="22"/>
  <c r="P103" i="22"/>
  <c r="S134" i="22"/>
  <c r="S35" i="22" s="1"/>
  <c r="W134" i="22"/>
  <c r="W35" i="22" s="1"/>
  <c r="W81" i="22" s="1"/>
  <c r="W82" i="22" s="1"/>
  <c r="AA134" i="22"/>
  <c r="AA35" i="22" s="1"/>
  <c r="AA81" i="22" s="1"/>
  <c r="AA82" i="22" s="1"/>
  <c r="P141" i="22"/>
  <c r="P11" i="23"/>
  <c r="AD12" i="23"/>
  <c r="AE12" i="23" s="1"/>
  <c r="D14" i="23"/>
  <c r="R81" i="23"/>
  <c r="R82" i="23" s="1"/>
  <c r="V81" i="23"/>
  <c r="V82" i="23" s="1"/>
  <c r="Z81" i="23"/>
  <c r="Z82" i="23" s="1"/>
  <c r="AC22" i="23"/>
  <c r="AC29" i="23" s="1"/>
  <c r="P31" i="23"/>
  <c r="D29" i="23"/>
  <c r="P22" i="23"/>
  <c r="AD32" i="23"/>
  <c r="AE32" i="23" s="1"/>
  <c r="AD40" i="23"/>
  <c r="AE40" i="23" s="1"/>
  <c r="AD43" i="23"/>
  <c r="AE43" i="23" s="1"/>
  <c r="AD102" i="23"/>
  <c r="AE102" i="23" s="1"/>
  <c r="AC112" i="23"/>
  <c r="P112" i="23"/>
  <c r="P122" i="23"/>
  <c r="AC133" i="23"/>
  <c r="AG128" i="23"/>
  <c r="AD131" i="23"/>
  <c r="AE131" i="23" s="1"/>
  <c r="AD9" i="24"/>
  <c r="AE9" i="24" s="1"/>
  <c r="P12" i="24"/>
  <c r="AD13" i="24"/>
  <c r="AE13" i="24" s="1"/>
  <c r="Q98" i="24"/>
  <c r="U98" i="24"/>
  <c r="Y98" i="24"/>
  <c r="AG46" i="24"/>
  <c r="AD49" i="24"/>
  <c r="AE49" i="24" s="1"/>
  <c r="AG54" i="24"/>
  <c r="AD57" i="24"/>
  <c r="AE57" i="24" s="1"/>
  <c r="AG62" i="24"/>
  <c r="AD65" i="24"/>
  <c r="AE65" i="24" s="1"/>
  <c r="AG70" i="24"/>
  <c r="P75" i="24"/>
  <c r="AG78" i="24"/>
  <c r="AG88" i="24"/>
  <c r="AD103" i="24"/>
  <c r="AE103" i="24" s="1"/>
  <c r="D134" i="24"/>
  <c r="D35" i="24" s="1"/>
  <c r="H134" i="24"/>
  <c r="H35" i="24" s="1"/>
  <c r="L134" i="24"/>
  <c r="L35" i="24" s="1"/>
  <c r="T134" i="24"/>
  <c r="T35" i="24" s="1"/>
  <c r="X134" i="24"/>
  <c r="X35" i="24" s="1"/>
  <c r="X81" i="24" s="1"/>
  <c r="X82" i="24" s="1"/>
  <c r="AB134" i="24"/>
  <c r="AB35" i="24" s="1"/>
  <c r="AB81" i="24" s="1"/>
  <c r="AB82" i="24" s="1"/>
  <c r="AD116" i="24"/>
  <c r="AE116" i="24" s="1"/>
  <c r="AG121" i="24"/>
  <c r="AD124" i="24"/>
  <c r="AE124" i="24" s="1"/>
  <c r="AG129" i="24"/>
  <c r="AD132" i="24"/>
  <c r="AE132" i="24" s="1"/>
  <c r="F14" i="25"/>
  <c r="J14" i="25"/>
  <c r="N14" i="25"/>
  <c r="P10" i="25"/>
  <c r="P14" i="25" s="1"/>
  <c r="AC95" i="25"/>
  <c r="AD95" i="25" s="1"/>
  <c r="AE95" i="25" s="1"/>
  <c r="R98" i="25"/>
  <c r="V98" i="25"/>
  <c r="Z98" i="25"/>
  <c r="AG19" i="25"/>
  <c r="U27" i="25"/>
  <c r="AD41" i="25"/>
  <c r="AE41" i="25" s="1"/>
  <c r="AD73" i="25"/>
  <c r="AE73" i="25" s="1"/>
  <c r="AG78" i="25"/>
  <c r="AG88" i="25"/>
  <c r="D134" i="25"/>
  <c r="D35" i="25" s="1"/>
  <c r="H134" i="25"/>
  <c r="H35" i="25" s="1"/>
  <c r="L134" i="25"/>
  <c r="L35" i="25" s="1"/>
  <c r="T134" i="25"/>
  <c r="T35" i="25" s="1"/>
  <c r="X134" i="25"/>
  <c r="X35" i="25" s="1"/>
  <c r="AB134" i="25"/>
  <c r="AB35" i="25" s="1"/>
  <c r="AD116" i="25"/>
  <c r="AE116" i="25" s="1"/>
  <c r="AG121" i="25"/>
  <c r="AD124" i="25"/>
  <c r="AE124" i="25" s="1"/>
  <c r="AG129" i="25"/>
  <c r="AD132" i="25"/>
  <c r="AE132" i="25" s="1"/>
  <c r="E98" i="26"/>
  <c r="E27" i="26"/>
  <c r="I98" i="26"/>
  <c r="I27" i="26"/>
  <c r="M98" i="26"/>
  <c r="M27" i="26"/>
  <c r="AC93" i="26"/>
  <c r="AC14" i="26"/>
  <c r="AC97" i="26"/>
  <c r="X98" i="26"/>
  <c r="X27" i="26"/>
  <c r="X81" i="26" s="1"/>
  <c r="X82" i="26" s="1"/>
  <c r="AD21" i="26"/>
  <c r="AE21" i="26" s="1"/>
  <c r="AG21" i="26"/>
  <c r="O27" i="26"/>
  <c r="AD40" i="26"/>
  <c r="AE40" i="26" s="1"/>
  <c r="AG40" i="26"/>
  <c r="AD45" i="26"/>
  <c r="AE45" i="26" s="1"/>
  <c r="AG45" i="26"/>
  <c r="AD53" i="26"/>
  <c r="AE53" i="26" s="1"/>
  <c r="AG53" i="26"/>
  <c r="AD61" i="26"/>
  <c r="AE61" i="26" s="1"/>
  <c r="AG61" i="26"/>
  <c r="AD69" i="26"/>
  <c r="AE69" i="26" s="1"/>
  <c r="AG69" i="26"/>
  <c r="AD74" i="26"/>
  <c r="AE74" i="26" s="1"/>
  <c r="AC90" i="26"/>
  <c r="AA98" i="26"/>
  <c r="F134" i="26"/>
  <c r="F35" i="26" s="1"/>
  <c r="J134" i="26"/>
  <c r="J35" i="26" s="1"/>
  <c r="N134" i="26"/>
  <c r="N35" i="26" s="1"/>
  <c r="S134" i="26"/>
  <c r="S35" i="26" s="1"/>
  <c r="AC35" i="26" s="1"/>
  <c r="W134" i="26"/>
  <c r="W35" i="26" s="1"/>
  <c r="W81" i="26" s="1"/>
  <c r="W82" i="26" s="1"/>
  <c r="AA134" i="26"/>
  <c r="AA35" i="26" s="1"/>
  <c r="AA81" i="26" s="1"/>
  <c r="AA82" i="26" s="1"/>
  <c r="AD115" i="26"/>
  <c r="AE115" i="26" s="1"/>
  <c r="AG115" i="26"/>
  <c r="F62" i="27"/>
  <c r="F63" i="27" s="1"/>
  <c r="J62" i="27"/>
  <c r="J63" i="27" s="1"/>
  <c r="N62" i="27"/>
  <c r="N63" i="27" s="1"/>
  <c r="W62" i="27"/>
  <c r="W63" i="27" s="1"/>
  <c r="AC74" i="27"/>
  <c r="AC71" i="27"/>
  <c r="AC79" i="27" s="1"/>
  <c r="D18" i="28"/>
  <c r="E13" i="1" s="1"/>
  <c r="L18" i="28"/>
  <c r="M13" i="1" s="1"/>
  <c r="P10" i="28"/>
  <c r="T34" i="28"/>
  <c r="T42" i="28" s="1"/>
  <c r="T18" i="28"/>
  <c r="U13" i="1" s="1"/>
  <c r="AB34" i="28"/>
  <c r="AB18" i="28"/>
  <c r="AC13" i="1" s="1"/>
  <c r="AC12" i="28"/>
  <c r="E39" i="28"/>
  <c r="I17" i="28"/>
  <c r="AB42" i="28"/>
  <c r="P52" i="28"/>
  <c r="R33" i="32"/>
  <c r="AE24" i="32"/>
  <c r="AF24" i="32" s="1"/>
  <c r="AH24" i="32"/>
  <c r="AD31" i="33"/>
  <c r="AE18" i="33"/>
  <c r="AF18" i="33" s="1"/>
  <c r="AE41" i="33"/>
  <c r="AF41" i="33" s="1"/>
  <c r="Q45" i="33"/>
  <c r="AH45" i="33" s="1"/>
  <c r="AH41" i="33"/>
  <c r="G12" i="28"/>
  <c r="G18" i="28" s="1"/>
  <c r="H13" i="1" s="1"/>
  <c r="K12" i="28"/>
  <c r="K18" i="28" s="1"/>
  <c r="L13" i="1" s="1"/>
  <c r="O12" i="28"/>
  <c r="O18" i="28" s="1"/>
  <c r="P13" i="1" s="1"/>
  <c r="S14" i="28"/>
  <c r="S38" i="28" s="1"/>
  <c r="T27" i="36"/>
  <c r="X27" i="36"/>
  <c r="W14" i="28"/>
  <c r="W38" i="28" s="1"/>
  <c r="AB27" i="36"/>
  <c r="AG24" i="45"/>
  <c r="AD24" i="45"/>
  <c r="AE24" i="45" s="1"/>
  <c r="P45" i="41"/>
  <c r="AG45" i="41" s="1"/>
  <c r="P45" i="45"/>
  <c r="AG45" i="45" s="1"/>
  <c r="AG82" i="46"/>
  <c r="AD15" i="47"/>
  <c r="AE15" i="47" s="1"/>
  <c r="R98" i="21"/>
  <c r="V98" i="21"/>
  <c r="Z98" i="21"/>
  <c r="D134" i="21"/>
  <c r="D35" i="21" s="1"/>
  <c r="H134" i="21"/>
  <c r="H35" i="21" s="1"/>
  <c r="L134" i="21"/>
  <c r="L35" i="21" s="1"/>
  <c r="T134" i="21"/>
  <c r="T35" i="21" s="1"/>
  <c r="AC35" i="21" s="1"/>
  <c r="X134" i="21"/>
  <c r="X35" i="21" s="1"/>
  <c r="AB134" i="21"/>
  <c r="AB35" i="21" s="1"/>
  <c r="AD116" i="21"/>
  <c r="AE116" i="21" s="1"/>
  <c r="AD124" i="21"/>
  <c r="AE124" i="21" s="1"/>
  <c r="AD132" i="21"/>
  <c r="AE132" i="21" s="1"/>
  <c r="E14" i="22"/>
  <c r="I14" i="22"/>
  <c r="M14" i="22"/>
  <c r="AC93" i="22"/>
  <c r="AC14" i="22"/>
  <c r="AC97" i="22"/>
  <c r="T27" i="22"/>
  <c r="T81" i="22" s="1"/>
  <c r="T82" i="22" s="1"/>
  <c r="AB27" i="22"/>
  <c r="AB81" i="22" s="1"/>
  <c r="AB82" i="22" s="1"/>
  <c r="AD40" i="22"/>
  <c r="AE40" i="22" s="1"/>
  <c r="AD107" i="22"/>
  <c r="AE107" i="22" s="1"/>
  <c r="AD110" i="22"/>
  <c r="AE110" i="22" s="1"/>
  <c r="P115" i="22"/>
  <c r="P116" i="22"/>
  <c r="P117" i="22"/>
  <c r="P119" i="22"/>
  <c r="AG126" i="22"/>
  <c r="AG17" i="23"/>
  <c r="AD21" i="23"/>
  <c r="AE21" i="23" s="1"/>
  <c r="W27" i="23"/>
  <c r="W81" i="23" s="1"/>
  <c r="W82" i="23" s="1"/>
  <c r="AD44" i="23"/>
  <c r="AE44" i="23" s="1"/>
  <c r="AG48" i="23"/>
  <c r="AD52" i="23"/>
  <c r="AE52" i="23" s="1"/>
  <c r="AG56" i="23"/>
  <c r="AD60" i="23"/>
  <c r="AE60" i="23" s="1"/>
  <c r="AG64" i="23"/>
  <c r="AD68" i="23"/>
  <c r="AE68" i="23" s="1"/>
  <c r="AG76" i="23"/>
  <c r="AG86" i="23"/>
  <c r="P90" i="23"/>
  <c r="P105" i="23"/>
  <c r="AD103" i="23"/>
  <c r="AE103" i="23" s="1"/>
  <c r="AG107" i="23"/>
  <c r="AD111" i="23"/>
  <c r="AE111" i="23" s="1"/>
  <c r="AG115" i="23"/>
  <c r="AD119" i="23"/>
  <c r="AE119" i="23" s="1"/>
  <c r="F14" i="24"/>
  <c r="J14" i="24"/>
  <c r="N14" i="24"/>
  <c r="P10" i="24"/>
  <c r="AC95" i="24"/>
  <c r="R98" i="24"/>
  <c r="V98" i="24"/>
  <c r="Z98" i="24"/>
  <c r="AG18" i="24"/>
  <c r="P22" i="24"/>
  <c r="AD41" i="24"/>
  <c r="AE41" i="24" s="1"/>
  <c r="AD73" i="24"/>
  <c r="AE73" i="24" s="1"/>
  <c r="AD104" i="24"/>
  <c r="AE104" i="24" s="1"/>
  <c r="E134" i="24"/>
  <c r="E35" i="24" s="1"/>
  <c r="I134" i="24"/>
  <c r="I35" i="24" s="1"/>
  <c r="M134" i="24"/>
  <c r="M35" i="24" s="1"/>
  <c r="Q134" i="24"/>
  <c r="Q35" i="24" s="1"/>
  <c r="AC35" i="24" s="1"/>
  <c r="U134" i="24"/>
  <c r="U35" i="24" s="1"/>
  <c r="U81" i="24" s="1"/>
  <c r="U82" i="24" s="1"/>
  <c r="Y134" i="24"/>
  <c r="Y35" i="24" s="1"/>
  <c r="Y81" i="24" s="1"/>
  <c r="Y82" i="24" s="1"/>
  <c r="AG108" i="24"/>
  <c r="P112" i="24"/>
  <c r="P134" i="24" s="1"/>
  <c r="P122" i="24"/>
  <c r="AC133" i="24"/>
  <c r="AD136" i="24"/>
  <c r="AE136" i="24" s="1"/>
  <c r="G14" i="25"/>
  <c r="K14" i="25"/>
  <c r="O14" i="25"/>
  <c r="S81" i="25"/>
  <c r="S82" i="25" s="1"/>
  <c r="W81" i="25"/>
  <c r="W82" i="25" s="1"/>
  <c r="AA81" i="25"/>
  <c r="AA82" i="25" s="1"/>
  <c r="AD38" i="25"/>
  <c r="AE38" i="25" s="1"/>
  <c r="AD45" i="25"/>
  <c r="AE45" i="25" s="1"/>
  <c r="AG49" i="25"/>
  <c r="AD53" i="25"/>
  <c r="AE53" i="25" s="1"/>
  <c r="AG57" i="25"/>
  <c r="AD61" i="25"/>
  <c r="AE61" i="25" s="1"/>
  <c r="AG65" i="25"/>
  <c r="AD69" i="25"/>
  <c r="AE69" i="25" s="1"/>
  <c r="AD104" i="25"/>
  <c r="AE104" i="25" s="1"/>
  <c r="E134" i="25"/>
  <c r="E35" i="25" s="1"/>
  <c r="I134" i="25"/>
  <c r="I35" i="25" s="1"/>
  <c r="M134" i="25"/>
  <c r="M35" i="25" s="1"/>
  <c r="Q134" i="25"/>
  <c r="Q35" i="25" s="1"/>
  <c r="U134" i="25"/>
  <c r="U35" i="25" s="1"/>
  <c r="Y134" i="25"/>
  <c r="Y35" i="25" s="1"/>
  <c r="Y81" i="25" s="1"/>
  <c r="Y82" i="25" s="1"/>
  <c r="AG108" i="25"/>
  <c r="P112" i="25"/>
  <c r="P122" i="25"/>
  <c r="AC133" i="25"/>
  <c r="AD136" i="25"/>
  <c r="AE136" i="25" s="1"/>
  <c r="AD10" i="26"/>
  <c r="AE10" i="26" s="1"/>
  <c r="P94" i="26"/>
  <c r="AG10" i="26"/>
  <c r="D27" i="26"/>
  <c r="AD73" i="26"/>
  <c r="AE73" i="26" s="1"/>
  <c r="AG73" i="26"/>
  <c r="AG77" i="26"/>
  <c r="AD87" i="26"/>
  <c r="AE87" i="26" s="1"/>
  <c r="AG87" i="26"/>
  <c r="S98" i="26"/>
  <c r="G134" i="26"/>
  <c r="G35" i="26" s="1"/>
  <c r="K134" i="26"/>
  <c r="K35" i="26" s="1"/>
  <c r="O134" i="26"/>
  <c r="O35" i="26" s="1"/>
  <c r="AD108" i="26"/>
  <c r="AE108" i="26" s="1"/>
  <c r="AG108" i="26"/>
  <c r="X62" i="27"/>
  <c r="X63" i="27" s="1"/>
  <c r="AD114" i="27"/>
  <c r="AE114" i="27" s="1"/>
  <c r="I18" i="28"/>
  <c r="J13" i="1" s="1"/>
  <c r="R18" i="28"/>
  <c r="S13" i="1" s="1"/>
  <c r="R33" i="28"/>
  <c r="V18" i="28"/>
  <c r="W13" i="1" s="1"/>
  <c r="V33" i="28"/>
  <c r="Z18" i="28"/>
  <c r="AA13" i="1" s="1"/>
  <c r="Z33" i="28"/>
  <c r="AC37" i="28"/>
  <c r="Y30" i="28"/>
  <c r="U42" i="28"/>
  <c r="AG53" i="28"/>
  <c r="P57" i="28"/>
  <c r="I33" i="28"/>
  <c r="P36" i="31"/>
  <c r="AD34" i="31"/>
  <c r="AE34" i="31" s="1"/>
  <c r="AG34" i="31"/>
  <c r="AD14" i="33"/>
  <c r="AE36" i="34"/>
  <c r="AF36" i="34" s="1"/>
  <c r="AH36" i="34"/>
  <c r="AD23" i="37"/>
  <c r="AD19" i="41"/>
  <c r="AE19" i="41" s="1"/>
  <c r="AD39" i="41"/>
  <c r="AE39" i="41" s="1"/>
  <c r="AD40" i="41"/>
  <c r="AE40" i="41" s="1"/>
  <c r="AD24" i="42"/>
  <c r="AE24" i="42" s="1"/>
  <c r="AG114" i="21"/>
  <c r="Q27" i="22"/>
  <c r="Q81" i="22" s="1"/>
  <c r="Q82" i="22" s="1"/>
  <c r="U27" i="22"/>
  <c r="U81" i="22" s="1"/>
  <c r="U82" i="22" s="1"/>
  <c r="Y27" i="22"/>
  <c r="Y81" i="22" s="1"/>
  <c r="Y82" i="22" s="1"/>
  <c r="Q27" i="23"/>
  <c r="Q81" i="23" s="1"/>
  <c r="Q82" i="23" s="1"/>
  <c r="U27" i="23"/>
  <c r="U81" i="23" s="1"/>
  <c r="U82" i="23" s="1"/>
  <c r="Y27" i="23"/>
  <c r="Y81" i="23" s="1"/>
  <c r="Y82" i="23" s="1"/>
  <c r="R27" i="24"/>
  <c r="R81" i="24" s="1"/>
  <c r="R82" i="24" s="1"/>
  <c r="V27" i="24"/>
  <c r="V81" i="24" s="1"/>
  <c r="V82" i="24" s="1"/>
  <c r="Z27" i="24"/>
  <c r="Z81" i="24" s="1"/>
  <c r="Z82" i="24" s="1"/>
  <c r="P43" i="24"/>
  <c r="AG85" i="24"/>
  <c r="AG114" i="24"/>
  <c r="R27" i="25"/>
  <c r="R81" i="25" s="1"/>
  <c r="R82" i="25" s="1"/>
  <c r="V27" i="25"/>
  <c r="V81" i="25" s="1"/>
  <c r="V82" i="25" s="1"/>
  <c r="Z27" i="25"/>
  <c r="Z81" i="25" s="1"/>
  <c r="Z82" i="25" s="1"/>
  <c r="P43" i="25"/>
  <c r="AG85" i="25"/>
  <c r="AG114" i="25"/>
  <c r="F14" i="26"/>
  <c r="J14" i="26"/>
  <c r="N14" i="26"/>
  <c r="P12" i="26"/>
  <c r="Q98" i="26"/>
  <c r="U98" i="26"/>
  <c r="Y98" i="26"/>
  <c r="AD17" i="26"/>
  <c r="AE17" i="26" s="1"/>
  <c r="AD32" i="26"/>
  <c r="AE32" i="26" s="1"/>
  <c r="AG41" i="26"/>
  <c r="AC112" i="26"/>
  <c r="P122" i="26"/>
  <c r="AC133" i="26"/>
  <c r="H62" i="27"/>
  <c r="H63" i="27" s="1"/>
  <c r="P75" i="27"/>
  <c r="AD75" i="27" s="1"/>
  <c r="AE75" i="27" s="1"/>
  <c r="AD67" i="27"/>
  <c r="AE67" i="27" s="1"/>
  <c r="P77" i="27"/>
  <c r="AD77" i="27" s="1"/>
  <c r="AE77" i="27" s="1"/>
  <c r="AD69" i="27"/>
  <c r="AE69" i="27" s="1"/>
  <c r="G6" i="40"/>
  <c r="G6" i="39"/>
  <c r="G6" i="36"/>
  <c r="G6" i="34"/>
  <c r="G6" i="38"/>
  <c r="G6" i="37"/>
  <c r="G6" i="33"/>
  <c r="G6" i="35"/>
  <c r="G6" i="32"/>
  <c r="K6" i="40"/>
  <c r="K6" i="39"/>
  <c r="K6" i="36"/>
  <c r="K6" i="34"/>
  <c r="K6" i="33"/>
  <c r="K6" i="35"/>
  <c r="K6" i="32"/>
  <c r="O6" i="40"/>
  <c r="O6" i="39"/>
  <c r="O6" i="36"/>
  <c r="O6" i="34"/>
  <c r="O6" i="38"/>
  <c r="O6" i="37"/>
  <c r="O6" i="33"/>
  <c r="O6" i="35"/>
  <c r="O6" i="32"/>
  <c r="S6" i="40"/>
  <c r="S6" i="39"/>
  <c r="S6" i="36"/>
  <c r="S6" i="34"/>
  <c r="S6" i="33"/>
  <c r="S6" i="35"/>
  <c r="S6" i="32"/>
  <c r="W6" i="40"/>
  <c r="W6" i="39"/>
  <c r="W6" i="36"/>
  <c r="W6" i="34"/>
  <c r="W6" i="38"/>
  <c r="W6" i="37"/>
  <c r="W6" i="33"/>
  <c r="W6" i="35"/>
  <c r="W6" i="32"/>
  <c r="AA6" i="40"/>
  <c r="AA6" i="39"/>
  <c r="AA6" i="36"/>
  <c r="AA6" i="34"/>
  <c r="AA6" i="33"/>
  <c r="AA6" i="35"/>
  <c r="AA6" i="32"/>
  <c r="E7" i="40"/>
  <c r="E7" i="39"/>
  <c r="E7" i="36"/>
  <c r="E7" i="34"/>
  <c r="E7" i="38"/>
  <c r="E7" i="37"/>
  <c r="E7" i="33"/>
  <c r="E7" i="35"/>
  <c r="E7" i="32"/>
  <c r="I7" i="40"/>
  <c r="I7" i="39"/>
  <c r="I7" i="36"/>
  <c r="I7" i="34"/>
  <c r="I7" i="33"/>
  <c r="I7" i="35"/>
  <c r="I7" i="32"/>
  <c r="M7" i="40"/>
  <c r="M7" i="39"/>
  <c r="M7" i="36"/>
  <c r="M7" i="34"/>
  <c r="M7" i="38"/>
  <c r="M7" i="37"/>
  <c r="M7" i="33"/>
  <c r="M7" i="35"/>
  <c r="M7" i="32"/>
  <c r="Q7" i="40"/>
  <c r="Q7" i="39"/>
  <c r="Q7" i="36"/>
  <c r="Q7" i="34"/>
  <c r="Q7" i="33"/>
  <c r="Q7" i="35"/>
  <c r="Q7" i="32"/>
  <c r="U7" i="40"/>
  <c r="U7" i="39"/>
  <c r="U7" i="36"/>
  <c r="U7" i="34"/>
  <c r="U7" i="38"/>
  <c r="U7" i="37"/>
  <c r="U7" i="33"/>
  <c r="U7" i="35"/>
  <c r="U7" i="32"/>
  <c r="Y7" i="40"/>
  <c r="Y7" i="39"/>
  <c r="Y7" i="36"/>
  <c r="Y7" i="34"/>
  <c r="Y7" i="33"/>
  <c r="Y7" i="35"/>
  <c r="Y7" i="32"/>
  <c r="AC7" i="40"/>
  <c r="AC7" i="39"/>
  <c r="AC7" i="36"/>
  <c r="AC7" i="34"/>
  <c r="AC7" i="38"/>
  <c r="AC7" i="37"/>
  <c r="AC7" i="33"/>
  <c r="AC7" i="35"/>
  <c r="AC7" i="32"/>
  <c r="F18" i="28"/>
  <c r="G13" i="1" s="1"/>
  <c r="F33" i="28"/>
  <c r="J18" i="28"/>
  <c r="K13" i="1" s="1"/>
  <c r="J33" i="28"/>
  <c r="N18" i="28"/>
  <c r="O13" i="1" s="1"/>
  <c r="N33" i="28"/>
  <c r="P13" i="28"/>
  <c r="Q38" i="28"/>
  <c r="AC16" i="28"/>
  <c r="R41" i="28"/>
  <c r="V41" i="28"/>
  <c r="Z41" i="28"/>
  <c r="S18" i="28"/>
  <c r="T13" i="1" s="1"/>
  <c r="AA18" i="28"/>
  <c r="AB13" i="1" s="1"/>
  <c r="S30" i="28"/>
  <c r="W30" i="28"/>
  <c r="AA30" i="28"/>
  <c r="AC28" i="28"/>
  <c r="P46" i="28"/>
  <c r="P50" i="28"/>
  <c r="Q55" i="28"/>
  <c r="U55" i="28"/>
  <c r="U77" i="28" s="1"/>
  <c r="V20" i="1" s="1"/>
  <c r="Y55" i="28"/>
  <c r="Y77" i="28" s="1"/>
  <c r="AC51" i="28"/>
  <c r="AC55" i="28" s="1"/>
  <c r="Q65" i="28"/>
  <c r="U65" i="28"/>
  <c r="Y65" i="28"/>
  <c r="AC69" i="28"/>
  <c r="AD69" i="28" s="1"/>
  <c r="AE69" i="28" s="1"/>
  <c r="P74" i="28"/>
  <c r="AC74" i="28"/>
  <c r="F6" i="31"/>
  <c r="V6" i="31"/>
  <c r="L7" i="31"/>
  <c r="AB7" i="31"/>
  <c r="G29" i="31"/>
  <c r="H29" i="31"/>
  <c r="AD12" i="32"/>
  <c r="AE9" i="32"/>
  <c r="AE11" i="32"/>
  <c r="AF11" i="32" s="1"/>
  <c r="Q12" i="32"/>
  <c r="S33" i="32"/>
  <c r="Q14" i="32"/>
  <c r="AH14" i="32" s="1"/>
  <c r="Q77" i="32"/>
  <c r="Q17" i="33"/>
  <c r="AD38" i="33"/>
  <c r="AE37" i="33"/>
  <c r="AF37" i="33" s="1"/>
  <c r="AH49" i="33"/>
  <c r="AD66" i="33"/>
  <c r="AE66" i="33" s="1"/>
  <c r="AF66" i="33" s="1"/>
  <c r="X45" i="34"/>
  <c r="AD22" i="34"/>
  <c r="AC25" i="28"/>
  <c r="AD39" i="35"/>
  <c r="AD46" i="35"/>
  <c r="AE44" i="35"/>
  <c r="AF44" i="35" s="1"/>
  <c r="Q18" i="35"/>
  <c r="AH18" i="35" s="1"/>
  <c r="AE53" i="35"/>
  <c r="AF53" i="35" s="1"/>
  <c r="Y27" i="36"/>
  <c r="AE46" i="36"/>
  <c r="AF46" i="36" s="1"/>
  <c r="AH46" i="36"/>
  <c r="AD12" i="36"/>
  <c r="S6" i="37"/>
  <c r="Y7" i="37"/>
  <c r="AD47" i="37"/>
  <c r="AE39" i="37"/>
  <c r="AF39" i="37" s="1"/>
  <c r="K6" i="38"/>
  <c r="Q7" i="38"/>
  <c r="Q38" i="38"/>
  <c r="AH38" i="38" s="1"/>
  <c r="AH33" i="38"/>
  <c r="F25" i="38"/>
  <c r="AE117" i="38"/>
  <c r="AE115" i="38"/>
  <c r="S113" i="38"/>
  <c r="AE107" i="38"/>
  <c r="S105" i="38"/>
  <c r="AE99" i="38"/>
  <c r="S97" i="38"/>
  <c r="AE91" i="38"/>
  <c r="S89" i="38"/>
  <c r="AE83" i="38"/>
  <c r="S81" i="38"/>
  <c r="AE75" i="38"/>
  <c r="S73" i="38"/>
  <c r="AD14" i="41"/>
  <c r="AE14" i="41" s="1"/>
  <c r="P20" i="41"/>
  <c r="AG20" i="41" s="1"/>
  <c r="AD25" i="41"/>
  <c r="AE25" i="41" s="1"/>
  <c r="P32" i="41"/>
  <c r="AG32" i="41" s="1"/>
  <c r="T83" i="41"/>
  <c r="T9" i="41" s="1"/>
  <c r="D12" i="41"/>
  <c r="H12" i="41"/>
  <c r="L12" i="41"/>
  <c r="P12" i="44"/>
  <c r="P12" i="45"/>
  <c r="AG125" i="22"/>
  <c r="AG114" i="23"/>
  <c r="P11" i="26"/>
  <c r="R81" i="26"/>
  <c r="R82" i="26" s="1"/>
  <c r="V81" i="26"/>
  <c r="V82" i="26" s="1"/>
  <c r="Z81" i="26"/>
  <c r="Z82" i="26" s="1"/>
  <c r="AC22" i="26"/>
  <c r="P43" i="26"/>
  <c r="AD48" i="26"/>
  <c r="AE48" i="26" s="1"/>
  <c r="AD56" i="26"/>
  <c r="AE56" i="26" s="1"/>
  <c r="AD64" i="26"/>
  <c r="AE64" i="26" s="1"/>
  <c r="AD103" i="26"/>
  <c r="AE103" i="26" s="1"/>
  <c r="AD111" i="26"/>
  <c r="AE111" i="26" s="1"/>
  <c r="AD119" i="26"/>
  <c r="AE119" i="26" s="1"/>
  <c r="H6" i="40"/>
  <c r="H6" i="39"/>
  <c r="H6" i="38"/>
  <c r="H6" i="37"/>
  <c r="H6" i="33"/>
  <c r="H6" i="35"/>
  <c r="H6" i="32"/>
  <c r="G6" i="31"/>
  <c r="L6" i="40"/>
  <c r="L6" i="39"/>
  <c r="L6" i="38"/>
  <c r="L6" i="37"/>
  <c r="L6" i="33"/>
  <c r="L6" i="35"/>
  <c r="L6" i="32"/>
  <c r="K6" i="31"/>
  <c r="P6" i="40"/>
  <c r="P6" i="39"/>
  <c r="P6" i="38"/>
  <c r="P6" i="37"/>
  <c r="P6" i="33"/>
  <c r="P6" i="35"/>
  <c r="P6" i="32"/>
  <c r="O6" i="31"/>
  <c r="T6" i="40"/>
  <c r="T6" i="39"/>
  <c r="T6" i="38"/>
  <c r="T6" i="37"/>
  <c r="T6" i="33"/>
  <c r="T6" i="35"/>
  <c r="T6" i="32"/>
  <c r="S6" i="31"/>
  <c r="X6" i="40"/>
  <c r="X6" i="39"/>
  <c r="X6" i="38"/>
  <c r="X6" i="37"/>
  <c r="X6" i="33"/>
  <c r="X6" i="35"/>
  <c r="X6" i="32"/>
  <c r="W6" i="31"/>
  <c r="AB6" i="40"/>
  <c r="AB6" i="39"/>
  <c r="AB6" i="38"/>
  <c r="AB6" i="37"/>
  <c r="AB6" i="33"/>
  <c r="AB6" i="35"/>
  <c r="AB6" i="32"/>
  <c r="AA6" i="31"/>
  <c r="F7" i="40"/>
  <c r="F7" i="39"/>
  <c r="F7" i="38"/>
  <c r="F7" i="37"/>
  <c r="F7" i="33"/>
  <c r="F7" i="35"/>
  <c r="F7" i="32"/>
  <c r="E7" i="31"/>
  <c r="J7" i="40"/>
  <c r="J7" i="39"/>
  <c r="J7" i="38"/>
  <c r="J7" i="37"/>
  <c r="J7" i="33"/>
  <c r="J7" i="35"/>
  <c r="J7" i="32"/>
  <c r="I7" i="31"/>
  <c r="N7" i="40"/>
  <c r="N7" i="39"/>
  <c r="N7" i="38"/>
  <c r="N7" i="37"/>
  <c r="N7" i="33"/>
  <c r="N7" i="35"/>
  <c r="N7" i="32"/>
  <c r="M7" i="31"/>
  <c r="R7" i="40"/>
  <c r="R7" i="39"/>
  <c r="R7" i="38"/>
  <c r="R7" i="37"/>
  <c r="R7" i="33"/>
  <c r="R7" i="35"/>
  <c r="R7" i="32"/>
  <c r="Q7" i="31"/>
  <c r="V7" i="40"/>
  <c r="V7" i="39"/>
  <c r="V7" i="38"/>
  <c r="V7" i="37"/>
  <c r="V7" i="33"/>
  <c r="V7" i="35"/>
  <c r="V7" i="32"/>
  <c r="U7" i="31"/>
  <c r="Z7" i="40"/>
  <c r="Z7" i="39"/>
  <c r="Z7" i="38"/>
  <c r="Z7" i="37"/>
  <c r="Z7" i="33"/>
  <c r="Z7" i="35"/>
  <c r="Z7" i="32"/>
  <c r="Y7" i="31"/>
  <c r="AD7" i="40"/>
  <c r="AD7" i="39"/>
  <c r="AD7" i="38"/>
  <c r="AD7" i="37"/>
  <c r="AD7" i="33"/>
  <c r="AD7" i="35"/>
  <c r="AD7" i="32"/>
  <c r="AC7" i="31"/>
  <c r="G33" i="28"/>
  <c r="R34" i="28"/>
  <c r="T35" i="28"/>
  <c r="X35" i="28"/>
  <c r="X42" i="28" s="1"/>
  <c r="AB35" i="28"/>
  <c r="V38" i="28"/>
  <c r="AC24" i="28"/>
  <c r="Q42" i="28"/>
  <c r="R36" i="28"/>
  <c r="R48" i="28"/>
  <c r="V48" i="28"/>
  <c r="Z48" i="28"/>
  <c r="AC53" i="28"/>
  <c r="AD53" i="28" s="1"/>
  <c r="AE53" i="28" s="1"/>
  <c r="F65" i="28"/>
  <c r="J65" i="28"/>
  <c r="N65" i="28"/>
  <c r="R65" i="28"/>
  <c r="V65" i="28"/>
  <c r="Z65" i="28"/>
  <c r="P58" i="28"/>
  <c r="AC58" i="28"/>
  <c r="AC61" i="28"/>
  <c r="AD61" i="28" s="1"/>
  <c r="AE61" i="28" s="1"/>
  <c r="P67" i="28"/>
  <c r="AC67" i="28"/>
  <c r="P70" i="28"/>
  <c r="AC70" i="28"/>
  <c r="T76" i="28"/>
  <c r="T77" i="28" s="1"/>
  <c r="X76" i="28"/>
  <c r="X77" i="28" s="1"/>
  <c r="AB76" i="28"/>
  <c r="P75" i="28"/>
  <c r="AC75" i="28"/>
  <c r="Q76" i="28"/>
  <c r="Q77" i="28" s="1"/>
  <c r="R20" i="1" s="1"/>
  <c r="J6" i="31"/>
  <c r="Z6" i="31"/>
  <c r="P7" i="31"/>
  <c r="G28" i="31"/>
  <c r="G21" i="28" s="1"/>
  <c r="K28" i="31"/>
  <c r="K21" i="28" s="1"/>
  <c r="O28" i="31"/>
  <c r="O21" i="28" s="1"/>
  <c r="AC12" i="31"/>
  <c r="AC53" i="31"/>
  <c r="AD53" i="31" s="1"/>
  <c r="AE53" i="31" s="1"/>
  <c r="P64" i="31"/>
  <c r="AG64" i="31" s="1"/>
  <c r="L29" i="31"/>
  <c r="Q17" i="32"/>
  <c r="AE17" i="32" s="1"/>
  <c r="AF17" i="32" s="1"/>
  <c r="U32" i="33"/>
  <c r="Y32" i="33"/>
  <c r="AC32" i="33"/>
  <c r="Q14" i="33"/>
  <c r="AH14" i="33" s="1"/>
  <c r="Q67" i="33"/>
  <c r="T6" i="34"/>
  <c r="J7" i="34"/>
  <c r="Z7" i="34"/>
  <c r="S45" i="34"/>
  <c r="AD20" i="34"/>
  <c r="AD45" i="34" s="1"/>
  <c r="AD46" i="34" s="1"/>
  <c r="AE19" i="34"/>
  <c r="AF19" i="34" s="1"/>
  <c r="Q26" i="34"/>
  <c r="AB45" i="34"/>
  <c r="Q51" i="34"/>
  <c r="AE49" i="34"/>
  <c r="AF49" i="34" s="1"/>
  <c r="G80" i="34"/>
  <c r="G22" i="34" s="1"/>
  <c r="Q22" i="34" s="1"/>
  <c r="AH22" i="34" s="1"/>
  <c r="K80" i="34"/>
  <c r="K22" i="34" s="1"/>
  <c r="O80" i="34"/>
  <c r="O22" i="34" s="1"/>
  <c r="Q58" i="34"/>
  <c r="AH58" i="34" s="1"/>
  <c r="AD79" i="34"/>
  <c r="AE79" i="34" s="1"/>
  <c r="AF79" i="34" s="1"/>
  <c r="AE11" i="35"/>
  <c r="AF11" i="35" s="1"/>
  <c r="AD11" i="35"/>
  <c r="U40" i="35"/>
  <c r="AE45" i="35"/>
  <c r="AF45" i="35" s="1"/>
  <c r="Q46" i="35"/>
  <c r="AE60" i="35"/>
  <c r="AF60" i="35" s="1"/>
  <c r="AD63" i="35"/>
  <c r="AE63" i="35" s="1"/>
  <c r="AF63" i="35" s="1"/>
  <c r="H6" i="36"/>
  <c r="X6" i="36"/>
  <c r="N7" i="36"/>
  <c r="AD7" i="36"/>
  <c r="Q15" i="36"/>
  <c r="AE15" i="36" s="1"/>
  <c r="AF15" i="36" s="1"/>
  <c r="AE18" i="36"/>
  <c r="AF18" i="36" s="1"/>
  <c r="AD62" i="36"/>
  <c r="AE57" i="36"/>
  <c r="AF57" i="36" s="1"/>
  <c r="AH57" i="36"/>
  <c r="AA6" i="37"/>
  <c r="T24" i="37"/>
  <c r="Q30" i="37"/>
  <c r="AH28" i="37"/>
  <c r="S6" i="38"/>
  <c r="Y7" i="38"/>
  <c r="AD24" i="38"/>
  <c r="E25" i="38"/>
  <c r="Q9" i="38"/>
  <c r="R9" i="38"/>
  <c r="Q81" i="28"/>
  <c r="Z9" i="38"/>
  <c r="Z25" i="38" s="1"/>
  <c r="Y81" i="28"/>
  <c r="N25" i="38"/>
  <c r="W46" i="41"/>
  <c r="P26" i="41"/>
  <c r="AG26" i="41" s="1"/>
  <c r="P34" i="41"/>
  <c r="AG34" i="41" s="1"/>
  <c r="AD35" i="41"/>
  <c r="AE35" i="41" s="1"/>
  <c r="AD44" i="41"/>
  <c r="AE44" i="41" s="1"/>
  <c r="AD57" i="41"/>
  <c r="AE57" i="41" s="1"/>
  <c r="AD64" i="41"/>
  <c r="AE64" i="41" s="1"/>
  <c r="AD76" i="41"/>
  <c r="AE76" i="41" s="1"/>
  <c r="AG82" i="45"/>
  <c r="R9" i="45"/>
  <c r="R47" i="45"/>
  <c r="V9" i="45"/>
  <c r="V47" i="45"/>
  <c r="AD15" i="52"/>
  <c r="AE15" i="52" s="1"/>
  <c r="AC61" i="27"/>
  <c r="AD61" i="27" s="1"/>
  <c r="AE61" i="27" s="1"/>
  <c r="AD66" i="27"/>
  <c r="AE66" i="27" s="1"/>
  <c r="AD68" i="27"/>
  <c r="AE68" i="27" s="1"/>
  <c r="AD70" i="27"/>
  <c r="AE70" i="27" s="1"/>
  <c r="P74" i="27"/>
  <c r="P76" i="27"/>
  <c r="AD76" i="27" s="1"/>
  <c r="AE76" i="27" s="1"/>
  <c r="P78" i="27"/>
  <c r="AD78" i="27" s="1"/>
  <c r="AE78" i="27" s="1"/>
  <c r="AC115" i="27"/>
  <c r="R115" i="27"/>
  <c r="R16" i="27" s="1"/>
  <c r="R62" i="27" s="1"/>
  <c r="R63" i="27" s="1"/>
  <c r="V115" i="27"/>
  <c r="V16" i="27" s="1"/>
  <c r="V62" i="27" s="1"/>
  <c r="V63" i="27" s="1"/>
  <c r="Z115" i="27"/>
  <c r="Z16" i="27" s="1"/>
  <c r="P114" i="27"/>
  <c r="P115" i="27" s="1"/>
  <c r="P16" i="27" s="1"/>
  <c r="P62" i="27" s="1"/>
  <c r="P9" i="28"/>
  <c r="AC9" i="28"/>
  <c r="U18" i="28"/>
  <c r="V13" i="1" s="1"/>
  <c r="Y18" i="28"/>
  <c r="Z13" i="1" s="1"/>
  <c r="V37" i="28"/>
  <c r="U39" i="28"/>
  <c r="Y39" i="28"/>
  <c r="Y42" i="28" s="1"/>
  <c r="P17" i="28"/>
  <c r="W18" i="28"/>
  <c r="X13" i="1" s="1"/>
  <c r="AC21" i="28"/>
  <c r="P29" i="28"/>
  <c r="AG29" i="28" s="1"/>
  <c r="AC29" i="28"/>
  <c r="F48" i="28"/>
  <c r="J48" i="28"/>
  <c r="N48" i="28"/>
  <c r="W77" i="28"/>
  <c r="P47" i="28"/>
  <c r="S55" i="28"/>
  <c r="S77" i="28" s="1"/>
  <c r="W55" i="28"/>
  <c r="AA55" i="28"/>
  <c r="AA77" i="28" s="1"/>
  <c r="P54" i="28"/>
  <c r="AC54" i="28"/>
  <c r="G65" i="28"/>
  <c r="K65" i="28"/>
  <c r="O65" i="28"/>
  <c r="S65" i="28"/>
  <c r="W65" i="28"/>
  <c r="AA65" i="28"/>
  <c r="P59" i="28"/>
  <c r="AC59" i="28"/>
  <c r="AD62" i="28"/>
  <c r="AE62" i="28" s="1"/>
  <c r="AG62" i="28"/>
  <c r="AC62" i="28"/>
  <c r="AC63" i="28"/>
  <c r="P68" i="28"/>
  <c r="R76" i="28"/>
  <c r="V76" i="28"/>
  <c r="Z76" i="28"/>
  <c r="AC71" i="28"/>
  <c r="N6" i="31"/>
  <c r="D7" i="31"/>
  <c r="T7" i="31"/>
  <c r="AD15" i="31"/>
  <c r="AE15" i="31" s="1"/>
  <c r="P28" i="31"/>
  <c r="AG15" i="31"/>
  <c r="AC28" i="31"/>
  <c r="P21" i="28"/>
  <c r="E65" i="31"/>
  <c r="E12" i="31" s="1"/>
  <c r="E29" i="31" s="1"/>
  <c r="I65" i="31"/>
  <c r="I12" i="31" s="1"/>
  <c r="I29" i="31" s="1"/>
  <c r="M65" i="31"/>
  <c r="M12" i="31" s="1"/>
  <c r="M29" i="31" s="1"/>
  <c r="AC64" i="31"/>
  <c r="AH11" i="32"/>
  <c r="U33" i="32"/>
  <c r="Y33" i="32"/>
  <c r="AC33" i="32"/>
  <c r="AH20" i="32"/>
  <c r="R68" i="32"/>
  <c r="R14" i="32" s="1"/>
  <c r="V68" i="32"/>
  <c r="V14" i="32" s="1"/>
  <c r="V33" i="32" s="1"/>
  <c r="Z68" i="32"/>
  <c r="Z14" i="32" s="1"/>
  <c r="Z33" i="32" s="1"/>
  <c r="AE39" i="32"/>
  <c r="AF39" i="32" s="1"/>
  <c r="AH55" i="32"/>
  <c r="Q67" i="32"/>
  <c r="AH67" i="32" s="1"/>
  <c r="AH62" i="32"/>
  <c r="AH9" i="33"/>
  <c r="Q12" i="33"/>
  <c r="AE9" i="33"/>
  <c r="AH19" i="33"/>
  <c r="AH38" i="33"/>
  <c r="AD45" i="33"/>
  <c r="AE40" i="33"/>
  <c r="AF40" i="33" s="1"/>
  <c r="AD55" i="33"/>
  <c r="AE55" i="33" s="1"/>
  <c r="AF55" i="33" s="1"/>
  <c r="H6" i="34"/>
  <c r="X6" i="34"/>
  <c r="N7" i="34"/>
  <c r="AD7" i="34"/>
  <c r="S36" i="28"/>
  <c r="S42" i="28" s="1"/>
  <c r="W36" i="28"/>
  <c r="AA36" i="28"/>
  <c r="AH32" i="34"/>
  <c r="AH28" i="35"/>
  <c r="AH36" i="35"/>
  <c r="Y40" i="35"/>
  <c r="T75" i="35"/>
  <c r="T18" i="35" s="1"/>
  <c r="T40" i="35" s="1"/>
  <c r="X75" i="35"/>
  <c r="X18" i="35" s="1"/>
  <c r="X40" i="35" s="1"/>
  <c r="AB75" i="35"/>
  <c r="AB18" i="35" s="1"/>
  <c r="AB40" i="35" s="1"/>
  <c r="AE56" i="35"/>
  <c r="AF56" i="35" s="1"/>
  <c r="AE71" i="35"/>
  <c r="AF71" i="35" s="1"/>
  <c r="L6" i="36"/>
  <c r="AB6" i="36"/>
  <c r="R7" i="36"/>
  <c r="S27" i="36"/>
  <c r="W27" i="36"/>
  <c r="AA27" i="36"/>
  <c r="AH31" i="36"/>
  <c r="Q12" i="36"/>
  <c r="AH12" i="36" s="1"/>
  <c r="AE33" i="36"/>
  <c r="AF33" i="36" s="1"/>
  <c r="I7" i="37"/>
  <c r="AD10" i="37"/>
  <c r="AE9" i="37"/>
  <c r="AE10" i="37" s="1"/>
  <c r="AF10" i="37" s="1"/>
  <c r="AE15" i="37"/>
  <c r="AF15" i="37" s="1"/>
  <c r="AA6" i="38"/>
  <c r="S9" i="38"/>
  <c r="S25" i="38" s="1"/>
  <c r="R81" i="28"/>
  <c r="AA9" i="38"/>
  <c r="AA25" i="38" s="1"/>
  <c r="Z81" i="28"/>
  <c r="J25" i="38"/>
  <c r="V9" i="38"/>
  <c r="V25" i="38" s="1"/>
  <c r="U81" i="28"/>
  <c r="AD16" i="40"/>
  <c r="AE16" i="40" s="1"/>
  <c r="AF16" i="40" s="1"/>
  <c r="AE15" i="40"/>
  <c r="AF15" i="40" s="1"/>
  <c r="D6" i="42"/>
  <c r="D6" i="45"/>
  <c r="D6" i="44"/>
  <c r="D6" i="43"/>
  <c r="D6" i="46"/>
  <c r="H6" i="42"/>
  <c r="H6" i="45"/>
  <c r="H6" i="44"/>
  <c r="H6" i="43"/>
  <c r="H6" i="46"/>
  <c r="L6" i="42"/>
  <c r="L6" i="45"/>
  <c r="L6" i="44"/>
  <c r="L6" i="43"/>
  <c r="L6" i="46"/>
  <c r="P6" i="42"/>
  <c r="P6" i="45"/>
  <c r="P6" i="44"/>
  <c r="P6" i="43"/>
  <c r="P6" i="46"/>
  <c r="T6" i="42"/>
  <c r="T6" i="45"/>
  <c r="T6" i="44"/>
  <c r="T6" i="43"/>
  <c r="T6" i="46"/>
  <c r="X6" i="42"/>
  <c r="X6" i="45"/>
  <c r="X6" i="44"/>
  <c r="X6" i="43"/>
  <c r="X6" i="46"/>
  <c r="AB6" i="46"/>
  <c r="AB6" i="42"/>
  <c r="AB6" i="45"/>
  <c r="AB6" i="44"/>
  <c r="AB6" i="43"/>
  <c r="F7" i="46"/>
  <c r="F7" i="42"/>
  <c r="F7" i="45"/>
  <c r="F7" i="44"/>
  <c r="F7" i="43"/>
  <c r="J7" i="46"/>
  <c r="J7" i="42"/>
  <c r="J7" i="45"/>
  <c r="J7" i="44"/>
  <c r="J7" i="43"/>
  <c r="N7" i="46"/>
  <c r="N7" i="42"/>
  <c r="N7" i="45"/>
  <c r="N7" i="44"/>
  <c r="N7" i="43"/>
  <c r="R7" i="46"/>
  <c r="R7" i="42"/>
  <c r="R7" i="45"/>
  <c r="R7" i="44"/>
  <c r="R7" i="43"/>
  <c r="V7" i="46"/>
  <c r="V7" i="42"/>
  <c r="V7" i="45"/>
  <c r="V7" i="44"/>
  <c r="V7" i="43"/>
  <c r="Z7" i="46"/>
  <c r="Z7" i="42"/>
  <c r="Z7" i="45"/>
  <c r="Z7" i="44"/>
  <c r="Z7" i="43"/>
  <c r="P52" i="41"/>
  <c r="X83" i="41"/>
  <c r="X9" i="41" s="1"/>
  <c r="AG76" i="42"/>
  <c r="P82" i="42"/>
  <c r="AD82" i="42" s="1"/>
  <c r="AE82" i="42" s="1"/>
  <c r="Q27" i="26"/>
  <c r="Q81" i="26" s="1"/>
  <c r="Q82" i="26" s="1"/>
  <c r="U27" i="26"/>
  <c r="U81" i="26" s="1"/>
  <c r="U82" i="26" s="1"/>
  <c r="Y27" i="26"/>
  <c r="Y81" i="26" s="1"/>
  <c r="Y82" i="26" s="1"/>
  <c r="P105" i="26"/>
  <c r="E6" i="38"/>
  <c r="E6" i="37"/>
  <c r="I6" i="38"/>
  <c r="I6" i="37"/>
  <c r="M6" i="38"/>
  <c r="M6" i="37"/>
  <c r="Q6" i="38"/>
  <c r="Q6" i="37"/>
  <c r="U6" i="38"/>
  <c r="U6" i="37"/>
  <c r="Y6" i="38"/>
  <c r="Y6" i="37"/>
  <c r="AC6" i="38"/>
  <c r="AC6" i="37"/>
  <c r="G7" i="38"/>
  <c r="G7" i="37"/>
  <c r="K7" i="38"/>
  <c r="K7" i="37"/>
  <c r="O7" i="38"/>
  <c r="O7" i="37"/>
  <c r="S7" i="38"/>
  <c r="S7" i="37"/>
  <c r="W7" i="38"/>
  <c r="W7" i="37"/>
  <c r="AA7" i="38"/>
  <c r="AA7" i="37"/>
  <c r="AC10" i="28"/>
  <c r="AC34" i="28" s="1"/>
  <c r="P11" i="28"/>
  <c r="AC14" i="28"/>
  <c r="AC38" i="28" s="1"/>
  <c r="P15" i="28"/>
  <c r="Q18" i="28"/>
  <c r="R13" i="1" s="1"/>
  <c r="AC57" i="28"/>
  <c r="AC65" i="28" s="1"/>
  <c r="AD17" i="31"/>
  <c r="AE17" i="31" s="1"/>
  <c r="AD21" i="31"/>
  <c r="AE21" i="31" s="1"/>
  <c r="AD25" i="31"/>
  <c r="AE25" i="31" s="1"/>
  <c r="AG27" i="31"/>
  <c r="AG35" i="31"/>
  <c r="AD32" i="32"/>
  <c r="AH48" i="32"/>
  <c r="F6" i="33"/>
  <c r="J6" i="33"/>
  <c r="N6" i="33"/>
  <c r="R6" i="33"/>
  <c r="V6" i="33"/>
  <c r="Z6" i="33"/>
  <c r="AD6" i="33"/>
  <c r="H7" i="33"/>
  <c r="L7" i="33"/>
  <c r="P7" i="33"/>
  <c r="T7" i="33"/>
  <c r="X7" i="33"/>
  <c r="AB7" i="33"/>
  <c r="AH11" i="33"/>
  <c r="E6" i="34"/>
  <c r="I6" i="34"/>
  <c r="M6" i="34"/>
  <c r="Q6" i="34"/>
  <c r="U6" i="34"/>
  <c r="Y6" i="34"/>
  <c r="AC6" i="34"/>
  <c r="G7" i="34"/>
  <c r="K7" i="34"/>
  <c r="O7" i="34"/>
  <c r="S7" i="34"/>
  <c r="W7" i="34"/>
  <c r="AA7" i="34"/>
  <c r="AH10" i="34"/>
  <c r="Q15" i="34"/>
  <c r="AD44" i="34"/>
  <c r="AH21" i="35"/>
  <c r="AH68" i="35"/>
  <c r="E6" i="36"/>
  <c r="I6" i="36"/>
  <c r="M6" i="36"/>
  <c r="Q6" i="36"/>
  <c r="U6" i="36"/>
  <c r="Y6" i="36"/>
  <c r="AC6" i="36"/>
  <c r="G7" i="36"/>
  <c r="K7" i="36"/>
  <c r="O7" i="36"/>
  <c r="S7" i="36"/>
  <c r="W7" i="36"/>
  <c r="AA7" i="36"/>
  <c r="Q10" i="36"/>
  <c r="Q40" i="36"/>
  <c r="AH40" i="36" s="1"/>
  <c r="AH35" i="36"/>
  <c r="AE37" i="36"/>
  <c r="AF37" i="36" s="1"/>
  <c r="F6" i="37"/>
  <c r="N6" i="37"/>
  <c r="V6" i="37"/>
  <c r="AD6" i="37"/>
  <c r="L7" i="37"/>
  <c r="T7" i="37"/>
  <c r="AB7" i="37"/>
  <c r="AE22" i="37"/>
  <c r="AF22" i="37" s="1"/>
  <c r="AD30" i="37"/>
  <c r="AE28" i="37"/>
  <c r="AF28" i="37" s="1"/>
  <c r="AE44" i="37"/>
  <c r="AF44" i="37" s="1"/>
  <c r="AE53" i="37"/>
  <c r="AF53" i="37" s="1"/>
  <c r="AE61" i="37"/>
  <c r="AF61" i="37" s="1"/>
  <c r="F6" i="38"/>
  <c r="N6" i="38"/>
  <c r="V6" i="38"/>
  <c r="AD6" i="38"/>
  <c r="L7" i="38"/>
  <c r="T7" i="38"/>
  <c r="AB7" i="38"/>
  <c r="AE15" i="38"/>
  <c r="AF15" i="38" s="1"/>
  <c r="AE23" i="38"/>
  <c r="AF23" i="38" s="1"/>
  <c r="Q31" i="38"/>
  <c r="AE30" i="38"/>
  <c r="AF30" i="38" s="1"/>
  <c r="AD38" i="38"/>
  <c r="AE41" i="38"/>
  <c r="AF41" i="38" s="1"/>
  <c r="Q48" i="38"/>
  <c r="AH48" i="38" s="1"/>
  <c r="AE56" i="38"/>
  <c r="AF56" i="38" s="1"/>
  <c r="AE77" i="38"/>
  <c r="AE85" i="38"/>
  <c r="AE93" i="38"/>
  <c r="AE101" i="38"/>
  <c r="AE109" i="38"/>
  <c r="E6" i="39"/>
  <c r="M6" i="39"/>
  <c r="U6" i="39"/>
  <c r="AC6" i="39"/>
  <c r="K7" i="39"/>
  <c r="S7" i="39"/>
  <c r="AA7" i="39"/>
  <c r="AH10" i="39"/>
  <c r="AE10" i="39"/>
  <c r="E6" i="40"/>
  <c r="M6" i="40"/>
  <c r="U6" i="40"/>
  <c r="AC6" i="40"/>
  <c r="K7" i="40"/>
  <c r="S7" i="40"/>
  <c r="AA7" i="40"/>
  <c r="E6" i="42"/>
  <c r="E6" i="45"/>
  <c r="E6" i="44"/>
  <c r="E6" i="43"/>
  <c r="E6" i="46"/>
  <c r="I6" i="42"/>
  <c r="I6" i="45"/>
  <c r="I6" i="44"/>
  <c r="I6" i="43"/>
  <c r="I6" i="46"/>
  <c r="M6" i="42"/>
  <c r="M6" i="45"/>
  <c r="M6" i="44"/>
  <c r="M6" i="43"/>
  <c r="M6" i="46"/>
  <c r="Q6" i="42"/>
  <c r="Q6" i="45"/>
  <c r="Q6" i="44"/>
  <c r="Q6" i="43"/>
  <c r="Q6" i="46"/>
  <c r="U6" i="42"/>
  <c r="U6" i="45"/>
  <c r="U6" i="44"/>
  <c r="U6" i="43"/>
  <c r="U6" i="46"/>
  <c r="Y6" i="42"/>
  <c r="Y6" i="45"/>
  <c r="Y6" i="44"/>
  <c r="Y6" i="43"/>
  <c r="Y6" i="46"/>
  <c r="AC6" i="42"/>
  <c r="AC6" i="45"/>
  <c r="AC6" i="44"/>
  <c r="AC6" i="43"/>
  <c r="AC6" i="46"/>
  <c r="G7" i="46"/>
  <c r="G7" i="42"/>
  <c r="G7" i="45"/>
  <c r="G7" i="44"/>
  <c r="G7" i="43"/>
  <c r="K7" i="42"/>
  <c r="K7" i="46"/>
  <c r="K7" i="45"/>
  <c r="K7" i="44"/>
  <c r="K7" i="43"/>
  <c r="O7" i="42"/>
  <c r="O7" i="45"/>
  <c r="O7" i="44"/>
  <c r="O7" i="43"/>
  <c r="O7" i="46"/>
  <c r="S7" i="42"/>
  <c r="S7" i="45"/>
  <c r="S7" i="44"/>
  <c r="S7" i="43"/>
  <c r="S7" i="46"/>
  <c r="W7" i="46"/>
  <c r="W7" i="42"/>
  <c r="W7" i="45"/>
  <c r="W7" i="44"/>
  <c r="W7" i="43"/>
  <c r="AA7" i="42"/>
  <c r="AA7" i="46"/>
  <c r="AA7" i="45"/>
  <c r="AA7" i="44"/>
  <c r="AA7" i="43"/>
  <c r="AC52" i="41"/>
  <c r="P64" i="41"/>
  <c r="AG64" i="41" s="1"/>
  <c r="AD69" i="41"/>
  <c r="AE69" i="41" s="1"/>
  <c r="S83" i="41"/>
  <c r="S9" i="41" s="1"/>
  <c r="D83" i="41"/>
  <c r="D9" i="41" s="1"/>
  <c r="P54" i="42"/>
  <c r="AG54" i="42" s="1"/>
  <c r="AG52" i="42"/>
  <c r="AD39" i="44"/>
  <c r="AE39" i="44" s="1"/>
  <c r="P54" i="44"/>
  <c r="AG54" i="44" s="1"/>
  <c r="AG52" i="44"/>
  <c r="AG82" i="44"/>
  <c r="F83" i="44"/>
  <c r="F9" i="44" s="1"/>
  <c r="P9" i="44" s="1"/>
  <c r="AG9" i="44" s="1"/>
  <c r="J83" i="44"/>
  <c r="J9" i="44" s="1"/>
  <c r="AA47" i="45"/>
  <c r="R47" i="46"/>
  <c r="V47" i="46"/>
  <c r="Z47" i="46"/>
  <c r="AD29" i="47"/>
  <c r="T43" i="47"/>
  <c r="F371" i="54"/>
  <c r="J371" i="54"/>
  <c r="N371" i="54"/>
  <c r="AG114" i="26"/>
  <c r="AC11" i="28"/>
  <c r="P12" i="28"/>
  <c r="AC15" i="28"/>
  <c r="AC39" i="28" s="1"/>
  <c r="P16" i="28"/>
  <c r="P71" i="28"/>
  <c r="D6" i="31"/>
  <c r="H6" i="31"/>
  <c r="L6" i="31"/>
  <c r="P6" i="31"/>
  <c r="T6" i="31"/>
  <c r="X6" i="31"/>
  <c r="AB6" i="31"/>
  <c r="F7" i="31"/>
  <c r="J7" i="31"/>
  <c r="N7" i="31"/>
  <c r="R7" i="31"/>
  <c r="V7" i="31"/>
  <c r="Z7" i="31"/>
  <c r="P24" i="31"/>
  <c r="AC43" i="31"/>
  <c r="AD43" i="31" s="1"/>
  <c r="AE43" i="31" s="1"/>
  <c r="AH41" i="32"/>
  <c r="AD56" i="32"/>
  <c r="AE56" i="32" s="1"/>
  <c r="AF56" i="32" s="1"/>
  <c r="AH47" i="33"/>
  <c r="F6" i="34"/>
  <c r="J6" i="34"/>
  <c r="N6" i="34"/>
  <c r="R6" i="34"/>
  <c r="V6" i="34"/>
  <c r="Z6" i="34"/>
  <c r="AD6" i="34"/>
  <c r="H7" i="34"/>
  <c r="L7" i="34"/>
  <c r="P7" i="34"/>
  <c r="T7" i="34"/>
  <c r="X7" i="34"/>
  <c r="AB7" i="34"/>
  <c r="AH54" i="34"/>
  <c r="AH73" i="34"/>
  <c r="Q22" i="35"/>
  <c r="AE48" i="35"/>
  <c r="AF48" i="35" s="1"/>
  <c r="AD74" i="35"/>
  <c r="AE74" i="35" s="1"/>
  <c r="AF74" i="35" s="1"/>
  <c r="F6" i="36"/>
  <c r="J6" i="36"/>
  <c r="N6" i="36"/>
  <c r="R6" i="36"/>
  <c r="V6" i="36"/>
  <c r="Z6" i="36"/>
  <c r="AD6" i="36"/>
  <c r="H7" i="36"/>
  <c r="L7" i="36"/>
  <c r="P7" i="36"/>
  <c r="T7" i="36"/>
  <c r="X7" i="36"/>
  <c r="AB7" i="36"/>
  <c r="AE31" i="36"/>
  <c r="AF31" i="36" s="1"/>
  <c r="AE45" i="36"/>
  <c r="AF45" i="36" s="1"/>
  <c r="Q50" i="36"/>
  <c r="AH50" i="36" s="1"/>
  <c r="Q61" i="36"/>
  <c r="AH61" i="36" s="1"/>
  <c r="AE56" i="36"/>
  <c r="AF56" i="36" s="1"/>
  <c r="AE19" i="37"/>
  <c r="AF19" i="37" s="1"/>
  <c r="U59" i="37"/>
  <c r="U12" i="37" s="1"/>
  <c r="U24" i="37" s="1"/>
  <c r="Y59" i="37"/>
  <c r="Y12" i="37" s="1"/>
  <c r="Y24" i="37" s="1"/>
  <c r="AC59" i="37"/>
  <c r="AC12" i="37" s="1"/>
  <c r="AC24" i="37" s="1"/>
  <c r="AE43" i="37"/>
  <c r="AF43" i="37" s="1"/>
  <c r="AD58" i="37"/>
  <c r="AE57" i="37"/>
  <c r="AF57" i="37" s="1"/>
  <c r="AE14" i="38"/>
  <c r="AF14" i="38" s="1"/>
  <c r="AE22" i="38"/>
  <c r="AF22" i="38" s="1"/>
  <c r="AD31" i="38"/>
  <c r="AE29" i="38"/>
  <c r="AF29" i="38" s="1"/>
  <c r="T60" i="38"/>
  <c r="X60" i="38"/>
  <c r="AB60" i="38"/>
  <c r="AE40" i="38"/>
  <c r="AF40" i="38" s="1"/>
  <c r="AD48" i="38"/>
  <c r="Q59" i="38"/>
  <c r="AH59" i="38" s="1"/>
  <c r="AE55" i="38"/>
  <c r="AF55" i="38" s="1"/>
  <c r="S72" i="38"/>
  <c r="AE74" i="38"/>
  <c r="S79" i="38"/>
  <c r="S80" i="38"/>
  <c r="AE82" i="38"/>
  <c r="S87" i="38"/>
  <c r="S88" i="38"/>
  <c r="AE90" i="38"/>
  <c r="S95" i="38"/>
  <c r="S96" i="38"/>
  <c r="AE98" i="38"/>
  <c r="S103" i="38"/>
  <c r="S104" i="38"/>
  <c r="AE106" i="38"/>
  <c r="S111" i="38"/>
  <c r="S112" i="38"/>
  <c r="AE114" i="38"/>
  <c r="F6" i="39"/>
  <c r="N6" i="39"/>
  <c r="V6" i="39"/>
  <c r="AD6" i="39"/>
  <c r="L7" i="39"/>
  <c r="T7" i="39"/>
  <c r="AB7" i="39"/>
  <c r="AD17" i="39"/>
  <c r="F6" i="40"/>
  <c r="N6" i="40"/>
  <c r="V6" i="40"/>
  <c r="AD6" i="40"/>
  <c r="L7" i="40"/>
  <c r="T7" i="40"/>
  <c r="AB7" i="40"/>
  <c r="S46" i="41"/>
  <c r="AA46" i="41"/>
  <c r="P13" i="41"/>
  <c r="AG13" i="41" s="1"/>
  <c r="AC13" i="41"/>
  <c r="P15" i="41"/>
  <c r="AG15" i="41" s="1"/>
  <c r="AC15" i="41"/>
  <c r="AD15" i="41" s="1"/>
  <c r="AE15" i="41" s="1"/>
  <c r="AC20" i="41"/>
  <c r="AD20" i="41" s="1"/>
  <c r="AE20" i="41" s="1"/>
  <c r="AC26" i="41"/>
  <c r="AD26" i="41" s="1"/>
  <c r="AE26" i="41" s="1"/>
  <c r="AC28" i="41"/>
  <c r="AD28" i="41" s="1"/>
  <c r="AE28" i="41" s="1"/>
  <c r="AC30" i="41"/>
  <c r="AC32" i="41"/>
  <c r="AD32" i="41" s="1"/>
  <c r="AE32" i="41" s="1"/>
  <c r="AC34" i="41"/>
  <c r="P38" i="41"/>
  <c r="AG38" i="41" s="1"/>
  <c r="P41" i="41"/>
  <c r="AG41" i="41" s="1"/>
  <c r="AC41" i="41"/>
  <c r="P43" i="41"/>
  <c r="AG43" i="41" s="1"/>
  <c r="AD53" i="41"/>
  <c r="AE53" i="41" s="1"/>
  <c r="P56" i="41"/>
  <c r="G82" i="41"/>
  <c r="G83" i="41" s="1"/>
  <c r="G9" i="41" s="1"/>
  <c r="K82" i="41"/>
  <c r="K83" i="41" s="1"/>
  <c r="K9" i="41" s="1"/>
  <c r="O82" i="41"/>
  <c r="O83" i="41" s="1"/>
  <c r="O9" i="41" s="1"/>
  <c r="H83" i="41"/>
  <c r="H9" i="41" s="1"/>
  <c r="AD54" i="42"/>
  <c r="AE54" i="42" s="1"/>
  <c r="P61" i="42"/>
  <c r="AG61" i="42" s="1"/>
  <c r="AG56" i="42"/>
  <c r="U9" i="42"/>
  <c r="U47" i="42"/>
  <c r="Y9" i="42"/>
  <c r="Y47" i="42"/>
  <c r="AD42" i="43"/>
  <c r="AE42" i="43" s="1"/>
  <c r="R47" i="43"/>
  <c r="V47" i="43"/>
  <c r="Z47" i="43"/>
  <c r="AD61" i="43"/>
  <c r="AE61" i="43" s="1"/>
  <c r="R47" i="44"/>
  <c r="AC47" i="44" s="1"/>
  <c r="V47" i="44"/>
  <c r="Z47" i="44"/>
  <c r="AD54" i="44"/>
  <c r="AE54" i="44" s="1"/>
  <c r="AC71" i="44"/>
  <c r="AC83" i="44" s="1"/>
  <c r="AD63" i="44"/>
  <c r="AE63" i="44" s="1"/>
  <c r="AD82" i="44"/>
  <c r="AE82" i="44" s="1"/>
  <c r="AC66" i="48"/>
  <c r="AD66" i="48" s="1"/>
  <c r="AE66" i="48" s="1"/>
  <c r="AD58" i="48"/>
  <c r="AE58" i="48" s="1"/>
  <c r="AC9" i="49"/>
  <c r="I6" i="31"/>
  <c r="Q6" i="31"/>
  <c r="Y6" i="31"/>
  <c r="G7" i="31"/>
  <c r="O7" i="31"/>
  <c r="W7" i="31"/>
  <c r="AG45" i="31"/>
  <c r="AG58" i="31"/>
  <c r="E6" i="32"/>
  <c r="I6" i="32"/>
  <c r="M6" i="32"/>
  <c r="Q6" i="32"/>
  <c r="U6" i="32"/>
  <c r="Y6" i="32"/>
  <c r="AC6" i="32"/>
  <c r="G7" i="32"/>
  <c r="K7" i="32"/>
  <c r="O7" i="32"/>
  <c r="S7" i="32"/>
  <c r="W7" i="32"/>
  <c r="AA7" i="32"/>
  <c r="AH61" i="32"/>
  <c r="AE53" i="34"/>
  <c r="AF53" i="34" s="1"/>
  <c r="E6" i="35"/>
  <c r="I6" i="35"/>
  <c r="M6" i="35"/>
  <c r="Q6" i="35"/>
  <c r="U6" i="35"/>
  <c r="Y6" i="35"/>
  <c r="AC6" i="35"/>
  <c r="G7" i="35"/>
  <c r="K7" i="35"/>
  <c r="O7" i="35"/>
  <c r="S7" i="35"/>
  <c r="W7" i="35"/>
  <c r="AA7" i="35"/>
  <c r="AH55" i="35"/>
  <c r="AE35" i="36"/>
  <c r="AF35" i="36" s="1"/>
  <c r="AE36" i="36"/>
  <c r="AF36" i="36" s="1"/>
  <c r="AD50" i="36"/>
  <c r="AE50" i="36" s="1"/>
  <c r="AF50" i="36" s="1"/>
  <c r="J6" i="37"/>
  <c r="R6" i="37"/>
  <c r="Z6" i="37"/>
  <c r="H7" i="37"/>
  <c r="P7" i="37"/>
  <c r="X7" i="37"/>
  <c r="S24" i="37"/>
  <c r="W24" i="37"/>
  <c r="AA24" i="37"/>
  <c r="Q15" i="37"/>
  <c r="AE18" i="37"/>
  <c r="AF18" i="37" s="1"/>
  <c r="AE36" i="37"/>
  <c r="AF36" i="37" s="1"/>
  <c r="AE40" i="37"/>
  <c r="AF40" i="37" s="1"/>
  <c r="AE46" i="37"/>
  <c r="AF46" i="37" s="1"/>
  <c r="AE52" i="37"/>
  <c r="AF52" i="37" s="1"/>
  <c r="Q24" i="38"/>
  <c r="AH24" i="38" s="1"/>
  <c r="Q13" i="38"/>
  <c r="AE19" i="38"/>
  <c r="AF19" i="38" s="1"/>
  <c r="AH29" i="38"/>
  <c r="H60" i="38"/>
  <c r="H9" i="38" s="1"/>
  <c r="H25" i="38" s="1"/>
  <c r="L60" i="38"/>
  <c r="L9" i="38" s="1"/>
  <c r="L25" i="38" s="1"/>
  <c r="P60" i="38"/>
  <c r="P9" i="38" s="1"/>
  <c r="P25" i="38" s="1"/>
  <c r="U60" i="38"/>
  <c r="Y60" i="38"/>
  <c r="AC60" i="38"/>
  <c r="AE37" i="38"/>
  <c r="AF37" i="38" s="1"/>
  <c r="AE45" i="38"/>
  <c r="AF45" i="38" s="1"/>
  <c r="AD59" i="38"/>
  <c r="AE59" i="38" s="1"/>
  <c r="AF59" i="38" s="1"/>
  <c r="AE73" i="38"/>
  <c r="AE81" i="38"/>
  <c r="AE89" i="38"/>
  <c r="AE97" i="38"/>
  <c r="AE105" i="38"/>
  <c r="AE113" i="38"/>
  <c r="P118" i="38"/>
  <c r="I6" i="39"/>
  <c r="Q6" i="39"/>
  <c r="Y6" i="39"/>
  <c r="G7" i="39"/>
  <c r="O7" i="39"/>
  <c r="W7" i="39"/>
  <c r="AH9" i="39"/>
  <c r="AE9" i="39"/>
  <c r="AE11" i="39" s="1"/>
  <c r="AF11" i="39" s="1"/>
  <c r="Q11" i="39"/>
  <c r="U18" i="39"/>
  <c r="Y18" i="39"/>
  <c r="AC18" i="39"/>
  <c r="I6" i="40"/>
  <c r="Q6" i="40"/>
  <c r="Y6" i="40"/>
  <c r="G7" i="40"/>
  <c r="O7" i="40"/>
  <c r="W7" i="40"/>
  <c r="T46" i="41"/>
  <c r="X46" i="41"/>
  <c r="AB46" i="41"/>
  <c r="P60" i="41"/>
  <c r="AG60" i="41" s="1"/>
  <c r="AC66" i="41"/>
  <c r="AD66" i="41" s="1"/>
  <c r="AE66" i="41" s="1"/>
  <c r="L83" i="41"/>
  <c r="L9" i="41" s="1"/>
  <c r="AB83" i="41"/>
  <c r="AB9" i="41" s="1"/>
  <c r="AC46" i="42"/>
  <c r="Q47" i="42"/>
  <c r="AD20" i="43"/>
  <c r="AE20" i="43" s="1"/>
  <c r="AD58" i="43"/>
  <c r="AE58" i="43" s="1"/>
  <c r="K83" i="44"/>
  <c r="K9" i="44" s="1"/>
  <c r="O83" i="44"/>
  <c r="O9" i="44" s="1"/>
  <c r="P54" i="45"/>
  <c r="AG54" i="45" s="1"/>
  <c r="AG53" i="45"/>
  <c r="AD22" i="47"/>
  <c r="AE22" i="47" s="1"/>
  <c r="AD63" i="47"/>
  <c r="AE63" i="47" s="1"/>
  <c r="P98" i="51"/>
  <c r="AG89" i="51"/>
  <c r="AH9" i="37"/>
  <c r="AH12" i="38"/>
  <c r="AH53" i="38"/>
  <c r="F6" i="45"/>
  <c r="F6" i="44"/>
  <c r="F6" i="43"/>
  <c r="F6" i="46"/>
  <c r="J6" i="45"/>
  <c r="J6" i="44"/>
  <c r="J6" i="43"/>
  <c r="J6" i="46"/>
  <c r="N6" i="45"/>
  <c r="N6" i="44"/>
  <c r="N6" i="43"/>
  <c r="N6" i="46"/>
  <c r="R6" i="45"/>
  <c r="R6" i="44"/>
  <c r="R6" i="43"/>
  <c r="R6" i="46"/>
  <c r="V6" i="45"/>
  <c r="V6" i="44"/>
  <c r="V6" i="43"/>
  <c r="V6" i="46"/>
  <c r="Z6" i="45"/>
  <c r="Z6" i="44"/>
  <c r="Z6" i="43"/>
  <c r="Z6" i="46"/>
  <c r="D7" i="45"/>
  <c r="D7" i="44"/>
  <c r="D7" i="43"/>
  <c r="D7" i="46"/>
  <c r="H7" i="45"/>
  <c r="H7" i="44"/>
  <c r="H7" i="43"/>
  <c r="L7" i="46"/>
  <c r="L7" i="45"/>
  <c r="L7" i="44"/>
  <c r="L7" i="43"/>
  <c r="P7" i="45"/>
  <c r="P7" i="44"/>
  <c r="P7" i="43"/>
  <c r="P7" i="46"/>
  <c r="T7" i="45"/>
  <c r="T7" i="44"/>
  <c r="T7" i="43"/>
  <c r="T7" i="46"/>
  <c r="X7" i="45"/>
  <c r="X7" i="44"/>
  <c r="X7" i="43"/>
  <c r="AB7" i="46"/>
  <c r="AB7" i="45"/>
  <c r="AB7" i="44"/>
  <c r="AB7" i="43"/>
  <c r="Q46" i="41"/>
  <c r="U46" i="41"/>
  <c r="Y46" i="41"/>
  <c r="AC12" i="41"/>
  <c r="AC45" i="41"/>
  <c r="E61" i="41"/>
  <c r="I61" i="41"/>
  <c r="M61" i="41"/>
  <c r="Q61" i="41"/>
  <c r="U61" i="41"/>
  <c r="Y61" i="41"/>
  <c r="AC56" i="41"/>
  <c r="P63" i="41"/>
  <c r="Q71" i="41"/>
  <c r="U71" i="41"/>
  <c r="Y71" i="41"/>
  <c r="AC63" i="41"/>
  <c r="Q82" i="41"/>
  <c r="U82" i="41"/>
  <c r="U83" i="41" s="1"/>
  <c r="U9" i="41" s="1"/>
  <c r="Y82" i="41"/>
  <c r="AC73" i="41"/>
  <c r="P77" i="41"/>
  <c r="AG77" i="41" s="1"/>
  <c r="AC77" i="41"/>
  <c r="AD77" i="41" s="1"/>
  <c r="AE77" i="41" s="1"/>
  <c r="P90" i="41"/>
  <c r="P93" i="41" s="1"/>
  <c r="P91" i="41"/>
  <c r="R6" i="42"/>
  <c r="H7" i="42"/>
  <c r="X7" i="42"/>
  <c r="AD39" i="42"/>
  <c r="AE39" i="42" s="1"/>
  <c r="AC71" i="42"/>
  <c r="AD63" i="42"/>
  <c r="AE63" i="42" s="1"/>
  <c r="AC83" i="42"/>
  <c r="AD76" i="42"/>
  <c r="AE76" i="42" s="1"/>
  <c r="F83" i="42"/>
  <c r="F9" i="42" s="1"/>
  <c r="P9" i="42" s="1"/>
  <c r="AG9" i="42" s="1"/>
  <c r="J83" i="42"/>
  <c r="J9" i="42" s="1"/>
  <c r="N83" i="42"/>
  <c r="N9" i="42" s="1"/>
  <c r="R83" i="42"/>
  <c r="R9" i="42" s="1"/>
  <c r="AC9" i="42" s="1"/>
  <c r="V83" i="42"/>
  <c r="V9" i="42" s="1"/>
  <c r="Z83" i="42"/>
  <c r="Z9" i="42" s="1"/>
  <c r="P12" i="43"/>
  <c r="P24" i="43"/>
  <c r="T47" i="43"/>
  <c r="X47" i="43"/>
  <c r="M7" i="44"/>
  <c r="AC7" i="44"/>
  <c r="AD14" i="44"/>
  <c r="AE14" i="44" s="1"/>
  <c r="AD25" i="44"/>
  <c r="AE25" i="44" s="1"/>
  <c r="AD32" i="44"/>
  <c r="AE32" i="44" s="1"/>
  <c r="S47" i="44"/>
  <c r="W47" i="44"/>
  <c r="AA47" i="44"/>
  <c r="Y47" i="44"/>
  <c r="AG56" i="44"/>
  <c r="P71" i="44"/>
  <c r="AG71" i="44" s="1"/>
  <c r="AD68" i="44"/>
  <c r="AE68" i="44" s="1"/>
  <c r="AG76" i="44"/>
  <c r="AC46" i="45"/>
  <c r="AD26" i="45"/>
  <c r="AE26" i="45" s="1"/>
  <c r="AD45" i="45"/>
  <c r="AE45" i="45" s="1"/>
  <c r="T47" i="45"/>
  <c r="X47" i="45"/>
  <c r="AB47" i="45"/>
  <c r="AD53" i="45"/>
  <c r="AE53" i="45" s="1"/>
  <c r="AG57" i="45"/>
  <c r="AC71" i="45"/>
  <c r="AD71" i="45" s="1"/>
  <c r="AE71" i="45" s="1"/>
  <c r="AD64" i="45"/>
  <c r="AE64" i="45" s="1"/>
  <c r="G83" i="45"/>
  <c r="G9" i="45" s="1"/>
  <c r="P9" i="45" s="1"/>
  <c r="AG9" i="45" s="1"/>
  <c r="K83" i="45"/>
  <c r="K9" i="45" s="1"/>
  <c r="O83" i="45"/>
  <c r="O9" i="45" s="1"/>
  <c r="S83" i="45"/>
  <c r="S9" i="45" s="1"/>
  <c r="W83" i="45"/>
  <c r="W9" i="45" s="1"/>
  <c r="AA83" i="45"/>
  <c r="AA9" i="45" s="1"/>
  <c r="AD24" i="46"/>
  <c r="AE24" i="46" s="1"/>
  <c r="AC83" i="46"/>
  <c r="AD82" i="46"/>
  <c r="AE82" i="46" s="1"/>
  <c r="AD65" i="47"/>
  <c r="AD69" i="47"/>
  <c r="AD69" i="49"/>
  <c r="AC77" i="49"/>
  <c r="AD19" i="50"/>
  <c r="AE19" i="50" s="1"/>
  <c r="S9" i="51"/>
  <c r="T33" i="1" s="1"/>
  <c r="S64" i="51"/>
  <c r="AA9" i="51"/>
  <c r="AB33" i="1" s="1"/>
  <c r="AA64" i="51"/>
  <c r="AH55" i="36"/>
  <c r="AE32" i="37"/>
  <c r="AF32" i="37" s="1"/>
  <c r="AE33" i="38"/>
  <c r="AF33" i="38" s="1"/>
  <c r="R117" i="38"/>
  <c r="S117" i="38" s="1"/>
  <c r="G6" i="46"/>
  <c r="G6" i="42"/>
  <c r="K6" i="46"/>
  <c r="K6" i="42"/>
  <c r="O6" i="46"/>
  <c r="O6" i="42"/>
  <c r="S6" i="46"/>
  <c r="S6" i="42"/>
  <c r="W6" i="46"/>
  <c r="W6" i="42"/>
  <c r="AA6" i="46"/>
  <c r="AA6" i="42"/>
  <c r="E7" i="46"/>
  <c r="E7" i="42"/>
  <c r="I7" i="46"/>
  <c r="I7" i="42"/>
  <c r="Q7" i="46"/>
  <c r="Q7" i="42"/>
  <c r="U7" i="46"/>
  <c r="U7" i="42"/>
  <c r="Y7" i="46"/>
  <c r="Y7" i="42"/>
  <c r="F61" i="41"/>
  <c r="F83" i="41" s="1"/>
  <c r="F9" i="41" s="1"/>
  <c r="J61" i="41"/>
  <c r="J83" i="41" s="1"/>
  <c r="J9" i="41" s="1"/>
  <c r="N61" i="41"/>
  <c r="N83" i="41" s="1"/>
  <c r="N9" i="41" s="1"/>
  <c r="R61" i="41"/>
  <c r="V61" i="41"/>
  <c r="Z61" i="41"/>
  <c r="P58" i="41"/>
  <c r="AG58" i="41" s="1"/>
  <c r="AC58" i="41"/>
  <c r="AD58" i="41" s="1"/>
  <c r="AE58" i="41" s="1"/>
  <c r="E71" i="41"/>
  <c r="I71" i="41"/>
  <c r="M71" i="41"/>
  <c r="R71" i="41"/>
  <c r="V71" i="41"/>
  <c r="Z71" i="41"/>
  <c r="P65" i="41"/>
  <c r="AG65" i="41" s="1"/>
  <c r="AC65" i="41"/>
  <c r="AD65" i="41" s="1"/>
  <c r="AE65" i="41" s="1"/>
  <c r="AC68" i="41"/>
  <c r="AD68" i="41" s="1"/>
  <c r="AE68" i="41" s="1"/>
  <c r="E82" i="41"/>
  <c r="I82" i="41"/>
  <c r="M82" i="41"/>
  <c r="M83" i="41" s="1"/>
  <c r="M9" i="41" s="1"/>
  <c r="R82" i="41"/>
  <c r="V82" i="41"/>
  <c r="Z82" i="41"/>
  <c r="Z83" i="41" s="1"/>
  <c r="Z9" i="41" s="1"/>
  <c r="AA30" i="1" s="1"/>
  <c r="P74" i="41"/>
  <c r="AG74" i="41" s="1"/>
  <c r="AC74" i="41"/>
  <c r="P78" i="41"/>
  <c r="AG78" i="41" s="1"/>
  <c r="AC78" i="41"/>
  <c r="AD78" i="41" s="1"/>
  <c r="AE78" i="41" s="1"/>
  <c r="AC81" i="41"/>
  <c r="F6" i="42"/>
  <c r="V6" i="42"/>
  <c r="L7" i="42"/>
  <c r="AB7" i="42"/>
  <c r="AD19" i="42"/>
  <c r="AE19" i="42" s="1"/>
  <c r="AD25" i="42"/>
  <c r="AE25" i="42" s="1"/>
  <c r="AD35" i="42"/>
  <c r="AE35" i="42" s="1"/>
  <c r="S47" i="42"/>
  <c r="W47" i="42"/>
  <c r="AA47" i="42"/>
  <c r="P71" i="42"/>
  <c r="AG71" i="42" s="1"/>
  <c r="AD68" i="42"/>
  <c r="AE68" i="42" s="1"/>
  <c r="S6" i="43"/>
  <c r="I7" i="43"/>
  <c r="Y7" i="43"/>
  <c r="AD12" i="43"/>
  <c r="AE12" i="43" s="1"/>
  <c r="AD26" i="43"/>
  <c r="AE26" i="43" s="1"/>
  <c r="AD41" i="43"/>
  <c r="Q47" i="43"/>
  <c r="U47" i="43"/>
  <c r="Y47" i="43"/>
  <c r="AC54" i="43"/>
  <c r="AD54" i="43" s="1"/>
  <c r="AE54" i="43" s="1"/>
  <c r="AD53" i="43"/>
  <c r="AE53" i="43" s="1"/>
  <c r="P61" i="43"/>
  <c r="AG61" i="43" s="1"/>
  <c r="P71" i="43"/>
  <c r="AG71" i="43" s="1"/>
  <c r="AC82" i="43"/>
  <c r="AD78" i="43"/>
  <c r="AE78" i="43" s="1"/>
  <c r="T83" i="43"/>
  <c r="T9" i="43" s="1"/>
  <c r="AC9" i="43" s="1"/>
  <c r="AD9" i="43" s="1"/>
  <c r="AE9" i="43" s="1"/>
  <c r="X83" i="43"/>
  <c r="X9" i="43" s="1"/>
  <c r="AB83" i="43"/>
  <c r="AB9" i="43" s="1"/>
  <c r="K6" i="44"/>
  <c r="AA6" i="44"/>
  <c r="Q7" i="44"/>
  <c r="AD20" i="44"/>
  <c r="AE20" i="44" s="1"/>
  <c r="AD36" i="44"/>
  <c r="AE36" i="44" s="1"/>
  <c r="AD64" i="44"/>
  <c r="AE64" i="44" s="1"/>
  <c r="G6" i="45"/>
  <c r="W6" i="45"/>
  <c r="M7" i="45"/>
  <c r="AC7" i="45"/>
  <c r="AD14" i="45"/>
  <c r="AE14" i="45" s="1"/>
  <c r="AD28" i="45"/>
  <c r="AE28" i="45" s="1"/>
  <c r="AC61" i="45"/>
  <c r="AD61" i="45" s="1"/>
  <c r="AE61" i="45" s="1"/>
  <c r="AD56" i="45"/>
  <c r="AE56" i="45" s="1"/>
  <c r="X7" i="46"/>
  <c r="P12" i="46"/>
  <c r="AC71" i="46"/>
  <c r="AD71" i="46" s="1"/>
  <c r="AE71" i="46" s="1"/>
  <c r="AD63" i="46"/>
  <c r="AE63" i="46" s="1"/>
  <c r="K83" i="46"/>
  <c r="K9" i="46" s="1"/>
  <c r="O83" i="46"/>
  <c r="O9" i="46" s="1"/>
  <c r="P9" i="46" s="1"/>
  <c r="AG9" i="46" s="1"/>
  <c r="AD36" i="47"/>
  <c r="AE36" i="47" s="1"/>
  <c r="AD54" i="47"/>
  <c r="AE54" i="47" s="1"/>
  <c r="E78" i="47"/>
  <c r="E9" i="47" s="1"/>
  <c r="R77" i="47"/>
  <c r="V77" i="47"/>
  <c r="V78" i="47" s="1"/>
  <c r="V9" i="47" s="1"/>
  <c r="Z77" i="47"/>
  <c r="AD47" i="48"/>
  <c r="AE47" i="48" s="1"/>
  <c r="AC49" i="48"/>
  <c r="AD49" i="48" s="1"/>
  <c r="AE49" i="48" s="1"/>
  <c r="AB43" i="50"/>
  <c r="AB9" i="50"/>
  <c r="R64" i="51"/>
  <c r="R9" i="51"/>
  <c r="S33" i="1" s="1"/>
  <c r="V64" i="51"/>
  <c r="V9" i="51"/>
  <c r="W33" i="1" s="1"/>
  <c r="Z64" i="51"/>
  <c r="Z9" i="51"/>
  <c r="AA33" i="1" s="1"/>
  <c r="AC9" i="44"/>
  <c r="K6" i="45"/>
  <c r="AA6" i="45"/>
  <c r="Q7" i="45"/>
  <c r="AC54" i="45"/>
  <c r="AD54" i="45" s="1"/>
  <c r="AE54" i="45" s="1"/>
  <c r="AD52" i="45"/>
  <c r="AE52" i="45" s="1"/>
  <c r="Q47" i="45"/>
  <c r="Q9" i="45"/>
  <c r="AC9" i="45" s="1"/>
  <c r="U47" i="45"/>
  <c r="U9" i="45"/>
  <c r="Y47" i="45"/>
  <c r="Y9" i="45"/>
  <c r="AC83" i="45"/>
  <c r="AD82" i="45"/>
  <c r="AE82" i="45" s="1"/>
  <c r="H7" i="46"/>
  <c r="AC7" i="46"/>
  <c r="AC9" i="46"/>
  <c r="AG12" i="47"/>
  <c r="AD41" i="47"/>
  <c r="AE41" i="47" s="1"/>
  <c r="W77" i="47"/>
  <c r="W78" i="47" s="1"/>
  <c r="W9" i="47" s="1"/>
  <c r="AA77" i="47"/>
  <c r="AA78" i="47" s="1"/>
  <c r="AA9" i="47" s="1"/>
  <c r="AD22" i="48"/>
  <c r="AE22" i="48" s="1"/>
  <c r="AG22" i="48"/>
  <c r="AD71" i="48"/>
  <c r="AE71" i="48" s="1"/>
  <c r="AC77" i="48"/>
  <c r="R78" i="48"/>
  <c r="V78" i="48"/>
  <c r="Z78" i="48"/>
  <c r="T43" i="49"/>
  <c r="AC56" i="49"/>
  <c r="AD56" i="49" s="1"/>
  <c r="AE56" i="49" s="1"/>
  <c r="AD51" i="49"/>
  <c r="AE51" i="49" s="1"/>
  <c r="AC56" i="50"/>
  <c r="AD51" i="50"/>
  <c r="AE51" i="50" s="1"/>
  <c r="T43" i="50"/>
  <c r="T9" i="50"/>
  <c r="AD68" i="50"/>
  <c r="AC77" i="50"/>
  <c r="AD98" i="51"/>
  <c r="AE98" i="51" s="1"/>
  <c r="AD46" i="53"/>
  <c r="AE46" i="53" s="1"/>
  <c r="P12" i="42"/>
  <c r="AG36" i="42"/>
  <c r="AG40" i="42"/>
  <c r="AG77" i="42"/>
  <c r="AG15" i="43"/>
  <c r="AG21" i="43"/>
  <c r="AG31" i="43"/>
  <c r="AG38" i="43"/>
  <c r="AG43" i="43"/>
  <c r="AC46" i="43"/>
  <c r="AG59" i="43"/>
  <c r="AG63" i="43"/>
  <c r="AG67" i="43"/>
  <c r="AG15" i="45"/>
  <c r="AG21" i="45"/>
  <c r="AG37" i="45"/>
  <c r="AG42" i="45"/>
  <c r="AG58" i="45"/>
  <c r="AG66" i="45"/>
  <c r="AG78" i="45"/>
  <c r="AC46" i="46"/>
  <c r="AD28" i="46"/>
  <c r="AE28" i="46" s="1"/>
  <c r="AD32" i="46"/>
  <c r="AE32" i="46" s="1"/>
  <c r="AD36" i="46"/>
  <c r="AE36" i="46" s="1"/>
  <c r="AD45" i="46"/>
  <c r="AE45" i="46" s="1"/>
  <c r="S47" i="46"/>
  <c r="W47" i="46"/>
  <c r="P71" i="46"/>
  <c r="AG71" i="46" s="1"/>
  <c r="AD68" i="46"/>
  <c r="AE68" i="46" s="1"/>
  <c r="G6" i="49"/>
  <c r="G6" i="48"/>
  <c r="K6" i="49"/>
  <c r="K6" i="48"/>
  <c r="O6" i="49"/>
  <c r="O6" i="48"/>
  <c r="S6" i="49"/>
  <c r="S6" i="48"/>
  <c r="W6" i="49"/>
  <c r="W6" i="48"/>
  <c r="AA6" i="49"/>
  <c r="AA6" i="48"/>
  <c r="E7" i="49"/>
  <c r="E7" i="48"/>
  <c r="I7" i="49"/>
  <c r="I7" i="48"/>
  <c r="M7" i="49"/>
  <c r="M7" i="48"/>
  <c r="Q7" i="49"/>
  <c r="Q7" i="48"/>
  <c r="U7" i="49"/>
  <c r="U7" i="48"/>
  <c r="Y7" i="49"/>
  <c r="Y7" i="48"/>
  <c r="AC7" i="49"/>
  <c r="AC7" i="48"/>
  <c r="Q43" i="47"/>
  <c r="U43" i="47"/>
  <c r="P20" i="47"/>
  <c r="AG20" i="47" s="1"/>
  <c r="AD20" i="47"/>
  <c r="AE20" i="47" s="1"/>
  <c r="P24" i="47"/>
  <c r="AG24" i="47" s="1"/>
  <c r="P30" i="47"/>
  <c r="AG30" i="47" s="1"/>
  <c r="AD30" i="47"/>
  <c r="P37" i="47"/>
  <c r="AG37" i="47" s="1"/>
  <c r="E56" i="47"/>
  <c r="M56" i="47"/>
  <c r="M78" i="47" s="1"/>
  <c r="M9" i="47" s="1"/>
  <c r="P58" i="47"/>
  <c r="AC61" i="47"/>
  <c r="AD61" i="47" s="1"/>
  <c r="AE61" i="47" s="1"/>
  <c r="P70" i="47"/>
  <c r="AG70" i="47" s="1"/>
  <c r="AC80" i="47"/>
  <c r="AD80" i="47" s="1"/>
  <c r="AE80" i="47" s="1"/>
  <c r="AD35" i="48"/>
  <c r="AE35" i="48" s="1"/>
  <c r="F78" i="48"/>
  <c r="F9" i="48" s="1"/>
  <c r="P9" i="48" s="1"/>
  <c r="AG9" i="48" s="1"/>
  <c r="J78" i="48"/>
  <c r="J9" i="48" s="1"/>
  <c r="N78" i="48"/>
  <c r="N9" i="48" s="1"/>
  <c r="AD16" i="49"/>
  <c r="AD26" i="49"/>
  <c r="AE26" i="49" s="1"/>
  <c r="AD38" i="49"/>
  <c r="AD40" i="49"/>
  <c r="AE40" i="49" s="1"/>
  <c r="AC49" i="49"/>
  <c r="AD47" i="49"/>
  <c r="AE47" i="49" s="1"/>
  <c r="AD60" i="49"/>
  <c r="AE60" i="49" s="1"/>
  <c r="AD64" i="49"/>
  <c r="AE64" i="49" s="1"/>
  <c r="K6" i="50"/>
  <c r="AA6" i="50"/>
  <c r="Q7" i="50"/>
  <c r="P19" i="50"/>
  <c r="AG19" i="50" s="1"/>
  <c r="E19" i="47"/>
  <c r="P25" i="47"/>
  <c r="AG25" i="47" s="1"/>
  <c r="P25" i="50"/>
  <c r="AG25" i="50" s="1"/>
  <c r="AG31" i="50"/>
  <c r="AD31" i="50"/>
  <c r="AD41" i="50"/>
  <c r="AE41" i="50" s="1"/>
  <c r="AG41" i="50"/>
  <c r="AC49" i="50"/>
  <c r="AD47" i="50"/>
  <c r="AE47" i="50" s="1"/>
  <c r="P13" i="51"/>
  <c r="AD20" i="51"/>
  <c r="AE20" i="51" s="1"/>
  <c r="AD25" i="51"/>
  <c r="AE25" i="51" s="1"/>
  <c r="AD31" i="51"/>
  <c r="AE31" i="51" s="1"/>
  <c r="AD36" i="51"/>
  <c r="AE36" i="51" s="1"/>
  <c r="AD40" i="51"/>
  <c r="AE40" i="51" s="1"/>
  <c r="AC77" i="51"/>
  <c r="AD77" i="51" s="1"/>
  <c r="AE77" i="51" s="1"/>
  <c r="AD95" i="51"/>
  <c r="AE95" i="51" s="1"/>
  <c r="F99" i="51"/>
  <c r="F9" i="51" s="1"/>
  <c r="P9" i="51" s="1"/>
  <c r="AG9" i="51" s="1"/>
  <c r="J99" i="51"/>
  <c r="J9" i="51" s="1"/>
  <c r="N99" i="51"/>
  <c r="N9" i="51" s="1"/>
  <c r="P15" i="52"/>
  <c r="F250" i="54"/>
  <c r="H197" i="54"/>
  <c r="AD52" i="42"/>
  <c r="AE52" i="42" s="1"/>
  <c r="AD56" i="42"/>
  <c r="AE56" i="42" s="1"/>
  <c r="AG56" i="43"/>
  <c r="P82" i="43"/>
  <c r="AD12" i="44"/>
  <c r="AE12" i="44" s="1"/>
  <c r="AD52" i="44"/>
  <c r="AE52" i="44" s="1"/>
  <c r="AD56" i="44"/>
  <c r="AE56" i="44" s="1"/>
  <c r="AD12" i="45"/>
  <c r="AE12" i="45" s="1"/>
  <c r="AG14" i="46"/>
  <c r="AD26" i="46"/>
  <c r="AE26" i="46" s="1"/>
  <c r="AD31" i="46"/>
  <c r="AE31" i="46" s="1"/>
  <c r="AD35" i="46"/>
  <c r="AE35" i="46" s="1"/>
  <c r="AD44" i="46"/>
  <c r="AE44" i="46" s="1"/>
  <c r="AD64" i="46"/>
  <c r="AE64" i="46" s="1"/>
  <c r="R42" i="47"/>
  <c r="V42" i="47"/>
  <c r="Z42" i="47"/>
  <c r="P13" i="47"/>
  <c r="AG13" i="47" s="1"/>
  <c r="AC13" i="47"/>
  <c r="P17" i="47"/>
  <c r="AG17" i="47" s="1"/>
  <c r="AC17" i="47"/>
  <c r="AD17" i="47" s="1"/>
  <c r="AE17" i="47" s="1"/>
  <c r="P21" i="47"/>
  <c r="AG21" i="47" s="1"/>
  <c r="AC21" i="47"/>
  <c r="P31" i="47"/>
  <c r="AG31" i="47" s="1"/>
  <c r="AC31" i="47"/>
  <c r="AD31" i="47" s="1"/>
  <c r="P35" i="47"/>
  <c r="AG35" i="47" s="1"/>
  <c r="P38" i="47"/>
  <c r="AG38" i="47" s="1"/>
  <c r="AC38" i="47"/>
  <c r="AC47" i="47"/>
  <c r="AC58" i="47"/>
  <c r="P65" i="47"/>
  <c r="AG65" i="47" s="1"/>
  <c r="T77" i="47"/>
  <c r="T78" i="47" s="1"/>
  <c r="T9" i="47" s="1"/>
  <c r="U31" i="1" s="1"/>
  <c r="X77" i="47"/>
  <c r="X78" i="47" s="1"/>
  <c r="X9" i="47" s="1"/>
  <c r="Y31" i="1" s="1"/>
  <c r="AB77" i="47"/>
  <c r="AB78" i="47" s="1"/>
  <c r="AB9" i="47" s="1"/>
  <c r="AC31" i="1" s="1"/>
  <c r="P71" i="47"/>
  <c r="AG71" i="47" s="1"/>
  <c r="AC71" i="47"/>
  <c r="AC74" i="47"/>
  <c r="AD74" i="47" s="1"/>
  <c r="AE74" i="47" s="1"/>
  <c r="P83" i="47"/>
  <c r="AD41" i="48"/>
  <c r="AE41" i="48" s="1"/>
  <c r="AC56" i="48"/>
  <c r="AD56" i="48" s="1"/>
  <c r="AE56" i="48" s="1"/>
  <c r="AD70" i="48"/>
  <c r="AD21" i="49"/>
  <c r="AE21" i="49" s="1"/>
  <c r="R43" i="49"/>
  <c r="V43" i="49"/>
  <c r="Z43" i="49"/>
  <c r="AD52" i="49"/>
  <c r="AE52" i="49" s="1"/>
  <c r="G78" i="49"/>
  <c r="G9" i="49" s="1"/>
  <c r="P9" i="49" s="1"/>
  <c r="AG9" i="49" s="1"/>
  <c r="K78" i="49"/>
  <c r="K9" i="49" s="1"/>
  <c r="O78" i="49"/>
  <c r="O9" i="49" s="1"/>
  <c r="AD72" i="49"/>
  <c r="AE72" i="49" s="1"/>
  <c r="O6" i="50"/>
  <c r="E7" i="50"/>
  <c r="U7" i="50"/>
  <c r="P12" i="50"/>
  <c r="AC42" i="50"/>
  <c r="AD20" i="50"/>
  <c r="AE20" i="50" s="1"/>
  <c r="AD29" i="50"/>
  <c r="U43" i="50"/>
  <c r="AD52" i="50"/>
  <c r="AE52" i="50" s="1"/>
  <c r="AC66" i="50"/>
  <c r="E78" i="50"/>
  <c r="E9" i="50" s="1"/>
  <c r="M78" i="50"/>
  <c r="M9" i="50" s="1"/>
  <c r="P43" i="51"/>
  <c r="AG43" i="51" s="1"/>
  <c r="AD49" i="51"/>
  <c r="AE49" i="51" s="1"/>
  <c r="AD53" i="51"/>
  <c r="T64" i="51"/>
  <c r="AD75" i="51"/>
  <c r="AE75" i="51" s="1"/>
  <c r="AC87" i="51"/>
  <c r="AD87" i="51" s="1"/>
  <c r="AE87" i="51" s="1"/>
  <c r="P12" i="53"/>
  <c r="AD39" i="53"/>
  <c r="AE39" i="53" s="1"/>
  <c r="AG39" i="53"/>
  <c r="Q103" i="53"/>
  <c r="AD105" i="53"/>
  <c r="S105" i="53"/>
  <c r="Q109" i="53"/>
  <c r="AD109" i="53"/>
  <c r="S112" i="53"/>
  <c r="AD112" i="53"/>
  <c r="Q112" i="53"/>
  <c r="AD12" i="42"/>
  <c r="AE12" i="42" s="1"/>
  <c r="AD63" i="43"/>
  <c r="AE63" i="43" s="1"/>
  <c r="AG74" i="45"/>
  <c r="AG64" i="46"/>
  <c r="S42" i="47"/>
  <c r="W42" i="47"/>
  <c r="AA42" i="47"/>
  <c r="AC14" i="47"/>
  <c r="AD14" i="47" s="1"/>
  <c r="P18" i="47"/>
  <c r="AG18" i="47" s="1"/>
  <c r="P22" i="47"/>
  <c r="AG22" i="47" s="1"/>
  <c r="AC25" i="47"/>
  <c r="AD25" i="47" s="1"/>
  <c r="AE25" i="47" s="1"/>
  <c r="AD28" i="47"/>
  <c r="AE28" i="47" s="1"/>
  <c r="AC32" i="47"/>
  <c r="AD32" i="47" s="1"/>
  <c r="AE32" i="47" s="1"/>
  <c r="P39" i="47"/>
  <c r="AG39" i="47" s="1"/>
  <c r="AC39" i="47"/>
  <c r="AD39" i="47" s="1"/>
  <c r="AC40" i="47"/>
  <c r="R49" i="47"/>
  <c r="V49" i="47"/>
  <c r="Z49" i="47"/>
  <c r="P48" i="47"/>
  <c r="AG48" i="47" s="1"/>
  <c r="AC48" i="47"/>
  <c r="F66" i="47"/>
  <c r="J66" i="47"/>
  <c r="N66" i="47"/>
  <c r="R66" i="47"/>
  <c r="V66" i="47"/>
  <c r="Z66" i="47"/>
  <c r="P59" i="47"/>
  <c r="AG59" i="47" s="1"/>
  <c r="AC59" i="47"/>
  <c r="AC62" i="47"/>
  <c r="AD62" i="47" s="1"/>
  <c r="AE62" i="47" s="1"/>
  <c r="D77" i="47"/>
  <c r="H77" i="47"/>
  <c r="L77" i="47"/>
  <c r="Q77" i="47"/>
  <c r="Q78" i="47" s="1"/>
  <c r="Q9" i="47" s="1"/>
  <c r="U77" i="47"/>
  <c r="U78" i="47" s="1"/>
  <c r="U9" i="47" s="1"/>
  <c r="V31" i="1" s="1"/>
  <c r="Y77" i="47"/>
  <c r="Y78" i="47" s="1"/>
  <c r="Y9" i="47" s="1"/>
  <c r="Z31" i="1" s="1"/>
  <c r="P72" i="47"/>
  <c r="AG72" i="47" s="1"/>
  <c r="AC72" i="47"/>
  <c r="E265" i="53"/>
  <c r="I265" i="53"/>
  <c r="M265" i="53"/>
  <c r="AG18" i="48"/>
  <c r="AD34" i="48"/>
  <c r="Q43" i="48"/>
  <c r="U43" i="48"/>
  <c r="Y43" i="48"/>
  <c r="S43" i="49"/>
  <c r="W43" i="49"/>
  <c r="AA43" i="49"/>
  <c r="S6" i="50"/>
  <c r="I7" i="50"/>
  <c r="Y7" i="50"/>
  <c r="AG30" i="50"/>
  <c r="AD30" i="50"/>
  <c r="Y43" i="50"/>
  <c r="S78" i="50"/>
  <c r="S9" i="50" s="1"/>
  <c r="W78" i="50"/>
  <c r="W9" i="50" s="1"/>
  <c r="AA78" i="50"/>
  <c r="AA9" i="50" s="1"/>
  <c r="X43" i="50"/>
  <c r="X9" i="50"/>
  <c r="AC9" i="50" s="1"/>
  <c r="Q64" i="51"/>
  <c r="Q99" i="51"/>
  <c r="Q9" i="51" s="1"/>
  <c r="U99" i="51"/>
  <c r="U9" i="51" s="1"/>
  <c r="V33" i="1" s="1"/>
  <c r="Y99" i="51"/>
  <c r="Y9" i="51" s="1"/>
  <c r="Z33" i="1" s="1"/>
  <c r="AD101" i="53"/>
  <c r="S101" i="53"/>
  <c r="AG77" i="46"/>
  <c r="AC12" i="47"/>
  <c r="P47" i="47"/>
  <c r="P51" i="47"/>
  <c r="P68" i="47"/>
  <c r="G371" i="54"/>
  <c r="K371" i="54"/>
  <c r="O371" i="54"/>
  <c r="F265" i="53"/>
  <c r="J265" i="53"/>
  <c r="N265" i="53"/>
  <c r="AG12" i="48"/>
  <c r="F6" i="49"/>
  <c r="J6" i="49"/>
  <c r="N6" i="49"/>
  <c r="R6" i="49"/>
  <c r="V6" i="49"/>
  <c r="Z6" i="49"/>
  <c r="D7" i="49"/>
  <c r="H7" i="49"/>
  <c r="L7" i="49"/>
  <c r="P7" i="49"/>
  <c r="T7" i="49"/>
  <c r="X7" i="49"/>
  <c r="AB7" i="49"/>
  <c r="AG18" i="49"/>
  <c r="AG35" i="49"/>
  <c r="AG41" i="49"/>
  <c r="P49" i="49"/>
  <c r="AG49" i="49" s="1"/>
  <c r="P66" i="49"/>
  <c r="AG66" i="49" s="1"/>
  <c r="D6" i="50"/>
  <c r="H6" i="50"/>
  <c r="L6" i="50"/>
  <c r="P6" i="50"/>
  <c r="T6" i="50"/>
  <c r="X6" i="50"/>
  <c r="AB6" i="50"/>
  <c r="F7" i="50"/>
  <c r="J7" i="50"/>
  <c r="N7" i="50"/>
  <c r="R7" i="50"/>
  <c r="V7" i="50"/>
  <c r="Z7" i="50"/>
  <c r="P49" i="50"/>
  <c r="AG49" i="50" s="1"/>
  <c r="P66" i="50"/>
  <c r="AC63" i="51"/>
  <c r="AG72" i="51"/>
  <c r="AG92" i="51"/>
  <c r="AG13" i="52"/>
  <c r="AC21" i="53"/>
  <c r="AD16" i="53"/>
  <c r="AE16" i="53" s="1"/>
  <c r="AG29" i="53"/>
  <c r="Q93" i="53"/>
  <c r="AD95" i="53"/>
  <c r="S95" i="53"/>
  <c r="AG12" i="54"/>
  <c r="P23" i="54"/>
  <c r="AD23" i="54" s="1"/>
  <c r="AE23" i="54" s="1"/>
  <c r="AD12" i="54"/>
  <c r="AE12" i="54" s="1"/>
  <c r="AD52" i="46"/>
  <c r="AE52" i="46" s="1"/>
  <c r="AD56" i="46"/>
  <c r="AE56" i="46" s="1"/>
  <c r="AC51" i="47"/>
  <c r="AC68" i="47"/>
  <c r="D371" i="54"/>
  <c r="P371" i="54" s="1"/>
  <c r="H371" i="54"/>
  <c r="L371" i="54"/>
  <c r="P84" i="47"/>
  <c r="G265" i="53"/>
  <c r="K265" i="53"/>
  <c r="O265" i="53"/>
  <c r="D6" i="48"/>
  <c r="H6" i="48"/>
  <c r="L6" i="48"/>
  <c r="P6" i="48"/>
  <c r="T6" i="48"/>
  <c r="X6" i="48"/>
  <c r="AB6" i="48"/>
  <c r="F7" i="48"/>
  <c r="J7" i="48"/>
  <c r="N7" i="48"/>
  <c r="R7" i="48"/>
  <c r="V7" i="48"/>
  <c r="Z7" i="48"/>
  <c r="AC42" i="48"/>
  <c r="P12" i="49"/>
  <c r="AG68" i="49"/>
  <c r="E6" i="50"/>
  <c r="I6" i="50"/>
  <c r="M6" i="50"/>
  <c r="Q6" i="50"/>
  <c r="U6" i="50"/>
  <c r="Y6" i="50"/>
  <c r="AC6" i="50"/>
  <c r="G7" i="50"/>
  <c r="K7" i="50"/>
  <c r="O7" i="50"/>
  <c r="S7" i="50"/>
  <c r="W7" i="50"/>
  <c r="AA7" i="50"/>
  <c r="AG68" i="50"/>
  <c r="AD20" i="53"/>
  <c r="AE20" i="53" s="1"/>
  <c r="G57" i="53"/>
  <c r="G9" i="53" s="1"/>
  <c r="P9" i="53" s="1"/>
  <c r="AG9" i="53" s="1"/>
  <c r="K57" i="53"/>
  <c r="K9" i="53" s="1"/>
  <c r="O57" i="53"/>
  <c r="O9" i="53" s="1"/>
  <c r="AC36" i="53"/>
  <c r="AD36" i="53" s="1"/>
  <c r="AE36" i="53" s="1"/>
  <c r="AD35" i="53"/>
  <c r="AE35" i="53" s="1"/>
  <c r="P46" i="53"/>
  <c r="AG46" i="53" s="1"/>
  <c r="P56" i="53"/>
  <c r="AG56" i="53" s="1"/>
  <c r="S71" i="53"/>
  <c r="AD71" i="53"/>
  <c r="AD74" i="53"/>
  <c r="S74" i="53"/>
  <c r="Q74" i="53"/>
  <c r="E371" i="54"/>
  <c r="I371" i="54"/>
  <c r="M371" i="54"/>
  <c r="D265" i="53"/>
  <c r="H265" i="53"/>
  <c r="L265" i="53"/>
  <c r="P85" i="47"/>
  <c r="AG11" i="52"/>
  <c r="AG27" i="53"/>
  <c r="Q57" i="53"/>
  <c r="Q9" i="53" s="1"/>
  <c r="U57" i="53"/>
  <c r="U9" i="53" s="1"/>
  <c r="Y57" i="53"/>
  <c r="Y9" i="53" s="1"/>
  <c r="AD29" i="53"/>
  <c r="AE29" i="53" s="1"/>
  <c r="AG31" i="53"/>
  <c r="AG55" i="53"/>
  <c r="AG59" i="53"/>
  <c r="E385" i="54"/>
  <c r="E383" i="54"/>
  <c r="E384" i="54"/>
  <c r="E9" i="54"/>
  <c r="I385" i="54"/>
  <c r="I383" i="54"/>
  <c r="I384" i="54"/>
  <c r="I9" i="54"/>
  <c r="I24" i="54" s="1"/>
  <c r="M385" i="54"/>
  <c r="M383" i="54"/>
  <c r="M384" i="54"/>
  <c r="M9" i="54"/>
  <c r="M24" i="54" s="1"/>
  <c r="AG48" i="53"/>
  <c r="AD72" i="53"/>
  <c r="S75" i="53"/>
  <c r="S92" i="53"/>
  <c r="Q108" i="53"/>
  <c r="P117" i="53"/>
  <c r="Q107" i="53" s="1"/>
  <c r="AD18" i="54"/>
  <c r="AE18" i="54" s="1"/>
  <c r="P31" i="54"/>
  <c r="AG30" i="54"/>
  <c r="F385" i="54"/>
  <c r="F384" i="54"/>
  <c r="F383" i="54"/>
  <c r="F9" i="54"/>
  <c r="F24" i="54" s="1"/>
  <c r="F142" i="54" s="1"/>
  <c r="J385" i="54"/>
  <c r="J384" i="54"/>
  <c r="J383" i="54"/>
  <c r="J9" i="54"/>
  <c r="J24" i="54" s="1"/>
  <c r="N385" i="54"/>
  <c r="N384" i="54"/>
  <c r="N383" i="54"/>
  <c r="N9" i="54"/>
  <c r="G362" i="54"/>
  <c r="AD12" i="53"/>
  <c r="AE12" i="53" s="1"/>
  <c r="AD27" i="53"/>
  <c r="AE27" i="53" s="1"/>
  <c r="AD31" i="53"/>
  <c r="AE31" i="53" s="1"/>
  <c r="AC56" i="53"/>
  <c r="AD56" i="53" s="1"/>
  <c r="AE56" i="53" s="1"/>
  <c r="Q97" i="53"/>
  <c r="N24" i="54"/>
  <c r="K384" i="54"/>
  <c r="K9" i="54"/>
  <c r="K24" i="54" s="1"/>
  <c r="O384" i="54"/>
  <c r="O383" i="54"/>
  <c r="O385" i="54"/>
  <c r="O9" i="54"/>
  <c r="P58" i="54"/>
  <c r="AG58" i="54" s="1"/>
  <c r="AG50" i="54"/>
  <c r="G383" i="54"/>
  <c r="G9" i="54"/>
  <c r="G322" i="54"/>
  <c r="G141" i="54"/>
  <c r="N142" i="54"/>
  <c r="G148" i="54"/>
  <c r="F195" i="54"/>
  <c r="D244" i="54"/>
  <c r="AG38" i="53"/>
  <c r="Q90" i="53"/>
  <c r="Q96" i="53"/>
  <c r="S97" i="53"/>
  <c r="S100" i="53"/>
  <c r="Q106" i="53"/>
  <c r="S107" i="53"/>
  <c r="AD108" i="53"/>
  <c r="AD111" i="53"/>
  <c r="Q114" i="53"/>
  <c r="AC9" i="54"/>
  <c r="F237" i="54"/>
  <c r="H193" i="54"/>
  <c r="E24" i="54"/>
  <c r="E130" i="54" s="1"/>
  <c r="AD14" i="54"/>
  <c r="AE14" i="54" s="1"/>
  <c r="D24" i="54"/>
  <c r="D142" i="54" s="1"/>
  <c r="L24" i="54"/>
  <c r="L137" i="54" s="1"/>
  <c r="AC38" i="54"/>
  <c r="AD38" i="54" s="1"/>
  <c r="AE38" i="54" s="1"/>
  <c r="AD33" i="54"/>
  <c r="AE33" i="54" s="1"/>
  <c r="AC48" i="54"/>
  <c r="AD48" i="54" s="1"/>
  <c r="AE48" i="54" s="1"/>
  <c r="AD46" i="54"/>
  <c r="AE46" i="54" s="1"/>
  <c r="AD50" i="54"/>
  <c r="AE50" i="54" s="1"/>
  <c r="G130" i="54"/>
  <c r="F130" i="54"/>
  <c r="F318" i="54" s="1"/>
  <c r="N131" i="54"/>
  <c r="N319" i="54" s="1"/>
  <c r="D131" i="54"/>
  <c r="D319" i="54" s="1"/>
  <c r="L132" i="54"/>
  <c r="G132" i="54"/>
  <c r="D133" i="54"/>
  <c r="N133" i="54"/>
  <c r="N139" i="54"/>
  <c r="L153" i="54"/>
  <c r="G153" i="54"/>
  <c r="F153" i="54"/>
  <c r="N154" i="54"/>
  <c r="F163" i="54"/>
  <c r="L163" i="54"/>
  <c r="E163" i="54"/>
  <c r="L179" i="54"/>
  <c r="E133" i="54"/>
  <c r="F207" i="54"/>
  <c r="H189" i="54"/>
  <c r="D210" i="54"/>
  <c r="F191" i="54"/>
  <c r="D253" i="54"/>
  <c r="F200" i="54"/>
  <c r="G24" i="54"/>
  <c r="O24" i="54"/>
  <c r="O172" i="54" s="1"/>
  <c r="AC31" i="54"/>
  <c r="AD29" i="54"/>
  <c r="AE29" i="54" s="1"/>
  <c r="D383" i="54"/>
  <c r="D384" i="54"/>
  <c r="D385" i="54"/>
  <c r="D9" i="54"/>
  <c r="H383" i="54"/>
  <c r="H384" i="54"/>
  <c r="H385" i="54"/>
  <c r="H9" i="54"/>
  <c r="H24" i="54" s="1"/>
  <c r="L383" i="54"/>
  <c r="L384" i="54"/>
  <c r="L385" i="54"/>
  <c r="L9" i="54"/>
  <c r="AD42" i="54"/>
  <c r="AE42" i="54" s="1"/>
  <c r="N135" i="54"/>
  <c r="L149" i="54"/>
  <c r="F171" i="54"/>
  <c r="O171" i="54"/>
  <c r="G171" i="54"/>
  <c r="AG15" i="54"/>
  <c r="AG35" i="54"/>
  <c r="AG51" i="54"/>
  <c r="AG55" i="54"/>
  <c r="AC58" i="54"/>
  <c r="AD58" i="54" s="1"/>
  <c r="AE58" i="54" s="1"/>
  <c r="G318" i="54"/>
  <c r="L320" i="54"/>
  <c r="G320" i="54"/>
  <c r="G329" i="54"/>
  <c r="L341" i="54"/>
  <c r="G341" i="54"/>
  <c r="N159" i="54"/>
  <c r="N347" i="54" s="1"/>
  <c r="D161" i="54"/>
  <c r="G162" i="54"/>
  <c r="O166" i="54"/>
  <c r="G166" i="54"/>
  <c r="E168" i="54"/>
  <c r="E356" i="54" s="1"/>
  <c r="L169" i="54"/>
  <c r="L357" i="54" s="1"/>
  <c r="O169" i="54"/>
  <c r="G170" i="54"/>
  <c r="D139" i="54"/>
  <c r="G140" i="54"/>
  <c r="L147" i="54"/>
  <c r="G152" i="54"/>
  <c r="F199" i="54"/>
  <c r="D252" i="54"/>
  <c r="AG40" i="54"/>
  <c r="D157" i="54"/>
  <c r="G158" i="54"/>
  <c r="G348" i="54"/>
  <c r="L165" i="54"/>
  <c r="G354" i="54"/>
  <c r="L355" i="54"/>
  <c r="G357" i="54"/>
  <c r="D180" i="54"/>
  <c r="D368" i="54" s="1"/>
  <c r="L181" i="54"/>
  <c r="O181" i="54"/>
  <c r="G181" i="54"/>
  <c r="H123" i="54"/>
  <c r="I123" i="54" s="1"/>
  <c r="F134" i="54"/>
  <c r="L136" i="54"/>
  <c r="G137" i="54"/>
  <c r="G325" i="54" s="1"/>
  <c r="F138" i="54"/>
  <c r="L140" i="54"/>
  <c r="D144" i="54"/>
  <c r="G145" i="54"/>
  <c r="N146" i="54"/>
  <c r="G149" i="54"/>
  <c r="E155" i="54"/>
  <c r="D159" i="54"/>
  <c r="G160" i="54"/>
  <c r="L160" i="54"/>
  <c r="G167" i="54"/>
  <c r="L167" i="54"/>
  <c r="O168" i="54"/>
  <c r="O356" i="54" s="1"/>
  <c r="G169" i="54"/>
  <c r="G172" i="54"/>
  <c r="G180" i="54"/>
  <c r="F190" i="54"/>
  <c r="F194" i="54"/>
  <c r="F251" i="54"/>
  <c r="H198" i="54"/>
  <c r="G254" i="54"/>
  <c r="I201" i="54"/>
  <c r="G333" i="54"/>
  <c r="D345" i="54"/>
  <c r="E164" i="54"/>
  <c r="L172" i="54"/>
  <c r="G173" i="54"/>
  <c r="G361" i="54" s="1"/>
  <c r="G174" i="54"/>
  <c r="N174" i="54"/>
  <c r="E175" i="54"/>
  <c r="L176" i="54"/>
  <c r="G177" i="54"/>
  <c r="G178" i="54"/>
  <c r="N178" i="54"/>
  <c r="N366" i="54" s="1"/>
  <c r="E179" i="54"/>
  <c r="L369" i="54"/>
  <c r="G369" i="54"/>
  <c r="O369" i="54"/>
  <c r="G134" i="54"/>
  <c r="G138" i="54"/>
  <c r="G146" i="54"/>
  <c r="G150" i="54"/>
  <c r="G156" i="54"/>
  <c r="L156" i="54"/>
  <c r="O157" i="54"/>
  <c r="D164" i="54"/>
  <c r="G165" i="54"/>
  <c r="D170" i="54"/>
  <c r="L170" i="54"/>
  <c r="N176" i="54"/>
  <c r="G179" i="54"/>
  <c r="G202" i="54"/>
  <c r="D206" i="54"/>
  <c r="E204" i="54"/>
  <c r="F188" i="54"/>
  <c r="F192" i="54"/>
  <c r="F196" i="54"/>
  <c r="F203" i="54"/>
  <c r="AD12" i="55"/>
  <c r="AE12" i="55" s="1"/>
  <c r="AG12" i="55"/>
  <c r="D22" i="55"/>
  <c r="H22" i="55"/>
  <c r="L22" i="55"/>
  <c r="AD16" i="55"/>
  <c r="AE16" i="55" s="1"/>
  <c r="AD20" i="55"/>
  <c r="AE20" i="55" s="1"/>
  <c r="E22" i="55"/>
  <c r="I22" i="55"/>
  <c r="M22" i="55"/>
  <c r="AD25" i="55"/>
  <c r="AD27" i="55"/>
  <c r="AD29" i="55"/>
  <c r="P11" i="55"/>
  <c r="AG11" i="55" s="1"/>
  <c r="AD11" i="55"/>
  <c r="AE11" i="55" s="1"/>
  <c r="P10" i="55"/>
  <c r="X103" i="5" l="1"/>
  <c r="X45" i="5"/>
  <c r="X46" i="5" s="1"/>
  <c r="AD104" i="18"/>
  <c r="AE104" i="18" s="1"/>
  <c r="AG104" i="18"/>
  <c r="AH52" i="7"/>
  <c r="Q55" i="7"/>
  <c r="AE52" i="7"/>
  <c r="AF52" i="7" s="1"/>
  <c r="K58" i="5"/>
  <c r="K20" i="8"/>
  <c r="K105" i="6"/>
  <c r="K59" i="5"/>
  <c r="K11" i="1"/>
  <c r="K179" i="54"/>
  <c r="K144" i="54"/>
  <c r="K136" i="54"/>
  <c r="K180" i="54"/>
  <c r="K155" i="54"/>
  <c r="K139" i="54"/>
  <c r="K172" i="54"/>
  <c r="K151" i="54"/>
  <c r="K135" i="54"/>
  <c r="K143" i="54"/>
  <c r="K164" i="54"/>
  <c r="K147" i="54"/>
  <c r="K157" i="54"/>
  <c r="K131" i="54"/>
  <c r="K166" i="54"/>
  <c r="K169" i="54"/>
  <c r="K181" i="54"/>
  <c r="K149" i="54"/>
  <c r="K171" i="54"/>
  <c r="K142" i="54"/>
  <c r="K133" i="54"/>
  <c r="K154" i="54"/>
  <c r="K162" i="54"/>
  <c r="K152" i="54"/>
  <c r="K158" i="54"/>
  <c r="K137" i="54"/>
  <c r="K174" i="54"/>
  <c r="K178" i="54"/>
  <c r="K134" i="54"/>
  <c r="K138" i="54"/>
  <c r="K146" i="54"/>
  <c r="K168" i="54"/>
  <c r="K175" i="54"/>
  <c r="K176" i="54"/>
  <c r="K130" i="54"/>
  <c r="K132" i="54"/>
  <c r="K140" i="54"/>
  <c r="K165" i="54"/>
  <c r="K159" i="54"/>
  <c r="K161" i="54"/>
  <c r="K141" i="54"/>
  <c r="K148" i="54"/>
  <c r="K163" i="54"/>
  <c r="K170" i="54"/>
  <c r="K160" i="54"/>
  <c r="K167" i="54"/>
  <c r="K156" i="54"/>
  <c r="K173" i="54"/>
  <c r="K177" i="54"/>
  <c r="K153" i="54"/>
  <c r="K145" i="54"/>
  <c r="K150" i="54"/>
  <c r="P63" i="27"/>
  <c r="AA48" i="10"/>
  <c r="AA50" i="10"/>
  <c r="T103" i="5"/>
  <c r="T45" i="5"/>
  <c r="T46" i="5" s="1"/>
  <c r="AB184" i="10"/>
  <c r="AC19" i="1"/>
  <c r="AB141" i="10"/>
  <c r="F103" i="5"/>
  <c r="H20" i="8"/>
  <c r="H59" i="5"/>
  <c r="H105" i="6"/>
  <c r="H58" i="5"/>
  <c r="H11" i="1"/>
  <c r="AD9" i="42"/>
  <c r="AE9" i="42" s="1"/>
  <c r="AG134" i="24"/>
  <c r="P35" i="24"/>
  <c r="AD134" i="24"/>
  <c r="AE134" i="24" s="1"/>
  <c r="AD14" i="25"/>
  <c r="AE14" i="25" s="1"/>
  <c r="P98" i="25"/>
  <c r="P27" i="25"/>
  <c r="AG14" i="25"/>
  <c r="AC103" i="5"/>
  <c r="AC45" i="5"/>
  <c r="AC46" i="5" s="1"/>
  <c r="AA103" i="5"/>
  <c r="AA45" i="5"/>
  <c r="AA46" i="5" s="1"/>
  <c r="G37" i="15"/>
  <c r="K37" i="15"/>
  <c r="U103" i="5"/>
  <c r="U45" i="5"/>
  <c r="U46" i="5" s="1"/>
  <c r="S103" i="5"/>
  <c r="S45" i="5"/>
  <c r="S46" i="5" s="1"/>
  <c r="N103" i="5"/>
  <c r="L20" i="8"/>
  <c r="L105" i="6"/>
  <c r="L58" i="5"/>
  <c r="L59" i="5"/>
  <c r="L11" i="1"/>
  <c r="H178" i="54"/>
  <c r="H155" i="54"/>
  <c r="H151" i="54"/>
  <c r="H143" i="54"/>
  <c r="H135" i="54"/>
  <c r="H138" i="54"/>
  <c r="H150" i="54"/>
  <c r="H134" i="54"/>
  <c r="H130" i="54"/>
  <c r="H171" i="54"/>
  <c r="H179" i="54"/>
  <c r="H146" i="54"/>
  <c r="H156" i="54"/>
  <c r="H142" i="54"/>
  <c r="H132" i="54"/>
  <c r="H153" i="54"/>
  <c r="H139" i="54"/>
  <c r="H165" i="54"/>
  <c r="H144" i="54"/>
  <c r="H172" i="54"/>
  <c r="H176" i="54"/>
  <c r="H158" i="54"/>
  <c r="H160" i="54"/>
  <c r="H174" i="54"/>
  <c r="H175" i="54"/>
  <c r="H166" i="54"/>
  <c r="H163" i="54"/>
  <c r="H154" i="54"/>
  <c r="H169" i="54"/>
  <c r="H181" i="54"/>
  <c r="H152" i="54"/>
  <c r="H164" i="54"/>
  <c r="H149" i="54"/>
  <c r="H141" i="54"/>
  <c r="H159" i="54"/>
  <c r="H170" i="54"/>
  <c r="H162" i="54"/>
  <c r="H145" i="54"/>
  <c r="H131" i="54"/>
  <c r="H133" i="54"/>
  <c r="H161" i="54"/>
  <c r="H147" i="54"/>
  <c r="H157" i="54"/>
  <c r="H180" i="54"/>
  <c r="H136" i="54"/>
  <c r="H140" i="54"/>
  <c r="H167" i="54"/>
  <c r="H148" i="54"/>
  <c r="H168" i="54"/>
  <c r="H173" i="54"/>
  <c r="H177" i="54"/>
  <c r="H137" i="54"/>
  <c r="E318" i="54"/>
  <c r="L325" i="54"/>
  <c r="L268" i="54" s="1"/>
  <c r="J176" i="54"/>
  <c r="J165" i="54"/>
  <c r="J158" i="54"/>
  <c r="J156" i="54"/>
  <c r="J149" i="54"/>
  <c r="J145" i="54"/>
  <c r="J137" i="54"/>
  <c r="J160" i="54"/>
  <c r="J144" i="54"/>
  <c r="J177" i="54"/>
  <c r="J140" i="54"/>
  <c r="J162" i="54"/>
  <c r="J152" i="54"/>
  <c r="J132" i="54"/>
  <c r="J136" i="54"/>
  <c r="J169" i="54"/>
  <c r="J142" i="54"/>
  <c r="J148" i="54"/>
  <c r="J131" i="54"/>
  <c r="J133" i="54"/>
  <c r="J154" i="54"/>
  <c r="J159" i="54"/>
  <c r="J134" i="54"/>
  <c r="J138" i="54"/>
  <c r="J174" i="54"/>
  <c r="J178" i="54"/>
  <c r="J164" i="54"/>
  <c r="J167" i="54"/>
  <c r="J150" i="54"/>
  <c r="J147" i="54"/>
  <c r="J141" i="54"/>
  <c r="J170" i="54"/>
  <c r="J161" i="54"/>
  <c r="J181" i="54"/>
  <c r="J151" i="54"/>
  <c r="J155" i="54"/>
  <c r="J166" i="54"/>
  <c r="J172" i="54"/>
  <c r="J180" i="54"/>
  <c r="J175" i="54"/>
  <c r="J179" i="54"/>
  <c r="J135" i="54"/>
  <c r="J139" i="54"/>
  <c r="J173" i="54"/>
  <c r="J130" i="54"/>
  <c r="J153" i="54"/>
  <c r="J163" i="54"/>
  <c r="J171" i="54"/>
  <c r="J146" i="54"/>
  <c r="J168" i="54"/>
  <c r="J157" i="54"/>
  <c r="J143" i="54"/>
  <c r="F330" i="54"/>
  <c r="F273" i="54" s="1"/>
  <c r="O303" i="54"/>
  <c r="O360" i="54"/>
  <c r="D330" i="54"/>
  <c r="D273" i="54"/>
  <c r="M177" i="54"/>
  <c r="M157" i="54"/>
  <c r="M150" i="54"/>
  <c r="M146" i="54"/>
  <c r="M138" i="54"/>
  <c r="M134" i="54"/>
  <c r="M170" i="54"/>
  <c r="M145" i="54"/>
  <c r="M161" i="54"/>
  <c r="M178" i="54"/>
  <c r="M133" i="54"/>
  <c r="M137" i="54"/>
  <c r="M149" i="54"/>
  <c r="M153" i="54"/>
  <c r="M155" i="54"/>
  <c r="M130" i="54"/>
  <c r="M132" i="54"/>
  <c r="M140" i="54"/>
  <c r="M152" i="54"/>
  <c r="M171" i="54"/>
  <c r="M174" i="54"/>
  <c r="M159" i="54"/>
  <c r="M166" i="54"/>
  <c r="M135" i="54"/>
  <c r="M139" i="54"/>
  <c r="M162" i="54"/>
  <c r="M172" i="54"/>
  <c r="M176" i="54"/>
  <c r="M151" i="54"/>
  <c r="M181" i="54"/>
  <c r="M144" i="54"/>
  <c r="M168" i="54"/>
  <c r="M164" i="54"/>
  <c r="M175" i="54"/>
  <c r="M179" i="54"/>
  <c r="M158" i="54"/>
  <c r="M141" i="54"/>
  <c r="M167" i="54"/>
  <c r="M173" i="54"/>
  <c r="M142" i="54"/>
  <c r="M131" i="54"/>
  <c r="M136" i="54"/>
  <c r="M154" i="54"/>
  <c r="M163" i="54"/>
  <c r="M160" i="54"/>
  <c r="M169" i="54"/>
  <c r="M156" i="54"/>
  <c r="M180" i="54"/>
  <c r="M143" i="54"/>
  <c r="M147" i="54"/>
  <c r="M148" i="54"/>
  <c r="M165" i="54"/>
  <c r="I181" i="54"/>
  <c r="I173" i="54"/>
  <c r="I150" i="54"/>
  <c r="I146" i="54"/>
  <c r="I138" i="54"/>
  <c r="I134" i="54"/>
  <c r="I165" i="54"/>
  <c r="I149" i="54"/>
  <c r="I158" i="54"/>
  <c r="I145" i="54"/>
  <c r="I153" i="54"/>
  <c r="I167" i="54"/>
  <c r="I137" i="54"/>
  <c r="I141" i="54"/>
  <c r="I174" i="54"/>
  <c r="I148" i="54"/>
  <c r="I155" i="54"/>
  <c r="I159" i="54"/>
  <c r="I177" i="54"/>
  <c r="I131" i="54"/>
  <c r="I154" i="54"/>
  <c r="I180" i="54"/>
  <c r="I139" i="54"/>
  <c r="I130" i="54"/>
  <c r="I132" i="54"/>
  <c r="I163" i="54"/>
  <c r="I171" i="54"/>
  <c r="I178" i="54"/>
  <c r="I143" i="54"/>
  <c r="I147" i="54"/>
  <c r="I166" i="54"/>
  <c r="I172" i="54"/>
  <c r="I176" i="54"/>
  <c r="I136" i="54"/>
  <c r="I140" i="54"/>
  <c r="I144" i="54"/>
  <c r="I162" i="54"/>
  <c r="I133" i="54"/>
  <c r="I161" i="54"/>
  <c r="I156" i="54"/>
  <c r="I135" i="54"/>
  <c r="I152" i="54"/>
  <c r="I168" i="54"/>
  <c r="I151" i="54"/>
  <c r="I170" i="54"/>
  <c r="I164" i="54"/>
  <c r="I175" i="54"/>
  <c r="I179" i="54"/>
  <c r="I169" i="54"/>
  <c r="I142" i="54"/>
  <c r="I160" i="54"/>
  <c r="I157" i="54"/>
  <c r="J37" i="15"/>
  <c r="AD14" i="13"/>
  <c r="AE14" i="13" s="1"/>
  <c r="AG14" i="13"/>
  <c r="P27" i="13"/>
  <c r="P98" i="13"/>
  <c r="Y103" i="5"/>
  <c r="Y45" i="5"/>
  <c r="Y46" i="5" s="1"/>
  <c r="T184" i="10"/>
  <c r="U19" i="1"/>
  <c r="W103" i="5"/>
  <c r="W18" i="1"/>
  <c r="W45" i="5"/>
  <c r="W46" i="5" s="1"/>
  <c r="W60" i="5"/>
  <c r="E235" i="54"/>
  <c r="G192" i="54"/>
  <c r="E367" i="54"/>
  <c r="E310" i="54"/>
  <c r="H254" i="54"/>
  <c r="J201" i="54"/>
  <c r="G337" i="54"/>
  <c r="G280" i="54"/>
  <c r="G130" i="22" s="1"/>
  <c r="F326" i="54"/>
  <c r="F269" i="54"/>
  <c r="D288" i="54"/>
  <c r="G358" i="54"/>
  <c r="G301" i="54" s="1"/>
  <c r="H55" i="37" s="1"/>
  <c r="G73" i="28" s="1"/>
  <c r="G207" i="54"/>
  <c r="I189" i="54"/>
  <c r="E141" i="54"/>
  <c r="N180" i="54"/>
  <c r="N172" i="54"/>
  <c r="N149" i="54"/>
  <c r="N145" i="54"/>
  <c r="N137" i="54"/>
  <c r="N158" i="54"/>
  <c r="N140" i="54"/>
  <c r="N156" i="54"/>
  <c r="N152" i="54"/>
  <c r="N136" i="54"/>
  <c r="N173" i="54"/>
  <c r="N165" i="54"/>
  <c r="N181" i="54"/>
  <c r="N132" i="54"/>
  <c r="N144" i="54"/>
  <c r="N148" i="54"/>
  <c r="N177" i="54"/>
  <c r="P265" i="53"/>
  <c r="AD68" i="47"/>
  <c r="AC77" i="47"/>
  <c r="P83" i="43"/>
  <c r="AG83" i="43" s="1"/>
  <c r="AG82" i="43"/>
  <c r="AC78" i="50"/>
  <c r="AD77" i="50"/>
  <c r="AE77" i="50" s="1"/>
  <c r="AD9" i="45"/>
  <c r="AE9" i="45" s="1"/>
  <c r="AC47" i="42"/>
  <c r="AG56" i="41"/>
  <c r="P61" i="41"/>
  <c r="AG61" i="41" s="1"/>
  <c r="AB9" i="38"/>
  <c r="AB25" i="38" s="1"/>
  <c r="AA81" i="28"/>
  <c r="P54" i="41"/>
  <c r="AG54" i="41" s="1"/>
  <c r="AG52" i="41"/>
  <c r="AG28" i="31"/>
  <c r="AD28" i="31"/>
  <c r="AE28" i="31" s="1"/>
  <c r="AG68" i="28"/>
  <c r="AD68" i="28"/>
  <c r="AE68" i="28" s="1"/>
  <c r="AC18" i="28"/>
  <c r="AC33" i="28"/>
  <c r="AD66" i="36"/>
  <c r="AC65" i="31"/>
  <c r="N27" i="26"/>
  <c r="N98" i="26"/>
  <c r="AD94" i="26"/>
  <c r="AE94" i="26" s="1"/>
  <c r="AG94" i="26"/>
  <c r="AG115" i="22"/>
  <c r="AD115" i="22"/>
  <c r="AE115" i="22" s="1"/>
  <c r="Q13" i="1"/>
  <c r="U81" i="25"/>
  <c r="U82" i="25" s="1"/>
  <c r="AG122" i="23"/>
  <c r="AD122" i="23"/>
  <c r="AE122" i="23" s="1"/>
  <c r="AD22" i="23"/>
  <c r="AE22" i="23" s="1"/>
  <c r="AG22" i="23"/>
  <c r="AG90" i="21"/>
  <c r="AD90" i="21"/>
  <c r="AE90" i="21" s="1"/>
  <c r="AD33" i="25"/>
  <c r="AE33" i="25" s="1"/>
  <c r="AG33" i="25"/>
  <c r="E98" i="23"/>
  <c r="E30" i="23"/>
  <c r="E33" i="23" s="1"/>
  <c r="E26" i="23"/>
  <c r="E27" i="23" s="1"/>
  <c r="E22" i="10"/>
  <c r="AD22" i="21"/>
  <c r="AE22" i="21" s="1"/>
  <c r="AG22" i="21"/>
  <c r="O98" i="19"/>
  <c r="O27" i="19"/>
  <c r="O19" i="10"/>
  <c r="H37" i="15"/>
  <c r="O98" i="22"/>
  <c r="O27" i="22"/>
  <c r="O21" i="10"/>
  <c r="AG90" i="18"/>
  <c r="AD90" i="18"/>
  <c r="AE90" i="18" s="1"/>
  <c r="AG112" i="14"/>
  <c r="AD112" i="14"/>
  <c r="AE112" i="14" s="1"/>
  <c r="P134" i="14"/>
  <c r="AG134" i="13"/>
  <c r="AD134" i="13"/>
  <c r="AE134" i="13" s="1"/>
  <c r="P35" i="13"/>
  <c r="AG87" i="10"/>
  <c r="AD87" i="10"/>
  <c r="AE87" i="10" s="1"/>
  <c r="AG79" i="10"/>
  <c r="AD79" i="10"/>
  <c r="AE79" i="10" s="1"/>
  <c r="AG13" i="18"/>
  <c r="P97" i="18"/>
  <c r="AD13" i="18"/>
  <c r="AE13" i="18" s="1"/>
  <c r="AG134" i="17"/>
  <c r="P35" i="17"/>
  <c r="AD134" i="17"/>
  <c r="AE134" i="17" s="1"/>
  <c r="E27" i="12"/>
  <c r="E30" i="12"/>
  <c r="E26" i="12"/>
  <c r="E13" i="10"/>
  <c r="E98" i="12"/>
  <c r="AG108" i="10"/>
  <c r="AD108" i="10"/>
  <c r="AE108" i="10" s="1"/>
  <c r="AG78" i="10"/>
  <c r="AD78" i="10"/>
  <c r="AE78" i="10" s="1"/>
  <c r="E55" i="6"/>
  <c r="E56" i="6" s="1"/>
  <c r="Q52" i="6"/>
  <c r="E57" i="6"/>
  <c r="N37" i="15"/>
  <c r="AG26" i="13"/>
  <c r="AD26" i="13"/>
  <c r="AE26" i="13" s="1"/>
  <c r="J118" i="18"/>
  <c r="J33" i="12"/>
  <c r="J29" i="12"/>
  <c r="V184" i="10"/>
  <c r="W19" i="1"/>
  <c r="N196" i="10"/>
  <c r="AH40" i="7"/>
  <c r="AE40" i="7"/>
  <c r="AF40" i="7" s="1"/>
  <c r="G26" i="12"/>
  <c r="G47" i="10" s="1"/>
  <c r="G98" i="12"/>
  <c r="G13" i="10"/>
  <c r="G30" i="12"/>
  <c r="G27" i="12"/>
  <c r="O186" i="10"/>
  <c r="O219" i="10"/>
  <c r="O203" i="10"/>
  <c r="O215" i="10"/>
  <c r="O227" i="10"/>
  <c r="O211" i="10"/>
  <c r="O223" i="10"/>
  <c r="O207" i="10"/>
  <c r="Q184" i="10"/>
  <c r="N218" i="10"/>
  <c r="Y210" i="10"/>
  <c r="O204" i="10"/>
  <c r="Q98" i="9"/>
  <c r="AE76" i="9"/>
  <c r="AF76" i="9" s="1"/>
  <c r="AH76" i="9"/>
  <c r="N192" i="10"/>
  <c r="P136" i="10"/>
  <c r="AD118" i="10"/>
  <c r="AE118" i="10" s="1"/>
  <c r="AG118" i="10"/>
  <c r="R141" i="10"/>
  <c r="R186" i="10"/>
  <c r="R185" i="10"/>
  <c r="R213" i="10"/>
  <c r="N217" i="10"/>
  <c r="R211" i="10"/>
  <c r="R192" i="10"/>
  <c r="AD61" i="10"/>
  <c r="AE61" i="10" s="1"/>
  <c r="AG61" i="10"/>
  <c r="AD55" i="9"/>
  <c r="AD56" i="9" s="1"/>
  <c r="AD57" i="9"/>
  <c r="T60" i="6"/>
  <c r="E58" i="6"/>
  <c r="AG97" i="16"/>
  <c r="AD97" i="16"/>
  <c r="AE97" i="16" s="1"/>
  <c r="AD97" i="13"/>
  <c r="AE97" i="13" s="1"/>
  <c r="AG97" i="13"/>
  <c r="N227" i="10"/>
  <c r="F216" i="10"/>
  <c r="AD17" i="7"/>
  <c r="O58" i="7"/>
  <c r="O57" i="7"/>
  <c r="O55" i="7"/>
  <c r="Q48" i="7"/>
  <c r="E59" i="7"/>
  <c r="E49" i="7"/>
  <c r="E57" i="7"/>
  <c r="N210" i="10"/>
  <c r="R201" i="10"/>
  <c r="O193" i="10"/>
  <c r="O188" i="10"/>
  <c r="F57" i="6"/>
  <c r="F55" i="6"/>
  <c r="F56" i="6" s="1"/>
  <c r="L59" i="8"/>
  <c r="L49" i="8"/>
  <c r="L57" i="8"/>
  <c r="Z130" i="5"/>
  <c r="Z60" i="5"/>
  <c r="Z18" i="1"/>
  <c r="O226" i="10"/>
  <c r="N189" i="10"/>
  <c r="AE73" i="5"/>
  <c r="AF73" i="5" s="1"/>
  <c r="AH73" i="5"/>
  <c r="AC60" i="5"/>
  <c r="AC18" i="1"/>
  <c r="AC130" i="5"/>
  <c r="AH11" i="5"/>
  <c r="AE11" i="5"/>
  <c r="AJ43" i="1"/>
  <c r="Q47" i="1"/>
  <c r="AH43" i="1"/>
  <c r="AE43" i="1"/>
  <c r="AM43" i="1"/>
  <c r="N19" i="8"/>
  <c r="N20" i="5"/>
  <c r="E249" i="54"/>
  <c r="G196" i="54"/>
  <c r="F256" i="54"/>
  <c r="H202" i="54"/>
  <c r="E181" i="54"/>
  <c r="L178" i="54"/>
  <c r="F176" i="54"/>
  <c r="E173" i="54"/>
  <c r="G353" i="54"/>
  <c r="G296" i="54" s="1"/>
  <c r="N162" i="54"/>
  <c r="F161" i="54"/>
  <c r="E159" i="54"/>
  <c r="O155" i="54"/>
  <c r="E152" i="54"/>
  <c r="F147" i="54"/>
  <c r="D145" i="54"/>
  <c r="F143" i="54"/>
  <c r="F139" i="54"/>
  <c r="D137" i="54"/>
  <c r="F135" i="54"/>
  <c r="N179" i="54"/>
  <c r="L177" i="54"/>
  <c r="E176" i="54"/>
  <c r="N175" i="54"/>
  <c r="L173" i="54"/>
  <c r="E172" i="54"/>
  <c r="E208" i="54"/>
  <c r="G190" i="54"/>
  <c r="D179" i="54"/>
  <c r="N166" i="54"/>
  <c r="F165" i="54"/>
  <c r="O161" i="54"/>
  <c r="G291" i="54"/>
  <c r="L158" i="54"/>
  <c r="L152" i="54"/>
  <c r="F150" i="54"/>
  <c r="G276" i="54"/>
  <c r="E139" i="54"/>
  <c r="O137" i="54"/>
  <c r="E135" i="54"/>
  <c r="D181" i="54"/>
  <c r="G346" i="54"/>
  <c r="G289" i="54"/>
  <c r="E252" i="54"/>
  <c r="G199" i="54"/>
  <c r="L162" i="54"/>
  <c r="O152" i="54"/>
  <c r="G328" i="54"/>
  <c r="G271" i="54" s="1"/>
  <c r="F170" i="54"/>
  <c r="D169" i="54"/>
  <c r="N167" i="54"/>
  <c r="G350" i="54"/>
  <c r="G293" i="54" s="1"/>
  <c r="F341" i="54"/>
  <c r="F284" i="54" s="1"/>
  <c r="F132" i="54"/>
  <c r="D171" i="54"/>
  <c r="E171" i="54"/>
  <c r="O146" i="54"/>
  <c r="G175" i="54"/>
  <c r="G164" i="54"/>
  <c r="G157" i="54"/>
  <c r="G144" i="54"/>
  <c r="G136" i="54"/>
  <c r="G143" i="54"/>
  <c r="G168" i="54"/>
  <c r="G155" i="54"/>
  <c r="G139" i="54"/>
  <c r="G159" i="54"/>
  <c r="G131" i="54"/>
  <c r="G161" i="54"/>
  <c r="G135" i="54"/>
  <c r="G176" i="54"/>
  <c r="G147" i="54"/>
  <c r="G151" i="54"/>
  <c r="O131" i="54"/>
  <c r="D163" i="54"/>
  <c r="G154" i="54"/>
  <c r="O153" i="54"/>
  <c r="N147" i="54"/>
  <c r="G133" i="54"/>
  <c r="O132" i="54"/>
  <c r="E132" i="54"/>
  <c r="O130" i="54"/>
  <c r="I193" i="54"/>
  <c r="G237" i="54"/>
  <c r="Q110" i="53"/>
  <c r="Q76" i="53"/>
  <c r="L148" i="54"/>
  <c r="G142" i="54"/>
  <c r="F141" i="54"/>
  <c r="L141" i="54"/>
  <c r="F322" i="54"/>
  <c r="G384" i="54"/>
  <c r="P384" i="54" s="1"/>
  <c r="K385" i="54"/>
  <c r="L145" i="54"/>
  <c r="P59" i="54"/>
  <c r="AG59" i="54" s="1"/>
  <c r="AG31" i="54"/>
  <c r="Q98" i="53"/>
  <c r="AC57" i="53"/>
  <c r="AC56" i="47"/>
  <c r="AD51" i="47"/>
  <c r="AE51" i="47" s="1"/>
  <c r="AG51" i="47"/>
  <c r="Q101" i="53"/>
  <c r="AC9" i="51"/>
  <c r="AD9" i="51" s="1"/>
  <c r="AE9" i="51" s="1"/>
  <c r="R33" i="1"/>
  <c r="AD33" i="1" s="1"/>
  <c r="AA43" i="50"/>
  <c r="P78" i="49"/>
  <c r="W43" i="47"/>
  <c r="X31" i="1"/>
  <c r="AD25" i="50"/>
  <c r="AE25" i="50" s="1"/>
  <c r="AD12" i="50"/>
  <c r="AE12" i="50" s="1"/>
  <c r="AG12" i="50"/>
  <c r="AD47" i="47"/>
  <c r="AE47" i="47" s="1"/>
  <c r="AC49" i="47"/>
  <c r="G250" i="54"/>
  <c r="I197" i="54"/>
  <c r="AD49" i="49"/>
  <c r="AE49" i="49" s="1"/>
  <c r="AD77" i="48"/>
  <c r="AE77" i="48" s="1"/>
  <c r="AC78" i="48"/>
  <c r="AD78" i="48" s="1"/>
  <c r="AE78" i="48" s="1"/>
  <c r="AB43" i="47"/>
  <c r="R78" i="47"/>
  <c r="R9" i="47" s="1"/>
  <c r="AD12" i="46"/>
  <c r="AE12" i="46" s="1"/>
  <c r="AG12" i="46"/>
  <c r="AC83" i="43"/>
  <c r="AD83" i="43" s="1"/>
  <c r="AE83" i="43" s="1"/>
  <c r="AD82" i="43"/>
  <c r="AE82" i="43" s="1"/>
  <c r="I83" i="41"/>
  <c r="I9" i="41" s="1"/>
  <c r="P19" i="47"/>
  <c r="AC47" i="45"/>
  <c r="AG24" i="43"/>
  <c r="AD24" i="43"/>
  <c r="AE24" i="43" s="1"/>
  <c r="AD71" i="42"/>
  <c r="AE71" i="42" s="1"/>
  <c r="R47" i="42"/>
  <c r="Q83" i="41"/>
  <c r="Q9" i="41" s="1"/>
  <c r="U47" i="41"/>
  <c r="V30" i="1"/>
  <c r="V35" i="1" s="1"/>
  <c r="AG98" i="51"/>
  <c r="P99" i="51"/>
  <c r="X47" i="41"/>
  <c r="Y30" i="1"/>
  <c r="Y35" i="1" s="1"/>
  <c r="AH15" i="37"/>
  <c r="Q23" i="37"/>
  <c r="AH23" i="37" s="1"/>
  <c r="S47" i="41"/>
  <c r="T30" i="1"/>
  <c r="X9" i="38"/>
  <c r="X25" i="38" s="1"/>
  <c r="W81" i="28"/>
  <c r="AG71" i="28"/>
  <c r="AD71" i="28"/>
  <c r="AE71" i="28" s="1"/>
  <c r="AC35" i="28"/>
  <c r="W47" i="45"/>
  <c r="AD71" i="43"/>
  <c r="AE71" i="43" s="1"/>
  <c r="AE38" i="38"/>
  <c r="AF38" i="38" s="1"/>
  <c r="AH10" i="36"/>
  <c r="AG11" i="28"/>
  <c r="AD11" i="28"/>
  <c r="AE11" i="28" s="1"/>
  <c r="P134" i="26"/>
  <c r="AG105" i="26"/>
  <c r="AD105" i="26"/>
  <c r="AE105" i="26" s="1"/>
  <c r="AD38" i="41"/>
  <c r="AE38" i="41" s="1"/>
  <c r="AE45" i="33"/>
  <c r="AF45" i="33" s="1"/>
  <c r="Q68" i="32"/>
  <c r="AD14" i="32"/>
  <c r="AE14" i="32" s="1"/>
  <c r="AF14" i="32" s="1"/>
  <c r="AD29" i="28"/>
  <c r="AE29" i="28" s="1"/>
  <c r="AG9" i="28"/>
  <c r="P33" i="28"/>
  <c r="P18" i="28"/>
  <c r="AD74" i="27"/>
  <c r="AE74" i="27" s="1"/>
  <c r="Q75" i="35"/>
  <c r="AH46" i="35"/>
  <c r="AH26" i="34"/>
  <c r="AE26" i="34"/>
  <c r="AF26" i="34" s="1"/>
  <c r="AC29" i="31"/>
  <c r="AG75" i="28"/>
  <c r="AD75" i="28"/>
  <c r="AE75" i="28" s="1"/>
  <c r="AC76" i="28"/>
  <c r="AC77" i="28" s="1"/>
  <c r="V77" i="28"/>
  <c r="W20" i="1" s="1"/>
  <c r="W25" i="1" s="1"/>
  <c r="AC16" i="27"/>
  <c r="AG43" i="26"/>
  <c r="AD43" i="26"/>
  <c r="AE43" i="26" s="1"/>
  <c r="AG12" i="45"/>
  <c r="AG12" i="44"/>
  <c r="Z47" i="41"/>
  <c r="AE12" i="36"/>
  <c r="AF12" i="36" s="1"/>
  <c r="AD18" i="35"/>
  <c r="AE18" i="35" s="1"/>
  <c r="AF18" i="35" s="1"/>
  <c r="AE22" i="34"/>
  <c r="AF22" i="34" s="1"/>
  <c r="AD67" i="33"/>
  <c r="AE38" i="33"/>
  <c r="AF38" i="33" s="1"/>
  <c r="O29" i="31"/>
  <c r="J27" i="26"/>
  <c r="J98" i="26"/>
  <c r="AG43" i="25"/>
  <c r="AD43" i="25"/>
  <c r="AE43" i="25" s="1"/>
  <c r="AG36" i="31"/>
  <c r="P65" i="31"/>
  <c r="AD36" i="31"/>
  <c r="AE36" i="31" s="1"/>
  <c r="Z42" i="28"/>
  <c r="R42" i="28"/>
  <c r="AD112" i="25"/>
  <c r="AE112" i="25" s="1"/>
  <c r="AG112" i="25"/>
  <c r="AC35" i="25"/>
  <c r="AD10" i="24"/>
  <c r="AE10" i="24" s="1"/>
  <c r="P94" i="24"/>
  <c r="AG10" i="24"/>
  <c r="I98" i="22"/>
  <c r="I27" i="22"/>
  <c r="I21" i="10"/>
  <c r="AD27" i="36"/>
  <c r="AD10" i="28"/>
  <c r="AE10" i="28" s="1"/>
  <c r="AG10" i="28"/>
  <c r="AC98" i="26"/>
  <c r="AC27" i="26"/>
  <c r="AC81" i="26" s="1"/>
  <c r="AC82" i="26" s="1"/>
  <c r="F98" i="25"/>
  <c r="F27" i="25"/>
  <c r="AD112" i="23"/>
  <c r="AE112" i="23" s="1"/>
  <c r="AG112" i="23"/>
  <c r="AG11" i="23"/>
  <c r="AD11" i="23"/>
  <c r="AE11" i="23" s="1"/>
  <c r="P95" i="23"/>
  <c r="AE58" i="34"/>
  <c r="AF58" i="34" s="1"/>
  <c r="AC41" i="28"/>
  <c r="AD112" i="26"/>
  <c r="AE112" i="26" s="1"/>
  <c r="AG112" i="26"/>
  <c r="AD90" i="26"/>
  <c r="AE90" i="26" s="1"/>
  <c r="AG90" i="26"/>
  <c r="AG90" i="25"/>
  <c r="AD90" i="25"/>
  <c r="AE90" i="25" s="1"/>
  <c r="P96" i="25"/>
  <c r="AG12" i="25"/>
  <c r="AD12" i="25"/>
  <c r="AE12" i="25" s="1"/>
  <c r="AD97" i="24"/>
  <c r="AE97" i="24" s="1"/>
  <c r="AG97" i="24"/>
  <c r="AG133" i="23"/>
  <c r="AD133" i="23"/>
  <c r="AE133" i="23" s="1"/>
  <c r="F27" i="23"/>
  <c r="F26" i="23"/>
  <c r="F98" i="23"/>
  <c r="F30" i="23"/>
  <c r="F33" i="23" s="1"/>
  <c r="F22" i="10"/>
  <c r="AD105" i="24"/>
  <c r="AE105" i="24" s="1"/>
  <c r="AG104" i="22"/>
  <c r="AD104" i="22"/>
  <c r="AE104" i="22" s="1"/>
  <c r="AG12" i="22"/>
  <c r="AD12" i="22"/>
  <c r="AE12" i="22" s="1"/>
  <c r="P96" i="22"/>
  <c r="AG31" i="21"/>
  <c r="AD31" i="21"/>
  <c r="AE31" i="21" s="1"/>
  <c r="L33" i="20"/>
  <c r="L28" i="20"/>
  <c r="F105" i="19"/>
  <c r="G102" i="19"/>
  <c r="K98" i="19"/>
  <c r="K27" i="19"/>
  <c r="K19" i="10"/>
  <c r="G27" i="18"/>
  <c r="G98" i="18"/>
  <c r="G17" i="10"/>
  <c r="AC35" i="16"/>
  <c r="F98" i="16"/>
  <c r="F27" i="16"/>
  <c r="F30" i="16"/>
  <c r="F16" i="10"/>
  <c r="L37" i="15"/>
  <c r="H33" i="15"/>
  <c r="H29" i="15"/>
  <c r="AD9" i="14"/>
  <c r="AE9" i="14" s="1"/>
  <c r="AG9" i="14"/>
  <c r="P14" i="14"/>
  <c r="P93" i="14"/>
  <c r="F27" i="13"/>
  <c r="F30" i="13"/>
  <c r="F98" i="13"/>
  <c r="F12" i="10"/>
  <c r="AD22" i="25"/>
  <c r="AE22" i="25" s="1"/>
  <c r="AG22" i="25"/>
  <c r="AC98" i="24"/>
  <c r="AC27" i="24"/>
  <c r="AC81" i="24" s="1"/>
  <c r="AC82" i="24" s="1"/>
  <c r="G98" i="22"/>
  <c r="G27" i="22"/>
  <c r="G21" i="10"/>
  <c r="P96" i="16"/>
  <c r="AG12" i="16"/>
  <c r="AD12" i="16"/>
  <c r="AE12" i="16" s="1"/>
  <c r="AD17" i="40"/>
  <c r="AE17" i="40" s="1"/>
  <c r="AB81" i="25"/>
  <c r="AB82" i="25" s="1"/>
  <c r="T81" i="25"/>
  <c r="T82" i="25" s="1"/>
  <c r="AD105" i="21"/>
  <c r="AE105" i="21" s="1"/>
  <c r="P134" i="21"/>
  <c r="AG105" i="21"/>
  <c r="I33" i="20"/>
  <c r="I28" i="20"/>
  <c r="AG97" i="20"/>
  <c r="AD97" i="20"/>
  <c r="AE97" i="20" s="1"/>
  <c r="AG119" i="19"/>
  <c r="AD119" i="19"/>
  <c r="AE119" i="19" s="1"/>
  <c r="AG97" i="15"/>
  <c r="AD97" i="15"/>
  <c r="AE97" i="15" s="1"/>
  <c r="W181" i="10"/>
  <c r="Y225" i="10"/>
  <c r="Y221" i="10"/>
  <c r="AD12" i="37"/>
  <c r="AD24" i="37" s="1"/>
  <c r="O98" i="20"/>
  <c r="O30" i="20"/>
  <c r="O27" i="20"/>
  <c r="O20" i="10"/>
  <c r="Q81" i="19"/>
  <c r="Q82" i="19" s="1"/>
  <c r="AD11" i="18"/>
  <c r="AE11" i="18" s="1"/>
  <c r="AG11" i="18"/>
  <c r="P95" i="18"/>
  <c r="P97" i="17"/>
  <c r="AG13" i="17"/>
  <c r="AD13" i="17"/>
  <c r="AE13" i="17" s="1"/>
  <c r="AC27" i="16"/>
  <c r="AC81" i="16" s="1"/>
  <c r="AC82" i="16" s="1"/>
  <c r="I33" i="16"/>
  <c r="I29" i="16"/>
  <c r="E33" i="16"/>
  <c r="E29" i="16"/>
  <c r="F37" i="15"/>
  <c r="L29" i="14"/>
  <c r="L33" i="14"/>
  <c r="E27" i="14"/>
  <c r="E98" i="14"/>
  <c r="E30" i="14"/>
  <c r="E14" i="10"/>
  <c r="AG122" i="13"/>
  <c r="AD122" i="13"/>
  <c r="AE122" i="13" s="1"/>
  <c r="AG13" i="11"/>
  <c r="AD13" i="11"/>
  <c r="AE13" i="11" s="1"/>
  <c r="P97" i="11"/>
  <c r="F187" i="10"/>
  <c r="AG98" i="10"/>
  <c r="AD98" i="10"/>
  <c r="AE98" i="10" s="1"/>
  <c r="Q224" i="10"/>
  <c r="AC11" i="10"/>
  <c r="E55" i="8"/>
  <c r="E56" i="8" s="1"/>
  <c r="E58" i="8"/>
  <c r="Q52" i="8"/>
  <c r="E57" i="8"/>
  <c r="O59" i="6"/>
  <c r="O49" i="6"/>
  <c r="AB130" i="5"/>
  <c r="AB60" i="5"/>
  <c r="AB18" i="1"/>
  <c r="Q117" i="5"/>
  <c r="AH31" i="5"/>
  <c r="AE31" i="5"/>
  <c r="AF31" i="5" s="1"/>
  <c r="Q109" i="5"/>
  <c r="AH23" i="5"/>
  <c r="AE23" i="5"/>
  <c r="AF23" i="5" s="1"/>
  <c r="AE16" i="35"/>
  <c r="AF16" i="35" s="1"/>
  <c r="AF14" i="35"/>
  <c r="AD22" i="26"/>
  <c r="AE22" i="26" s="1"/>
  <c r="AG22" i="26"/>
  <c r="AD112" i="21"/>
  <c r="AE112" i="21" s="1"/>
  <c r="AG112" i="21"/>
  <c r="P94" i="21"/>
  <c r="AG10" i="21"/>
  <c r="AD10" i="21"/>
  <c r="AE10" i="21" s="1"/>
  <c r="J27" i="20"/>
  <c r="J98" i="20"/>
  <c r="J30" i="20"/>
  <c r="J20" i="10"/>
  <c r="AG117" i="19"/>
  <c r="AD117" i="19"/>
  <c r="AE117" i="19" s="1"/>
  <c r="AD12" i="15"/>
  <c r="AE12" i="15" s="1"/>
  <c r="AG12" i="15"/>
  <c r="P96" i="15"/>
  <c r="AG11" i="14"/>
  <c r="P95" i="14"/>
  <c r="AD11" i="14"/>
  <c r="AE11" i="14" s="1"/>
  <c r="J29" i="14"/>
  <c r="J33" i="14"/>
  <c r="T81" i="13"/>
  <c r="T82" i="13" s="1"/>
  <c r="AD9" i="12"/>
  <c r="AE9" i="12" s="1"/>
  <c r="P93" i="12"/>
  <c r="P14" i="12"/>
  <c r="AG9" i="12"/>
  <c r="O98" i="11"/>
  <c r="O27" i="11"/>
  <c r="O11" i="10"/>
  <c r="O30" i="11"/>
  <c r="Q196" i="10"/>
  <c r="Q188" i="10"/>
  <c r="Y227" i="10"/>
  <c r="Y223" i="10"/>
  <c r="Y219" i="10"/>
  <c r="Y215" i="10"/>
  <c r="Y211" i="10"/>
  <c r="Y207" i="10"/>
  <c r="Y203" i="10"/>
  <c r="T19" i="1"/>
  <c r="AE86" i="7"/>
  <c r="AF86" i="7" s="1"/>
  <c r="AH86" i="7"/>
  <c r="AD31" i="16"/>
  <c r="AE31" i="16" s="1"/>
  <c r="AG31" i="16"/>
  <c r="O30" i="13"/>
  <c r="O27" i="13"/>
  <c r="O98" i="13"/>
  <c r="O12" i="10"/>
  <c r="G30" i="13"/>
  <c r="G98" i="13"/>
  <c r="G27" i="13"/>
  <c r="G12" i="10"/>
  <c r="AD90" i="12"/>
  <c r="AE90" i="12" s="1"/>
  <c r="AG90" i="12"/>
  <c r="F33" i="12"/>
  <c r="F29" i="12"/>
  <c r="P65" i="10"/>
  <c r="D192" i="10"/>
  <c r="AD22" i="11"/>
  <c r="AE22" i="11" s="1"/>
  <c r="AG22" i="11"/>
  <c r="R184" i="10"/>
  <c r="S19" i="1"/>
  <c r="M127" i="10"/>
  <c r="P121" i="10"/>
  <c r="P206" i="10" s="1"/>
  <c r="N226" i="10"/>
  <c r="F223" i="10"/>
  <c r="F219" i="10"/>
  <c r="Q214" i="10"/>
  <c r="AD84" i="10"/>
  <c r="AE84" i="10" s="1"/>
  <c r="AG84" i="10"/>
  <c r="N209" i="10"/>
  <c r="R203" i="10"/>
  <c r="Q198" i="10"/>
  <c r="R197" i="10"/>
  <c r="R194" i="10"/>
  <c r="U190" i="10"/>
  <c r="N188" i="10"/>
  <c r="S102" i="10"/>
  <c r="S103" i="10" s="1"/>
  <c r="T12" i="1"/>
  <c r="AE50" i="9"/>
  <c r="AF50" i="9" s="1"/>
  <c r="AH50" i="9"/>
  <c r="AE51" i="8"/>
  <c r="AF51" i="8" s="1"/>
  <c r="AH51" i="8"/>
  <c r="Q40" i="5"/>
  <c r="E126" i="5"/>
  <c r="AE22" i="6"/>
  <c r="AF22" i="6" s="1"/>
  <c r="AH22" i="6"/>
  <c r="AD133" i="20"/>
  <c r="AE133" i="20" s="1"/>
  <c r="AG96" i="17"/>
  <c r="AD96" i="17"/>
  <c r="AE96" i="17" s="1"/>
  <c r="H98" i="16"/>
  <c r="H30" i="16"/>
  <c r="H27" i="16"/>
  <c r="H16" i="10"/>
  <c r="K186" i="10"/>
  <c r="K226" i="10"/>
  <c r="K210" i="10"/>
  <c r="K222" i="10"/>
  <c r="K206" i="10"/>
  <c r="K218" i="10"/>
  <c r="K202" i="10"/>
  <c r="K214" i="10"/>
  <c r="AD31" i="11"/>
  <c r="AE31" i="11" s="1"/>
  <c r="AG31" i="11"/>
  <c r="V81" i="11"/>
  <c r="V82" i="11" s="1"/>
  <c r="R24" i="10"/>
  <c r="N29" i="11"/>
  <c r="N33" i="11"/>
  <c r="F29" i="11"/>
  <c r="F33" i="11"/>
  <c r="AG150" i="10"/>
  <c r="AD150" i="10"/>
  <c r="AE150" i="10" s="1"/>
  <c r="I186" i="10"/>
  <c r="R128" i="10"/>
  <c r="Z226" i="10"/>
  <c r="O224" i="10"/>
  <c r="G220" i="10"/>
  <c r="F215" i="10"/>
  <c r="G214" i="10"/>
  <c r="R212" i="10"/>
  <c r="K211" i="10"/>
  <c r="U210" i="10"/>
  <c r="F208" i="10"/>
  <c r="R206" i="10"/>
  <c r="F205" i="10"/>
  <c r="K204" i="10"/>
  <c r="N202" i="10"/>
  <c r="K201" i="10"/>
  <c r="R199" i="10"/>
  <c r="O198" i="10"/>
  <c r="U197" i="10"/>
  <c r="O195" i="10"/>
  <c r="Y194" i="10"/>
  <c r="Z193" i="10"/>
  <c r="I193" i="10"/>
  <c r="F191" i="10"/>
  <c r="Y189" i="10"/>
  <c r="Z188" i="10"/>
  <c r="I188" i="10"/>
  <c r="AA19" i="1"/>
  <c r="AB50" i="10"/>
  <c r="AB48" i="10"/>
  <c r="AE54" i="9"/>
  <c r="AF54" i="9" s="1"/>
  <c r="AH54" i="9"/>
  <c r="AE50" i="7"/>
  <c r="AF50" i="7" s="1"/>
  <c r="AH50" i="7"/>
  <c r="F58" i="6"/>
  <c r="AH94" i="5"/>
  <c r="AE94" i="5"/>
  <c r="AF94" i="5" s="1"/>
  <c r="H118" i="22"/>
  <c r="G161" i="10"/>
  <c r="AG112" i="20"/>
  <c r="P134" i="20"/>
  <c r="AD112" i="20"/>
  <c r="AE112" i="20" s="1"/>
  <c r="AD121" i="19"/>
  <c r="AE121" i="19" s="1"/>
  <c r="AG121" i="19"/>
  <c r="F98" i="17"/>
  <c r="F26" i="17"/>
  <c r="F27" i="17" s="1"/>
  <c r="F30" i="17"/>
  <c r="F18" i="10"/>
  <c r="AD43" i="12"/>
  <c r="AE43" i="12" s="1"/>
  <c r="AG43" i="12"/>
  <c r="AA121" i="10"/>
  <c r="E186" i="10"/>
  <c r="AC116" i="10"/>
  <c r="AC134" i="10" s="1"/>
  <c r="AC128" i="10"/>
  <c r="R126" i="10"/>
  <c r="K227" i="10"/>
  <c r="U226" i="10"/>
  <c r="F224" i="10"/>
  <c r="R222" i="10"/>
  <c r="Z218" i="10"/>
  <c r="E218" i="10"/>
  <c r="O216" i="10"/>
  <c r="O213" i="10"/>
  <c r="N211" i="10"/>
  <c r="O210" i="10"/>
  <c r="R208" i="10"/>
  <c r="K207" i="10"/>
  <c r="U206" i="10"/>
  <c r="M202" i="10"/>
  <c r="G200" i="10"/>
  <c r="M199" i="10"/>
  <c r="F198" i="10"/>
  <c r="Y196" i="10"/>
  <c r="Z195" i="10"/>
  <c r="G194" i="10"/>
  <c r="AG66" i="10"/>
  <c r="P193" i="10"/>
  <c r="AD66" i="10"/>
  <c r="AE66" i="10" s="1"/>
  <c r="K192" i="10"/>
  <c r="M191" i="10"/>
  <c r="F190" i="10"/>
  <c r="Z228" i="10"/>
  <c r="R19" i="1"/>
  <c r="AC12" i="10"/>
  <c r="X60" i="7"/>
  <c r="M59" i="6"/>
  <c r="AH82" i="5"/>
  <c r="AE82" i="5"/>
  <c r="AF82" i="5" s="1"/>
  <c r="M28" i="20"/>
  <c r="M33" i="20"/>
  <c r="AD96" i="18"/>
  <c r="AE96" i="18" s="1"/>
  <c r="AG96" i="18"/>
  <c r="AC35" i="15"/>
  <c r="AC134" i="12"/>
  <c r="H47" i="10"/>
  <c r="J52" i="10"/>
  <c r="M33" i="11"/>
  <c r="M29" i="11"/>
  <c r="AA127" i="10"/>
  <c r="F227" i="10"/>
  <c r="Z220" i="10"/>
  <c r="T212" i="10"/>
  <c r="E190" i="10"/>
  <c r="AD58" i="6"/>
  <c r="AD59" i="6"/>
  <c r="R98" i="5"/>
  <c r="R17" i="5" s="1"/>
  <c r="V130" i="5"/>
  <c r="V60" i="5"/>
  <c r="V18" i="1"/>
  <c r="AH110" i="5"/>
  <c r="AE110" i="5"/>
  <c r="AB45" i="5"/>
  <c r="AB46" i="5" s="1"/>
  <c r="O58" i="5"/>
  <c r="O20" i="8"/>
  <c r="O105" i="6"/>
  <c r="O59" i="5"/>
  <c r="O11" i="1"/>
  <c r="AC135" i="10"/>
  <c r="R227" i="10"/>
  <c r="F213" i="10"/>
  <c r="O209" i="10"/>
  <c r="K196" i="10"/>
  <c r="U195" i="10"/>
  <c r="T191" i="10"/>
  <c r="Y46" i="6"/>
  <c r="AB45" i="6"/>
  <c r="AB46" i="6" s="1"/>
  <c r="AD86" i="5"/>
  <c r="O57" i="8"/>
  <c r="O55" i="8"/>
  <c r="O56" i="8" s="1"/>
  <c r="O58" i="8"/>
  <c r="O58" i="9"/>
  <c r="O57" i="9"/>
  <c r="O55" i="9"/>
  <c r="O56" i="9" s="1"/>
  <c r="G57" i="6"/>
  <c r="G58" i="6"/>
  <c r="G55" i="6"/>
  <c r="G56" i="6" s="1"/>
  <c r="G58" i="7"/>
  <c r="G57" i="7"/>
  <c r="G55" i="7"/>
  <c r="M59" i="8"/>
  <c r="M49" i="8"/>
  <c r="M59" i="9"/>
  <c r="M49" i="9"/>
  <c r="M57" i="9"/>
  <c r="E59" i="8"/>
  <c r="E49" i="8"/>
  <c r="Q48" i="8"/>
  <c r="Q48" i="9"/>
  <c r="E59" i="9"/>
  <c r="E49" i="9"/>
  <c r="E57" i="9"/>
  <c r="S130" i="5"/>
  <c r="S60" i="5"/>
  <c r="S18" i="1"/>
  <c r="AE33" i="5"/>
  <c r="AF33" i="5" s="1"/>
  <c r="Q119" i="5"/>
  <c r="AH33" i="5"/>
  <c r="Z214" i="10"/>
  <c r="E214" i="10"/>
  <c r="G206" i="10"/>
  <c r="K193" i="10"/>
  <c r="U228" i="10"/>
  <c r="N57" i="6"/>
  <c r="N55" i="6"/>
  <c r="N56" i="6" s="1"/>
  <c r="J55" i="9"/>
  <c r="J56" i="9" s="1"/>
  <c r="J58" i="9"/>
  <c r="J57" i="9"/>
  <c r="F55" i="7"/>
  <c r="F58" i="7"/>
  <c r="F57" i="7"/>
  <c r="F58" i="8"/>
  <c r="F57" i="8"/>
  <c r="F55" i="8"/>
  <c r="F56" i="8" s="1"/>
  <c r="P59" i="9"/>
  <c r="P49" i="9"/>
  <c r="L59" i="7"/>
  <c r="L49" i="7"/>
  <c r="H59" i="8"/>
  <c r="H49" i="8"/>
  <c r="H57" i="8"/>
  <c r="R130" i="5"/>
  <c r="R60" i="5"/>
  <c r="R18" i="1"/>
  <c r="AE34" i="5"/>
  <c r="AF34" i="5" s="1"/>
  <c r="Q120" i="5"/>
  <c r="AH34" i="5"/>
  <c r="AE25" i="5"/>
  <c r="AF25" i="5" s="1"/>
  <c r="AH25" i="5"/>
  <c r="Q111" i="5"/>
  <c r="M20" i="8"/>
  <c r="M105" i="6"/>
  <c r="M59" i="5"/>
  <c r="M58" i="5"/>
  <c r="M11" i="1"/>
  <c r="AD114" i="10"/>
  <c r="AE114" i="10" s="1"/>
  <c r="E126" i="10"/>
  <c r="T215" i="10"/>
  <c r="I198" i="10"/>
  <c r="AE97" i="9"/>
  <c r="AF97" i="9" s="1"/>
  <c r="AH97" i="9"/>
  <c r="M21" i="5"/>
  <c r="M107" i="5" s="1"/>
  <c r="E21" i="5"/>
  <c r="AA60" i="7"/>
  <c r="AE101" i="5"/>
  <c r="AF101" i="5" s="1"/>
  <c r="AH101" i="5"/>
  <c r="M56" i="8"/>
  <c r="P84" i="16"/>
  <c r="AH52" i="5"/>
  <c r="Q55" i="5"/>
  <c r="AE52" i="5"/>
  <c r="AF52" i="5" s="1"/>
  <c r="Q57" i="5"/>
  <c r="Y60" i="5"/>
  <c r="Y18" i="1"/>
  <c r="Y130" i="5"/>
  <c r="F19" i="8"/>
  <c r="F20" i="5"/>
  <c r="Q72" i="1"/>
  <c r="N75" i="1"/>
  <c r="I55" i="47"/>
  <c r="I56" i="47" s="1"/>
  <c r="I78" i="47" s="1"/>
  <c r="I9" i="47" s="1"/>
  <c r="I56" i="50"/>
  <c r="I78" i="50" s="1"/>
  <c r="I9" i="50" s="1"/>
  <c r="AD17" i="6"/>
  <c r="AD45" i="6" s="1"/>
  <c r="AD46" i="6" s="1"/>
  <c r="D258" i="54"/>
  <c r="G367" i="54"/>
  <c r="G310" i="54"/>
  <c r="D352" i="54"/>
  <c r="E343" i="54"/>
  <c r="E286" i="54" s="1"/>
  <c r="E130" i="19" s="1"/>
  <c r="N334" i="54"/>
  <c r="N277" i="54" s="1"/>
  <c r="L328" i="54"/>
  <c r="L271" i="54" s="1"/>
  <c r="L324" i="54"/>
  <c r="L267" i="54" s="1"/>
  <c r="D311" i="54"/>
  <c r="L353" i="54"/>
  <c r="L296" i="54" s="1"/>
  <c r="O359" i="54"/>
  <c r="O302" i="54" s="1"/>
  <c r="L337" i="54"/>
  <c r="L280" i="54" s="1"/>
  <c r="L130" i="22" s="1"/>
  <c r="O175" i="54"/>
  <c r="O165" i="54"/>
  <c r="O156" i="54"/>
  <c r="O144" i="54"/>
  <c r="O136" i="54"/>
  <c r="O151" i="54"/>
  <c r="O135" i="54"/>
  <c r="O147" i="54"/>
  <c r="O176" i="54"/>
  <c r="O167" i="54"/>
  <c r="O160" i="54"/>
  <c r="O139" i="54"/>
  <c r="O143" i="54"/>
  <c r="E321" i="54"/>
  <c r="E264" i="54"/>
  <c r="G360" i="54"/>
  <c r="G303" i="54" s="1"/>
  <c r="E351" i="54"/>
  <c r="N342" i="54"/>
  <c r="N285" i="54" s="1"/>
  <c r="D321" i="54"/>
  <c r="E177" i="54"/>
  <c r="E165" i="54"/>
  <c r="E158" i="54"/>
  <c r="E150" i="54"/>
  <c r="E146" i="54"/>
  <c r="E138" i="54"/>
  <c r="E134" i="54"/>
  <c r="E178" i="54"/>
  <c r="E162" i="54"/>
  <c r="E137" i="54"/>
  <c r="E170" i="54"/>
  <c r="E149" i="54"/>
  <c r="E169" i="54"/>
  <c r="E145" i="54"/>
  <c r="G336" i="54"/>
  <c r="G279" i="54" s="1"/>
  <c r="N330" i="54"/>
  <c r="N273" i="54"/>
  <c r="N151" i="54"/>
  <c r="AG66" i="50"/>
  <c r="AA43" i="47"/>
  <c r="AB31" i="1"/>
  <c r="AC47" i="46"/>
  <c r="R43" i="48"/>
  <c r="R9" i="48"/>
  <c r="V47" i="42"/>
  <c r="AA47" i="41"/>
  <c r="AB30" i="1"/>
  <c r="AB35" i="1" s="1"/>
  <c r="AG12" i="28"/>
  <c r="AD12" i="28"/>
  <c r="AE12" i="28" s="1"/>
  <c r="AG21" i="28"/>
  <c r="Q25" i="38"/>
  <c r="AH9" i="38"/>
  <c r="N33" i="37"/>
  <c r="J33" i="37"/>
  <c r="F33" i="37"/>
  <c r="M33" i="37"/>
  <c r="I33" i="37"/>
  <c r="E33" i="37"/>
  <c r="AH30" i="37"/>
  <c r="O33" i="37"/>
  <c r="G33" i="37"/>
  <c r="L33" i="37"/>
  <c r="K33" i="37"/>
  <c r="P33" i="37"/>
  <c r="H33" i="37"/>
  <c r="AE12" i="32"/>
  <c r="AF12" i="32" s="1"/>
  <c r="AH12" i="32"/>
  <c r="T20" i="1"/>
  <c r="AG122" i="26"/>
  <c r="AD122" i="26"/>
  <c r="AE122" i="26" s="1"/>
  <c r="AG122" i="25"/>
  <c r="AD122" i="25"/>
  <c r="AE122" i="25" s="1"/>
  <c r="G27" i="25"/>
  <c r="G98" i="25"/>
  <c r="AG119" i="22"/>
  <c r="AD119" i="22"/>
  <c r="AE119" i="22" s="1"/>
  <c r="M98" i="22"/>
  <c r="M27" i="22"/>
  <c r="M21" i="10"/>
  <c r="AG52" i="28"/>
  <c r="AD52" i="28"/>
  <c r="AE52" i="28" s="1"/>
  <c r="AG75" i="24"/>
  <c r="AD75" i="24"/>
  <c r="AE75" i="24" s="1"/>
  <c r="U20" i="1"/>
  <c r="AD94" i="23"/>
  <c r="AE94" i="23" s="1"/>
  <c r="AG94" i="23"/>
  <c r="AC98" i="21"/>
  <c r="AC27" i="21"/>
  <c r="AC81" i="21" s="1"/>
  <c r="AC82" i="21" s="1"/>
  <c r="AC29" i="21"/>
  <c r="P93" i="17"/>
  <c r="AG9" i="17"/>
  <c r="AD9" i="17"/>
  <c r="AE9" i="17" s="1"/>
  <c r="P14" i="17"/>
  <c r="AG112" i="15"/>
  <c r="AD112" i="15"/>
  <c r="AE112" i="15" s="1"/>
  <c r="P14" i="15"/>
  <c r="P93" i="15"/>
  <c r="AG9" i="15"/>
  <c r="AD9" i="15"/>
  <c r="AE9" i="15" s="1"/>
  <c r="AD97" i="25"/>
  <c r="AE97" i="25" s="1"/>
  <c r="AG97" i="25"/>
  <c r="I29" i="13"/>
  <c r="I33" i="13"/>
  <c r="AG91" i="10"/>
  <c r="AD91" i="10"/>
  <c r="AE91" i="10" s="1"/>
  <c r="P218" i="10"/>
  <c r="AG75" i="10"/>
  <c r="AD75" i="10"/>
  <c r="AE75" i="10" s="1"/>
  <c r="P202" i="10"/>
  <c r="AG9" i="19"/>
  <c r="AD9" i="19"/>
  <c r="AE9" i="19" s="1"/>
  <c r="P93" i="19"/>
  <c r="P14" i="19"/>
  <c r="AC27" i="15"/>
  <c r="AC98" i="15"/>
  <c r="AC29" i="15"/>
  <c r="AG90" i="14"/>
  <c r="AD90" i="14"/>
  <c r="AE90" i="14" s="1"/>
  <c r="I27" i="14"/>
  <c r="I30" i="14"/>
  <c r="I14" i="10"/>
  <c r="I98" i="14"/>
  <c r="AG167" i="10"/>
  <c r="AD167" i="10"/>
  <c r="AE167" i="10" s="1"/>
  <c r="P213" i="10"/>
  <c r="AG86" i="10"/>
  <c r="AD86" i="10"/>
  <c r="AE86" i="10" s="1"/>
  <c r="P201" i="10"/>
  <c r="AG74" i="10"/>
  <c r="AD74" i="10"/>
  <c r="AE74" i="10" s="1"/>
  <c r="Q129" i="5"/>
  <c r="AH43" i="5"/>
  <c r="AE43" i="5"/>
  <c r="AF43" i="5" s="1"/>
  <c r="AM49" i="1"/>
  <c r="Q55" i="1"/>
  <c r="AJ49" i="1"/>
  <c r="AH49" i="1"/>
  <c r="AE49" i="1"/>
  <c r="AC27" i="14"/>
  <c r="AC81" i="14" s="1"/>
  <c r="AC82" i="14" s="1"/>
  <c r="AC29" i="14"/>
  <c r="AC98" i="14"/>
  <c r="F47" i="10"/>
  <c r="N186" i="10"/>
  <c r="N216" i="10"/>
  <c r="N200" i="10"/>
  <c r="N212" i="10"/>
  <c r="N224" i="10"/>
  <c r="N208" i="10"/>
  <c r="N220" i="10"/>
  <c r="N204" i="10"/>
  <c r="N223" i="10"/>
  <c r="N193" i="10"/>
  <c r="X50" i="10"/>
  <c r="X48" i="10"/>
  <c r="AH86" i="8"/>
  <c r="AE86" i="8"/>
  <c r="AF86" i="8" s="1"/>
  <c r="O33" i="14"/>
  <c r="O29" i="14"/>
  <c r="AD90" i="11"/>
  <c r="AE90" i="11" s="1"/>
  <c r="AG90" i="11"/>
  <c r="Z102" i="10"/>
  <c r="Z103" i="10" s="1"/>
  <c r="AA12" i="1"/>
  <c r="AG154" i="10"/>
  <c r="AD154" i="10"/>
  <c r="AE154" i="10" s="1"/>
  <c r="Y139" i="10"/>
  <c r="Y141" i="10"/>
  <c r="Y186" i="10"/>
  <c r="Y185" i="10"/>
  <c r="AD100" i="10"/>
  <c r="AE100" i="10" s="1"/>
  <c r="P227" i="10"/>
  <c r="AG100" i="10"/>
  <c r="N215" i="10"/>
  <c r="O201" i="10"/>
  <c r="Y197" i="10"/>
  <c r="AG62" i="10"/>
  <c r="P189" i="10"/>
  <c r="AD62" i="10"/>
  <c r="AE62" i="10" s="1"/>
  <c r="AH86" i="9"/>
  <c r="AE86" i="9"/>
  <c r="AF86" i="9" s="1"/>
  <c r="AE97" i="8"/>
  <c r="AF97" i="8" s="1"/>
  <c r="AH97" i="8"/>
  <c r="J27" i="17"/>
  <c r="J30" i="17"/>
  <c r="J33" i="17" s="1"/>
  <c r="J26" i="17"/>
  <c r="J98" i="17"/>
  <c r="J18" i="10"/>
  <c r="D98" i="16"/>
  <c r="D30" i="16"/>
  <c r="D27" i="16"/>
  <c r="D16" i="10"/>
  <c r="AD26" i="14"/>
  <c r="AE26" i="14" s="1"/>
  <c r="AG26" i="14"/>
  <c r="Y226" i="10"/>
  <c r="AD92" i="10"/>
  <c r="AE92" i="10" s="1"/>
  <c r="P219" i="10"/>
  <c r="AG92" i="10"/>
  <c r="Y206" i="10"/>
  <c r="F204" i="10"/>
  <c r="N195" i="10"/>
  <c r="H111" i="7"/>
  <c r="H56" i="7"/>
  <c r="H26" i="7"/>
  <c r="H26" i="5" s="1"/>
  <c r="H112" i="5" s="1"/>
  <c r="H21" i="7"/>
  <c r="AB60" i="7"/>
  <c r="AD22" i="13"/>
  <c r="AE22" i="13" s="1"/>
  <c r="AG22" i="13"/>
  <c r="AD95" i="11"/>
  <c r="AE95" i="11" s="1"/>
  <c r="AG95" i="11"/>
  <c r="I20" i="8"/>
  <c r="I105" i="6"/>
  <c r="I59" i="5"/>
  <c r="I58" i="5"/>
  <c r="I11" i="1"/>
  <c r="AH13" i="5"/>
  <c r="AE13" i="5"/>
  <c r="AF13" i="5" s="1"/>
  <c r="O138" i="10"/>
  <c r="Y60" i="6"/>
  <c r="O57" i="6"/>
  <c r="O58" i="6"/>
  <c r="O55" i="6"/>
  <c r="O56" i="6" s="1"/>
  <c r="M59" i="7"/>
  <c r="M49" i="7"/>
  <c r="M57" i="7"/>
  <c r="O206" i="10"/>
  <c r="N197" i="10"/>
  <c r="U192" i="10"/>
  <c r="Y228" i="10"/>
  <c r="AD132" i="5"/>
  <c r="AD44" i="5"/>
  <c r="AD106" i="5"/>
  <c r="AE37" i="5"/>
  <c r="AF37" i="5" s="1"/>
  <c r="AH37" i="5"/>
  <c r="Q123" i="5"/>
  <c r="AH54" i="1"/>
  <c r="AE54" i="1"/>
  <c r="AM54" i="1"/>
  <c r="AJ54" i="1"/>
  <c r="P20" i="8"/>
  <c r="P105" i="6"/>
  <c r="P59" i="5"/>
  <c r="P58" i="5"/>
  <c r="P11" i="1"/>
  <c r="Y31" i="55"/>
  <c r="Y92" i="43"/>
  <c r="Y91" i="43"/>
  <c r="P22" i="55"/>
  <c r="AG10" i="55"/>
  <c r="AD10" i="55"/>
  <c r="AE10" i="55" s="1"/>
  <c r="E257" i="54"/>
  <c r="G203" i="54"/>
  <c r="D178" i="54"/>
  <c r="O164" i="54"/>
  <c r="N160" i="54"/>
  <c r="E157" i="54"/>
  <c r="F178" i="54"/>
  <c r="O177" i="54"/>
  <c r="D176" i="54"/>
  <c r="F174" i="54"/>
  <c r="O173" i="54"/>
  <c r="D172" i="54"/>
  <c r="G344" i="54"/>
  <c r="G287" i="54" s="1"/>
  <c r="G338" i="54"/>
  <c r="G281" i="54" s="1"/>
  <c r="G251" i="54"/>
  <c r="I198" i="54"/>
  <c r="F177" i="54"/>
  <c r="N169" i="54"/>
  <c r="D168" i="54"/>
  <c r="O159" i="54"/>
  <c r="F158" i="54"/>
  <c r="F156" i="54"/>
  <c r="E151" i="54"/>
  <c r="O149" i="54"/>
  <c r="F146" i="54"/>
  <c r="L144" i="54"/>
  <c r="D140" i="54"/>
  <c r="N138" i="54"/>
  <c r="D136" i="54"/>
  <c r="N134" i="54"/>
  <c r="L180" i="54"/>
  <c r="O354" i="54"/>
  <c r="O297" i="54" s="1"/>
  <c r="D165" i="54"/>
  <c r="L348" i="54"/>
  <c r="L291" i="54" s="1"/>
  <c r="L157" i="54"/>
  <c r="N327" i="54"/>
  <c r="N270" i="54" s="1"/>
  <c r="F169" i="54"/>
  <c r="E167" i="54"/>
  <c r="F162" i="54"/>
  <c r="F160" i="54"/>
  <c r="D147" i="54"/>
  <c r="L139" i="54"/>
  <c r="O170" i="54"/>
  <c r="G297" i="54"/>
  <c r="L161" i="54"/>
  <c r="F159" i="54"/>
  <c r="L171" i="54"/>
  <c r="N171" i="54"/>
  <c r="N143" i="54"/>
  <c r="P9" i="54"/>
  <c r="AG9" i="54" s="1"/>
  <c r="E210" i="54"/>
  <c r="G191" i="54"/>
  <c r="L130" i="54"/>
  <c r="L364" i="54"/>
  <c r="G163" i="54"/>
  <c r="N163" i="54"/>
  <c r="F154" i="54"/>
  <c r="N153" i="54"/>
  <c r="D153" i="54"/>
  <c r="F133" i="54"/>
  <c r="P133" i="54" s="1"/>
  <c r="L133" i="54"/>
  <c r="D132" i="54"/>
  <c r="L131" i="54"/>
  <c r="F131" i="54"/>
  <c r="N130" i="54"/>
  <c r="AD9" i="54"/>
  <c r="AE9" i="54" s="1"/>
  <c r="Q73" i="53"/>
  <c r="E244" i="54"/>
  <c r="E299" i="54" s="1"/>
  <c r="G195" i="54"/>
  <c r="O150" i="54"/>
  <c r="O148" i="54"/>
  <c r="E148" i="54"/>
  <c r="O141" i="54"/>
  <c r="K383" i="54"/>
  <c r="P383" i="54" s="1"/>
  <c r="G366" i="54"/>
  <c r="G309" i="54" s="1"/>
  <c r="N362" i="54"/>
  <c r="N164" i="54"/>
  <c r="AC9" i="53"/>
  <c r="AD9" i="53" s="1"/>
  <c r="AE9" i="53" s="1"/>
  <c r="AG12" i="49"/>
  <c r="AD12" i="49"/>
  <c r="AE12" i="49" s="1"/>
  <c r="P57" i="53"/>
  <c r="AG57" i="53" s="1"/>
  <c r="P49" i="47"/>
  <c r="AG49" i="47" s="1"/>
  <c r="AG47" i="47"/>
  <c r="Y64" i="51"/>
  <c r="W43" i="50"/>
  <c r="AD72" i="47"/>
  <c r="AE72" i="47" s="1"/>
  <c r="R31" i="1"/>
  <c r="AD48" i="47"/>
  <c r="AE48" i="47" s="1"/>
  <c r="S43" i="47"/>
  <c r="T31" i="1"/>
  <c r="AD71" i="47"/>
  <c r="AE71" i="47" s="1"/>
  <c r="AD38" i="47"/>
  <c r="V43" i="47"/>
  <c r="W31" i="1"/>
  <c r="AD49" i="50"/>
  <c r="AE49" i="50" s="1"/>
  <c r="P66" i="47"/>
  <c r="AG66" i="47" s="1"/>
  <c r="AG58" i="47"/>
  <c r="AD37" i="47"/>
  <c r="AE37" i="47" s="1"/>
  <c r="AD24" i="47"/>
  <c r="Y43" i="47"/>
  <c r="AC47" i="43"/>
  <c r="Z43" i="48"/>
  <c r="Z9" i="48"/>
  <c r="X43" i="47"/>
  <c r="V83" i="41"/>
  <c r="E83" i="41"/>
  <c r="E9" i="41" s="1"/>
  <c r="AD18" i="47"/>
  <c r="AE18" i="47" s="1"/>
  <c r="AB47" i="43"/>
  <c r="AG12" i="43"/>
  <c r="AD61" i="42"/>
  <c r="AE61" i="42" s="1"/>
  <c r="AC82" i="41"/>
  <c r="AC71" i="41"/>
  <c r="AD71" i="41" s="1"/>
  <c r="AE71" i="41" s="1"/>
  <c r="AD63" i="41"/>
  <c r="AE63" i="41" s="1"/>
  <c r="AG63" i="41"/>
  <c r="P71" i="41"/>
  <c r="AG71" i="41" s="1"/>
  <c r="AD45" i="41"/>
  <c r="AE45" i="41" s="1"/>
  <c r="Q47" i="41"/>
  <c r="R30" i="1"/>
  <c r="T47" i="41"/>
  <c r="U30" i="1"/>
  <c r="U35" i="1" s="1"/>
  <c r="AC9" i="38"/>
  <c r="AC25" i="38" s="1"/>
  <c r="AB81" i="28"/>
  <c r="AH13" i="38"/>
  <c r="AE13" i="38"/>
  <c r="AF13" i="38" s="1"/>
  <c r="AD9" i="49"/>
  <c r="AE9" i="49" s="1"/>
  <c r="AE48" i="38"/>
  <c r="AF48" i="38" s="1"/>
  <c r="T9" i="38"/>
  <c r="T25" i="38" s="1"/>
  <c r="S81" i="28"/>
  <c r="AG16" i="28"/>
  <c r="AD16" i="28"/>
  <c r="AE16" i="28" s="1"/>
  <c r="S47" i="45"/>
  <c r="P83" i="44"/>
  <c r="AG83" i="44" s="1"/>
  <c r="AC54" i="41"/>
  <c r="AD54" i="41" s="1"/>
  <c r="AE54" i="41" s="1"/>
  <c r="AD52" i="41"/>
  <c r="AE52" i="41" s="1"/>
  <c r="AD59" i="37"/>
  <c r="AE30" i="37"/>
  <c r="AF30" i="37" s="1"/>
  <c r="AH15" i="34"/>
  <c r="R25" i="1"/>
  <c r="AD13" i="1"/>
  <c r="AD68" i="32"/>
  <c r="AD64" i="31"/>
  <c r="AE64" i="31" s="1"/>
  <c r="AG59" i="28"/>
  <c r="AD59" i="28"/>
  <c r="AE59" i="28" s="1"/>
  <c r="AD54" i="28"/>
  <c r="AE54" i="28" s="1"/>
  <c r="AG54" i="28"/>
  <c r="AG47" i="28"/>
  <c r="AD47" i="28"/>
  <c r="AE47" i="28" s="1"/>
  <c r="AD115" i="27"/>
  <c r="AE115" i="27" s="1"/>
  <c r="P83" i="45"/>
  <c r="AG83" i="45" s="1"/>
  <c r="AD43" i="41"/>
  <c r="AE43" i="41" s="1"/>
  <c r="W47" i="41"/>
  <c r="X30" i="1"/>
  <c r="X35" i="1" s="1"/>
  <c r="AE24" i="38"/>
  <c r="AF24" i="38" s="1"/>
  <c r="AH17" i="32"/>
  <c r="AD70" i="28"/>
  <c r="AE70" i="28" s="1"/>
  <c r="AG70" i="28"/>
  <c r="R77" i="28"/>
  <c r="S20" i="1" s="1"/>
  <c r="AD20" i="1" s="1"/>
  <c r="O33" i="28"/>
  <c r="AG11" i="26"/>
  <c r="P95" i="26"/>
  <c r="AD11" i="26"/>
  <c r="AE11" i="26" s="1"/>
  <c r="P12" i="41"/>
  <c r="AH17" i="33"/>
  <c r="AE17" i="33"/>
  <c r="AF17" i="33" s="1"/>
  <c r="K29" i="31"/>
  <c r="AD74" i="28"/>
  <c r="AE74" i="28" s="1"/>
  <c r="AG74" i="28"/>
  <c r="AB20" i="1"/>
  <c r="AB25" i="1" s="1"/>
  <c r="T25" i="1"/>
  <c r="AC40" i="28"/>
  <c r="AD13" i="28"/>
  <c r="AE13" i="28" s="1"/>
  <c r="AG13" i="28"/>
  <c r="F27" i="26"/>
  <c r="F98" i="26"/>
  <c r="Z20" i="1"/>
  <c r="Z25" i="1" s="1"/>
  <c r="S25" i="1"/>
  <c r="O27" i="25"/>
  <c r="O98" i="25"/>
  <c r="N98" i="24"/>
  <c r="N27" i="24"/>
  <c r="P134" i="23"/>
  <c r="AG105" i="23"/>
  <c r="AD105" i="23"/>
  <c r="AE105" i="23" s="1"/>
  <c r="AG117" i="22"/>
  <c r="AD117" i="22"/>
  <c r="AE117" i="22" s="1"/>
  <c r="AC98" i="22"/>
  <c r="AC27" i="22"/>
  <c r="E98" i="22"/>
  <c r="E27" i="22"/>
  <c r="E21" i="10"/>
  <c r="P83" i="46"/>
  <c r="AG83" i="46" s="1"/>
  <c r="I41" i="28"/>
  <c r="J15" i="1"/>
  <c r="J27" i="1" s="1"/>
  <c r="AC36" i="28"/>
  <c r="AD10" i="25"/>
  <c r="AE10" i="25" s="1"/>
  <c r="P94" i="25"/>
  <c r="AG10" i="25"/>
  <c r="AG31" i="23"/>
  <c r="P29" i="23"/>
  <c r="AD31" i="23"/>
  <c r="AE31" i="23" s="1"/>
  <c r="AG43" i="22"/>
  <c r="AD43" i="22"/>
  <c r="AE43" i="22" s="1"/>
  <c r="AC134" i="21"/>
  <c r="AC137" i="21" s="1"/>
  <c r="AC20" i="1"/>
  <c r="AC25" i="1" s="1"/>
  <c r="AD71" i="27"/>
  <c r="AE71" i="27" s="1"/>
  <c r="P93" i="26"/>
  <c r="AD9" i="26"/>
  <c r="AE9" i="26" s="1"/>
  <c r="AG9" i="26"/>
  <c r="P14" i="26"/>
  <c r="AD133" i="24"/>
  <c r="AE133" i="24" s="1"/>
  <c r="AG133" i="24"/>
  <c r="AC134" i="23"/>
  <c r="AD14" i="28"/>
  <c r="AE14" i="28" s="1"/>
  <c r="M98" i="23"/>
  <c r="M30" i="23"/>
  <c r="M33" i="23" s="1"/>
  <c r="M27" i="23"/>
  <c r="M26" i="23"/>
  <c r="M22" i="10"/>
  <c r="AD10" i="22"/>
  <c r="AE10" i="22" s="1"/>
  <c r="P94" i="22"/>
  <c r="AG10" i="22"/>
  <c r="M98" i="21"/>
  <c r="M27" i="21"/>
  <c r="M30" i="21"/>
  <c r="M33" i="21" s="1"/>
  <c r="M23" i="10"/>
  <c r="AG10" i="20"/>
  <c r="P94" i="20"/>
  <c r="AD10" i="20"/>
  <c r="AE10" i="20" s="1"/>
  <c r="G98" i="19"/>
  <c r="G27" i="19"/>
  <c r="G19" i="10"/>
  <c r="H114" i="18"/>
  <c r="G157" i="10"/>
  <c r="P94" i="18"/>
  <c r="AG10" i="18"/>
  <c r="AD10" i="18"/>
  <c r="AE10" i="18" s="1"/>
  <c r="AG90" i="16"/>
  <c r="AD90" i="16"/>
  <c r="AE90" i="16" s="1"/>
  <c r="L33" i="15"/>
  <c r="L29" i="15"/>
  <c r="AG22" i="14"/>
  <c r="AD22" i="14"/>
  <c r="AE22" i="14" s="1"/>
  <c r="S81" i="26"/>
  <c r="S82" i="26" s="1"/>
  <c r="P93" i="23"/>
  <c r="AD9" i="23"/>
  <c r="AE9" i="23" s="1"/>
  <c r="AG9" i="23"/>
  <c r="P14" i="23"/>
  <c r="P96" i="21"/>
  <c r="AG12" i="21"/>
  <c r="AD12" i="21"/>
  <c r="AE12" i="21" s="1"/>
  <c r="AC35" i="20"/>
  <c r="AC81" i="20" s="1"/>
  <c r="AC82" i="20" s="1"/>
  <c r="AG43" i="18"/>
  <c r="AD43" i="18"/>
  <c r="AE43" i="18" s="1"/>
  <c r="AG22" i="15"/>
  <c r="AD22" i="15"/>
  <c r="AE22" i="15" s="1"/>
  <c r="X81" i="13"/>
  <c r="X82" i="13" s="1"/>
  <c r="H41" i="28"/>
  <c r="I15" i="1"/>
  <c r="E33" i="20"/>
  <c r="E28" i="20"/>
  <c r="AG122" i="16"/>
  <c r="AD122" i="16"/>
  <c r="AE122" i="16" s="1"/>
  <c r="K29" i="16"/>
  <c r="K33" i="16"/>
  <c r="P96" i="14"/>
  <c r="AG12" i="14"/>
  <c r="AD12" i="14"/>
  <c r="AE12" i="14" s="1"/>
  <c r="AC81" i="13"/>
  <c r="AC82" i="13" s="1"/>
  <c r="U225" i="10"/>
  <c r="U221" i="10"/>
  <c r="Y217" i="10"/>
  <c r="Y213" i="10"/>
  <c r="Y209" i="10"/>
  <c r="Y205" i="10"/>
  <c r="Y201" i="10"/>
  <c r="P14" i="22"/>
  <c r="L98" i="21"/>
  <c r="L27" i="21"/>
  <c r="L30" i="21"/>
  <c r="L33" i="21" s="1"/>
  <c r="L23" i="10"/>
  <c r="AD90" i="20"/>
  <c r="AE90" i="20" s="1"/>
  <c r="AG90" i="20"/>
  <c r="AG22" i="20"/>
  <c r="AD22" i="20"/>
  <c r="AE22" i="20" s="1"/>
  <c r="I114" i="19"/>
  <c r="AC35" i="19"/>
  <c r="AC98" i="19"/>
  <c r="AC27" i="19"/>
  <c r="AC81" i="19" s="1"/>
  <c r="AC82" i="19" s="1"/>
  <c r="AG13" i="19"/>
  <c r="P97" i="19"/>
  <c r="AD13" i="19"/>
  <c r="AE13" i="19" s="1"/>
  <c r="G121" i="18"/>
  <c r="F164" i="10"/>
  <c r="AG9" i="18"/>
  <c r="P93" i="18"/>
  <c r="AD9" i="18"/>
  <c r="AE9" i="18" s="1"/>
  <c r="P14" i="18"/>
  <c r="AD133" i="17"/>
  <c r="AE133" i="17" s="1"/>
  <c r="AG133" i="17"/>
  <c r="AD105" i="17"/>
  <c r="AE105" i="17" s="1"/>
  <c r="AG11" i="17"/>
  <c r="AD11" i="17"/>
  <c r="AE11" i="17" s="1"/>
  <c r="P95" i="17"/>
  <c r="F33" i="15"/>
  <c r="F29" i="15"/>
  <c r="AG90" i="13"/>
  <c r="AD90" i="13"/>
  <c r="AE90" i="13" s="1"/>
  <c r="L98" i="13"/>
  <c r="L12" i="10"/>
  <c r="L27" i="13"/>
  <c r="L30" i="13"/>
  <c r="M98" i="12"/>
  <c r="M30" i="12"/>
  <c r="M51" i="10" s="1"/>
  <c r="M13" i="10"/>
  <c r="M26" i="12"/>
  <c r="AC81" i="11"/>
  <c r="AC82" i="11" s="1"/>
  <c r="AG9" i="11"/>
  <c r="P93" i="11"/>
  <c r="AD9" i="11"/>
  <c r="AE9" i="11" s="1"/>
  <c r="P14" i="11"/>
  <c r="R187" i="10"/>
  <c r="Y220" i="10"/>
  <c r="Y216" i="10"/>
  <c r="Y212" i="10"/>
  <c r="Y208" i="10"/>
  <c r="Y204" i="10"/>
  <c r="Y200" i="10"/>
  <c r="AH97" i="7"/>
  <c r="AE97" i="7"/>
  <c r="AF97" i="7" s="1"/>
  <c r="M55" i="6"/>
  <c r="M56" i="6" s="1"/>
  <c r="M57" i="6"/>
  <c r="K49" i="6"/>
  <c r="K59" i="6"/>
  <c r="X130" i="5"/>
  <c r="X60" i="5"/>
  <c r="X18" i="1"/>
  <c r="X81" i="21"/>
  <c r="X82" i="21" s="1"/>
  <c r="K30" i="21"/>
  <c r="K33" i="21" s="1"/>
  <c r="K27" i="21"/>
  <c r="K98" i="21"/>
  <c r="K23" i="10"/>
  <c r="AD43" i="20"/>
  <c r="AE43" i="20" s="1"/>
  <c r="AG43" i="20"/>
  <c r="R81" i="20"/>
  <c r="R82" i="20" s="1"/>
  <c r="Y81" i="19"/>
  <c r="Y82" i="19" s="1"/>
  <c r="AD105" i="16"/>
  <c r="AE105" i="16" s="1"/>
  <c r="P134" i="16"/>
  <c r="AG105" i="16"/>
  <c r="Q81" i="16"/>
  <c r="Q82" i="16" s="1"/>
  <c r="L30" i="16"/>
  <c r="L27" i="16"/>
  <c r="L16" i="10"/>
  <c r="L98" i="16"/>
  <c r="AG122" i="15"/>
  <c r="AD122" i="15"/>
  <c r="AE122" i="15" s="1"/>
  <c r="AD43" i="15"/>
  <c r="AE43" i="15" s="1"/>
  <c r="AG43" i="15"/>
  <c r="AC134" i="14"/>
  <c r="H29" i="14"/>
  <c r="H33" i="14"/>
  <c r="D30" i="13"/>
  <c r="D27" i="13"/>
  <c r="D98" i="13"/>
  <c r="D12" i="10"/>
  <c r="D24" i="10" s="1"/>
  <c r="K98" i="11"/>
  <c r="K27" i="11"/>
  <c r="K30" i="11"/>
  <c r="K11" i="10"/>
  <c r="Q193" i="10"/>
  <c r="Y187" i="10"/>
  <c r="D126" i="10"/>
  <c r="U227" i="10"/>
  <c r="U223" i="10"/>
  <c r="U219" i="10"/>
  <c r="U215" i="10"/>
  <c r="U211" i="10"/>
  <c r="U207" i="10"/>
  <c r="U203" i="10"/>
  <c r="AC101" i="10"/>
  <c r="AD29" i="10"/>
  <c r="AE29" i="10" s="1"/>
  <c r="AD97" i="26"/>
  <c r="AE97" i="26" s="1"/>
  <c r="AG97" i="26"/>
  <c r="AG118" i="19"/>
  <c r="AD118" i="19"/>
  <c r="AE118" i="19" s="1"/>
  <c r="P19" i="10"/>
  <c r="I117" i="18"/>
  <c r="H160" i="10"/>
  <c r="N29" i="12"/>
  <c r="N33" i="12"/>
  <c r="AC176" i="10"/>
  <c r="AC177" i="10" s="1"/>
  <c r="M186" i="10"/>
  <c r="AG117" i="10"/>
  <c r="AD117" i="10"/>
  <c r="AE117" i="10" s="1"/>
  <c r="AD111" i="10"/>
  <c r="AE111" i="10" s="1"/>
  <c r="AG111" i="10"/>
  <c r="Z141" i="10"/>
  <c r="Z186" i="10"/>
  <c r="Z185" i="10"/>
  <c r="Z227" i="10"/>
  <c r="Z211" i="10"/>
  <c r="Z223" i="10"/>
  <c r="Z207" i="10"/>
  <c r="Z219" i="10"/>
  <c r="Z203" i="10"/>
  <c r="Z139" i="10"/>
  <c r="Z215" i="10"/>
  <c r="Z216" i="10"/>
  <c r="Z213" i="10"/>
  <c r="Z210" i="10"/>
  <c r="O208" i="10"/>
  <c r="O205" i="10"/>
  <c r="N203" i="10"/>
  <c r="O202" i="10"/>
  <c r="R200" i="10"/>
  <c r="AG71" i="10"/>
  <c r="AD71" i="10"/>
  <c r="AE71" i="10" s="1"/>
  <c r="P198" i="10"/>
  <c r="M197" i="10"/>
  <c r="F196" i="10"/>
  <c r="M194" i="10"/>
  <c r="F193" i="10"/>
  <c r="Q190" i="10"/>
  <c r="R189" i="10"/>
  <c r="AG33" i="10"/>
  <c r="AD33" i="10"/>
  <c r="AE33" i="10" s="1"/>
  <c r="P30" i="10"/>
  <c r="D42" i="10"/>
  <c r="F108" i="5"/>
  <c r="Q22" i="5"/>
  <c r="AD98" i="8"/>
  <c r="AD103" i="8" s="1"/>
  <c r="AH86" i="6"/>
  <c r="AE86" i="6"/>
  <c r="AF86" i="6" s="1"/>
  <c r="AH12" i="6"/>
  <c r="AE12" i="6"/>
  <c r="AF12" i="6" s="1"/>
  <c r="Q15" i="6"/>
  <c r="AD97" i="23"/>
  <c r="AE97" i="23" s="1"/>
  <c r="AG97" i="23"/>
  <c r="AG96" i="12"/>
  <c r="AD96" i="12"/>
  <c r="AE96" i="12" s="1"/>
  <c r="O30" i="12"/>
  <c r="O27" i="12"/>
  <c r="O13" i="10"/>
  <c r="O26" i="12"/>
  <c r="O47" i="10" s="1"/>
  <c r="O98" i="12"/>
  <c r="G186" i="10"/>
  <c r="G217" i="10"/>
  <c r="G201" i="10"/>
  <c r="G213" i="10"/>
  <c r="G225" i="10"/>
  <c r="G209" i="10"/>
  <c r="G205" i="10"/>
  <c r="P52" i="10"/>
  <c r="H33" i="11"/>
  <c r="H29" i="11"/>
  <c r="D33" i="11"/>
  <c r="D29" i="11"/>
  <c r="P235" i="10"/>
  <c r="Y184" i="10"/>
  <c r="H128" i="10"/>
  <c r="AG109" i="10"/>
  <c r="AD109" i="10"/>
  <c r="AE109" i="10" s="1"/>
  <c r="R226" i="10"/>
  <c r="F225" i="10"/>
  <c r="K224" i="10"/>
  <c r="N222" i="10"/>
  <c r="T220" i="10"/>
  <c r="T217" i="10"/>
  <c r="G211" i="10"/>
  <c r="Q210" i="10"/>
  <c r="M206" i="10"/>
  <c r="G204" i="10"/>
  <c r="AD73" i="10"/>
  <c r="AE73" i="10" s="1"/>
  <c r="P200" i="10"/>
  <c r="AG73" i="10"/>
  <c r="N199" i="10"/>
  <c r="K198" i="10"/>
  <c r="R196" i="10"/>
  <c r="K195" i="10"/>
  <c r="U194" i="10"/>
  <c r="M192" i="10"/>
  <c r="R191" i="10"/>
  <c r="O190" i="10"/>
  <c r="U189" i="10"/>
  <c r="O187" i="10"/>
  <c r="Z50" i="10"/>
  <c r="AG32" i="10"/>
  <c r="AD32" i="10"/>
  <c r="AE32" i="10" s="1"/>
  <c r="W24" i="10"/>
  <c r="AE51" i="9"/>
  <c r="AF51" i="9" s="1"/>
  <c r="AH51" i="9"/>
  <c r="U60" i="9"/>
  <c r="W45" i="7"/>
  <c r="W46" i="7" s="1"/>
  <c r="W81" i="20"/>
  <c r="W82" i="20" s="1"/>
  <c r="AG95" i="16"/>
  <c r="AD95" i="16"/>
  <c r="AE95" i="16" s="1"/>
  <c r="F192" i="10"/>
  <c r="G33" i="14"/>
  <c r="G29" i="14"/>
  <c r="P94" i="12"/>
  <c r="AD10" i="12"/>
  <c r="AE10" i="12" s="1"/>
  <c r="AG10" i="12"/>
  <c r="W121" i="10"/>
  <c r="AG116" i="10"/>
  <c r="P134" i="10"/>
  <c r="AD116" i="10"/>
  <c r="AE116" i="10" s="1"/>
  <c r="AG112" i="10"/>
  <c r="AD112" i="10"/>
  <c r="AE112" i="10" s="1"/>
  <c r="F128" i="10"/>
  <c r="G227" i="10"/>
  <c r="Q226" i="10"/>
  <c r="M222" i="10"/>
  <c r="F220" i="10"/>
  <c r="R218" i="10"/>
  <c r="F217" i="10"/>
  <c r="K216" i="10"/>
  <c r="N214" i="10"/>
  <c r="K213" i="10"/>
  <c r="F211" i="10"/>
  <c r="G210" i="10"/>
  <c r="G207" i="10"/>
  <c r="Q206" i="10"/>
  <c r="AD76" i="10"/>
  <c r="AE76" i="10" s="1"/>
  <c r="P203" i="10"/>
  <c r="AG76" i="10"/>
  <c r="I202" i="10"/>
  <c r="N201" i="10"/>
  <c r="T200" i="10"/>
  <c r="Y199" i="10"/>
  <c r="I199" i="10"/>
  <c r="O197" i="10"/>
  <c r="U196" i="10"/>
  <c r="F195" i="10"/>
  <c r="Y193" i="10"/>
  <c r="Z192" i="10"/>
  <c r="Y191" i="10"/>
  <c r="I191" i="10"/>
  <c r="O189" i="10"/>
  <c r="AD59" i="9"/>
  <c r="AD58" i="9"/>
  <c r="Y56" i="8"/>
  <c r="Y60" i="8"/>
  <c r="AE22" i="8"/>
  <c r="AF22" i="8" s="1"/>
  <c r="AH22" i="8"/>
  <c r="P111" i="7"/>
  <c r="P56" i="7"/>
  <c r="P26" i="7"/>
  <c r="P26" i="5" s="1"/>
  <c r="P112" i="5" s="1"/>
  <c r="P21" i="7"/>
  <c r="AE51" i="7"/>
  <c r="AF51" i="7" s="1"/>
  <c r="AH51" i="7"/>
  <c r="AH12" i="7"/>
  <c r="Q15" i="7"/>
  <c r="AE12" i="7"/>
  <c r="AF12" i="7" s="1"/>
  <c r="AE51" i="6"/>
  <c r="AF51" i="6" s="1"/>
  <c r="AH51" i="6"/>
  <c r="M115" i="18"/>
  <c r="F52" i="10"/>
  <c r="AG94" i="16"/>
  <c r="AD94" i="16"/>
  <c r="AE94" i="16" s="1"/>
  <c r="T223" i="10"/>
  <c r="Y222" i="10"/>
  <c r="O212" i="10"/>
  <c r="R207" i="10"/>
  <c r="I195" i="10"/>
  <c r="R190" i="10"/>
  <c r="K57" i="8"/>
  <c r="K55" i="8"/>
  <c r="K56" i="8" s="1"/>
  <c r="K58" i="8"/>
  <c r="Z60" i="7"/>
  <c r="AE76" i="6"/>
  <c r="AF76" i="6" s="1"/>
  <c r="Q98" i="6"/>
  <c r="AH76" i="6"/>
  <c r="AE41" i="5"/>
  <c r="AF41" i="5" s="1"/>
  <c r="Q127" i="5"/>
  <c r="AH41" i="5"/>
  <c r="AH114" i="5"/>
  <c r="AE114" i="5"/>
  <c r="G58" i="5"/>
  <c r="G20" i="8"/>
  <c r="G105" i="6"/>
  <c r="G59" i="5"/>
  <c r="G11" i="1"/>
  <c r="J128" i="10"/>
  <c r="Z217" i="10"/>
  <c r="K209" i="10"/>
  <c r="R204" i="10"/>
  <c r="G196" i="10"/>
  <c r="Q195" i="10"/>
  <c r="AD64" i="10"/>
  <c r="AE64" i="10" s="1"/>
  <c r="P191" i="10"/>
  <c r="AG64" i="10"/>
  <c r="Y102" i="10"/>
  <c r="Y103" i="10" s="1"/>
  <c r="AC60" i="8"/>
  <c r="AD57" i="6"/>
  <c r="AD55" i="6"/>
  <c r="AD56" i="6" s="1"/>
  <c r="AD60" i="6"/>
  <c r="O74" i="1"/>
  <c r="O75" i="1" s="1"/>
  <c r="K58" i="7"/>
  <c r="K57" i="7"/>
  <c r="K55" i="7"/>
  <c r="G57" i="8"/>
  <c r="G55" i="8"/>
  <c r="G56" i="8" s="1"/>
  <c r="G58" i="8"/>
  <c r="G58" i="9"/>
  <c r="G57" i="9"/>
  <c r="G55" i="9"/>
  <c r="G56" i="9" s="1"/>
  <c r="I59" i="7"/>
  <c r="I49" i="7"/>
  <c r="I57" i="7"/>
  <c r="Q49" i="5"/>
  <c r="AE42" i="5"/>
  <c r="AF42" i="5" s="1"/>
  <c r="Q128" i="5"/>
  <c r="AH42" i="5"/>
  <c r="AD75" i="1"/>
  <c r="R224" i="10"/>
  <c r="Y218" i="10"/>
  <c r="R214" i="10"/>
  <c r="T207" i="10"/>
  <c r="Z201" i="10"/>
  <c r="F197" i="10"/>
  <c r="G193" i="10"/>
  <c r="I192" i="10"/>
  <c r="K188" i="10"/>
  <c r="W60" i="6"/>
  <c r="AD76" i="5"/>
  <c r="AD98" i="5" s="1"/>
  <c r="AD17" i="5" s="1"/>
  <c r="AH67" i="5"/>
  <c r="AE67" i="5"/>
  <c r="AF67" i="5" s="1"/>
  <c r="N55" i="7"/>
  <c r="N58" i="7"/>
  <c r="N57" i="7"/>
  <c r="N58" i="8"/>
  <c r="N57" i="8"/>
  <c r="N55" i="8"/>
  <c r="N56" i="8" s="1"/>
  <c r="F55" i="9"/>
  <c r="F56" i="9" s="1"/>
  <c r="F58" i="9"/>
  <c r="F57" i="9"/>
  <c r="P59" i="6"/>
  <c r="P49" i="6"/>
  <c r="L59" i="9"/>
  <c r="L49" i="9"/>
  <c r="H59" i="7"/>
  <c r="H49" i="7"/>
  <c r="Q32" i="5"/>
  <c r="E20" i="8"/>
  <c r="E105" i="6"/>
  <c r="Q105" i="6" s="1"/>
  <c r="E59" i="5"/>
  <c r="E58" i="5"/>
  <c r="E11" i="1"/>
  <c r="AG132" i="10"/>
  <c r="AD132" i="10"/>
  <c r="AE132" i="10" s="1"/>
  <c r="AB139" i="10"/>
  <c r="T227" i="10"/>
  <c r="Z221" i="10"/>
  <c r="AD88" i="10"/>
  <c r="AE88" i="10" s="1"/>
  <c r="P215" i="10"/>
  <c r="AG88" i="10"/>
  <c r="F207" i="10"/>
  <c r="Y202" i="10"/>
  <c r="E198" i="10"/>
  <c r="N194" i="10"/>
  <c r="Z46" i="8"/>
  <c r="AD55" i="7"/>
  <c r="AD56" i="7" s="1"/>
  <c r="AD57" i="7"/>
  <c r="E26" i="5"/>
  <c r="U60" i="5"/>
  <c r="U18" i="1"/>
  <c r="U130" i="5"/>
  <c r="AE28" i="5"/>
  <c r="AF28" i="5" s="1"/>
  <c r="AJ45" i="1"/>
  <c r="AH45" i="1"/>
  <c r="AM45" i="1"/>
  <c r="AE45" i="1"/>
  <c r="AH34" i="1"/>
  <c r="AJ34" i="1"/>
  <c r="AE34" i="1"/>
  <c r="AM34" i="1"/>
  <c r="D358" i="54"/>
  <c r="D301" i="54"/>
  <c r="E306" i="54"/>
  <c r="E352" i="54"/>
  <c r="E295" i="54" s="1"/>
  <c r="G194" i="54"/>
  <c r="E239" i="54"/>
  <c r="D332" i="54"/>
  <c r="D275" i="54"/>
  <c r="L335" i="54"/>
  <c r="L278" i="54" s="1"/>
  <c r="L130" i="18" s="1"/>
  <c r="E363" i="54"/>
  <c r="F359" i="54"/>
  <c r="F302" i="54" s="1"/>
  <c r="F351" i="54"/>
  <c r="L284" i="54"/>
  <c r="N321" i="54"/>
  <c r="N264" i="54" s="1"/>
  <c r="D262" i="54"/>
  <c r="D174" i="54"/>
  <c r="D156" i="54"/>
  <c r="D155" i="54"/>
  <c r="D151" i="54"/>
  <c r="D143" i="54"/>
  <c r="D135" i="54"/>
  <c r="D167" i="54"/>
  <c r="D175" i="54"/>
  <c r="D160" i="54"/>
  <c r="D138" i="54"/>
  <c r="D146" i="54"/>
  <c r="D158" i="54"/>
  <c r="D150" i="54"/>
  <c r="D130" i="54"/>
  <c r="D134" i="54"/>
  <c r="G365" i="54"/>
  <c r="G272" i="54"/>
  <c r="F180" i="54"/>
  <c r="F172" i="54"/>
  <c r="F149" i="54"/>
  <c r="F145" i="54"/>
  <c r="F137" i="54"/>
  <c r="F173" i="54"/>
  <c r="F157" i="54"/>
  <c r="F144" i="54"/>
  <c r="F136" i="54"/>
  <c r="F140" i="54"/>
  <c r="F181" i="54"/>
  <c r="F164" i="54"/>
  <c r="F152" i="54"/>
  <c r="F166" i="54"/>
  <c r="P77" i="47"/>
  <c r="AG68" i="47"/>
  <c r="P86" i="47"/>
  <c r="AD58" i="47"/>
  <c r="AE58" i="47" s="1"/>
  <c r="AC66" i="47"/>
  <c r="AD66" i="47" s="1"/>
  <c r="AE66" i="47" s="1"/>
  <c r="AC78" i="49"/>
  <c r="AD77" i="49"/>
  <c r="AE77" i="49" s="1"/>
  <c r="AB47" i="41"/>
  <c r="AC30" i="1"/>
  <c r="AC35" i="1" s="1"/>
  <c r="AH11" i="39"/>
  <c r="Q114" i="38"/>
  <c r="Q110" i="38"/>
  <c r="Q106" i="38"/>
  <c r="Q102" i="38"/>
  <c r="Q98" i="38"/>
  <c r="Q94" i="38"/>
  <c r="Q90" i="38"/>
  <c r="Q86" i="38"/>
  <c r="Q82" i="38"/>
  <c r="Q78" i="38"/>
  <c r="Q74" i="38"/>
  <c r="Q117" i="38"/>
  <c r="Q113" i="38"/>
  <c r="Q109" i="38"/>
  <c r="Q105" i="38"/>
  <c r="Q101" i="38"/>
  <c r="Q97" i="38"/>
  <c r="Q93" i="38"/>
  <c r="Q89" i="38"/>
  <c r="Q85" i="38"/>
  <c r="Q81" i="38"/>
  <c r="Q77" i="38"/>
  <c r="Q73" i="38"/>
  <c r="Q116" i="38"/>
  <c r="Q115" i="38"/>
  <c r="Q108" i="38"/>
  <c r="Q107" i="38"/>
  <c r="Q100" i="38"/>
  <c r="Q99" i="38"/>
  <c r="Q92" i="38"/>
  <c r="Q91" i="38"/>
  <c r="Q84" i="38"/>
  <c r="Q83" i="38"/>
  <c r="Q76" i="38"/>
  <c r="Q75" i="38"/>
  <c r="AD27" i="38"/>
  <c r="P119" i="38"/>
  <c r="Q119" i="38" s="1"/>
  <c r="Q112" i="38"/>
  <c r="Q111" i="38"/>
  <c r="Q104" i="38"/>
  <c r="Q103" i="38"/>
  <c r="Q96" i="38"/>
  <c r="Q95" i="38"/>
  <c r="Q88" i="38"/>
  <c r="Q87" i="38"/>
  <c r="Q80" i="38"/>
  <c r="Q79" i="38"/>
  <c r="Q72" i="38"/>
  <c r="U9" i="38"/>
  <c r="U25" i="38" s="1"/>
  <c r="T81" i="28"/>
  <c r="AE31" i="38"/>
  <c r="AF31" i="38" s="1"/>
  <c r="AD60" i="38"/>
  <c r="P83" i="42"/>
  <c r="AG83" i="42" s="1"/>
  <c r="AG82" i="42"/>
  <c r="AG67" i="28"/>
  <c r="AD67" i="28"/>
  <c r="AE67" i="28" s="1"/>
  <c r="Z77" i="28"/>
  <c r="AA20" i="1" s="1"/>
  <c r="AA25" i="1" s="1"/>
  <c r="AE61" i="36"/>
  <c r="AF61" i="36" s="1"/>
  <c r="AD75" i="35"/>
  <c r="AE46" i="35"/>
  <c r="AF46" i="35" s="1"/>
  <c r="AG46" i="28"/>
  <c r="P48" i="28"/>
  <c r="AD46" i="28"/>
  <c r="AE46" i="28" s="1"/>
  <c r="AD112" i="24"/>
  <c r="AE112" i="24" s="1"/>
  <c r="AG112" i="24"/>
  <c r="F98" i="24"/>
  <c r="F27" i="24"/>
  <c r="J98" i="25"/>
  <c r="J27" i="25"/>
  <c r="AD14" i="24"/>
  <c r="AE14" i="24" s="1"/>
  <c r="P98" i="24"/>
  <c r="AG14" i="24"/>
  <c r="P27" i="24"/>
  <c r="J26" i="23"/>
  <c r="J27" i="23" s="1"/>
  <c r="J30" i="23"/>
  <c r="J33" i="23" s="1"/>
  <c r="J22" i="10"/>
  <c r="J98" i="23"/>
  <c r="I98" i="24"/>
  <c r="I27" i="24"/>
  <c r="E98" i="21"/>
  <c r="E27" i="21"/>
  <c r="E30" i="21"/>
  <c r="E33" i="21" s="1"/>
  <c r="E23" i="10"/>
  <c r="G103" i="19"/>
  <c r="F146" i="10"/>
  <c r="G102" i="18"/>
  <c r="F145" i="10"/>
  <c r="F105" i="18"/>
  <c r="K27" i="18"/>
  <c r="K98" i="18"/>
  <c r="K17" i="10"/>
  <c r="J98" i="16"/>
  <c r="J27" i="16"/>
  <c r="J30" i="16"/>
  <c r="J16" i="10"/>
  <c r="D33" i="15"/>
  <c r="D29" i="15"/>
  <c r="J27" i="13"/>
  <c r="J30" i="13"/>
  <c r="J51" i="10" s="1"/>
  <c r="J98" i="13"/>
  <c r="J12" i="10"/>
  <c r="AC98" i="23"/>
  <c r="AC27" i="23"/>
  <c r="AC81" i="23" s="1"/>
  <c r="AC82" i="23" s="1"/>
  <c r="AG95" i="24"/>
  <c r="AD95" i="24"/>
  <c r="AE95" i="24" s="1"/>
  <c r="F29" i="14"/>
  <c r="F33" i="14"/>
  <c r="AG122" i="12"/>
  <c r="AD122" i="12"/>
  <c r="AE122" i="12" s="1"/>
  <c r="AG83" i="10"/>
  <c r="AD83" i="10"/>
  <c r="AE83" i="10" s="1"/>
  <c r="P210" i="10"/>
  <c r="AC55" i="10"/>
  <c r="AD93" i="22"/>
  <c r="AE93" i="22" s="1"/>
  <c r="AG93" i="22"/>
  <c r="I26" i="15"/>
  <c r="I98" i="15"/>
  <c r="I30" i="15"/>
  <c r="I15" i="10"/>
  <c r="I27" i="15"/>
  <c r="AC27" i="12"/>
  <c r="AC81" i="12" s="1"/>
  <c r="AC82" i="12" s="1"/>
  <c r="AC98" i="12"/>
  <c r="P217" i="10"/>
  <c r="AG90" i="10"/>
  <c r="AD90" i="10"/>
  <c r="AE90" i="10" s="1"/>
  <c r="P209" i="10"/>
  <c r="AG82" i="10"/>
  <c r="AD82" i="10"/>
  <c r="AE82" i="10" s="1"/>
  <c r="AD105" i="25"/>
  <c r="AE105" i="25" s="1"/>
  <c r="N27" i="20"/>
  <c r="N98" i="20"/>
  <c r="N30" i="20"/>
  <c r="N20" i="10"/>
  <c r="O37" i="15"/>
  <c r="AD13" i="14"/>
  <c r="AE13" i="14" s="1"/>
  <c r="P97" i="14"/>
  <c r="AG13" i="14"/>
  <c r="AD10" i="11"/>
  <c r="AE10" i="11" s="1"/>
  <c r="P94" i="11"/>
  <c r="AG10" i="11"/>
  <c r="AD97" i="22"/>
  <c r="AE97" i="22" s="1"/>
  <c r="AG97" i="22"/>
  <c r="J116" i="19"/>
  <c r="I159" i="10"/>
  <c r="E26" i="15"/>
  <c r="P26" i="15" s="1"/>
  <c r="E30" i="15"/>
  <c r="E15" i="10"/>
  <c r="E98" i="15"/>
  <c r="E27" i="15"/>
  <c r="D29" i="12"/>
  <c r="D33" i="12"/>
  <c r="AG43" i="11"/>
  <c r="AD43" i="11"/>
  <c r="AE43" i="11" s="1"/>
  <c r="N219" i="10"/>
  <c r="AD17" i="9"/>
  <c r="AD60" i="9" s="1"/>
  <c r="R60" i="9"/>
  <c r="Q98" i="7"/>
  <c r="AH76" i="7"/>
  <c r="AE76" i="7"/>
  <c r="AF76" i="7" s="1"/>
  <c r="AG93" i="16"/>
  <c r="AD93" i="16"/>
  <c r="AE93" i="16" s="1"/>
  <c r="H98" i="13"/>
  <c r="H30" i="13"/>
  <c r="H51" i="10" s="1"/>
  <c r="H27" i="13"/>
  <c r="H12" i="10"/>
  <c r="N225" i="10"/>
  <c r="O214" i="10"/>
  <c r="AG67" i="10"/>
  <c r="AD67" i="10"/>
  <c r="AE67" i="10" s="1"/>
  <c r="P194" i="10"/>
  <c r="AD35" i="10"/>
  <c r="AE35" i="10" s="1"/>
  <c r="AG35" i="10"/>
  <c r="I111" i="7"/>
  <c r="I56" i="7"/>
  <c r="I26" i="7"/>
  <c r="I26" i="5" s="1"/>
  <c r="I112" i="5" s="1"/>
  <c r="I21" i="7"/>
  <c r="AE69" i="6"/>
  <c r="AF69" i="6" s="1"/>
  <c r="AH69" i="6"/>
  <c r="AH89" i="5"/>
  <c r="AE89" i="5"/>
  <c r="AF89" i="5" s="1"/>
  <c r="AD122" i="20"/>
  <c r="AE122" i="20" s="1"/>
  <c r="AG122" i="20"/>
  <c r="AG96" i="19"/>
  <c r="AD96" i="19"/>
  <c r="AE96" i="19" s="1"/>
  <c r="U139" i="10"/>
  <c r="U141" i="10"/>
  <c r="U186" i="10"/>
  <c r="U185" i="10"/>
  <c r="F186" i="10"/>
  <c r="F214" i="10"/>
  <c r="F226" i="10"/>
  <c r="F210" i="10"/>
  <c r="F222" i="10"/>
  <c r="F206" i="10"/>
  <c r="F218" i="10"/>
  <c r="F202" i="10"/>
  <c r="R202" i="10"/>
  <c r="F201" i="10"/>
  <c r="AD69" i="10"/>
  <c r="AE69" i="10" s="1"/>
  <c r="AG69" i="10"/>
  <c r="P196" i="10"/>
  <c r="AD57" i="8"/>
  <c r="AD55" i="8"/>
  <c r="AD56" i="8" s="1"/>
  <c r="AD60" i="7"/>
  <c r="AC35" i="17"/>
  <c r="AG94" i="17"/>
  <c r="AD94" i="17"/>
  <c r="AE94" i="17" s="1"/>
  <c r="AD72" i="10"/>
  <c r="AE72" i="10" s="1"/>
  <c r="P199" i="10"/>
  <c r="AG72" i="10"/>
  <c r="W184" i="10"/>
  <c r="R217" i="10"/>
  <c r="O196" i="10"/>
  <c r="Y195" i="10"/>
  <c r="AE76" i="8"/>
  <c r="AF76" i="8" s="1"/>
  <c r="Q98" i="8"/>
  <c r="AH76" i="8"/>
  <c r="K74" i="1"/>
  <c r="K75" i="1" s="1"/>
  <c r="E49" i="6"/>
  <c r="Q48" i="6"/>
  <c r="AA130" i="5"/>
  <c r="AA60" i="5"/>
  <c r="AA18" i="1"/>
  <c r="AH36" i="5"/>
  <c r="Q122" i="5"/>
  <c r="AE36" i="5"/>
  <c r="AF36" i="5" s="1"/>
  <c r="J55" i="7"/>
  <c r="J58" i="7"/>
  <c r="J57" i="7"/>
  <c r="J58" i="8"/>
  <c r="J57" i="8"/>
  <c r="J55" i="8"/>
  <c r="J56" i="8" s="1"/>
  <c r="P59" i="7"/>
  <c r="P49" i="7"/>
  <c r="H59" i="6"/>
  <c r="H49" i="6"/>
  <c r="Q139" i="10"/>
  <c r="Q141" i="10"/>
  <c r="Q186" i="10"/>
  <c r="Q185" i="10"/>
  <c r="R221" i="10"/>
  <c r="Q202" i="10"/>
  <c r="F194" i="10"/>
  <c r="AD58" i="8"/>
  <c r="AD45" i="8"/>
  <c r="AD59" i="8"/>
  <c r="AC84" i="13"/>
  <c r="AD56" i="5"/>
  <c r="Z45" i="5"/>
  <c r="Z46" i="5" s="1"/>
  <c r="F204" i="54"/>
  <c r="E206" i="54"/>
  <c r="E261" i="54" s="1"/>
  <c r="G188" i="54"/>
  <c r="O179" i="54"/>
  <c r="L358" i="54"/>
  <c r="L301" i="54"/>
  <c r="M55" i="37" s="1"/>
  <c r="L73" i="28" s="1"/>
  <c r="F168" i="54"/>
  <c r="E166" i="54"/>
  <c r="D162" i="54"/>
  <c r="F155" i="54"/>
  <c r="F151" i="54"/>
  <c r="D149" i="54"/>
  <c r="G334" i="54"/>
  <c r="G277" i="54"/>
  <c r="E144" i="54"/>
  <c r="E140" i="54"/>
  <c r="G326" i="54"/>
  <c r="G269" i="54"/>
  <c r="E136" i="54"/>
  <c r="G368" i="54"/>
  <c r="F179" i="54"/>
  <c r="O178" i="54"/>
  <c r="D177" i="54"/>
  <c r="F175" i="54"/>
  <c r="O174" i="54"/>
  <c r="D173" i="54"/>
  <c r="O345" i="54"/>
  <c r="O288" i="54" s="1"/>
  <c r="L344" i="54"/>
  <c r="L287" i="54" s="1"/>
  <c r="N155" i="54"/>
  <c r="O180" i="54"/>
  <c r="E174" i="54"/>
  <c r="G300" i="54"/>
  <c r="L298" i="54"/>
  <c r="D166" i="54"/>
  <c r="E161" i="54"/>
  <c r="N157" i="54"/>
  <c r="D152" i="54"/>
  <c r="N150" i="54"/>
  <c r="E147" i="54"/>
  <c r="O145" i="54"/>
  <c r="E143" i="54"/>
  <c r="G268" i="54"/>
  <c r="E180" i="54"/>
  <c r="P180" i="54" s="1"/>
  <c r="O357" i="54"/>
  <c r="O300" i="54" s="1"/>
  <c r="G355" i="54"/>
  <c r="G298" i="54" s="1"/>
  <c r="D349" i="54"/>
  <c r="D292" i="54" s="1"/>
  <c r="D347" i="54"/>
  <c r="O158" i="54"/>
  <c r="E156" i="54"/>
  <c r="D327" i="54"/>
  <c r="N168" i="54"/>
  <c r="N161" i="54"/>
  <c r="G340" i="54"/>
  <c r="G283" i="54" s="1"/>
  <c r="O140" i="54"/>
  <c r="N170" i="54"/>
  <c r="P170" i="54" s="1"/>
  <c r="L300" i="54"/>
  <c r="F167" i="54"/>
  <c r="O162" i="54"/>
  <c r="E160" i="54"/>
  <c r="E153" i="54"/>
  <c r="G359" i="54"/>
  <c r="G302" i="54"/>
  <c r="O138" i="54"/>
  <c r="AD31" i="54"/>
  <c r="AE31" i="54" s="1"/>
  <c r="AC59" i="54"/>
  <c r="AD59" i="54" s="1"/>
  <c r="AE59" i="54" s="1"/>
  <c r="E253" i="54"/>
  <c r="G200" i="54"/>
  <c r="D154" i="54"/>
  <c r="L367" i="54"/>
  <c r="L310" i="54" s="1"/>
  <c r="N364" i="54"/>
  <c r="L360" i="54"/>
  <c r="L303" i="54" s="1"/>
  <c r="O163" i="54"/>
  <c r="L351" i="54"/>
  <c r="E154" i="54"/>
  <c r="O154" i="54"/>
  <c r="G284" i="54"/>
  <c r="O133" i="54"/>
  <c r="E131" i="54"/>
  <c r="P131" i="54" s="1"/>
  <c r="G182" i="54"/>
  <c r="G183" i="54" s="1"/>
  <c r="L174" i="54"/>
  <c r="L164" i="54"/>
  <c r="L155" i="54"/>
  <c r="L151" i="54"/>
  <c r="L143" i="54"/>
  <c r="L135" i="54"/>
  <c r="L175" i="54"/>
  <c r="L168" i="54"/>
  <c r="L150" i="54"/>
  <c r="L134" i="54"/>
  <c r="L166" i="54"/>
  <c r="L146" i="54"/>
  <c r="L138" i="54"/>
  <c r="L154" i="54"/>
  <c r="L159" i="54"/>
  <c r="L142" i="54"/>
  <c r="F148" i="54"/>
  <c r="D148" i="54"/>
  <c r="E142" i="54"/>
  <c r="O142" i="54"/>
  <c r="N141" i="54"/>
  <c r="D141" i="54"/>
  <c r="G385" i="54"/>
  <c r="P385" i="54" s="1"/>
  <c r="N323" i="54"/>
  <c r="N266" i="54" s="1"/>
  <c r="O134" i="54"/>
  <c r="Q117" i="53"/>
  <c r="Q111" i="53"/>
  <c r="Q104" i="53"/>
  <c r="Q100" i="53"/>
  <c r="Q94" i="53"/>
  <c r="Q91" i="53"/>
  <c r="Q77" i="53"/>
  <c r="Q70" i="53"/>
  <c r="Q89" i="53"/>
  <c r="Q88" i="53"/>
  <c r="Q87" i="53"/>
  <c r="Q86" i="53"/>
  <c r="Q85" i="53"/>
  <c r="Q84" i="53"/>
  <c r="Q83" i="53"/>
  <c r="Q82" i="53"/>
  <c r="Q81" i="53"/>
  <c r="Q80" i="53"/>
  <c r="Q79" i="53"/>
  <c r="Q78" i="53"/>
  <c r="S117" i="53"/>
  <c r="Q113" i="53"/>
  <c r="Q102" i="53"/>
  <c r="Q99" i="53"/>
  <c r="Q92" i="53"/>
  <c r="Q75" i="53"/>
  <c r="Q72" i="53"/>
  <c r="Q71" i="53"/>
  <c r="AC43" i="48"/>
  <c r="P24" i="54"/>
  <c r="AG23" i="54"/>
  <c r="Q95" i="53"/>
  <c r="AD12" i="47"/>
  <c r="AE12" i="47" s="1"/>
  <c r="AC42" i="47"/>
  <c r="U64" i="51"/>
  <c r="S43" i="50"/>
  <c r="AD59" i="47"/>
  <c r="AE59" i="47" s="1"/>
  <c r="Q105" i="53"/>
  <c r="AG12" i="53"/>
  <c r="AD43" i="51"/>
  <c r="AE43" i="51" s="1"/>
  <c r="AD66" i="50"/>
  <c r="AE66" i="50" s="1"/>
  <c r="AD21" i="47"/>
  <c r="AE21" i="47" s="1"/>
  <c r="AD13" i="47"/>
  <c r="R43" i="47"/>
  <c r="S31" i="1"/>
  <c r="AG15" i="52"/>
  <c r="AD13" i="51"/>
  <c r="AE13" i="51" s="1"/>
  <c r="AG13" i="51"/>
  <c r="AD70" i="47"/>
  <c r="AG12" i="42"/>
  <c r="AC99" i="51"/>
  <c r="AC64" i="51" s="1"/>
  <c r="V43" i="48"/>
  <c r="V9" i="48"/>
  <c r="AD9" i="46"/>
  <c r="AE9" i="46" s="1"/>
  <c r="AD83" i="45"/>
  <c r="AE83" i="45" s="1"/>
  <c r="AD9" i="44"/>
  <c r="AE9" i="44" s="1"/>
  <c r="Z78" i="47"/>
  <c r="Z9" i="47" s="1"/>
  <c r="AA31" i="1" s="1"/>
  <c r="AA35" i="1" s="1"/>
  <c r="AD35" i="47"/>
  <c r="AE35" i="47" s="1"/>
  <c r="P82" i="41"/>
  <c r="R83" i="41"/>
  <c r="AD83" i="42"/>
  <c r="AE83" i="42" s="1"/>
  <c r="Z47" i="42"/>
  <c r="Y83" i="41"/>
  <c r="Y9" i="41" s="1"/>
  <c r="Z30" i="1" s="1"/>
  <c r="Z35" i="1" s="1"/>
  <c r="AC61" i="41"/>
  <c r="AD61" i="41" s="1"/>
  <c r="AE61" i="41" s="1"/>
  <c r="AD56" i="41"/>
  <c r="AE56" i="41" s="1"/>
  <c r="AC46" i="41"/>
  <c r="AD12" i="41"/>
  <c r="AE12" i="41" s="1"/>
  <c r="Y9" i="38"/>
  <c r="Y25" i="38" s="1"/>
  <c r="X81" i="28"/>
  <c r="AD66" i="49"/>
  <c r="AE66" i="49" s="1"/>
  <c r="AD71" i="44"/>
  <c r="AE71" i="44" s="1"/>
  <c r="AD41" i="41"/>
  <c r="AH22" i="35"/>
  <c r="AE22" i="35"/>
  <c r="AF22" i="35" s="1"/>
  <c r="AG24" i="31"/>
  <c r="AD24" i="31"/>
  <c r="AE24" i="31" s="1"/>
  <c r="P9" i="41"/>
  <c r="AG9" i="41" s="1"/>
  <c r="Q60" i="38"/>
  <c r="AH31" i="38"/>
  <c r="P39" i="28"/>
  <c r="AG15" i="28"/>
  <c r="AD15" i="28"/>
  <c r="AE15" i="28" s="1"/>
  <c r="AD60" i="41"/>
  <c r="AE60" i="41" s="1"/>
  <c r="Q62" i="36"/>
  <c r="AE62" i="36" s="1"/>
  <c r="AF62" i="36" s="1"/>
  <c r="AH12" i="33"/>
  <c r="AE12" i="33"/>
  <c r="AF12" i="33" s="1"/>
  <c r="AD21" i="28"/>
  <c r="AE21" i="28" s="1"/>
  <c r="AC30" i="28"/>
  <c r="AD17" i="28"/>
  <c r="AE17" i="28" s="1"/>
  <c r="P41" i="28"/>
  <c r="AG17" i="28"/>
  <c r="V25" i="1"/>
  <c r="AD9" i="38"/>
  <c r="R25" i="38"/>
  <c r="AH15" i="36"/>
  <c r="AD40" i="35"/>
  <c r="Q80" i="34"/>
  <c r="AH51" i="34"/>
  <c r="AE51" i="34"/>
  <c r="AF51" i="34" s="1"/>
  <c r="Q71" i="33"/>
  <c r="AH67" i="33"/>
  <c r="AD58" i="28"/>
  <c r="AE58" i="28" s="1"/>
  <c r="AG58" i="28"/>
  <c r="K33" i="28"/>
  <c r="AD33" i="32"/>
  <c r="AG50" i="28"/>
  <c r="AD50" i="28"/>
  <c r="AE50" i="28" s="1"/>
  <c r="X20" i="1"/>
  <c r="X25" i="1" s="1"/>
  <c r="AG12" i="26"/>
  <c r="AD12" i="26"/>
  <c r="AE12" i="26" s="1"/>
  <c r="P96" i="26"/>
  <c r="AG43" i="24"/>
  <c r="AD43" i="24"/>
  <c r="AE43" i="24" s="1"/>
  <c r="AE23" i="37"/>
  <c r="AF23" i="37" s="1"/>
  <c r="AE14" i="33"/>
  <c r="AF14" i="33" s="1"/>
  <c r="AD57" i="28"/>
  <c r="AE57" i="28" s="1"/>
  <c r="AG57" i="28"/>
  <c r="V42" i="28"/>
  <c r="K27" i="25"/>
  <c r="K98" i="25"/>
  <c r="AG122" i="24"/>
  <c r="AD122" i="24"/>
  <c r="AE122" i="24" s="1"/>
  <c r="AD22" i="24"/>
  <c r="AE22" i="24" s="1"/>
  <c r="AG22" i="24"/>
  <c r="J98" i="24"/>
  <c r="J27" i="24"/>
  <c r="AD90" i="23"/>
  <c r="AE90" i="23" s="1"/>
  <c r="AG90" i="23"/>
  <c r="AG116" i="22"/>
  <c r="AD116" i="22"/>
  <c r="AE116" i="22" s="1"/>
  <c r="AD32" i="33"/>
  <c r="U25" i="1"/>
  <c r="N98" i="25"/>
  <c r="N27" i="25"/>
  <c r="P96" i="24"/>
  <c r="AG12" i="24"/>
  <c r="AD12" i="24"/>
  <c r="AE12" i="24" s="1"/>
  <c r="D98" i="23"/>
  <c r="D30" i="23"/>
  <c r="D26" i="23"/>
  <c r="P26" i="23" s="1"/>
  <c r="D22" i="10"/>
  <c r="AG103" i="22"/>
  <c r="AD103" i="22"/>
  <c r="AE103" i="22" s="1"/>
  <c r="Y20" i="1"/>
  <c r="Y25" i="1" s="1"/>
  <c r="P12" i="31"/>
  <c r="AD79" i="27"/>
  <c r="AE79" i="27" s="1"/>
  <c r="AD133" i="25"/>
  <c r="AE133" i="25" s="1"/>
  <c r="AG133" i="25"/>
  <c r="AG90" i="24"/>
  <c r="AD90" i="24"/>
  <c r="AE90" i="24" s="1"/>
  <c r="AD93" i="24"/>
  <c r="AE93" i="24" s="1"/>
  <c r="AG93" i="24"/>
  <c r="AG96" i="23"/>
  <c r="AD96" i="23"/>
  <c r="AE96" i="23" s="1"/>
  <c r="N27" i="23"/>
  <c r="N26" i="23"/>
  <c r="N98" i="23"/>
  <c r="N30" i="23"/>
  <c r="N33" i="23" s="1"/>
  <c r="N22" i="10"/>
  <c r="AE40" i="36"/>
  <c r="AF40" i="36" s="1"/>
  <c r="AG133" i="26"/>
  <c r="AD133" i="26"/>
  <c r="AE133" i="26" s="1"/>
  <c r="Q81" i="24"/>
  <c r="Q82" i="24" s="1"/>
  <c r="I98" i="23"/>
  <c r="I30" i="23"/>
  <c r="I33" i="23" s="1"/>
  <c r="I27" i="23"/>
  <c r="I26" i="23"/>
  <c r="I22" i="10"/>
  <c r="P121" i="22"/>
  <c r="AG11" i="21"/>
  <c r="P95" i="21"/>
  <c r="AD11" i="21"/>
  <c r="AE11" i="21" s="1"/>
  <c r="I98" i="21"/>
  <c r="I27" i="21"/>
  <c r="I30" i="21"/>
  <c r="I33" i="21" s="1"/>
  <c r="I23" i="10"/>
  <c r="G104" i="19"/>
  <c r="F147" i="10"/>
  <c r="P94" i="19"/>
  <c r="AG10" i="19"/>
  <c r="AD10" i="19"/>
  <c r="AE10" i="19" s="1"/>
  <c r="O27" i="18"/>
  <c r="O98" i="18"/>
  <c r="O17" i="10"/>
  <c r="AG31" i="17"/>
  <c r="P29" i="17"/>
  <c r="AD31" i="17"/>
  <c r="AE31" i="17" s="1"/>
  <c r="N98" i="16"/>
  <c r="N27" i="16"/>
  <c r="N30" i="16"/>
  <c r="N16" i="10"/>
  <c r="AG133" i="15"/>
  <c r="AD133" i="15"/>
  <c r="AE133" i="15" s="1"/>
  <c r="D37" i="15"/>
  <c r="N27" i="13"/>
  <c r="N98" i="13"/>
  <c r="N30" i="13"/>
  <c r="N12" i="10"/>
  <c r="AG133" i="12"/>
  <c r="AD133" i="12"/>
  <c r="AE133" i="12" s="1"/>
  <c r="H114" i="22"/>
  <c r="AC35" i="22"/>
  <c r="AG11" i="22"/>
  <c r="P95" i="22"/>
  <c r="AD11" i="22"/>
  <c r="AE11" i="22" s="1"/>
  <c r="P93" i="21"/>
  <c r="AD9" i="21"/>
  <c r="AE9" i="21" s="1"/>
  <c r="P14" i="21"/>
  <c r="AG9" i="21"/>
  <c r="P14" i="20"/>
  <c r="AG9" i="20"/>
  <c r="P93" i="20"/>
  <c r="AD9" i="20"/>
  <c r="AE9" i="20" s="1"/>
  <c r="AG43" i="14"/>
  <c r="AD43" i="14"/>
  <c r="AE43" i="14" s="1"/>
  <c r="AG12" i="13"/>
  <c r="AD12" i="13"/>
  <c r="AE12" i="13" s="1"/>
  <c r="P96" i="13"/>
  <c r="AD80" i="34"/>
  <c r="X81" i="25"/>
  <c r="X82" i="25" s="1"/>
  <c r="Z81" i="20"/>
  <c r="Z82" i="20" s="1"/>
  <c r="AG33" i="19"/>
  <c r="AD33" i="19"/>
  <c r="AE33" i="19" s="1"/>
  <c r="AG105" i="15"/>
  <c r="AD105" i="15"/>
  <c r="AE105" i="15" s="1"/>
  <c r="P134" i="15"/>
  <c r="J33" i="15"/>
  <c r="J29" i="15"/>
  <c r="P95" i="15"/>
  <c r="AG11" i="15"/>
  <c r="AD11" i="15"/>
  <c r="AE11" i="15" s="1"/>
  <c r="AG94" i="14"/>
  <c r="AD94" i="14"/>
  <c r="AE94" i="14" s="1"/>
  <c r="L47" i="10"/>
  <c r="L27" i="12"/>
  <c r="AG99" i="10"/>
  <c r="AD99" i="10"/>
  <c r="AE99" i="10" s="1"/>
  <c r="P226" i="10"/>
  <c r="Q225" i="10"/>
  <c r="AG95" i="10"/>
  <c r="AD95" i="10"/>
  <c r="AE95" i="10" s="1"/>
  <c r="P222" i="10"/>
  <c r="Q221" i="10"/>
  <c r="U217" i="10"/>
  <c r="U213" i="10"/>
  <c r="U209" i="10"/>
  <c r="U205" i="10"/>
  <c r="U201" i="10"/>
  <c r="Q86" i="5"/>
  <c r="AH78" i="5"/>
  <c r="AE78" i="5"/>
  <c r="AF78" i="5" s="1"/>
  <c r="D98" i="21"/>
  <c r="D27" i="21"/>
  <c r="D30" i="21"/>
  <c r="D51" i="10" s="1"/>
  <c r="D23" i="10"/>
  <c r="AD11" i="19"/>
  <c r="AE11" i="19" s="1"/>
  <c r="P95" i="19"/>
  <c r="AG11" i="19"/>
  <c r="AC27" i="18"/>
  <c r="AC81" i="18" s="1"/>
  <c r="AC82" i="18" s="1"/>
  <c r="AC98" i="18"/>
  <c r="AG43" i="17"/>
  <c r="AD43" i="17"/>
  <c r="AE43" i="17" s="1"/>
  <c r="AC98" i="17"/>
  <c r="AC27" i="17"/>
  <c r="AC81" i="17" s="1"/>
  <c r="AC82" i="17" s="1"/>
  <c r="M26" i="15"/>
  <c r="M27" i="15"/>
  <c r="M98" i="15"/>
  <c r="M30" i="15"/>
  <c r="P30" i="15" s="1"/>
  <c r="M15" i="10"/>
  <c r="M27" i="14"/>
  <c r="M30" i="14"/>
  <c r="M98" i="14"/>
  <c r="M14" i="10"/>
  <c r="AG11" i="12"/>
  <c r="AD11" i="12"/>
  <c r="AE11" i="12" s="1"/>
  <c r="P95" i="12"/>
  <c r="I98" i="12"/>
  <c r="I30" i="12"/>
  <c r="I26" i="12"/>
  <c r="I47" i="10" s="1"/>
  <c r="I13" i="10"/>
  <c r="I24" i="10" s="1"/>
  <c r="N187" i="10"/>
  <c r="Y224" i="10"/>
  <c r="U220" i="10"/>
  <c r="U216" i="10"/>
  <c r="U212" i="10"/>
  <c r="U208" i="10"/>
  <c r="U204" i="10"/>
  <c r="U200" i="10"/>
  <c r="I55" i="6"/>
  <c r="I56" i="6" s="1"/>
  <c r="I57" i="6"/>
  <c r="G59" i="6"/>
  <c r="G49" i="6"/>
  <c r="T130" i="5"/>
  <c r="T60" i="5"/>
  <c r="T18" i="1"/>
  <c r="Q121" i="5"/>
  <c r="AH35" i="5"/>
  <c r="AE35" i="5"/>
  <c r="AF35" i="5" s="1"/>
  <c r="Q113" i="5"/>
  <c r="AH27" i="5"/>
  <c r="AE27" i="5"/>
  <c r="AF27" i="5" s="1"/>
  <c r="P134" i="25"/>
  <c r="G105" i="22"/>
  <c r="H102" i="22"/>
  <c r="AD90" i="22"/>
  <c r="AE90" i="22" s="1"/>
  <c r="AG90" i="22"/>
  <c r="AD133" i="21"/>
  <c r="AE133" i="21" s="1"/>
  <c r="AG133" i="21"/>
  <c r="AB81" i="21"/>
  <c r="AB82" i="21" s="1"/>
  <c r="T81" i="21"/>
  <c r="T82" i="21" s="1"/>
  <c r="P31" i="20"/>
  <c r="P95" i="20"/>
  <c r="AG11" i="20"/>
  <c r="AD11" i="20"/>
  <c r="AE11" i="20" s="1"/>
  <c r="AB81" i="17"/>
  <c r="AB82" i="17" s="1"/>
  <c r="AD133" i="16"/>
  <c r="AE133" i="16" s="1"/>
  <c r="AG133" i="16"/>
  <c r="O29" i="15"/>
  <c r="O33" i="15"/>
  <c r="P94" i="15"/>
  <c r="AG10" i="15"/>
  <c r="AD10" i="15"/>
  <c r="AE10" i="15" s="1"/>
  <c r="N33" i="14"/>
  <c r="N29" i="14"/>
  <c r="E29" i="13"/>
  <c r="E33" i="13"/>
  <c r="AD10" i="13"/>
  <c r="AE10" i="13" s="1"/>
  <c r="P94" i="13"/>
  <c r="AG10" i="13"/>
  <c r="P134" i="12"/>
  <c r="G98" i="11"/>
  <c r="G27" i="11"/>
  <c r="G30" i="11"/>
  <c r="P30" i="11" s="1"/>
  <c r="G11" i="10"/>
  <c r="Q192" i="10"/>
  <c r="U187" i="10"/>
  <c r="Q227" i="10"/>
  <c r="AD97" i="10"/>
  <c r="AE97" i="10" s="1"/>
  <c r="P224" i="10"/>
  <c r="AG97" i="10"/>
  <c r="Q223" i="10"/>
  <c r="AD93" i="10"/>
  <c r="AE93" i="10" s="1"/>
  <c r="P220" i="10"/>
  <c r="AG93" i="10"/>
  <c r="Q219" i="10"/>
  <c r="AD89" i="10"/>
  <c r="AE89" i="10" s="1"/>
  <c r="P216" i="10"/>
  <c r="AG89" i="10"/>
  <c r="Q215" i="10"/>
  <c r="AD85" i="10"/>
  <c r="AE85" i="10" s="1"/>
  <c r="P212" i="10"/>
  <c r="AG85" i="10"/>
  <c r="Q211" i="10"/>
  <c r="AD81" i="10"/>
  <c r="AE81" i="10" s="1"/>
  <c r="P208" i="10"/>
  <c r="AG81" i="10"/>
  <c r="Q207" i="10"/>
  <c r="AD77" i="10"/>
  <c r="AE77" i="10" s="1"/>
  <c r="P204" i="10"/>
  <c r="AG77" i="10"/>
  <c r="Q203" i="10"/>
  <c r="AB19" i="1"/>
  <c r="AH52" i="9"/>
  <c r="Q55" i="9"/>
  <c r="AE52" i="9"/>
  <c r="AF52" i="9" s="1"/>
  <c r="Q57" i="9"/>
  <c r="AE67" i="32"/>
  <c r="AF67" i="32" s="1"/>
  <c r="F28" i="20"/>
  <c r="F33" i="20"/>
  <c r="G158" i="10"/>
  <c r="H115" i="19"/>
  <c r="N103" i="18"/>
  <c r="M29" i="13"/>
  <c r="M33" i="13"/>
  <c r="K30" i="13"/>
  <c r="K27" i="13"/>
  <c r="K98" i="13"/>
  <c r="K12" i="10"/>
  <c r="AD22" i="12"/>
  <c r="AE22" i="12" s="1"/>
  <c r="AG22" i="12"/>
  <c r="AG97" i="12"/>
  <c r="AD97" i="12"/>
  <c r="AE97" i="12" s="1"/>
  <c r="J47" i="10"/>
  <c r="F27" i="12"/>
  <c r="AG112" i="11"/>
  <c r="AD112" i="11"/>
  <c r="AE112" i="11" s="1"/>
  <c r="P134" i="11"/>
  <c r="AD115" i="10"/>
  <c r="AE115" i="10" s="1"/>
  <c r="AG115" i="10"/>
  <c r="Z126" i="10"/>
  <c r="R223" i="10"/>
  <c r="R219" i="10"/>
  <c r="Y214" i="10"/>
  <c r="F212" i="10"/>
  <c r="R210" i="10"/>
  <c r="F209" i="10"/>
  <c r="N206" i="10"/>
  <c r="F203" i="10"/>
  <c r="O199" i="10"/>
  <c r="Y198" i="10"/>
  <c r="O192" i="10"/>
  <c r="AG63" i="10"/>
  <c r="AD63" i="10"/>
  <c r="AE63" i="10" s="1"/>
  <c r="P190" i="10"/>
  <c r="F188" i="10"/>
  <c r="AD60" i="10"/>
  <c r="AE60" i="10" s="1"/>
  <c r="P187" i="10"/>
  <c r="AG60" i="10"/>
  <c r="L111" i="7"/>
  <c r="L56" i="7"/>
  <c r="L21" i="7"/>
  <c r="L26" i="7"/>
  <c r="L26" i="5" s="1"/>
  <c r="L112" i="5" s="1"/>
  <c r="Q81" i="25"/>
  <c r="Q82" i="25" s="1"/>
  <c r="G98" i="21"/>
  <c r="G27" i="21"/>
  <c r="G30" i="21"/>
  <c r="G33" i="21" s="1"/>
  <c r="G23" i="10"/>
  <c r="H119" i="18"/>
  <c r="G162" i="10"/>
  <c r="L116" i="18"/>
  <c r="P14" i="16"/>
  <c r="K29" i="15"/>
  <c r="K33" i="15"/>
  <c r="AD105" i="14"/>
  <c r="AE105" i="14" s="1"/>
  <c r="AD133" i="13"/>
  <c r="AE133" i="13" s="1"/>
  <c r="AG133" i="13"/>
  <c r="AD93" i="13"/>
  <c r="AE93" i="13" s="1"/>
  <c r="AG93" i="13"/>
  <c r="AC29" i="12"/>
  <c r="K30" i="12"/>
  <c r="K26" i="12"/>
  <c r="K47" i="10" s="1"/>
  <c r="K13" i="10"/>
  <c r="K98" i="12"/>
  <c r="E33" i="11"/>
  <c r="E51" i="10"/>
  <c r="E29" i="11"/>
  <c r="V102" i="10"/>
  <c r="V103" i="10" s="1"/>
  <c r="W12" i="1"/>
  <c r="H143" i="24"/>
  <c r="H24" i="10"/>
  <c r="AD12" i="11"/>
  <c r="AE12" i="11" s="1"/>
  <c r="AG12" i="11"/>
  <c r="P96" i="11"/>
  <c r="N24" i="10"/>
  <c r="N139" i="10" s="1"/>
  <c r="J24" i="10"/>
  <c r="J143" i="24" s="1"/>
  <c r="F24" i="10"/>
  <c r="AD174" i="10"/>
  <c r="AE174" i="10" s="1"/>
  <c r="AG174" i="10"/>
  <c r="U184" i="10"/>
  <c r="AG113" i="10"/>
  <c r="AD113" i="10"/>
  <c r="AE113" i="10" s="1"/>
  <c r="AC127" i="10"/>
  <c r="T139" i="10"/>
  <c r="T141" i="10"/>
  <c r="T198" i="10"/>
  <c r="T194" i="10"/>
  <c r="T190" i="10"/>
  <c r="T186" i="10"/>
  <c r="T196" i="10"/>
  <c r="T192" i="10"/>
  <c r="T188" i="10"/>
  <c r="T219" i="10"/>
  <c r="T203" i="10"/>
  <c r="T193" i="10"/>
  <c r="T197" i="10"/>
  <c r="T185" i="10"/>
  <c r="T189" i="10"/>
  <c r="M226" i="10"/>
  <c r="O220" i="10"/>
  <c r="O217" i="10"/>
  <c r="R215" i="10"/>
  <c r="T214" i="10"/>
  <c r="Z212" i="10"/>
  <c r="AD80" i="10"/>
  <c r="AE80" i="10" s="1"/>
  <c r="P207" i="10"/>
  <c r="AG80" i="10"/>
  <c r="N205" i="10"/>
  <c r="T204" i="10"/>
  <c r="T201" i="10"/>
  <c r="Z199" i="10"/>
  <c r="AG70" i="10"/>
  <c r="P197" i="10"/>
  <c r="AD70" i="10"/>
  <c r="AE70" i="10" s="1"/>
  <c r="M196" i="10"/>
  <c r="Q194" i="10"/>
  <c r="R193" i="10"/>
  <c r="N191" i="10"/>
  <c r="R188" i="10"/>
  <c r="V50" i="10"/>
  <c r="AG37" i="10"/>
  <c r="AD37" i="10"/>
  <c r="AE37" i="10" s="1"/>
  <c r="Q48" i="10"/>
  <c r="Q50" i="10"/>
  <c r="AH22" i="9"/>
  <c r="AE22" i="9"/>
  <c r="AF22" i="9" s="1"/>
  <c r="AE69" i="8"/>
  <c r="AF69" i="8" s="1"/>
  <c r="AH69" i="8"/>
  <c r="AD60" i="8"/>
  <c r="AH97" i="6"/>
  <c r="AE97" i="6"/>
  <c r="AF97" i="6" s="1"/>
  <c r="AC98" i="25"/>
  <c r="AC27" i="25"/>
  <c r="AC81" i="25" s="1"/>
  <c r="AC82" i="25" s="1"/>
  <c r="AD93" i="25"/>
  <c r="AE93" i="25" s="1"/>
  <c r="AG93" i="25"/>
  <c r="P38" i="10"/>
  <c r="K28" i="20"/>
  <c r="K33" i="20"/>
  <c r="G28" i="20"/>
  <c r="G33" i="20"/>
  <c r="AD90" i="19"/>
  <c r="AE90" i="19" s="1"/>
  <c r="AG90" i="19"/>
  <c r="N30" i="17"/>
  <c r="N33" i="17" s="1"/>
  <c r="N98" i="17"/>
  <c r="N18" i="10"/>
  <c r="N26" i="17"/>
  <c r="N27" i="17" s="1"/>
  <c r="H29" i="12"/>
  <c r="H33" i="12"/>
  <c r="AC134" i="11"/>
  <c r="S121" i="10"/>
  <c r="I33" i="11"/>
  <c r="I51" i="10"/>
  <c r="I29" i="11"/>
  <c r="AG179" i="10"/>
  <c r="AD179" i="10"/>
  <c r="AE179" i="10" s="1"/>
  <c r="X177" i="10"/>
  <c r="X57" i="10" s="1"/>
  <c r="AG153" i="10"/>
  <c r="AD153" i="10"/>
  <c r="AE153" i="10" s="1"/>
  <c r="G129" i="10"/>
  <c r="X139" i="10"/>
  <c r="AD96" i="10"/>
  <c r="AE96" i="10" s="1"/>
  <c r="P223" i="10"/>
  <c r="AG96" i="10"/>
  <c r="I222" i="10"/>
  <c r="M218" i="10"/>
  <c r="G216" i="10"/>
  <c r="Z208" i="10"/>
  <c r="Z205" i="10"/>
  <c r="Z202" i="10"/>
  <c r="E202" i="10"/>
  <c r="O200" i="10"/>
  <c r="U199" i="10"/>
  <c r="E199" i="10"/>
  <c r="N198" i="10"/>
  <c r="K197" i="10"/>
  <c r="R195" i="10"/>
  <c r="O194" i="10"/>
  <c r="U193" i="10"/>
  <c r="U191" i="10"/>
  <c r="E191" i="10"/>
  <c r="N190" i="10"/>
  <c r="K189" i="10"/>
  <c r="R228" i="10"/>
  <c r="Z19" i="1"/>
  <c r="Z24" i="1" s="1"/>
  <c r="AD31" i="10"/>
  <c r="AE31" i="10" s="1"/>
  <c r="AG31" i="10"/>
  <c r="U48" i="10"/>
  <c r="U50" i="10"/>
  <c r="X60" i="9"/>
  <c r="V45" i="9"/>
  <c r="V46" i="9" s="1"/>
  <c r="R45" i="9"/>
  <c r="R46" i="9" s="1"/>
  <c r="L56" i="8"/>
  <c r="P57" i="7"/>
  <c r="AH22" i="7"/>
  <c r="AE22" i="7"/>
  <c r="AF22" i="7" s="1"/>
  <c r="H57" i="6"/>
  <c r="X60" i="6"/>
  <c r="O33" i="16"/>
  <c r="O29" i="16"/>
  <c r="AD43" i="13"/>
  <c r="AE43" i="13" s="1"/>
  <c r="AG43" i="13"/>
  <c r="M24" i="10"/>
  <c r="K223" i="10"/>
  <c r="U222" i="10"/>
  <c r="R220" i="10"/>
  <c r="K212" i="10"/>
  <c r="T199" i="10"/>
  <c r="E195" i="10"/>
  <c r="M190" i="10"/>
  <c r="AC30" i="10"/>
  <c r="AC42" i="10" s="1"/>
  <c r="AC49" i="10" s="1"/>
  <c r="AE49" i="10" s="1"/>
  <c r="AD59" i="7"/>
  <c r="AD58" i="7"/>
  <c r="AD45" i="7"/>
  <c r="AD46" i="7" s="1"/>
  <c r="V46" i="6"/>
  <c r="AE88" i="5"/>
  <c r="AF88" i="5" s="1"/>
  <c r="AH88" i="5"/>
  <c r="Q97" i="5"/>
  <c r="AE38" i="5"/>
  <c r="AF38" i="5" s="1"/>
  <c r="Q124" i="5"/>
  <c r="AH38" i="5"/>
  <c r="AD105" i="8"/>
  <c r="AD105" i="9"/>
  <c r="Q12" i="5"/>
  <c r="AE9" i="5"/>
  <c r="AF9" i="5" s="1"/>
  <c r="AH9" i="5"/>
  <c r="AD97" i="21"/>
  <c r="AE97" i="21" s="1"/>
  <c r="AG97" i="21"/>
  <c r="W228" i="10"/>
  <c r="N213" i="10"/>
  <c r="T211" i="10"/>
  <c r="R205" i="10"/>
  <c r="F200" i="10"/>
  <c r="T102" i="10"/>
  <c r="T103" i="10" s="1"/>
  <c r="U12" i="1"/>
  <c r="Q59" i="9"/>
  <c r="AH15" i="9"/>
  <c r="Q58" i="9"/>
  <c r="AE15" i="9"/>
  <c r="AF15" i="9" s="1"/>
  <c r="K57" i="6"/>
  <c r="K58" i="6"/>
  <c r="K55" i="6"/>
  <c r="K56" i="6" s="1"/>
  <c r="K58" i="9"/>
  <c r="K57" i="9"/>
  <c r="K55" i="9"/>
  <c r="K56" i="9" s="1"/>
  <c r="G74" i="1"/>
  <c r="G75" i="1" s="1"/>
  <c r="AE48" i="5"/>
  <c r="AF48" i="5" s="1"/>
  <c r="AH48" i="5"/>
  <c r="I59" i="8"/>
  <c r="I49" i="8"/>
  <c r="I59" i="9"/>
  <c r="I49" i="9"/>
  <c r="I57" i="9"/>
  <c r="Q71" i="1"/>
  <c r="E73" i="1"/>
  <c r="V45" i="5"/>
  <c r="V46" i="5" s="1"/>
  <c r="R225" i="10"/>
  <c r="K219" i="10"/>
  <c r="U218" i="10"/>
  <c r="M214" i="10"/>
  <c r="T206" i="10"/>
  <c r="T195" i="10"/>
  <c r="Y192" i="10"/>
  <c r="G188" i="10"/>
  <c r="Q59" i="8"/>
  <c r="AE15" i="8"/>
  <c r="AF15" i="8" s="1"/>
  <c r="Q58" i="8"/>
  <c r="AH15" i="8"/>
  <c r="AE32" i="7"/>
  <c r="AF32" i="7" s="1"/>
  <c r="AH32" i="7"/>
  <c r="AH71" i="5"/>
  <c r="Q76" i="5"/>
  <c r="AE71" i="5"/>
  <c r="AF71" i="5" s="1"/>
  <c r="AH64" i="5"/>
  <c r="Q69" i="5"/>
  <c r="AE64" i="5"/>
  <c r="AF64" i="5" s="1"/>
  <c r="N55" i="9"/>
  <c r="N56" i="9" s="1"/>
  <c r="N58" i="9"/>
  <c r="N57" i="9"/>
  <c r="J57" i="6"/>
  <c r="J55" i="6"/>
  <c r="J56" i="6" s="1"/>
  <c r="P59" i="8"/>
  <c r="P49" i="8"/>
  <c r="P57" i="8"/>
  <c r="L59" i="6"/>
  <c r="L49" i="6"/>
  <c r="H59" i="9"/>
  <c r="H49" i="9"/>
  <c r="AE29" i="5"/>
  <c r="AF29" i="5" s="1"/>
  <c r="Q115" i="5"/>
  <c r="AH29" i="5"/>
  <c r="AM51" i="1"/>
  <c r="AJ51" i="1"/>
  <c r="AE51" i="1"/>
  <c r="AH51" i="1"/>
  <c r="AG95" i="13"/>
  <c r="AD95" i="13"/>
  <c r="AE95" i="13" s="1"/>
  <c r="V141" i="10"/>
  <c r="V186" i="10"/>
  <c r="V185" i="10"/>
  <c r="V218" i="10"/>
  <c r="V202" i="10"/>
  <c r="V214" i="10"/>
  <c r="V226" i="10"/>
  <c r="V210" i="10"/>
  <c r="V222" i="10"/>
  <c r="V206" i="10"/>
  <c r="V139" i="10"/>
  <c r="J186" i="10"/>
  <c r="J223" i="10"/>
  <c r="J207" i="10"/>
  <c r="J219" i="10"/>
  <c r="J203" i="10"/>
  <c r="J215" i="10"/>
  <c r="J139" i="10"/>
  <c r="J227" i="10"/>
  <c r="J211" i="10"/>
  <c r="T226" i="10"/>
  <c r="V221" i="10"/>
  <c r="R209" i="10"/>
  <c r="K203" i="10"/>
  <c r="U202" i="10"/>
  <c r="R198" i="10"/>
  <c r="J194" i="10"/>
  <c r="AA228" i="10"/>
  <c r="M56" i="7"/>
  <c r="E56" i="7"/>
  <c r="S60" i="7"/>
  <c r="Z60" i="6"/>
  <c r="M57" i="8"/>
  <c r="AE30" i="5"/>
  <c r="AF30" i="5" s="1"/>
  <c r="Q116" i="5"/>
  <c r="AH30" i="5"/>
  <c r="AD105" i="6"/>
  <c r="F75" i="1"/>
  <c r="AE24" i="5"/>
  <c r="AF24" i="5" s="1"/>
  <c r="J19" i="8"/>
  <c r="J20" i="5"/>
  <c r="AM53" i="1"/>
  <c r="AJ53" i="1"/>
  <c r="AH53" i="1"/>
  <c r="AE53" i="1"/>
  <c r="D50" i="10" l="1"/>
  <c r="D55" i="10"/>
  <c r="AD26" i="15"/>
  <c r="AE26" i="15" s="1"/>
  <c r="AG26" i="15"/>
  <c r="J143" i="26"/>
  <c r="J143" i="25"/>
  <c r="AG30" i="11"/>
  <c r="P33" i="11"/>
  <c r="AD30" i="11"/>
  <c r="AE30" i="11" s="1"/>
  <c r="P29" i="11"/>
  <c r="M55" i="10"/>
  <c r="M50" i="10"/>
  <c r="I48" i="10"/>
  <c r="I144" i="24"/>
  <c r="I152" i="24"/>
  <c r="I149" i="24"/>
  <c r="I150" i="24"/>
  <c r="I148" i="24"/>
  <c r="I151" i="24"/>
  <c r="I143" i="24"/>
  <c r="I139" i="10"/>
  <c r="AG30" i="15"/>
  <c r="P29" i="15"/>
  <c r="P33" i="15"/>
  <c r="AD30" i="15"/>
  <c r="AE30" i="15" s="1"/>
  <c r="H50" i="10"/>
  <c r="H55" i="10"/>
  <c r="J50" i="10"/>
  <c r="J55" i="10"/>
  <c r="D147" i="24"/>
  <c r="D152" i="24"/>
  <c r="D153" i="24"/>
  <c r="D146" i="24"/>
  <c r="D150" i="24"/>
  <c r="D139" i="10"/>
  <c r="D145" i="24"/>
  <c r="D149" i="24"/>
  <c r="D143" i="24"/>
  <c r="D151" i="24"/>
  <c r="AG206" i="10"/>
  <c r="AE115" i="5"/>
  <c r="AH115" i="5"/>
  <c r="AE69" i="5"/>
  <c r="AF69" i="5" s="1"/>
  <c r="AH69" i="5"/>
  <c r="AH59" i="8"/>
  <c r="AE59" i="8"/>
  <c r="AF59" i="8" s="1"/>
  <c r="AM71" i="1"/>
  <c r="Q73" i="1"/>
  <c r="AJ71" i="1"/>
  <c r="AE71" i="1"/>
  <c r="AE58" i="9"/>
  <c r="AF58" i="9" s="1"/>
  <c r="AH58" i="9"/>
  <c r="U24" i="1"/>
  <c r="U16" i="1"/>
  <c r="X184" i="10"/>
  <c r="Y19" i="1"/>
  <c r="X141" i="10"/>
  <c r="I55" i="10"/>
  <c r="I50" i="10"/>
  <c r="Q102" i="10"/>
  <c r="Q103" i="10" s="1"/>
  <c r="R12" i="1"/>
  <c r="W24" i="1"/>
  <c r="W16" i="1"/>
  <c r="K27" i="12"/>
  <c r="I119" i="18"/>
  <c r="H162" i="10"/>
  <c r="K33" i="13"/>
  <c r="K29" i="13"/>
  <c r="O103" i="18"/>
  <c r="P103" i="18" s="1"/>
  <c r="AE57" i="9"/>
  <c r="AF57" i="9" s="1"/>
  <c r="AH57" i="9"/>
  <c r="AG204" i="10"/>
  <c r="AG208" i="10"/>
  <c r="AG212" i="10"/>
  <c r="AG216" i="10"/>
  <c r="AG220" i="10"/>
  <c r="AG224" i="10"/>
  <c r="AD95" i="20"/>
  <c r="AE95" i="20" s="1"/>
  <c r="AG95" i="20"/>
  <c r="H105" i="22"/>
  <c r="I102" i="22"/>
  <c r="AG134" i="25"/>
  <c r="P35" i="25"/>
  <c r="AG35" i="25" s="1"/>
  <c r="AD134" i="25"/>
  <c r="AE134" i="25" s="1"/>
  <c r="I29" i="12"/>
  <c r="I33" i="12"/>
  <c r="M33" i="14"/>
  <c r="M29" i="14"/>
  <c r="D155" i="24"/>
  <c r="P23" i="10"/>
  <c r="D138" i="10"/>
  <c r="AG95" i="15"/>
  <c r="AD95" i="15"/>
  <c r="AE95" i="15" s="1"/>
  <c r="P27" i="20"/>
  <c r="AG14" i="20"/>
  <c r="P98" i="20"/>
  <c r="AD14" i="20"/>
  <c r="AE14" i="20" s="1"/>
  <c r="AD93" i="21"/>
  <c r="AE93" i="21" s="1"/>
  <c r="AG93" i="21"/>
  <c r="N29" i="13"/>
  <c r="N33" i="13"/>
  <c r="N29" i="16"/>
  <c r="N33" i="16"/>
  <c r="AD94" i="19"/>
  <c r="AE94" i="19" s="1"/>
  <c r="AG94" i="19"/>
  <c r="AG95" i="21"/>
  <c r="AD95" i="21"/>
  <c r="AE95" i="21" s="1"/>
  <c r="P29" i="31"/>
  <c r="AG12" i="31"/>
  <c r="AD12" i="31"/>
  <c r="AE12" i="31" s="1"/>
  <c r="D154" i="24"/>
  <c r="P22" i="10"/>
  <c r="D137" i="10"/>
  <c r="AG96" i="26"/>
  <c r="AD96" i="26"/>
  <c r="AE96" i="26" s="1"/>
  <c r="E330" i="54"/>
  <c r="E273" i="54" s="1"/>
  <c r="L347" i="54"/>
  <c r="L297" i="54"/>
  <c r="L354" i="54"/>
  <c r="L363" i="54"/>
  <c r="L343" i="54"/>
  <c r="L286" i="54" s="1"/>
  <c r="L130" i="19" s="1"/>
  <c r="L173" i="10" s="1"/>
  <c r="F253" i="54"/>
  <c r="H200" i="54"/>
  <c r="E284" i="54"/>
  <c r="E341" i="54"/>
  <c r="E344" i="54"/>
  <c r="E287" i="54" s="1"/>
  <c r="N281" i="54"/>
  <c r="N338" i="54"/>
  <c r="P166" i="54"/>
  <c r="D354" i="54"/>
  <c r="O368" i="54"/>
  <c r="D304" i="54"/>
  <c r="P173" i="54"/>
  <c r="D361" i="54"/>
  <c r="O366" i="54"/>
  <c r="E324" i="54"/>
  <c r="E267" i="54" s="1"/>
  <c r="E332" i="54"/>
  <c r="E275" i="54"/>
  <c r="F339" i="54"/>
  <c r="F282" i="54" s="1"/>
  <c r="E354" i="54"/>
  <c r="E297" i="54" s="1"/>
  <c r="O367" i="54"/>
  <c r="O310" i="54" s="1"/>
  <c r="J26" i="7"/>
  <c r="J26" i="5" s="1"/>
  <c r="J112" i="5" s="1"/>
  <c r="J21" i="7"/>
  <c r="J111" i="7"/>
  <c r="J56" i="7"/>
  <c r="AA21" i="1"/>
  <c r="AA23" i="1"/>
  <c r="Q49" i="6"/>
  <c r="N33" i="20"/>
  <c r="N28" i="20"/>
  <c r="N127" i="38"/>
  <c r="M72" i="12" s="1"/>
  <c r="J127" i="38"/>
  <c r="I72" i="12" s="1"/>
  <c r="F127" i="38"/>
  <c r="E72" i="12" s="1"/>
  <c r="M127" i="38"/>
  <c r="L72" i="12" s="1"/>
  <c r="I127" i="38"/>
  <c r="H72" i="12" s="1"/>
  <c r="E127" i="38"/>
  <c r="D72" i="12" s="1"/>
  <c r="K127" i="38"/>
  <c r="J72" i="12" s="1"/>
  <c r="P127" i="38"/>
  <c r="O72" i="12" s="1"/>
  <c r="H127" i="38"/>
  <c r="G72" i="12" s="1"/>
  <c r="O127" i="38"/>
  <c r="N72" i="12" s="1"/>
  <c r="G127" i="38"/>
  <c r="F72" i="12" s="1"/>
  <c r="L127" i="38"/>
  <c r="K72" i="12" s="1"/>
  <c r="N143" i="38"/>
  <c r="J143" i="38"/>
  <c r="F143" i="38"/>
  <c r="M143" i="38"/>
  <c r="I143" i="38"/>
  <c r="E143" i="38"/>
  <c r="K143" i="38"/>
  <c r="P143" i="38"/>
  <c r="H143" i="38"/>
  <c r="O143" i="38"/>
  <c r="G143" i="38"/>
  <c r="L143" i="38"/>
  <c r="N159" i="38"/>
  <c r="N39" i="8" s="1"/>
  <c r="N44" i="8" s="1"/>
  <c r="J159" i="38"/>
  <c r="J39" i="8" s="1"/>
  <c r="J44" i="8" s="1"/>
  <c r="F159" i="38"/>
  <c r="F39" i="8" s="1"/>
  <c r="F44" i="8" s="1"/>
  <c r="M159" i="38"/>
  <c r="M39" i="8" s="1"/>
  <c r="I159" i="38"/>
  <c r="I39" i="8" s="1"/>
  <c r="E159" i="38"/>
  <c r="E39" i="8" s="1"/>
  <c r="K159" i="38"/>
  <c r="K39" i="8" s="1"/>
  <c r="P159" i="38"/>
  <c r="P39" i="8" s="1"/>
  <c r="H159" i="38"/>
  <c r="H39" i="8" s="1"/>
  <c r="O159" i="38"/>
  <c r="O39" i="8" s="1"/>
  <c r="G159" i="38"/>
  <c r="G39" i="8" s="1"/>
  <c r="L159" i="38"/>
  <c r="L39" i="8" s="1"/>
  <c r="N123" i="38"/>
  <c r="N39" i="9" s="1"/>
  <c r="N44" i="9" s="1"/>
  <c r="J123" i="38"/>
  <c r="J39" i="9" s="1"/>
  <c r="J44" i="9" s="1"/>
  <c r="F123" i="38"/>
  <c r="F39" i="9" s="1"/>
  <c r="F44" i="9" s="1"/>
  <c r="M123" i="38"/>
  <c r="M39" i="9" s="1"/>
  <c r="M44" i="9" s="1"/>
  <c r="I123" i="38"/>
  <c r="I39" i="9" s="1"/>
  <c r="I44" i="9" s="1"/>
  <c r="E123" i="38"/>
  <c r="E39" i="9" s="1"/>
  <c r="K123" i="38"/>
  <c r="K39" i="9" s="1"/>
  <c r="K44" i="9" s="1"/>
  <c r="P123" i="38"/>
  <c r="P39" i="9" s="1"/>
  <c r="P44" i="9" s="1"/>
  <c r="H123" i="38"/>
  <c r="H39" i="9" s="1"/>
  <c r="H44" i="9" s="1"/>
  <c r="O123" i="38"/>
  <c r="O39" i="9" s="1"/>
  <c r="O44" i="9" s="1"/>
  <c r="G123" i="38"/>
  <c r="G39" i="9" s="1"/>
  <c r="G44" i="9" s="1"/>
  <c r="L123" i="38"/>
  <c r="L39" i="9" s="1"/>
  <c r="L44" i="9" s="1"/>
  <c r="N139" i="38"/>
  <c r="M72" i="24" s="1"/>
  <c r="M80" i="24" s="1"/>
  <c r="M81" i="24" s="1"/>
  <c r="J139" i="38"/>
  <c r="I72" i="24" s="1"/>
  <c r="I80" i="24" s="1"/>
  <c r="F139" i="38"/>
  <c r="E72" i="24" s="1"/>
  <c r="E80" i="24" s="1"/>
  <c r="E81" i="24" s="1"/>
  <c r="M139" i="38"/>
  <c r="L72" i="24" s="1"/>
  <c r="L80" i="24" s="1"/>
  <c r="L81" i="24" s="1"/>
  <c r="I139" i="38"/>
  <c r="H72" i="24" s="1"/>
  <c r="H80" i="24" s="1"/>
  <c r="H81" i="24" s="1"/>
  <c r="E139" i="38"/>
  <c r="D72" i="24" s="1"/>
  <c r="K139" i="38"/>
  <c r="J72" i="24" s="1"/>
  <c r="J80" i="24" s="1"/>
  <c r="P139" i="38"/>
  <c r="O72" i="24" s="1"/>
  <c r="O80" i="24" s="1"/>
  <c r="O81" i="24" s="1"/>
  <c r="H139" i="38"/>
  <c r="G72" i="24" s="1"/>
  <c r="G80" i="24" s="1"/>
  <c r="G81" i="24" s="1"/>
  <c r="O139" i="38"/>
  <c r="N72" i="24" s="1"/>
  <c r="N80" i="24" s="1"/>
  <c r="G139" i="38"/>
  <c r="F72" i="24" s="1"/>
  <c r="F80" i="24" s="1"/>
  <c r="L139" i="38"/>
  <c r="K72" i="24" s="1"/>
  <c r="K80" i="24" s="1"/>
  <c r="K81" i="24" s="1"/>
  <c r="N155" i="38"/>
  <c r="M22" i="43" s="1"/>
  <c r="J155" i="38"/>
  <c r="I22" i="43" s="1"/>
  <c r="F155" i="38"/>
  <c r="E22" i="43" s="1"/>
  <c r="M155" i="38"/>
  <c r="L22" i="43" s="1"/>
  <c r="I155" i="38"/>
  <c r="H22" i="43" s="1"/>
  <c r="E155" i="38"/>
  <c r="D22" i="43" s="1"/>
  <c r="K155" i="38"/>
  <c r="J22" i="43" s="1"/>
  <c r="P155" i="38"/>
  <c r="O22" i="43" s="1"/>
  <c r="H155" i="38"/>
  <c r="G22" i="43" s="1"/>
  <c r="O155" i="38"/>
  <c r="N22" i="43" s="1"/>
  <c r="G155" i="38"/>
  <c r="F22" i="43" s="1"/>
  <c r="L155" i="38"/>
  <c r="K22" i="43" s="1"/>
  <c r="N121" i="38"/>
  <c r="N39" i="6" s="1"/>
  <c r="J121" i="38"/>
  <c r="J39" i="6" s="1"/>
  <c r="F121" i="38"/>
  <c r="F39" i="6" s="1"/>
  <c r="M121" i="38"/>
  <c r="M39" i="6" s="1"/>
  <c r="I121" i="38"/>
  <c r="I39" i="6" s="1"/>
  <c r="E121" i="38"/>
  <c r="E39" i="6" s="1"/>
  <c r="K121" i="38"/>
  <c r="K39" i="6" s="1"/>
  <c r="P121" i="38"/>
  <c r="P39" i="6" s="1"/>
  <c r="H121" i="38"/>
  <c r="H39" i="6" s="1"/>
  <c r="O121" i="38"/>
  <c r="O39" i="6" s="1"/>
  <c r="G121" i="38"/>
  <c r="G39" i="6" s="1"/>
  <c r="L121" i="38"/>
  <c r="L39" i="6" s="1"/>
  <c r="N137" i="38"/>
  <c r="M72" i="26" s="1"/>
  <c r="M80" i="26" s="1"/>
  <c r="M81" i="26" s="1"/>
  <c r="J137" i="38"/>
  <c r="I72" i="26" s="1"/>
  <c r="I80" i="26" s="1"/>
  <c r="I81" i="26" s="1"/>
  <c r="F137" i="38"/>
  <c r="E72" i="26" s="1"/>
  <c r="E80" i="26" s="1"/>
  <c r="E81" i="26" s="1"/>
  <c r="M137" i="38"/>
  <c r="L72" i="26" s="1"/>
  <c r="L80" i="26" s="1"/>
  <c r="L81" i="26" s="1"/>
  <c r="I137" i="38"/>
  <c r="H72" i="26" s="1"/>
  <c r="H80" i="26" s="1"/>
  <c r="H81" i="26" s="1"/>
  <c r="E137" i="38"/>
  <c r="D72" i="26" s="1"/>
  <c r="K137" i="38"/>
  <c r="J72" i="26" s="1"/>
  <c r="J80" i="26" s="1"/>
  <c r="P137" i="38"/>
  <c r="O72" i="26" s="1"/>
  <c r="O80" i="26" s="1"/>
  <c r="O81" i="26" s="1"/>
  <c r="H137" i="38"/>
  <c r="G72" i="26" s="1"/>
  <c r="G80" i="26" s="1"/>
  <c r="G81" i="26" s="1"/>
  <c r="O137" i="38"/>
  <c r="N72" i="26" s="1"/>
  <c r="N80" i="26" s="1"/>
  <c r="G137" i="38"/>
  <c r="F72" i="26" s="1"/>
  <c r="F80" i="26" s="1"/>
  <c r="L137" i="38"/>
  <c r="K72" i="26" s="1"/>
  <c r="K80" i="26" s="1"/>
  <c r="K81" i="26" s="1"/>
  <c r="N153" i="38"/>
  <c r="J153" i="38"/>
  <c r="F153" i="38"/>
  <c r="M153" i="38"/>
  <c r="I153" i="38"/>
  <c r="E153" i="38"/>
  <c r="K153" i="38"/>
  <c r="P153" i="38"/>
  <c r="H153" i="38"/>
  <c r="O153" i="38"/>
  <c r="G153" i="38"/>
  <c r="L153" i="38"/>
  <c r="N122" i="38"/>
  <c r="N22" i="36" s="1"/>
  <c r="N26" i="36" s="1"/>
  <c r="J122" i="38"/>
  <c r="J22" i="36" s="1"/>
  <c r="J26" i="36" s="1"/>
  <c r="F122" i="38"/>
  <c r="F22" i="36" s="1"/>
  <c r="F26" i="36" s="1"/>
  <c r="M122" i="38"/>
  <c r="M22" i="36" s="1"/>
  <c r="M26" i="36" s="1"/>
  <c r="I122" i="38"/>
  <c r="I22" i="36" s="1"/>
  <c r="I26" i="36" s="1"/>
  <c r="E122" i="38"/>
  <c r="E22" i="36" s="1"/>
  <c r="O122" i="38"/>
  <c r="O22" i="36" s="1"/>
  <c r="O26" i="36" s="1"/>
  <c r="G122" i="38"/>
  <c r="G22" i="36" s="1"/>
  <c r="G26" i="36" s="1"/>
  <c r="L122" i="38"/>
  <c r="L22" i="36" s="1"/>
  <c r="L26" i="36" s="1"/>
  <c r="K122" i="38"/>
  <c r="K22" i="36" s="1"/>
  <c r="K26" i="36" s="1"/>
  <c r="P122" i="38"/>
  <c r="P22" i="36" s="1"/>
  <c r="P26" i="36" s="1"/>
  <c r="H122" i="38"/>
  <c r="H22" i="36" s="1"/>
  <c r="H26" i="36" s="1"/>
  <c r="N138" i="38"/>
  <c r="M72" i="25" s="1"/>
  <c r="M80" i="25" s="1"/>
  <c r="M81" i="25" s="1"/>
  <c r="J138" i="38"/>
  <c r="I72" i="25" s="1"/>
  <c r="I80" i="25" s="1"/>
  <c r="I81" i="25" s="1"/>
  <c r="F138" i="38"/>
  <c r="E72" i="25" s="1"/>
  <c r="E80" i="25" s="1"/>
  <c r="E81" i="25" s="1"/>
  <c r="M138" i="38"/>
  <c r="L72" i="25" s="1"/>
  <c r="L80" i="25" s="1"/>
  <c r="L81" i="25" s="1"/>
  <c r="I138" i="38"/>
  <c r="H72" i="25" s="1"/>
  <c r="H80" i="25" s="1"/>
  <c r="H81" i="25" s="1"/>
  <c r="E138" i="38"/>
  <c r="D72" i="25" s="1"/>
  <c r="O138" i="38"/>
  <c r="N72" i="25" s="1"/>
  <c r="N80" i="25" s="1"/>
  <c r="N81" i="25" s="1"/>
  <c r="G138" i="38"/>
  <c r="F72" i="25" s="1"/>
  <c r="F80" i="25" s="1"/>
  <c r="L138" i="38"/>
  <c r="K72" i="25" s="1"/>
  <c r="K80" i="25" s="1"/>
  <c r="K138" i="38"/>
  <c r="J72" i="25" s="1"/>
  <c r="J80" i="25" s="1"/>
  <c r="P138" i="38"/>
  <c r="O72" i="25" s="1"/>
  <c r="O80" i="25" s="1"/>
  <c r="H138" i="38"/>
  <c r="G72" i="25" s="1"/>
  <c r="G80" i="25" s="1"/>
  <c r="N154" i="38"/>
  <c r="M22" i="42" s="1"/>
  <c r="J154" i="38"/>
  <c r="I22" i="42" s="1"/>
  <c r="F154" i="38"/>
  <c r="E22" i="42" s="1"/>
  <c r="M154" i="38"/>
  <c r="L22" i="42" s="1"/>
  <c r="I154" i="38"/>
  <c r="H22" i="42" s="1"/>
  <c r="E154" i="38"/>
  <c r="D22" i="42" s="1"/>
  <c r="O154" i="38"/>
  <c r="N22" i="42" s="1"/>
  <c r="G154" i="38"/>
  <c r="F22" i="42" s="1"/>
  <c r="L154" i="38"/>
  <c r="K22" i="42" s="1"/>
  <c r="K154" i="38"/>
  <c r="J22" i="42" s="1"/>
  <c r="P154" i="38"/>
  <c r="O22" i="42" s="1"/>
  <c r="H154" i="38"/>
  <c r="G22" i="42" s="1"/>
  <c r="Y47" i="41"/>
  <c r="F340" i="54"/>
  <c r="F283" i="54"/>
  <c r="F324" i="54"/>
  <c r="F267" i="54"/>
  <c r="F325" i="54"/>
  <c r="F268" i="54" s="1"/>
  <c r="F368" i="54"/>
  <c r="F311" i="54" s="1"/>
  <c r="D182" i="54"/>
  <c r="D183" i="54" s="1"/>
  <c r="P130" i="54"/>
  <c r="D318" i="54"/>
  <c r="D261" i="54" s="1"/>
  <c r="D326" i="54"/>
  <c r="D269" i="54"/>
  <c r="P138" i="54"/>
  <c r="P135" i="54"/>
  <c r="D323" i="54"/>
  <c r="P156" i="54"/>
  <c r="D344" i="54"/>
  <c r="E112" i="5"/>
  <c r="N115" i="18"/>
  <c r="AD45" i="9"/>
  <c r="AD46" i="9" s="1"/>
  <c r="AF46" i="9" s="1"/>
  <c r="AD94" i="12"/>
  <c r="AE94" i="12" s="1"/>
  <c r="AG94" i="12"/>
  <c r="W48" i="10"/>
  <c r="W50" i="10"/>
  <c r="AG200" i="10"/>
  <c r="AE22" i="5"/>
  <c r="AF22" i="5" s="1"/>
  <c r="Q108" i="5"/>
  <c r="AH22" i="5"/>
  <c r="D47" i="10"/>
  <c r="N145" i="24"/>
  <c r="AD19" i="10"/>
  <c r="AE19" i="10" s="1"/>
  <c r="AG19" i="10"/>
  <c r="AG134" i="16"/>
  <c r="P35" i="16"/>
  <c r="P137" i="16"/>
  <c r="AD134" i="16"/>
  <c r="AE134" i="16" s="1"/>
  <c r="P98" i="11"/>
  <c r="AG14" i="11"/>
  <c r="P27" i="11"/>
  <c r="AD14" i="11"/>
  <c r="AE14" i="11" s="1"/>
  <c r="L24" i="10"/>
  <c r="L127" i="10"/>
  <c r="AG14" i="18"/>
  <c r="P98" i="18"/>
  <c r="P27" i="18"/>
  <c r="AD14" i="18"/>
  <c r="AE14" i="18" s="1"/>
  <c r="J114" i="19"/>
  <c r="AD14" i="23"/>
  <c r="AE14" i="23" s="1"/>
  <c r="P98" i="23"/>
  <c r="AG14" i="23"/>
  <c r="P27" i="23"/>
  <c r="M155" i="24"/>
  <c r="M138" i="10"/>
  <c r="AD93" i="26"/>
  <c r="AE93" i="26" s="1"/>
  <c r="AG93" i="26"/>
  <c r="AC81" i="22"/>
  <c r="AC82" i="22" s="1"/>
  <c r="AG12" i="41"/>
  <c r="AG95" i="26"/>
  <c r="AD95" i="26"/>
  <c r="AE95" i="26" s="1"/>
  <c r="AD25" i="1"/>
  <c r="N352" i="54"/>
  <c r="N295" i="54"/>
  <c r="O329" i="54"/>
  <c r="O272" i="54" s="1"/>
  <c r="F244" i="54"/>
  <c r="H195" i="54"/>
  <c r="N182" i="54"/>
  <c r="N183" i="54" s="1"/>
  <c r="N318" i="54"/>
  <c r="L321" i="54"/>
  <c r="L264" i="54"/>
  <c r="F342" i="54"/>
  <c r="F285" i="54"/>
  <c r="L182" i="54"/>
  <c r="L183" i="54" s="1"/>
  <c r="L318" i="54"/>
  <c r="N331" i="54"/>
  <c r="N274" i="54" s="1"/>
  <c r="L349" i="54"/>
  <c r="D335" i="54"/>
  <c r="D278" i="54"/>
  <c r="P147" i="54"/>
  <c r="F357" i="54"/>
  <c r="F300" i="54" s="1"/>
  <c r="D353" i="54"/>
  <c r="D296" i="54"/>
  <c r="P165" i="54"/>
  <c r="N322" i="54"/>
  <c r="L332" i="54"/>
  <c r="L275" i="54" s="1"/>
  <c r="F344" i="54"/>
  <c r="F287" i="54" s="1"/>
  <c r="N300" i="54"/>
  <c r="N357" i="54"/>
  <c r="F362" i="54"/>
  <c r="F305" i="54" s="1"/>
  <c r="E288" i="54"/>
  <c r="E345" i="54"/>
  <c r="H55" i="50"/>
  <c r="I74" i="1"/>
  <c r="I75" i="1" s="1"/>
  <c r="AG189" i="10"/>
  <c r="AA24" i="1"/>
  <c r="AA16" i="1"/>
  <c r="X102" i="10"/>
  <c r="X103" i="10" s="1"/>
  <c r="Y12" i="1"/>
  <c r="AG213" i="10"/>
  <c r="AC81" i="15"/>
  <c r="AC82" i="15" s="1"/>
  <c r="AC37" i="15"/>
  <c r="L37" i="37"/>
  <c r="K51" i="28"/>
  <c r="K55" i="28" s="1"/>
  <c r="E37" i="37"/>
  <c r="Q33" i="37"/>
  <c r="D51" i="28"/>
  <c r="F37" i="37"/>
  <c r="E51" i="28"/>
  <c r="E55" i="28" s="1"/>
  <c r="AH25" i="38"/>
  <c r="N339" i="54"/>
  <c r="N282" i="54"/>
  <c r="E358" i="54"/>
  <c r="E301" i="54"/>
  <c r="F55" i="37" s="1"/>
  <c r="E73" i="28" s="1"/>
  <c r="E322" i="54"/>
  <c r="E265" i="54" s="1"/>
  <c r="E346" i="54"/>
  <c r="E289" i="54"/>
  <c r="O327" i="54"/>
  <c r="O270" i="54" s="1"/>
  <c r="O335" i="54"/>
  <c r="O278" i="54"/>
  <c r="O130" i="18" s="1"/>
  <c r="O332" i="54"/>
  <c r="O275" i="54"/>
  <c r="F106" i="5"/>
  <c r="Y21" i="1"/>
  <c r="Y23" i="1"/>
  <c r="P84" i="13"/>
  <c r="Q56" i="5"/>
  <c r="AH55" i="5"/>
  <c r="AE55" i="5"/>
  <c r="AF55" i="5" s="1"/>
  <c r="P84" i="11"/>
  <c r="M44" i="8"/>
  <c r="M20" i="5"/>
  <c r="M19" i="8"/>
  <c r="AH48" i="8"/>
  <c r="AE48" i="8"/>
  <c r="AF48" i="8" s="1"/>
  <c r="G21" i="7"/>
  <c r="G111" i="7"/>
  <c r="G56" i="7"/>
  <c r="G26" i="7"/>
  <c r="G26" i="5" s="1"/>
  <c r="G112" i="5" s="1"/>
  <c r="AA186" i="10"/>
  <c r="AA185" i="10"/>
  <c r="AA139" i="10"/>
  <c r="AA214" i="10"/>
  <c r="AA226" i="10"/>
  <c r="AA210" i="10"/>
  <c r="AA141" i="10"/>
  <c r="AA222" i="10"/>
  <c r="AA206" i="10"/>
  <c r="AA218" i="10"/>
  <c r="AA202" i="10"/>
  <c r="AA194" i="10"/>
  <c r="AA200" i="10"/>
  <c r="AA223" i="10"/>
  <c r="AA220" i="10"/>
  <c r="AA187" i="10"/>
  <c r="AA192" i="10"/>
  <c r="AA209" i="10"/>
  <c r="AA190" i="10"/>
  <c r="AA198" i="10"/>
  <c r="AA199" i="10"/>
  <c r="AA212" i="10"/>
  <c r="AA219" i="10"/>
  <c r="AA207" i="10"/>
  <c r="AA217" i="10"/>
  <c r="AA224" i="10"/>
  <c r="AA227" i="10"/>
  <c r="AA195" i="10"/>
  <c r="AA208" i="10"/>
  <c r="AA211" i="10"/>
  <c r="AA225" i="10"/>
  <c r="AA188" i="10"/>
  <c r="AA189" i="10"/>
  <c r="AA197" i="10"/>
  <c r="AA213" i="10"/>
  <c r="AA204" i="10"/>
  <c r="AA221" i="10"/>
  <c r="AA205" i="10"/>
  <c r="AA191" i="10"/>
  <c r="AA193" i="10"/>
  <c r="AA196" i="10"/>
  <c r="AA215" i="10"/>
  <c r="AA203" i="10"/>
  <c r="AA216" i="10"/>
  <c r="AA201" i="10"/>
  <c r="F150" i="24"/>
  <c r="F133" i="10"/>
  <c r="P18" i="10"/>
  <c r="H148" i="24"/>
  <c r="H131" i="10"/>
  <c r="AH40" i="5"/>
  <c r="Q126" i="5"/>
  <c r="AE40" i="5"/>
  <c r="AF40" i="5" s="1"/>
  <c r="P211" i="10"/>
  <c r="N47" i="10"/>
  <c r="AD93" i="12"/>
  <c r="AE93" i="12" s="1"/>
  <c r="AG93" i="12"/>
  <c r="AG94" i="21"/>
  <c r="AD94" i="21"/>
  <c r="AE94" i="21" s="1"/>
  <c r="AC24" i="10"/>
  <c r="AC126" i="10"/>
  <c r="AG134" i="21"/>
  <c r="P137" i="21"/>
  <c r="P35" i="21"/>
  <c r="AD134" i="21"/>
  <c r="AE134" i="21" s="1"/>
  <c r="AD96" i="16"/>
  <c r="AE96" i="16" s="1"/>
  <c r="AG96" i="16"/>
  <c r="AD96" i="25"/>
  <c r="AE96" i="25" s="1"/>
  <c r="AG96" i="25"/>
  <c r="J81" i="26"/>
  <c r="AH75" i="35"/>
  <c r="Q79" i="35"/>
  <c r="H250" i="54"/>
  <c r="J197" i="54"/>
  <c r="AD49" i="47"/>
  <c r="AE49" i="47" s="1"/>
  <c r="AD57" i="53"/>
  <c r="AE57" i="53" s="1"/>
  <c r="L276" i="54"/>
  <c r="L333" i="54"/>
  <c r="L272" i="54"/>
  <c r="L329" i="54"/>
  <c r="H237" i="54"/>
  <c r="J193" i="54"/>
  <c r="G321" i="54"/>
  <c r="G264" i="54" s="1"/>
  <c r="D351" i="54"/>
  <c r="D294" i="54" s="1"/>
  <c r="P163" i="54"/>
  <c r="G364" i="54"/>
  <c r="G347" i="54"/>
  <c r="G331" i="54"/>
  <c r="G274" i="54" s="1"/>
  <c r="G352" i="54"/>
  <c r="G295" i="54" s="1"/>
  <c r="E359" i="54"/>
  <c r="E302" i="54"/>
  <c r="F358" i="54"/>
  <c r="F301" i="54"/>
  <c r="G55" i="37" s="1"/>
  <c r="F73" i="28" s="1"/>
  <c r="L350" i="54"/>
  <c r="L293" i="54"/>
  <c r="E327" i="54"/>
  <c r="E270" i="54" s="1"/>
  <c r="L346" i="54"/>
  <c r="L289" i="54"/>
  <c r="N354" i="54"/>
  <c r="N297" i="54" s="1"/>
  <c r="E360" i="54"/>
  <c r="E303" i="54" s="1"/>
  <c r="E364" i="54"/>
  <c r="E307" i="54" s="1"/>
  <c r="F323" i="54"/>
  <c r="F266" i="54" s="1"/>
  <c r="D276" i="54"/>
  <c r="P145" i="54"/>
  <c r="D333" i="54"/>
  <c r="O343" i="54"/>
  <c r="O286" i="54" s="1"/>
  <c r="O130" i="19" s="1"/>
  <c r="L366" i="54"/>
  <c r="N106" i="5"/>
  <c r="P188" i="10"/>
  <c r="K118" i="18"/>
  <c r="E33" i="12"/>
  <c r="E29" i="12"/>
  <c r="AG35" i="17"/>
  <c r="AD35" i="17"/>
  <c r="AE35" i="17" s="1"/>
  <c r="P214" i="10"/>
  <c r="AD83" i="46"/>
  <c r="AE83" i="46" s="1"/>
  <c r="N332" i="54"/>
  <c r="N275" i="54" s="1"/>
  <c r="N361" i="54"/>
  <c r="N328" i="54"/>
  <c r="N271" i="54" s="1"/>
  <c r="N280" i="54"/>
  <c r="N130" i="22" s="1"/>
  <c r="N337" i="54"/>
  <c r="P157" i="54"/>
  <c r="AD98" i="13"/>
  <c r="AE98" i="13" s="1"/>
  <c r="AG98" i="13"/>
  <c r="I345" i="54"/>
  <c r="I288" i="54" s="1"/>
  <c r="I367" i="54"/>
  <c r="I310" i="54"/>
  <c r="I339" i="54"/>
  <c r="I282" i="54"/>
  <c r="I344" i="54"/>
  <c r="I287" i="54" s="1"/>
  <c r="I332" i="54"/>
  <c r="I275" i="54"/>
  <c r="I360" i="54"/>
  <c r="I303" i="54" s="1"/>
  <c r="I366" i="54"/>
  <c r="I182" i="54"/>
  <c r="I183" i="54" s="1"/>
  <c r="I318" i="54"/>
  <c r="I319" i="54"/>
  <c r="I336" i="54"/>
  <c r="I279" i="54" s="1"/>
  <c r="I298" i="54"/>
  <c r="I355" i="54"/>
  <c r="I337" i="54"/>
  <c r="I280" i="54" s="1"/>
  <c r="I130" i="22" s="1"/>
  <c r="I334" i="54"/>
  <c r="I277" i="54" s="1"/>
  <c r="M353" i="54"/>
  <c r="M296" i="54" s="1"/>
  <c r="M368" i="54"/>
  <c r="M351" i="54"/>
  <c r="M330" i="54"/>
  <c r="M273" i="54" s="1"/>
  <c r="M346" i="54"/>
  <c r="M289" i="54" s="1"/>
  <c r="M356" i="54"/>
  <c r="M364" i="54"/>
  <c r="M266" i="54"/>
  <c r="M323" i="54"/>
  <c r="M359" i="54"/>
  <c r="M302" i="54" s="1"/>
  <c r="M182" i="54"/>
  <c r="M183" i="54" s="1"/>
  <c r="M318" i="54"/>
  <c r="M325" i="54"/>
  <c r="M268" i="54" s="1"/>
  <c r="M333" i="54"/>
  <c r="M276" i="54" s="1"/>
  <c r="M334" i="54"/>
  <c r="M277" i="54"/>
  <c r="P142" i="54"/>
  <c r="J356" i="54"/>
  <c r="J284" i="54"/>
  <c r="J341" i="54"/>
  <c r="J266" i="54"/>
  <c r="J323" i="54"/>
  <c r="J303" i="54"/>
  <c r="J360" i="54"/>
  <c r="J369" i="54"/>
  <c r="J335" i="54"/>
  <c r="J278" i="54" s="1"/>
  <c r="J130" i="18" s="1"/>
  <c r="J173" i="10" s="1"/>
  <c r="J366" i="54"/>
  <c r="J347" i="54"/>
  <c r="J336" i="54"/>
  <c r="J279" i="54" s="1"/>
  <c r="J320" i="54"/>
  <c r="J365" i="54"/>
  <c r="J276" i="54"/>
  <c r="J333" i="54"/>
  <c r="J296" i="54"/>
  <c r="J353" i="54"/>
  <c r="H361" i="54"/>
  <c r="H328" i="54"/>
  <c r="H271" i="54" s="1"/>
  <c r="H335" i="54"/>
  <c r="H278" i="54" s="1"/>
  <c r="H130" i="18" s="1"/>
  <c r="H276" i="54"/>
  <c r="H333" i="54"/>
  <c r="H272" i="54"/>
  <c r="H329" i="54"/>
  <c r="H369" i="54"/>
  <c r="H297" i="54"/>
  <c r="H354" i="54"/>
  <c r="H346" i="54"/>
  <c r="H289" i="54" s="1"/>
  <c r="H353" i="54"/>
  <c r="H296" i="54" s="1"/>
  <c r="H330" i="54"/>
  <c r="H273" i="54" s="1"/>
  <c r="H359" i="54"/>
  <c r="H302" i="54" s="1"/>
  <c r="H326" i="54"/>
  <c r="H269" i="54" s="1"/>
  <c r="H286" i="54"/>
  <c r="H130" i="19" s="1"/>
  <c r="H343" i="54"/>
  <c r="AD98" i="25"/>
  <c r="AE98" i="25" s="1"/>
  <c r="AG98" i="25"/>
  <c r="AG35" i="24"/>
  <c r="AD35" i="24"/>
  <c r="AE35" i="24" s="1"/>
  <c r="AA184" i="10"/>
  <c r="K281" i="54"/>
  <c r="K338" i="54"/>
  <c r="K361" i="54"/>
  <c r="K358" i="54"/>
  <c r="K301" i="54" s="1"/>
  <c r="L55" i="37" s="1"/>
  <c r="K73" i="28" s="1"/>
  <c r="K349" i="54"/>
  <c r="K320" i="54"/>
  <c r="K356" i="54"/>
  <c r="K366" i="54"/>
  <c r="K340" i="54"/>
  <c r="K283" i="54" s="1"/>
  <c r="K330" i="54"/>
  <c r="K273" i="54" s="1"/>
  <c r="K300" i="54"/>
  <c r="K357" i="54"/>
  <c r="K335" i="54"/>
  <c r="K278" i="54" s="1"/>
  <c r="K130" i="18" s="1"/>
  <c r="K173" i="10" s="1"/>
  <c r="K339" i="54"/>
  <c r="K282" i="54" s="1"/>
  <c r="K368" i="54"/>
  <c r="J55" i="50"/>
  <c r="Q56" i="7"/>
  <c r="AH55" i="7"/>
  <c r="AE55" i="7"/>
  <c r="AF55" i="7" s="1"/>
  <c r="Q111" i="7"/>
  <c r="M150" i="24"/>
  <c r="M148" i="24"/>
  <c r="M149" i="24"/>
  <c r="M151" i="24"/>
  <c r="U102" i="10"/>
  <c r="U103" i="10" s="1"/>
  <c r="V12" i="1"/>
  <c r="AG223" i="10"/>
  <c r="F48" i="10"/>
  <c r="F155" i="24"/>
  <c r="F146" i="24"/>
  <c r="F147" i="24"/>
  <c r="F151" i="24"/>
  <c r="F152" i="24"/>
  <c r="F153" i="24"/>
  <c r="N48" i="10"/>
  <c r="N153" i="24"/>
  <c r="N146" i="24"/>
  <c r="N147" i="24"/>
  <c r="N155" i="24"/>
  <c r="K33" i="12"/>
  <c r="K29" i="12"/>
  <c r="M116" i="18"/>
  <c r="G138" i="10"/>
  <c r="K127" i="10"/>
  <c r="G24" i="10"/>
  <c r="G126" i="10"/>
  <c r="AG134" i="12"/>
  <c r="AD134" i="12"/>
  <c r="AE134" i="12" s="1"/>
  <c r="P35" i="12"/>
  <c r="AD31" i="20"/>
  <c r="AE31" i="20" s="1"/>
  <c r="AG31" i="20"/>
  <c r="P29" i="20"/>
  <c r="M37" i="15"/>
  <c r="P30" i="21"/>
  <c r="D33" i="21"/>
  <c r="AE80" i="34"/>
  <c r="AF80" i="34" s="1"/>
  <c r="AD84" i="34"/>
  <c r="N154" i="24"/>
  <c r="N137" i="10"/>
  <c r="AD26" i="23"/>
  <c r="AE26" i="23" s="1"/>
  <c r="AG26" i="23"/>
  <c r="Q84" i="34"/>
  <c r="AH80" i="34"/>
  <c r="AD41" i="28"/>
  <c r="AE41" i="28" s="1"/>
  <c r="AG41" i="28"/>
  <c r="Q66" i="36"/>
  <c r="AH62" i="36"/>
  <c r="AG39" i="28"/>
  <c r="AD39" i="28"/>
  <c r="AE39" i="28" s="1"/>
  <c r="AG24" i="54"/>
  <c r="AD24" i="54"/>
  <c r="AE24" i="54" s="1"/>
  <c r="K170" i="53"/>
  <c r="M191" i="53"/>
  <c r="M184" i="53"/>
  <c r="H193" i="53"/>
  <c r="P141" i="54"/>
  <c r="D329" i="54"/>
  <c r="D272" i="54" s="1"/>
  <c r="D336" i="54"/>
  <c r="D279" i="54"/>
  <c r="P148" i="54"/>
  <c r="L342" i="54"/>
  <c r="L285" i="54" s="1"/>
  <c r="L322" i="54"/>
  <c r="L266" i="54"/>
  <c r="L323" i="54"/>
  <c r="L352" i="54"/>
  <c r="L295" i="54" s="1"/>
  <c r="E262" i="54"/>
  <c r="E319" i="54"/>
  <c r="O342" i="54"/>
  <c r="O285" i="54" s="1"/>
  <c r="O351" i="54"/>
  <c r="O326" i="54"/>
  <c r="O269" i="54" s="1"/>
  <c r="E291" i="54"/>
  <c r="E348" i="54"/>
  <c r="N358" i="54"/>
  <c r="N301" i="54" s="1"/>
  <c r="O55" i="37" s="1"/>
  <c r="N73" i="28" s="1"/>
  <c r="N349" i="54"/>
  <c r="O346" i="54"/>
  <c r="O289" i="54" s="1"/>
  <c r="E274" i="54"/>
  <c r="E331" i="54"/>
  <c r="D340" i="54"/>
  <c r="P152" i="54"/>
  <c r="N343" i="54"/>
  <c r="N286" i="54"/>
  <c r="N130" i="19" s="1"/>
  <c r="O362" i="54"/>
  <c r="F367" i="54"/>
  <c r="F310" i="54"/>
  <c r="F343" i="54"/>
  <c r="F286" i="54"/>
  <c r="F130" i="19" s="1"/>
  <c r="F356" i="54"/>
  <c r="F299" i="54" s="1"/>
  <c r="G204" i="54"/>
  <c r="F206" i="54"/>
  <c r="H188" i="54"/>
  <c r="AG196" i="10"/>
  <c r="I21" i="5"/>
  <c r="I107" i="5" s="1"/>
  <c r="H144" i="24"/>
  <c r="H127" i="10"/>
  <c r="Q103" i="7"/>
  <c r="AE103" i="7" s="1"/>
  <c r="AH98" i="7"/>
  <c r="Q17" i="7"/>
  <c r="AE98" i="7"/>
  <c r="AF98" i="7" s="1"/>
  <c r="P30" i="12"/>
  <c r="E130" i="10"/>
  <c r="P15" i="10"/>
  <c r="K116" i="19"/>
  <c r="J159" i="10"/>
  <c r="AG94" i="11"/>
  <c r="AD94" i="11"/>
  <c r="AE94" i="11" s="1"/>
  <c r="AG217" i="10"/>
  <c r="I37" i="15"/>
  <c r="J33" i="13"/>
  <c r="J29" i="13"/>
  <c r="H103" i="19"/>
  <c r="G146" i="10"/>
  <c r="J154" i="24"/>
  <c r="J137" i="10"/>
  <c r="AD27" i="24"/>
  <c r="AE27" i="24" s="1"/>
  <c r="AG27" i="24"/>
  <c r="F81" i="24"/>
  <c r="N128" i="38"/>
  <c r="M72" i="14" s="1"/>
  <c r="J128" i="38"/>
  <c r="I72" i="14" s="1"/>
  <c r="F128" i="38"/>
  <c r="E72" i="14" s="1"/>
  <c r="M128" i="38"/>
  <c r="L72" i="14" s="1"/>
  <c r="I128" i="38"/>
  <c r="H72" i="14" s="1"/>
  <c r="E128" i="38"/>
  <c r="D72" i="14" s="1"/>
  <c r="O128" i="38"/>
  <c r="N72" i="14" s="1"/>
  <c r="G128" i="38"/>
  <c r="F72" i="14" s="1"/>
  <c r="L128" i="38"/>
  <c r="K72" i="14" s="1"/>
  <c r="K128" i="38"/>
  <c r="J72" i="14" s="1"/>
  <c r="P128" i="38"/>
  <c r="O72" i="14" s="1"/>
  <c r="H128" i="38"/>
  <c r="G72" i="14" s="1"/>
  <c r="N144" i="38"/>
  <c r="N39" i="34" s="1"/>
  <c r="N44" i="34" s="1"/>
  <c r="J144" i="38"/>
  <c r="J39" i="34" s="1"/>
  <c r="J44" i="34" s="1"/>
  <c r="F144" i="38"/>
  <c r="F39" i="34" s="1"/>
  <c r="F44" i="34" s="1"/>
  <c r="M144" i="38"/>
  <c r="M39" i="34" s="1"/>
  <c r="M44" i="34" s="1"/>
  <c r="I144" i="38"/>
  <c r="I39" i="34" s="1"/>
  <c r="I44" i="34" s="1"/>
  <c r="E144" i="38"/>
  <c r="E39" i="34" s="1"/>
  <c r="O144" i="38"/>
  <c r="O39" i="34" s="1"/>
  <c r="O44" i="34" s="1"/>
  <c r="G144" i="38"/>
  <c r="G39" i="34" s="1"/>
  <c r="G44" i="34" s="1"/>
  <c r="L144" i="38"/>
  <c r="L39" i="34" s="1"/>
  <c r="L44" i="34" s="1"/>
  <c r="K144" i="38"/>
  <c r="K39" i="34" s="1"/>
  <c r="K44" i="34" s="1"/>
  <c r="P144" i="38"/>
  <c r="P39" i="34" s="1"/>
  <c r="P44" i="34" s="1"/>
  <c r="H144" i="38"/>
  <c r="H39" i="34" s="1"/>
  <c r="H44" i="34" s="1"/>
  <c r="N160" i="38"/>
  <c r="M23" i="49" s="1"/>
  <c r="J160" i="38"/>
  <c r="I23" i="49" s="1"/>
  <c r="F160" i="38"/>
  <c r="E23" i="49" s="1"/>
  <c r="M160" i="38"/>
  <c r="L23" i="49" s="1"/>
  <c r="I160" i="38"/>
  <c r="H23" i="49" s="1"/>
  <c r="E160" i="38"/>
  <c r="D23" i="49" s="1"/>
  <c r="O160" i="38"/>
  <c r="N23" i="49" s="1"/>
  <c r="G160" i="38"/>
  <c r="F23" i="49" s="1"/>
  <c r="L160" i="38"/>
  <c r="K23" i="49" s="1"/>
  <c r="K160" i="38"/>
  <c r="J23" i="49" s="1"/>
  <c r="P160" i="38"/>
  <c r="O23" i="49" s="1"/>
  <c r="H160" i="38"/>
  <c r="G23" i="49" s="1"/>
  <c r="N124" i="38"/>
  <c r="M72" i="11" s="1"/>
  <c r="J124" i="38"/>
  <c r="I72" i="11" s="1"/>
  <c r="F124" i="38"/>
  <c r="E72" i="11" s="1"/>
  <c r="M124" i="38"/>
  <c r="L72" i="11" s="1"/>
  <c r="I124" i="38"/>
  <c r="H72" i="11" s="1"/>
  <c r="E124" i="38"/>
  <c r="D72" i="11" s="1"/>
  <c r="O124" i="38"/>
  <c r="N72" i="11" s="1"/>
  <c r="G124" i="38"/>
  <c r="F72" i="11" s="1"/>
  <c r="L124" i="38"/>
  <c r="K72" i="11" s="1"/>
  <c r="K124" i="38"/>
  <c r="J72" i="11" s="1"/>
  <c r="P124" i="38"/>
  <c r="O72" i="11" s="1"/>
  <c r="H124" i="38"/>
  <c r="G72" i="11" s="1"/>
  <c r="N140" i="38"/>
  <c r="J140" i="38"/>
  <c r="F140" i="38"/>
  <c r="M140" i="38"/>
  <c r="I140" i="38"/>
  <c r="E140" i="38"/>
  <c r="O140" i="38"/>
  <c r="G140" i="38"/>
  <c r="L140" i="38"/>
  <c r="K140" i="38"/>
  <c r="P140" i="38"/>
  <c r="H140" i="38"/>
  <c r="N156" i="38"/>
  <c r="M22" i="44" s="1"/>
  <c r="M46" i="44" s="1"/>
  <c r="M47" i="44" s="1"/>
  <c r="J156" i="38"/>
  <c r="I22" i="44" s="1"/>
  <c r="I46" i="44" s="1"/>
  <c r="I47" i="44" s="1"/>
  <c r="F156" i="38"/>
  <c r="E22" i="44" s="1"/>
  <c r="E46" i="44" s="1"/>
  <c r="E47" i="44" s="1"/>
  <c r="M156" i="38"/>
  <c r="L22" i="44" s="1"/>
  <c r="L46" i="44" s="1"/>
  <c r="L47" i="44" s="1"/>
  <c r="I156" i="38"/>
  <c r="H22" i="44" s="1"/>
  <c r="H46" i="44" s="1"/>
  <c r="H47" i="44" s="1"/>
  <c r="E156" i="38"/>
  <c r="D22" i="44" s="1"/>
  <c r="O156" i="38"/>
  <c r="N22" i="44" s="1"/>
  <c r="N46" i="44" s="1"/>
  <c r="N47" i="44" s="1"/>
  <c r="G156" i="38"/>
  <c r="F22" i="44" s="1"/>
  <c r="F46" i="44" s="1"/>
  <c r="F47" i="44" s="1"/>
  <c r="L156" i="38"/>
  <c r="K22" i="44" s="1"/>
  <c r="K46" i="44" s="1"/>
  <c r="K47" i="44" s="1"/>
  <c r="K156" i="38"/>
  <c r="J22" i="44" s="1"/>
  <c r="J46" i="44" s="1"/>
  <c r="J47" i="44" s="1"/>
  <c r="P156" i="38"/>
  <c r="O22" i="44" s="1"/>
  <c r="O46" i="44" s="1"/>
  <c r="O47" i="44" s="1"/>
  <c r="H156" i="38"/>
  <c r="G22" i="44" s="1"/>
  <c r="G46" i="44" s="1"/>
  <c r="G47" i="44" s="1"/>
  <c r="N125" i="38"/>
  <c r="M72" i="16" s="1"/>
  <c r="J125" i="38"/>
  <c r="I72" i="16" s="1"/>
  <c r="F125" i="38"/>
  <c r="E72" i="16" s="1"/>
  <c r="M125" i="38"/>
  <c r="L72" i="16" s="1"/>
  <c r="I125" i="38"/>
  <c r="H72" i="16" s="1"/>
  <c r="E125" i="38"/>
  <c r="D72" i="16" s="1"/>
  <c r="K125" i="38"/>
  <c r="J72" i="16" s="1"/>
  <c r="P125" i="38"/>
  <c r="O72" i="16" s="1"/>
  <c r="H125" i="38"/>
  <c r="G72" i="16" s="1"/>
  <c r="O125" i="38"/>
  <c r="N72" i="16" s="1"/>
  <c r="G125" i="38"/>
  <c r="F72" i="16" s="1"/>
  <c r="L125" i="38"/>
  <c r="K72" i="16" s="1"/>
  <c r="N141" i="38"/>
  <c r="J141" i="38"/>
  <c r="F141" i="38"/>
  <c r="M141" i="38"/>
  <c r="I141" i="38"/>
  <c r="E141" i="38"/>
  <c r="K141" i="38"/>
  <c r="P141" i="38"/>
  <c r="H141" i="38"/>
  <c r="O141" i="38"/>
  <c r="G141" i="38"/>
  <c r="L141" i="38"/>
  <c r="N157" i="38"/>
  <c r="M22" i="46" s="1"/>
  <c r="M46" i="46" s="1"/>
  <c r="M47" i="46" s="1"/>
  <c r="J157" i="38"/>
  <c r="I22" i="46" s="1"/>
  <c r="I46" i="46" s="1"/>
  <c r="I47" i="46" s="1"/>
  <c r="F157" i="38"/>
  <c r="E22" i="46" s="1"/>
  <c r="E46" i="46" s="1"/>
  <c r="E47" i="46" s="1"/>
  <c r="M157" i="38"/>
  <c r="L22" i="46" s="1"/>
  <c r="L46" i="46" s="1"/>
  <c r="L47" i="46" s="1"/>
  <c r="I157" i="38"/>
  <c r="H22" i="46" s="1"/>
  <c r="H46" i="46" s="1"/>
  <c r="H47" i="46" s="1"/>
  <c r="E157" i="38"/>
  <c r="D22" i="46" s="1"/>
  <c r="K157" i="38"/>
  <c r="J22" i="46" s="1"/>
  <c r="J46" i="46" s="1"/>
  <c r="J47" i="46" s="1"/>
  <c r="P157" i="38"/>
  <c r="O22" i="46" s="1"/>
  <c r="O46" i="46" s="1"/>
  <c r="O47" i="46" s="1"/>
  <c r="H157" i="38"/>
  <c r="G22" i="46" s="1"/>
  <c r="G46" i="46" s="1"/>
  <c r="G47" i="46" s="1"/>
  <c r="O157" i="38"/>
  <c r="N22" i="46" s="1"/>
  <c r="N46" i="46" s="1"/>
  <c r="N47" i="46" s="1"/>
  <c r="G157" i="38"/>
  <c r="F22" i="46" s="1"/>
  <c r="F46" i="46" s="1"/>
  <c r="F47" i="46" s="1"/>
  <c r="L157" i="38"/>
  <c r="K22" i="46" s="1"/>
  <c r="K46" i="46" s="1"/>
  <c r="K47" i="46" s="1"/>
  <c r="N126" i="38"/>
  <c r="M72" i="13" s="1"/>
  <c r="J126" i="38"/>
  <c r="I72" i="13" s="1"/>
  <c r="F126" i="38"/>
  <c r="E72" i="13" s="1"/>
  <c r="M126" i="38"/>
  <c r="L72" i="13" s="1"/>
  <c r="I126" i="38"/>
  <c r="H72" i="13" s="1"/>
  <c r="E126" i="38"/>
  <c r="D72" i="13" s="1"/>
  <c r="O126" i="38"/>
  <c r="N72" i="13" s="1"/>
  <c r="G126" i="38"/>
  <c r="F72" i="13" s="1"/>
  <c r="L126" i="38"/>
  <c r="K72" i="13" s="1"/>
  <c r="K126" i="38"/>
  <c r="J72" i="13" s="1"/>
  <c r="H126" i="38"/>
  <c r="G72" i="13" s="1"/>
  <c r="P126" i="38"/>
  <c r="O72" i="13" s="1"/>
  <c r="N142" i="38"/>
  <c r="J142" i="38"/>
  <c r="F142" i="38"/>
  <c r="M142" i="38"/>
  <c r="I142" i="38"/>
  <c r="E142" i="38"/>
  <c r="O142" i="38"/>
  <c r="G142" i="38"/>
  <c r="L142" i="38"/>
  <c r="K142" i="38"/>
  <c r="H142" i="38"/>
  <c r="P142" i="38"/>
  <c r="N158" i="38"/>
  <c r="M22" i="45" s="1"/>
  <c r="M46" i="45" s="1"/>
  <c r="M47" i="45" s="1"/>
  <c r="J158" i="38"/>
  <c r="I22" i="45" s="1"/>
  <c r="I46" i="45" s="1"/>
  <c r="I47" i="45" s="1"/>
  <c r="F158" i="38"/>
  <c r="E22" i="45" s="1"/>
  <c r="E46" i="45" s="1"/>
  <c r="E47" i="45" s="1"/>
  <c r="M158" i="38"/>
  <c r="L22" i="45" s="1"/>
  <c r="L46" i="45" s="1"/>
  <c r="L47" i="45" s="1"/>
  <c r="I158" i="38"/>
  <c r="H22" i="45" s="1"/>
  <c r="H46" i="45" s="1"/>
  <c r="H47" i="45" s="1"/>
  <c r="E158" i="38"/>
  <c r="D22" i="45" s="1"/>
  <c r="O158" i="38"/>
  <c r="N22" i="45" s="1"/>
  <c r="N46" i="45" s="1"/>
  <c r="N47" i="45" s="1"/>
  <c r="G158" i="38"/>
  <c r="F22" i="45" s="1"/>
  <c r="F46" i="45" s="1"/>
  <c r="F47" i="45" s="1"/>
  <c r="L158" i="38"/>
  <c r="K22" i="45" s="1"/>
  <c r="K46" i="45" s="1"/>
  <c r="K47" i="45" s="1"/>
  <c r="K158" i="38"/>
  <c r="J22" i="45" s="1"/>
  <c r="J46" i="45" s="1"/>
  <c r="J47" i="45" s="1"/>
  <c r="H158" i="38"/>
  <c r="G22" i="45" s="1"/>
  <c r="G46" i="45" s="1"/>
  <c r="G47" i="45" s="1"/>
  <c r="P158" i="38"/>
  <c r="O22" i="45" s="1"/>
  <c r="O46" i="45" s="1"/>
  <c r="O47" i="45" s="1"/>
  <c r="AG77" i="47"/>
  <c r="F352" i="54"/>
  <c r="F295" i="54" s="1"/>
  <c r="F332" i="54"/>
  <c r="F275" i="54" s="1"/>
  <c r="F276" i="54"/>
  <c r="F333" i="54"/>
  <c r="D281" i="54"/>
  <c r="P150" i="54"/>
  <c r="D338" i="54"/>
  <c r="D291" i="54"/>
  <c r="P160" i="54"/>
  <c r="D348" i="54"/>
  <c r="P143" i="54"/>
  <c r="D331" i="54"/>
  <c r="D274" i="54" s="1"/>
  <c r="P174" i="54"/>
  <c r="D362" i="54"/>
  <c r="D305" i="54" s="1"/>
  <c r="P159" i="54"/>
  <c r="F239" i="54"/>
  <c r="F294" i="54" s="1"/>
  <c r="H194" i="54"/>
  <c r="E55" i="37"/>
  <c r="D55" i="50"/>
  <c r="Q11" i="1"/>
  <c r="E74" i="1"/>
  <c r="E75" i="1" s="1"/>
  <c r="AD103" i="5"/>
  <c r="AD45" i="5"/>
  <c r="AD46" i="5" s="1"/>
  <c r="AF46" i="5" s="1"/>
  <c r="AE49" i="5"/>
  <c r="AF49" i="5" s="1"/>
  <c r="AH49" i="5"/>
  <c r="AG191" i="10"/>
  <c r="G19" i="8"/>
  <c r="G44" i="8"/>
  <c r="G20" i="5"/>
  <c r="M152" i="24"/>
  <c r="W186" i="10"/>
  <c r="W185" i="10"/>
  <c r="W139" i="10"/>
  <c r="W221" i="10"/>
  <c r="W205" i="10"/>
  <c r="W217" i="10"/>
  <c r="W201" i="10"/>
  <c r="W213" i="10"/>
  <c r="W141" i="10"/>
  <c r="W225" i="10"/>
  <c r="W209" i="10"/>
  <c r="W219" i="10"/>
  <c r="W207" i="10"/>
  <c r="W224" i="10"/>
  <c r="W227" i="10"/>
  <c r="W195" i="10"/>
  <c r="W202" i="10"/>
  <c r="W208" i="10"/>
  <c r="W211" i="10"/>
  <c r="W188" i="10"/>
  <c r="W226" i="10"/>
  <c r="W189" i="10"/>
  <c r="W197" i="10"/>
  <c r="W210" i="10"/>
  <c r="W204" i="10"/>
  <c r="W218" i="10"/>
  <c r="W191" i="10"/>
  <c r="W193" i="10"/>
  <c r="W196" i="10"/>
  <c r="W215" i="10"/>
  <c r="W192" i="10"/>
  <c r="W203" i="10"/>
  <c r="W216" i="10"/>
  <c r="W190" i="10"/>
  <c r="W198" i="10"/>
  <c r="W199" i="10"/>
  <c r="W206" i="10"/>
  <c r="W212" i="10"/>
  <c r="W194" i="10"/>
  <c r="W200" i="10"/>
  <c r="W223" i="10"/>
  <c r="W214" i="10"/>
  <c r="W220" i="10"/>
  <c r="W187" i="10"/>
  <c r="W222" i="10"/>
  <c r="AG52" i="10"/>
  <c r="AD52" i="10"/>
  <c r="AE52" i="10" s="1"/>
  <c r="O128" i="10"/>
  <c r="AG198" i="10"/>
  <c r="P26" i="12"/>
  <c r="D33" i="13"/>
  <c r="P30" i="13"/>
  <c r="D29" i="13"/>
  <c r="L29" i="16"/>
  <c r="L33" i="16"/>
  <c r="M47" i="10"/>
  <c r="M48" i="10" s="1"/>
  <c r="M27" i="12"/>
  <c r="H121" i="18"/>
  <c r="G164" i="10"/>
  <c r="AD96" i="14"/>
  <c r="AE96" i="14" s="1"/>
  <c r="AG96" i="14"/>
  <c r="I27" i="1"/>
  <c r="Q27" i="1" s="1"/>
  <c r="Q15" i="1"/>
  <c r="AG94" i="18"/>
  <c r="AD94" i="18"/>
  <c r="AE94" i="18" s="1"/>
  <c r="G151" i="24"/>
  <c r="AD94" i="22"/>
  <c r="AE94" i="22" s="1"/>
  <c r="AG94" i="22"/>
  <c r="AD14" i="26"/>
  <c r="AE14" i="26" s="1"/>
  <c r="P98" i="26"/>
  <c r="AG14" i="26"/>
  <c r="P27" i="26"/>
  <c r="P21" i="10"/>
  <c r="F81" i="26"/>
  <c r="V9" i="41"/>
  <c r="W30" i="1" s="1"/>
  <c r="W35" i="1" s="1"/>
  <c r="V47" i="41"/>
  <c r="AD31" i="1"/>
  <c r="E336" i="54"/>
  <c r="E279" i="54" s="1"/>
  <c r="F262" i="54"/>
  <c r="F319" i="54"/>
  <c r="F321" i="54"/>
  <c r="F264" i="54" s="1"/>
  <c r="N351" i="54"/>
  <c r="F210" i="54"/>
  <c r="H191" i="54"/>
  <c r="N359" i="54"/>
  <c r="N302" i="54"/>
  <c r="F348" i="54"/>
  <c r="F291" i="54" s="1"/>
  <c r="D324" i="54"/>
  <c r="D267" i="54"/>
  <c r="P136" i="54"/>
  <c r="F334" i="54"/>
  <c r="F277" i="54" s="1"/>
  <c r="F346" i="54"/>
  <c r="F289" i="54" s="1"/>
  <c r="F308" i="54"/>
  <c r="F365" i="54"/>
  <c r="D307" i="54"/>
  <c r="P176" i="54"/>
  <c r="D364" i="54"/>
  <c r="N348" i="54"/>
  <c r="N291" i="54" s="1"/>
  <c r="F257" i="54"/>
  <c r="H203" i="54"/>
  <c r="AG22" i="55"/>
  <c r="AD22" i="55"/>
  <c r="AE22" i="55" s="1"/>
  <c r="O55" i="50"/>
  <c r="P74" i="1"/>
  <c r="P75" i="1" s="1"/>
  <c r="P19" i="8"/>
  <c r="P44" i="8"/>
  <c r="P20" i="5"/>
  <c r="I44" i="8"/>
  <c r="I20" i="5"/>
  <c r="I19" i="8"/>
  <c r="D148" i="24"/>
  <c r="P16" i="10"/>
  <c r="D131" i="10"/>
  <c r="J150" i="24"/>
  <c r="J133" i="10"/>
  <c r="AG201" i="10"/>
  <c r="I146" i="24"/>
  <c r="I129" i="10"/>
  <c r="AG218" i="10"/>
  <c r="AD93" i="17"/>
  <c r="AE93" i="17" s="1"/>
  <c r="AG93" i="17"/>
  <c r="M153" i="24"/>
  <c r="H37" i="37"/>
  <c r="G51" i="28"/>
  <c r="G55" i="28" s="1"/>
  <c r="G37" i="37"/>
  <c r="F51" i="28"/>
  <c r="F55" i="28" s="1"/>
  <c r="I37" i="37"/>
  <c r="H51" i="28"/>
  <c r="H55" i="28" s="1"/>
  <c r="J37" i="37"/>
  <c r="I51" i="28"/>
  <c r="I55" i="28" s="1"/>
  <c r="E333" i="54"/>
  <c r="E276" i="54" s="1"/>
  <c r="E325" i="54"/>
  <c r="E268" i="54" s="1"/>
  <c r="E326" i="54"/>
  <c r="E269" i="54"/>
  <c r="E353" i="54"/>
  <c r="E296" i="54"/>
  <c r="O291" i="54"/>
  <c r="O348" i="54"/>
  <c r="O266" i="54"/>
  <c r="O323" i="54"/>
  <c r="O287" i="54"/>
  <c r="O344" i="54"/>
  <c r="AE111" i="5"/>
  <c r="AH111" i="5"/>
  <c r="AH120" i="5"/>
  <c r="AE120" i="5"/>
  <c r="S21" i="1"/>
  <c r="S23" i="1"/>
  <c r="Q49" i="9"/>
  <c r="Q49" i="8"/>
  <c r="O19" i="8"/>
  <c r="O44" i="8"/>
  <c r="O20" i="5"/>
  <c r="AD19" i="1"/>
  <c r="F33" i="17"/>
  <c r="P30" i="17"/>
  <c r="I118" i="22"/>
  <c r="H161" i="10"/>
  <c r="N51" i="10"/>
  <c r="R48" i="10"/>
  <c r="R50" i="10"/>
  <c r="T24" i="1"/>
  <c r="T16" i="1"/>
  <c r="AD65" i="10"/>
  <c r="AE65" i="10" s="1"/>
  <c r="AG65" i="10"/>
  <c r="P192" i="10"/>
  <c r="AG96" i="15"/>
  <c r="AD96" i="15"/>
  <c r="AE96" i="15" s="1"/>
  <c r="Q55" i="8"/>
  <c r="AE52" i="8"/>
  <c r="AF52" i="8" s="1"/>
  <c r="Q57" i="8"/>
  <c r="AH52" i="8"/>
  <c r="AG97" i="11"/>
  <c r="AD97" i="11"/>
  <c r="AE97" i="11" s="1"/>
  <c r="AD97" i="17"/>
  <c r="AE97" i="17" s="1"/>
  <c r="AG97" i="17"/>
  <c r="O28" i="20"/>
  <c r="O33" i="20"/>
  <c r="F144" i="24"/>
  <c r="F127" i="10"/>
  <c r="AG93" i="14"/>
  <c r="AD93" i="14"/>
  <c r="AE93" i="14" s="1"/>
  <c r="AG96" i="22"/>
  <c r="AD96" i="22"/>
  <c r="AE96" i="22" s="1"/>
  <c r="F154" i="24"/>
  <c r="F137" i="10"/>
  <c r="AG95" i="23"/>
  <c r="AD95" i="23"/>
  <c r="AE95" i="23" s="1"/>
  <c r="I153" i="24"/>
  <c r="AG94" i="24"/>
  <c r="AD94" i="24"/>
  <c r="AE94" i="24" s="1"/>
  <c r="AG134" i="26"/>
  <c r="P35" i="26"/>
  <c r="AD134" i="26"/>
  <c r="AE134" i="26" s="1"/>
  <c r="T35" i="1"/>
  <c r="M197" i="53"/>
  <c r="E197" i="53"/>
  <c r="H197" i="53"/>
  <c r="O197" i="53"/>
  <c r="F329" i="54"/>
  <c r="F272" i="54" s="1"/>
  <c r="H175" i="53"/>
  <c r="O175" i="53"/>
  <c r="I175" i="53"/>
  <c r="M175" i="53"/>
  <c r="O182" i="54"/>
  <c r="O183" i="54" s="1"/>
  <c r="O318" i="54"/>
  <c r="N335" i="54"/>
  <c r="N278" i="54" s="1"/>
  <c r="N130" i="18" s="1"/>
  <c r="N173" i="10" s="1"/>
  <c r="O319" i="54"/>
  <c r="G266" i="54"/>
  <c r="G323" i="54"/>
  <c r="G270" i="54"/>
  <c r="G327" i="54"/>
  <c r="G324" i="54"/>
  <c r="G267" i="54" s="1"/>
  <c r="G306" i="54"/>
  <c r="G363" i="54"/>
  <c r="D359" i="54"/>
  <c r="P359" i="54" s="1"/>
  <c r="P171" i="54"/>
  <c r="F252" i="54"/>
  <c r="H199" i="54"/>
  <c r="P181" i="54"/>
  <c r="D369" i="54"/>
  <c r="D367" i="54"/>
  <c r="D310" i="54"/>
  <c r="P179" i="54"/>
  <c r="L361" i="54"/>
  <c r="L365" i="54"/>
  <c r="D268" i="54"/>
  <c r="P137" i="54"/>
  <c r="D325" i="54"/>
  <c r="F335" i="54"/>
  <c r="F278" i="54"/>
  <c r="F130" i="18" s="1"/>
  <c r="E347" i="54"/>
  <c r="E290" i="54" s="1"/>
  <c r="E369" i="54"/>
  <c r="E312" i="54" s="1"/>
  <c r="F249" i="54"/>
  <c r="H196" i="54"/>
  <c r="Z21" i="1"/>
  <c r="Z23" i="1"/>
  <c r="Z28" i="1" s="1"/>
  <c r="Z36" i="1" s="1"/>
  <c r="AE48" i="7"/>
  <c r="AF48" i="7" s="1"/>
  <c r="AH48" i="7"/>
  <c r="AG136" i="10"/>
  <c r="AD136" i="10"/>
  <c r="AE136" i="10" s="1"/>
  <c r="AH98" i="9"/>
  <c r="Q17" i="9"/>
  <c r="AE98" i="9"/>
  <c r="AF98" i="9" s="1"/>
  <c r="Q55" i="6"/>
  <c r="AE52" i="6"/>
  <c r="AF52" i="6" s="1"/>
  <c r="Q57" i="6"/>
  <c r="AH52" i="6"/>
  <c r="P205" i="10"/>
  <c r="E154" i="24"/>
  <c r="E137" i="10"/>
  <c r="AD65" i="31"/>
  <c r="AE65" i="31" s="1"/>
  <c r="AC69" i="31"/>
  <c r="AC42" i="28"/>
  <c r="N320" i="54"/>
  <c r="N324" i="54"/>
  <c r="N267" i="54" s="1"/>
  <c r="N346" i="54"/>
  <c r="N289" i="54" s="1"/>
  <c r="N303" i="54"/>
  <c r="N360" i="54"/>
  <c r="I254" i="54"/>
  <c r="I309" i="54" s="1"/>
  <c r="K201" i="54"/>
  <c r="AD27" i="13"/>
  <c r="AE27" i="13" s="1"/>
  <c r="AG27" i="13"/>
  <c r="I291" i="54"/>
  <c r="I348" i="54"/>
  <c r="I363" i="54"/>
  <c r="I356" i="54"/>
  <c r="I349" i="54"/>
  <c r="I328" i="54"/>
  <c r="I271" i="54" s="1"/>
  <c r="I297" i="54"/>
  <c r="I354" i="54"/>
  <c r="I359" i="54"/>
  <c r="I302" i="54" s="1"/>
  <c r="I270" i="54"/>
  <c r="I327" i="54"/>
  <c r="I365" i="54"/>
  <c r="I362" i="54"/>
  <c r="I284" i="54"/>
  <c r="I341" i="54"/>
  <c r="I353" i="54"/>
  <c r="I296" i="54" s="1"/>
  <c r="I281" i="54"/>
  <c r="I338" i="54"/>
  <c r="M336" i="54"/>
  <c r="M279" i="54" s="1"/>
  <c r="M287" i="54"/>
  <c r="M344" i="54"/>
  <c r="M285" i="54"/>
  <c r="M342" i="54"/>
  <c r="M361" i="54"/>
  <c r="M367" i="54"/>
  <c r="M310" i="54" s="1"/>
  <c r="M332" i="54"/>
  <c r="M275" i="54" s="1"/>
  <c r="M303" i="54"/>
  <c r="M360" i="54"/>
  <c r="M297" i="54"/>
  <c r="M354" i="54"/>
  <c r="M340" i="54"/>
  <c r="M283" i="54" s="1"/>
  <c r="M343" i="54"/>
  <c r="M286" i="54" s="1"/>
  <c r="M130" i="19" s="1"/>
  <c r="M321" i="54"/>
  <c r="M264" i="54" s="1"/>
  <c r="M358" i="54"/>
  <c r="M301" i="54" s="1"/>
  <c r="N55" i="37" s="1"/>
  <c r="M73" i="28" s="1"/>
  <c r="M281" i="54"/>
  <c r="M338" i="54"/>
  <c r="J334" i="54"/>
  <c r="J277" i="54"/>
  <c r="J182" i="54"/>
  <c r="J183" i="54" s="1"/>
  <c r="J318" i="54"/>
  <c r="J367" i="54"/>
  <c r="J310" i="54" s="1"/>
  <c r="J297" i="54"/>
  <c r="J354" i="54"/>
  <c r="J349" i="54"/>
  <c r="J281" i="54"/>
  <c r="J338" i="54"/>
  <c r="J362" i="54"/>
  <c r="J342" i="54"/>
  <c r="J285" i="54" s="1"/>
  <c r="J330" i="54"/>
  <c r="J273" i="54" s="1"/>
  <c r="J340" i="54"/>
  <c r="J283" i="54" s="1"/>
  <c r="J332" i="54"/>
  <c r="J275" i="54" s="1"/>
  <c r="J280" i="54"/>
  <c r="J130" i="22" s="1"/>
  <c r="J337" i="54"/>
  <c r="J364" i="54"/>
  <c r="H356" i="54"/>
  <c r="H324" i="54"/>
  <c r="H267" i="54" s="1"/>
  <c r="H292" i="54"/>
  <c r="H349" i="54"/>
  <c r="H350" i="54"/>
  <c r="H293" i="54" s="1"/>
  <c r="H337" i="54"/>
  <c r="H280" i="54" s="1"/>
  <c r="H130" i="22" s="1"/>
  <c r="H300" i="54"/>
  <c r="H357" i="54"/>
  <c r="H306" i="54"/>
  <c r="H363" i="54"/>
  <c r="H364" i="54"/>
  <c r="H270" i="54"/>
  <c r="H327" i="54"/>
  <c r="H287" i="54"/>
  <c r="H344" i="54"/>
  <c r="H182" i="54"/>
  <c r="H183" i="54" s="1"/>
  <c r="H318" i="54"/>
  <c r="H323" i="54"/>
  <c r="H266" i="54" s="1"/>
  <c r="H366" i="54"/>
  <c r="H309" i="54" s="1"/>
  <c r="G55" i="50"/>
  <c r="H74" i="1"/>
  <c r="H75" i="1" s="1"/>
  <c r="H19" i="8"/>
  <c r="H44" i="8"/>
  <c r="H20" i="5"/>
  <c r="AA102" i="10"/>
  <c r="AA103" i="10" s="1"/>
  <c r="AB12" i="1"/>
  <c r="K276" i="54"/>
  <c r="K333" i="54"/>
  <c r="K287" i="54"/>
  <c r="K344" i="54"/>
  <c r="K351" i="54"/>
  <c r="K347" i="54"/>
  <c r="K182" i="54"/>
  <c r="K183" i="54" s="1"/>
  <c r="K318" i="54"/>
  <c r="K334" i="54"/>
  <c r="K277" i="54"/>
  <c r="K362" i="54"/>
  <c r="K350" i="54"/>
  <c r="K293" i="54"/>
  <c r="K359" i="54"/>
  <c r="K302" i="54"/>
  <c r="K354" i="54"/>
  <c r="K297" i="54" s="1"/>
  <c r="K352" i="54"/>
  <c r="K295" i="54"/>
  <c r="K360" i="54"/>
  <c r="K303" i="54" s="1"/>
  <c r="K324" i="54"/>
  <c r="K267" i="54"/>
  <c r="AE97" i="5"/>
  <c r="AF97" i="5" s="1"/>
  <c r="AH97" i="5"/>
  <c r="AH116" i="5"/>
  <c r="AE116" i="5"/>
  <c r="AH58" i="8"/>
  <c r="AE58" i="8"/>
  <c r="AF58" i="8" s="1"/>
  <c r="M143" i="24"/>
  <c r="S186" i="10"/>
  <c r="S185" i="10"/>
  <c r="S139" i="10"/>
  <c r="S141" i="10"/>
  <c r="S189" i="10"/>
  <c r="S197" i="10"/>
  <c r="S210" i="10"/>
  <c r="S204" i="10"/>
  <c r="S217" i="10"/>
  <c r="S218" i="10"/>
  <c r="S225" i="10"/>
  <c r="S191" i="10"/>
  <c r="S193" i="10"/>
  <c r="S196" i="10"/>
  <c r="S215" i="10"/>
  <c r="S202" i="10"/>
  <c r="S209" i="10"/>
  <c r="S212" i="10"/>
  <c r="S213" i="10"/>
  <c r="S224" i="10"/>
  <c r="S203" i="10"/>
  <c r="S216" i="10"/>
  <c r="S190" i="10"/>
  <c r="S198" i="10"/>
  <c r="S221" i="10"/>
  <c r="S205" i="10"/>
  <c r="S199" i="10"/>
  <c r="S206" i="10"/>
  <c r="S227" i="10"/>
  <c r="S211" i="10"/>
  <c r="S188" i="10"/>
  <c r="S226" i="10"/>
  <c r="S194" i="10"/>
  <c r="S220" i="10"/>
  <c r="S200" i="10"/>
  <c r="S223" i="10"/>
  <c r="S201" i="10"/>
  <c r="S214" i="10"/>
  <c r="S187" i="10"/>
  <c r="S192" i="10"/>
  <c r="S222" i="10"/>
  <c r="S208" i="10"/>
  <c r="S219" i="10"/>
  <c r="S207" i="10"/>
  <c r="S195" i="10"/>
  <c r="AD38" i="10"/>
  <c r="AE38" i="10" s="1"/>
  <c r="AG38" i="10"/>
  <c r="AG207" i="10"/>
  <c r="F143" i="24"/>
  <c r="N143" i="24"/>
  <c r="H48" i="10"/>
  <c r="H154" i="24"/>
  <c r="H146" i="24"/>
  <c r="H139" i="10"/>
  <c r="H147" i="24"/>
  <c r="H151" i="24"/>
  <c r="H152" i="24"/>
  <c r="H149" i="24"/>
  <c r="H153" i="24"/>
  <c r="H150" i="24"/>
  <c r="K128" i="10"/>
  <c r="AD14" i="16"/>
  <c r="AE14" i="16" s="1"/>
  <c r="P27" i="16"/>
  <c r="P98" i="16"/>
  <c r="AG14" i="16"/>
  <c r="AD134" i="11"/>
  <c r="AE134" i="11" s="1"/>
  <c r="P35" i="11"/>
  <c r="AG134" i="11"/>
  <c r="Q56" i="9"/>
  <c r="AH55" i="9"/>
  <c r="AE55" i="9"/>
  <c r="AF55" i="9" s="1"/>
  <c r="G33" i="11"/>
  <c r="G29" i="11"/>
  <c r="G51" i="10"/>
  <c r="AH121" i="5"/>
  <c r="AE121" i="5"/>
  <c r="I145" i="24"/>
  <c r="I128" i="10"/>
  <c r="I27" i="12"/>
  <c r="M146" i="24"/>
  <c r="M129" i="10"/>
  <c r="M147" i="24"/>
  <c r="M130" i="10"/>
  <c r="AD95" i="19"/>
  <c r="AE95" i="19" s="1"/>
  <c r="AG95" i="19"/>
  <c r="AG222" i="10"/>
  <c r="AG226" i="10"/>
  <c r="AG96" i="13"/>
  <c r="AD96" i="13"/>
  <c r="AE96" i="13" s="1"/>
  <c r="AG93" i="20"/>
  <c r="AD93" i="20"/>
  <c r="AE93" i="20" s="1"/>
  <c r="AD14" i="21"/>
  <c r="AE14" i="21" s="1"/>
  <c r="P27" i="21"/>
  <c r="AG14" i="21"/>
  <c r="P98" i="21"/>
  <c r="AG95" i="22"/>
  <c r="AD95" i="22"/>
  <c r="AE95" i="22" s="1"/>
  <c r="I114" i="22"/>
  <c r="O149" i="24"/>
  <c r="H104" i="19"/>
  <c r="G147" i="10"/>
  <c r="AD121" i="22"/>
  <c r="AE121" i="22" s="1"/>
  <c r="AG121" i="22"/>
  <c r="D27" i="23"/>
  <c r="K81" i="25"/>
  <c r="AD25" i="38"/>
  <c r="AE25" i="38" s="1"/>
  <c r="AF25" i="38" s="1"/>
  <c r="AE9" i="38"/>
  <c r="AF9" i="38" s="1"/>
  <c r="R9" i="41"/>
  <c r="S30" i="1" s="1"/>
  <c r="S35" i="1" s="1"/>
  <c r="R47" i="41"/>
  <c r="M198" i="53"/>
  <c r="E198" i="53"/>
  <c r="H198" i="53"/>
  <c r="O198" i="53"/>
  <c r="N198" i="53"/>
  <c r="K198" i="53"/>
  <c r="N177" i="53"/>
  <c r="N226" i="53" s="1"/>
  <c r="H177" i="53"/>
  <c r="H226" i="53" s="1"/>
  <c r="N181" i="53"/>
  <c r="N230" i="53" s="1"/>
  <c r="K181" i="53"/>
  <c r="K230" i="53" s="1"/>
  <c r="H181" i="53"/>
  <c r="H230" i="53" s="1"/>
  <c r="O181" i="53"/>
  <c r="O230" i="53" s="1"/>
  <c r="N185" i="53"/>
  <c r="H185" i="53"/>
  <c r="N169" i="53"/>
  <c r="H169" i="53"/>
  <c r="H199" i="53"/>
  <c r="K199" i="53"/>
  <c r="J199" i="53"/>
  <c r="N199" i="53"/>
  <c r="M199" i="53"/>
  <c r="O322" i="54"/>
  <c r="N272" i="54"/>
  <c r="N329" i="54"/>
  <c r="F336" i="54"/>
  <c r="F279" i="54" s="1"/>
  <c r="L326" i="54"/>
  <c r="L269" i="54" s="1"/>
  <c r="L281" i="54"/>
  <c r="L338" i="54"/>
  <c r="L274" i="54"/>
  <c r="L331" i="54"/>
  <c r="L362" i="54"/>
  <c r="E285" i="54"/>
  <c r="E342" i="54"/>
  <c r="D342" i="54"/>
  <c r="D285" i="54" s="1"/>
  <c r="P154" i="54"/>
  <c r="O350" i="54"/>
  <c r="O293" i="54"/>
  <c r="O328" i="54"/>
  <c r="O271" i="54"/>
  <c r="N356" i="54"/>
  <c r="E311" i="54"/>
  <c r="E368" i="54"/>
  <c r="O276" i="54"/>
  <c r="O333" i="54"/>
  <c r="N288" i="54"/>
  <c r="N345" i="54"/>
  <c r="F306" i="54"/>
  <c r="F363" i="54"/>
  <c r="E258" i="54"/>
  <c r="AD46" i="8"/>
  <c r="AH122" i="5"/>
  <c r="AE122" i="5"/>
  <c r="AG199" i="10"/>
  <c r="F139" i="10"/>
  <c r="E33" i="15"/>
  <c r="E29" i="15"/>
  <c r="AD97" i="14"/>
  <c r="AE97" i="14" s="1"/>
  <c r="AG97" i="14"/>
  <c r="AG209" i="10"/>
  <c r="I147" i="24"/>
  <c r="I130" i="10"/>
  <c r="J148" i="24"/>
  <c r="J131" i="10"/>
  <c r="F148" i="10"/>
  <c r="E138" i="10"/>
  <c r="I81" i="24"/>
  <c r="J81" i="25"/>
  <c r="AD79" i="35"/>
  <c r="AE75" i="35"/>
  <c r="AF75" i="35" s="1"/>
  <c r="N135" i="38"/>
  <c r="J135" i="38"/>
  <c r="F135" i="38"/>
  <c r="M135" i="38"/>
  <c r="I135" i="38"/>
  <c r="E135" i="38"/>
  <c r="K135" i="38"/>
  <c r="P135" i="38"/>
  <c r="H135" i="38"/>
  <c r="O135" i="38"/>
  <c r="G135" i="38"/>
  <c r="L135" i="38"/>
  <c r="N151" i="38"/>
  <c r="J151" i="38"/>
  <c r="F151" i="38"/>
  <c r="M151" i="38"/>
  <c r="I151" i="38"/>
  <c r="E151" i="38"/>
  <c r="K151" i="38"/>
  <c r="P151" i="38"/>
  <c r="H151" i="38"/>
  <c r="O151" i="38"/>
  <c r="G151" i="38"/>
  <c r="L151" i="38"/>
  <c r="N131" i="38"/>
  <c r="M72" i="21" s="1"/>
  <c r="J131" i="38"/>
  <c r="I72" i="21" s="1"/>
  <c r="F131" i="38"/>
  <c r="E72" i="21" s="1"/>
  <c r="M131" i="38"/>
  <c r="L72" i="21" s="1"/>
  <c r="I131" i="38"/>
  <c r="H72" i="21" s="1"/>
  <c r="E131" i="38"/>
  <c r="D72" i="21" s="1"/>
  <c r="K131" i="38"/>
  <c r="J72" i="21" s="1"/>
  <c r="P131" i="38"/>
  <c r="O72" i="21" s="1"/>
  <c r="H131" i="38"/>
  <c r="G72" i="21" s="1"/>
  <c r="O131" i="38"/>
  <c r="N72" i="21" s="1"/>
  <c r="G131" i="38"/>
  <c r="F72" i="21" s="1"/>
  <c r="L131" i="38"/>
  <c r="K72" i="21" s="1"/>
  <c r="N147" i="38"/>
  <c r="N28" i="32" s="1"/>
  <c r="J147" i="38"/>
  <c r="J28" i="32" s="1"/>
  <c r="F147" i="38"/>
  <c r="F28" i="32" s="1"/>
  <c r="M147" i="38"/>
  <c r="M28" i="32" s="1"/>
  <c r="I147" i="38"/>
  <c r="I28" i="32" s="1"/>
  <c r="E147" i="38"/>
  <c r="E28" i="32" s="1"/>
  <c r="K147" i="38"/>
  <c r="K28" i="32" s="1"/>
  <c r="P147" i="38"/>
  <c r="P28" i="32" s="1"/>
  <c r="H147" i="38"/>
  <c r="H28" i="32" s="1"/>
  <c r="O147" i="38"/>
  <c r="O28" i="32" s="1"/>
  <c r="G147" i="38"/>
  <c r="G28" i="32" s="1"/>
  <c r="L147" i="38"/>
  <c r="L28" i="32" s="1"/>
  <c r="N163" i="38"/>
  <c r="J163" i="38"/>
  <c r="F163" i="38"/>
  <c r="M163" i="38"/>
  <c r="I163" i="38"/>
  <c r="E163" i="38"/>
  <c r="K163" i="38"/>
  <c r="P163" i="38"/>
  <c r="H163" i="38"/>
  <c r="O163" i="38"/>
  <c r="G163" i="38"/>
  <c r="L163" i="38"/>
  <c r="N129" i="38"/>
  <c r="M72" i="15" s="1"/>
  <c r="J129" i="38"/>
  <c r="I72" i="15" s="1"/>
  <c r="F129" i="38"/>
  <c r="E72" i="15" s="1"/>
  <c r="M129" i="38"/>
  <c r="L72" i="15" s="1"/>
  <c r="I129" i="38"/>
  <c r="H72" i="15" s="1"/>
  <c r="E129" i="38"/>
  <c r="D72" i="15" s="1"/>
  <c r="K129" i="38"/>
  <c r="J72" i="15" s="1"/>
  <c r="P129" i="38"/>
  <c r="O72" i="15" s="1"/>
  <c r="H129" i="38"/>
  <c r="G72" i="15" s="1"/>
  <c r="O129" i="38"/>
  <c r="N72" i="15" s="1"/>
  <c r="G129" i="38"/>
  <c r="F72" i="15" s="1"/>
  <c r="L129" i="38"/>
  <c r="K72" i="15" s="1"/>
  <c r="N145" i="38"/>
  <c r="J145" i="38"/>
  <c r="F145" i="38"/>
  <c r="M145" i="38"/>
  <c r="I145" i="38"/>
  <c r="E145" i="38"/>
  <c r="K145" i="38"/>
  <c r="P145" i="38"/>
  <c r="H145" i="38"/>
  <c r="O145" i="38"/>
  <c r="G145" i="38"/>
  <c r="L145" i="38"/>
  <c r="N161" i="38"/>
  <c r="M23" i="50" s="1"/>
  <c r="M42" i="50" s="1"/>
  <c r="M43" i="50" s="1"/>
  <c r="J161" i="38"/>
  <c r="I23" i="50" s="1"/>
  <c r="I42" i="50" s="1"/>
  <c r="I43" i="50" s="1"/>
  <c r="F161" i="38"/>
  <c r="E23" i="50" s="1"/>
  <c r="E42" i="50" s="1"/>
  <c r="E43" i="50" s="1"/>
  <c r="M161" i="38"/>
  <c r="L23" i="50" s="1"/>
  <c r="L42" i="50" s="1"/>
  <c r="I161" i="38"/>
  <c r="H23" i="50" s="1"/>
  <c r="H42" i="50" s="1"/>
  <c r="E161" i="38"/>
  <c r="D23" i="50" s="1"/>
  <c r="K161" i="38"/>
  <c r="J23" i="50" s="1"/>
  <c r="J42" i="50" s="1"/>
  <c r="P161" i="38"/>
  <c r="O23" i="50" s="1"/>
  <c r="O42" i="50" s="1"/>
  <c r="H161" i="38"/>
  <c r="G23" i="50" s="1"/>
  <c r="G42" i="50" s="1"/>
  <c r="O161" i="38"/>
  <c r="N23" i="50" s="1"/>
  <c r="N42" i="50" s="1"/>
  <c r="G161" i="38"/>
  <c r="F23" i="50" s="1"/>
  <c r="F42" i="50" s="1"/>
  <c r="L161" i="38"/>
  <c r="K23" i="50" s="1"/>
  <c r="K42" i="50" s="1"/>
  <c r="N130" i="38"/>
  <c r="M72" i="23" s="1"/>
  <c r="J130" i="38"/>
  <c r="I72" i="23" s="1"/>
  <c r="F130" i="38"/>
  <c r="E72" i="23" s="1"/>
  <c r="M130" i="38"/>
  <c r="L72" i="23" s="1"/>
  <c r="I130" i="38"/>
  <c r="H72" i="23" s="1"/>
  <c r="E130" i="38"/>
  <c r="D72" i="23" s="1"/>
  <c r="O130" i="38"/>
  <c r="N72" i="23" s="1"/>
  <c r="G130" i="38"/>
  <c r="F72" i="23" s="1"/>
  <c r="L130" i="38"/>
  <c r="K72" i="23" s="1"/>
  <c r="K130" i="38"/>
  <c r="J72" i="23" s="1"/>
  <c r="P130" i="38"/>
  <c r="O72" i="23" s="1"/>
  <c r="H130" i="38"/>
  <c r="G72" i="23" s="1"/>
  <c r="N146" i="38"/>
  <c r="J146" i="38"/>
  <c r="F146" i="38"/>
  <c r="M146" i="38"/>
  <c r="I146" i="38"/>
  <c r="E146" i="38"/>
  <c r="O146" i="38"/>
  <c r="G146" i="38"/>
  <c r="L146" i="38"/>
  <c r="K146" i="38"/>
  <c r="P146" i="38"/>
  <c r="H146" i="38"/>
  <c r="N162" i="38"/>
  <c r="M17" i="53" s="1"/>
  <c r="M21" i="53" s="1"/>
  <c r="M22" i="53" s="1"/>
  <c r="M174" i="53" s="1"/>
  <c r="J162" i="38"/>
  <c r="I17" i="53" s="1"/>
  <c r="I21" i="53" s="1"/>
  <c r="I22" i="53" s="1"/>
  <c r="I179" i="53" s="1"/>
  <c r="I228" i="53" s="1"/>
  <c r="F162" i="38"/>
  <c r="E17" i="53" s="1"/>
  <c r="E21" i="53" s="1"/>
  <c r="E22" i="53" s="1"/>
  <c r="E212" i="53" s="1"/>
  <c r="M162" i="38"/>
  <c r="L17" i="53" s="1"/>
  <c r="L21" i="53" s="1"/>
  <c r="L22" i="53" s="1"/>
  <c r="L191" i="53" s="1"/>
  <c r="I162" i="38"/>
  <c r="H17" i="53" s="1"/>
  <c r="H21" i="53" s="1"/>
  <c r="H22" i="53" s="1"/>
  <c r="H212" i="53" s="1"/>
  <c r="E162" i="38"/>
  <c r="D17" i="53" s="1"/>
  <c r="O162" i="38"/>
  <c r="N17" i="53" s="1"/>
  <c r="N21" i="53" s="1"/>
  <c r="N22" i="53" s="1"/>
  <c r="N191" i="53" s="1"/>
  <c r="G162" i="38"/>
  <c r="F17" i="53" s="1"/>
  <c r="F21" i="53" s="1"/>
  <c r="F22" i="53" s="1"/>
  <c r="F174" i="53" s="1"/>
  <c r="L162" i="38"/>
  <c r="K17" i="53" s="1"/>
  <c r="K21" i="53" s="1"/>
  <c r="K22" i="53" s="1"/>
  <c r="K179" i="53" s="1"/>
  <c r="K228" i="53" s="1"/>
  <c r="K162" i="38"/>
  <c r="J17" i="53" s="1"/>
  <c r="J21" i="53" s="1"/>
  <c r="J22" i="53" s="1"/>
  <c r="J174" i="53" s="1"/>
  <c r="P162" i="38"/>
  <c r="O17" i="53" s="1"/>
  <c r="O21" i="53" s="1"/>
  <c r="O22" i="53" s="1"/>
  <c r="O170" i="53" s="1"/>
  <c r="H162" i="38"/>
  <c r="G17" i="53" s="1"/>
  <c r="G21" i="53" s="1"/>
  <c r="G22" i="53" s="1"/>
  <c r="G179" i="53" s="1"/>
  <c r="G228" i="53" s="1"/>
  <c r="AC82" i="49"/>
  <c r="AD78" i="49"/>
  <c r="AE78" i="49" s="1"/>
  <c r="AC43" i="49"/>
  <c r="F312" i="54"/>
  <c r="F369" i="54"/>
  <c r="F288" i="54"/>
  <c r="F345" i="54"/>
  <c r="F337" i="54"/>
  <c r="F280" i="54" s="1"/>
  <c r="F130" i="22" s="1"/>
  <c r="D346" i="54"/>
  <c r="P346" i="54" s="1"/>
  <c r="P158" i="54"/>
  <c r="P175" i="54"/>
  <c r="D363" i="54"/>
  <c r="D339" i="54"/>
  <c r="P151" i="54"/>
  <c r="F182" i="54"/>
  <c r="F183" i="54" s="1"/>
  <c r="P144" i="54"/>
  <c r="D290" i="54"/>
  <c r="U21" i="1"/>
  <c r="U23" i="1"/>
  <c r="U28" i="1" s="1"/>
  <c r="U36" i="1" s="1"/>
  <c r="AG215" i="10"/>
  <c r="E44" i="8"/>
  <c r="Q20" i="8"/>
  <c r="E20" i="5"/>
  <c r="E19" i="8"/>
  <c r="N26" i="7"/>
  <c r="N26" i="5" s="1"/>
  <c r="N112" i="5" s="1"/>
  <c r="N21" i="7"/>
  <c r="N111" i="7"/>
  <c r="N56" i="7"/>
  <c r="F55" i="50"/>
  <c r="AE98" i="6"/>
  <c r="AF98" i="6" s="1"/>
  <c r="Q17" i="6"/>
  <c r="AH17" i="6" s="1"/>
  <c r="AH98" i="6"/>
  <c r="Q103" i="6"/>
  <c r="F149" i="24"/>
  <c r="H155" i="24"/>
  <c r="Q59" i="7"/>
  <c r="AE15" i="7"/>
  <c r="AF15" i="7" s="1"/>
  <c r="Q58" i="7"/>
  <c r="AH15" i="7"/>
  <c r="P21" i="5"/>
  <c r="P107" i="5" s="1"/>
  <c r="AG203" i="10"/>
  <c r="AD134" i="10"/>
  <c r="AE134" i="10" s="1"/>
  <c r="AG134" i="10"/>
  <c r="Q59" i="6"/>
  <c r="Q58" i="6"/>
  <c r="AE15" i="6"/>
  <c r="AF15" i="6" s="1"/>
  <c r="AH15" i="6"/>
  <c r="S228" i="10"/>
  <c r="M139" i="10"/>
  <c r="K24" i="10"/>
  <c r="K126" i="10"/>
  <c r="D144" i="24"/>
  <c r="P12" i="10"/>
  <c r="D127" i="10"/>
  <c r="K138" i="10"/>
  <c r="AG93" i="11"/>
  <c r="AD93" i="11"/>
  <c r="AE93" i="11" s="1"/>
  <c r="M145" i="24"/>
  <c r="M128" i="10"/>
  <c r="L33" i="13"/>
  <c r="L29" i="13"/>
  <c r="L51" i="10"/>
  <c r="AG95" i="17"/>
  <c r="AD95" i="17"/>
  <c r="AE95" i="17" s="1"/>
  <c r="AG93" i="18"/>
  <c r="AD93" i="18"/>
  <c r="AE93" i="18" s="1"/>
  <c r="L155" i="24"/>
  <c r="L138" i="10"/>
  <c r="AD14" i="22"/>
  <c r="AE14" i="22" s="1"/>
  <c r="P98" i="22"/>
  <c r="AG14" i="22"/>
  <c r="P27" i="22"/>
  <c r="AG94" i="20"/>
  <c r="AD94" i="20"/>
  <c r="AE94" i="20" s="1"/>
  <c r="AG134" i="23"/>
  <c r="P35" i="23"/>
  <c r="AD134" i="23"/>
  <c r="AE134" i="23" s="1"/>
  <c r="O81" i="25"/>
  <c r="AC83" i="41"/>
  <c r="AD83" i="41" s="1"/>
  <c r="AE83" i="41" s="1"/>
  <c r="AD82" i="41"/>
  <c r="AE82" i="41" s="1"/>
  <c r="AC9" i="47"/>
  <c r="O279" i="54"/>
  <c r="O336" i="54"/>
  <c r="O172" i="53"/>
  <c r="K172" i="53"/>
  <c r="G172" i="53"/>
  <c r="J172" i="53"/>
  <c r="I172" i="53"/>
  <c r="H172" i="53"/>
  <c r="M172" i="53"/>
  <c r="E172" i="53"/>
  <c r="L172" i="53"/>
  <c r="L319" i="54"/>
  <c r="D284" i="54"/>
  <c r="P153" i="54"/>
  <c r="D341" i="54"/>
  <c r="G351" i="54"/>
  <c r="L359" i="54"/>
  <c r="L302" i="54"/>
  <c r="O358" i="54"/>
  <c r="O301" i="54"/>
  <c r="P55" i="37" s="1"/>
  <c r="O73" i="28" s="1"/>
  <c r="F350" i="54"/>
  <c r="F293" i="54"/>
  <c r="L345" i="54"/>
  <c r="L288" i="54" s="1"/>
  <c r="L368" i="54"/>
  <c r="N326" i="54"/>
  <c r="N269" i="54"/>
  <c r="O337" i="54"/>
  <c r="O280" i="54"/>
  <c r="O130" i="22" s="1"/>
  <c r="O347" i="54"/>
  <c r="H251" i="54"/>
  <c r="J198" i="54"/>
  <c r="D303" i="54"/>
  <c r="P172" i="54"/>
  <c r="D360" i="54"/>
  <c r="O365" i="54"/>
  <c r="O352" i="54"/>
  <c r="O295" i="54"/>
  <c r="H145" i="24"/>
  <c r="AM55" i="1"/>
  <c r="AJ55" i="1"/>
  <c r="AH55" i="1"/>
  <c r="AE55" i="1"/>
  <c r="AH129" i="5"/>
  <c r="AE129" i="5"/>
  <c r="I33" i="14"/>
  <c r="I29" i="14"/>
  <c r="P98" i="19"/>
  <c r="AG14" i="19"/>
  <c r="P27" i="19"/>
  <c r="AD14" i="19"/>
  <c r="AE14" i="19" s="1"/>
  <c r="AG202" i="10"/>
  <c r="AD93" i="15"/>
  <c r="AE93" i="15" s="1"/>
  <c r="AG93" i="15"/>
  <c r="AD14" i="17"/>
  <c r="AE14" i="17" s="1"/>
  <c r="AG14" i="17"/>
  <c r="P98" i="17"/>
  <c r="P37" i="37"/>
  <c r="O51" i="28"/>
  <c r="O55" i="28" s="1"/>
  <c r="O37" i="37"/>
  <c r="N51" i="28"/>
  <c r="N55" i="28" s="1"/>
  <c r="M37" i="37"/>
  <c r="L51" i="28"/>
  <c r="L55" i="28" s="1"/>
  <c r="N37" i="37"/>
  <c r="M51" i="28"/>
  <c r="M55" i="28" s="1"/>
  <c r="E357" i="54"/>
  <c r="E300" i="54" s="1"/>
  <c r="E350" i="54"/>
  <c r="E293" i="54"/>
  <c r="E334" i="54"/>
  <c r="E277" i="54"/>
  <c r="E365" i="54"/>
  <c r="E308" i="54" s="1"/>
  <c r="D264" i="54"/>
  <c r="E294" i="54"/>
  <c r="O355" i="54"/>
  <c r="O298" i="54" s="1"/>
  <c r="O339" i="54"/>
  <c r="O282" i="54"/>
  <c r="O353" i="54"/>
  <c r="O296" i="54"/>
  <c r="P164" i="54"/>
  <c r="AE57" i="5"/>
  <c r="AF57" i="5" s="1"/>
  <c r="AH57" i="5"/>
  <c r="F26" i="7"/>
  <c r="F21" i="7"/>
  <c r="F111" i="7"/>
  <c r="F56" i="7"/>
  <c r="N55" i="50"/>
  <c r="R103" i="5"/>
  <c r="R45" i="5"/>
  <c r="R46" i="5" s="1"/>
  <c r="P26" i="17"/>
  <c r="AD134" i="20"/>
  <c r="AE134" i="20" s="1"/>
  <c r="P35" i="20"/>
  <c r="AG134" i="20"/>
  <c r="AB102" i="10"/>
  <c r="AB103" i="10" s="1"/>
  <c r="AC12" i="1"/>
  <c r="F51" i="10"/>
  <c r="P51" i="10" s="1"/>
  <c r="H29" i="16"/>
  <c r="H33" i="16"/>
  <c r="P17" i="10"/>
  <c r="AG121" i="10"/>
  <c r="AD121" i="10"/>
  <c r="AE121" i="10" s="1"/>
  <c r="P186" i="10"/>
  <c r="P122" i="10"/>
  <c r="AG122" i="10" s="1"/>
  <c r="P195" i="10"/>
  <c r="P13" i="10"/>
  <c r="F145" i="24"/>
  <c r="G29" i="13"/>
  <c r="G33" i="13"/>
  <c r="O33" i="13"/>
  <c r="O29" i="13"/>
  <c r="N149" i="24"/>
  <c r="O33" i="11"/>
  <c r="O29" i="11"/>
  <c r="O51" i="10"/>
  <c r="J152" i="24"/>
  <c r="J135" i="10"/>
  <c r="P20" i="10"/>
  <c r="AH117" i="5"/>
  <c r="AE117" i="5"/>
  <c r="P225" i="10"/>
  <c r="E146" i="24"/>
  <c r="P14" i="10"/>
  <c r="E129" i="10"/>
  <c r="AD95" i="18"/>
  <c r="AE95" i="18" s="1"/>
  <c r="AG95" i="18"/>
  <c r="G153" i="24"/>
  <c r="AG14" i="14"/>
  <c r="P98" i="14"/>
  <c r="P27" i="14"/>
  <c r="AD14" i="14"/>
  <c r="AE14" i="14" s="1"/>
  <c r="F148" i="24"/>
  <c r="F131" i="10"/>
  <c r="G105" i="19"/>
  <c r="H102" i="19"/>
  <c r="F81" i="25"/>
  <c r="AE67" i="33"/>
  <c r="AF67" i="33" s="1"/>
  <c r="AD71" i="33"/>
  <c r="AD16" i="27"/>
  <c r="AE16" i="27" s="1"/>
  <c r="AC62" i="27"/>
  <c r="AD18" i="28"/>
  <c r="AE18" i="28" s="1"/>
  <c r="AG18" i="28"/>
  <c r="AG19" i="47"/>
  <c r="AD19" i="47"/>
  <c r="AE19" i="47" s="1"/>
  <c r="P82" i="49"/>
  <c r="AG78" i="49"/>
  <c r="O200" i="53"/>
  <c r="K200" i="53"/>
  <c r="G200" i="53"/>
  <c r="J200" i="53"/>
  <c r="M200" i="53"/>
  <c r="I200" i="53"/>
  <c r="H200" i="53"/>
  <c r="G330" i="54"/>
  <c r="G273" i="54"/>
  <c r="J209" i="53"/>
  <c r="M209" i="53"/>
  <c r="E209" i="53"/>
  <c r="H209" i="53"/>
  <c r="O209" i="53"/>
  <c r="K209" i="53"/>
  <c r="E320" i="54"/>
  <c r="E263" i="54" s="1"/>
  <c r="O341" i="54"/>
  <c r="O284" i="54" s="1"/>
  <c r="G339" i="54"/>
  <c r="G282" i="54"/>
  <c r="G349" i="54"/>
  <c r="G292" i="54" s="1"/>
  <c r="G343" i="54"/>
  <c r="G286" i="54"/>
  <c r="G130" i="19" s="1"/>
  <c r="G332" i="54"/>
  <c r="G275" i="54"/>
  <c r="F320" i="54"/>
  <c r="N355" i="54"/>
  <c r="N298" i="54" s="1"/>
  <c r="E323" i="54"/>
  <c r="E266" i="54" s="1"/>
  <c r="F338" i="54"/>
  <c r="F281" i="54" s="1"/>
  <c r="O349" i="54"/>
  <c r="F208" i="54"/>
  <c r="F263" i="54" s="1"/>
  <c r="H190" i="54"/>
  <c r="G305" i="54"/>
  <c r="F327" i="54"/>
  <c r="F270" i="54" s="1"/>
  <c r="F349" i="54"/>
  <c r="F292" i="54" s="1"/>
  <c r="E361" i="54"/>
  <c r="E304" i="54" s="1"/>
  <c r="G256" i="54"/>
  <c r="G311" i="54" s="1"/>
  <c r="I202" i="54"/>
  <c r="AM47" i="1"/>
  <c r="AJ47" i="1"/>
  <c r="AH47" i="1"/>
  <c r="AE47" i="1"/>
  <c r="O21" i="7"/>
  <c r="O111" i="7"/>
  <c r="O56" i="7"/>
  <c r="O26" i="7"/>
  <c r="O26" i="5" s="1"/>
  <c r="O112" i="5" s="1"/>
  <c r="N151" i="24"/>
  <c r="AC57" i="10"/>
  <c r="G33" i="12"/>
  <c r="G29" i="12"/>
  <c r="E145" i="24"/>
  <c r="E128" i="10"/>
  <c r="AD134" i="14"/>
  <c r="AE134" i="14" s="1"/>
  <c r="P35" i="14"/>
  <c r="AG134" i="14"/>
  <c r="AC78" i="47"/>
  <c r="AD77" i="47"/>
  <c r="AE77" i="47" s="1"/>
  <c r="N365" i="54"/>
  <c r="N369" i="54"/>
  <c r="N283" i="54"/>
  <c r="N340" i="54"/>
  <c r="N268" i="54"/>
  <c r="N325" i="54"/>
  <c r="N368" i="54"/>
  <c r="H207" i="54"/>
  <c r="J189" i="54"/>
  <c r="P139" i="54"/>
  <c r="F235" i="54"/>
  <c r="H192" i="54"/>
  <c r="W21" i="1"/>
  <c r="W23" i="1"/>
  <c r="W28" i="1" s="1"/>
  <c r="W36" i="1" s="1"/>
  <c r="S184" i="10"/>
  <c r="I330" i="54"/>
  <c r="I273" i="54"/>
  <c r="I352" i="54"/>
  <c r="I295" i="54"/>
  <c r="I340" i="54"/>
  <c r="I283" i="54"/>
  <c r="I321" i="54"/>
  <c r="I264" i="54"/>
  <c r="I324" i="54"/>
  <c r="I267" i="54"/>
  <c r="I335" i="54"/>
  <c r="I278" i="54"/>
  <c r="I130" i="18" s="1"/>
  <c r="I351" i="54"/>
  <c r="I368" i="54"/>
  <c r="I347" i="54"/>
  <c r="I329" i="54"/>
  <c r="I272" i="54" s="1"/>
  <c r="I333" i="54"/>
  <c r="I276" i="54" s="1"/>
  <c r="I322" i="54"/>
  <c r="I361" i="54"/>
  <c r="M335" i="54"/>
  <c r="M278" i="54"/>
  <c r="M130" i="18" s="1"/>
  <c r="M357" i="54"/>
  <c r="M300" i="54" s="1"/>
  <c r="M324" i="54"/>
  <c r="M267" i="54"/>
  <c r="M355" i="54"/>
  <c r="M298" i="54" s="1"/>
  <c r="M363" i="54"/>
  <c r="M369" i="54"/>
  <c r="M350" i="54"/>
  <c r="M293" i="54"/>
  <c r="M347" i="54"/>
  <c r="M328" i="54"/>
  <c r="M271" i="54"/>
  <c r="M341" i="54"/>
  <c r="M284" i="54" s="1"/>
  <c r="M366" i="54"/>
  <c r="M322" i="54"/>
  <c r="M345" i="54"/>
  <c r="M288" i="54" s="1"/>
  <c r="J331" i="54"/>
  <c r="J274" i="54" s="1"/>
  <c r="J359" i="54"/>
  <c r="J302" i="54"/>
  <c r="J361" i="54"/>
  <c r="J363" i="54"/>
  <c r="J343" i="54"/>
  <c r="J286" i="54"/>
  <c r="J130" i="19" s="1"/>
  <c r="J358" i="54"/>
  <c r="J301" i="54"/>
  <c r="K55" i="37" s="1"/>
  <c r="J73" i="28" s="1"/>
  <c r="J355" i="54"/>
  <c r="J298" i="54" s="1"/>
  <c r="J326" i="54"/>
  <c r="J269" i="54"/>
  <c r="J321" i="54"/>
  <c r="J264" i="54"/>
  <c r="J357" i="54"/>
  <c r="J300" i="54" s="1"/>
  <c r="J350" i="54"/>
  <c r="J293" i="54"/>
  <c r="J348" i="54"/>
  <c r="J291" i="54" s="1"/>
  <c r="J344" i="54"/>
  <c r="J287" i="54" s="1"/>
  <c r="H268" i="54"/>
  <c r="H325" i="54"/>
  <c r="H336" i="54"/>
  <c r="H279" i="54" s="1"/>
  <c r="H368" i="54"/>
  <c r="H321" i="54"/>
  <c r="H264" i="54" s="1"/>
  <c r="H358" i="54"/>
  <c r="H301" i="54" s="1"/>
  <c r="H352" i="54"/>
  <c r="H295" i="54" s="1"/>
  <c r="H342" i="54"/>
  <c r="H285" i="54" s="1"/>
  <c r="H305" i="54"/>
  <c r="H362" i="54"/>
  <c r="H303" i="54"/>
  <c r="H360" i="54"/>
  <c r="H284" i="54"/>
  <c r="H341" i="54"/>
  <c r="H334" i="54"/>
  <c r="H277" i="54" s="1"/>
  <c r="H322" i="54"/>
  <c r="H274" i="54"/>
  <c r="H331" i="54"/>
  <c r="K55" i="50"/>
  <c r="L74" i="1"/>
  <c r="L75" i="1" s="1"/>
  <c r="L19" i="8"/>
  <c r="L44" i="8"/>
  <c r="L20" i="5"/>
  <c r="AD83" i="44"/>
  <c r="AE83" i="44" s="1"/>
  <c r="K341" i="54"/>
  <c r="K284" i="54" s="1"/>
  <c r="K355" i="54"/>
  <c r="K298" i="54" s="1"/>
  <c r="K336" i="54"/>
  <c r="K279" i="54" s="1"/>
  <c r="K353" i="54"/>
  <c r="K296" i="54"/>
  <c r="K364" i="54"/>
  <c r="K326" i="54"/>
  <c r="K269" i="54"/>
  <c r="K325" i="54"/>
  <c r="K268" i="54" s="1"/>
  <c r="K342" i="54"/>
  <c r="K285" i="54"/>
  <c r="K337" i="54"/>
  <c r="K280" i="54"/>
  <c r="K130" i="22" s="1"/>
  <c r="K319" i="54"/>
  <c r="K331" i="54"/>
  <c r="K274" i="54" s="1"/>
  <c r="K327" i="54"/>
  <c r="K270" i="54" s="1"/>
  <c r="K332" i="54"/>
  <c r="K275" i="54"/>
  <c r="Q57" i="7"/>
  <c r="AC121" i="10"/>
  <c r="AC228" i="10" s="1"/>
  <c r="J106" i="5"/>
  <c r="AE76" i="5"/>
  <c r="AF76" i="5" s="1"/>
  <c r="Q98" i="5"/>
  <c r="AH76" i="5"/>
  <c r="AH59" i="9"/>
  <c r="AE59" i="9"/>
  <c r="AF59" i="9" s="1"/>
  <c r="AH12" i="5"/>
  <c r="Q15" i="5"/>
  <c r="AE12" i="5"/>
  <c r="AF12" i="5" s="1"/>
  <c r="AH124" i="5"/>
  <c r="AE124" i="5"/>
  <c r="N150" i="24"/>
  <c r="N133" i="10"/>
  <c r="AG197" i="10"/>
  <c r="J48" i="10"/>
  <c r="J146" i="24"/>
  <c r="J147" i="24"/>
  <c r="J153" i="24"/>
  <c r="J155" i="24"/>
  <c r="J149" i="24"/>
  <c r="J151" i="24"/>
  <c r="AG96" i="11"/>
  <c r="AD96" i="11"/>
  <c r="AE96" i="11" s="1"/>
  <c r="H143" i="26"/>
  <c r="H143" i="25"/>
  <c r="E55" i="10"/>
  <c r="E50" i="10"/>
  <c r="L21" i="5"/>
  <c r="L107" i="5" s="1"/>
  <c r="AG187" i="10"/>
  <c r="AG190" i="10"/>
  <c r="I115" i="19"/>
  <c r="H158" i="10"/>
  <c r="AG94" i="13"/>
  <c r="AD94" i="13"/>
  <c r="AE94" i="13" s="1"/>
  <c r="AD94" i="15"/>
  <c r="AE94" i="15" s="1"/>
  <c r="AG94" i="15"/>
  <c r="AH113" i="5"/>
  <c r="AE113" i="5"/>
  <c r="T21" i="1"/>
  <c r="T23" i="1"/>
  <c r="T28" i="1" s="1"/>
  <c r="T36" i="1" s="1"/>
  <c r="AG95" i="12"/>
  <c r="AD95" i="12"/>
  <c r="AE95" i="12" s="1"/>
  <c r="M33" i="15"/>
  <c r="M29" i="15"/>
  <c r="AH86" i="5"/>
  <c r="AE86" i="5"/>
  <c r="AF86" i="5" s="1"/>
  <c r="AG134" i="15"/>
  <c r="P35" i="15"/>
  <c r="AD134" i="15"/>
  <c r="AE134" i="15" s="1"/>
  <c r="N144" i="24"/>
  <c r="N127" i="10"/>
  <c r="N148" i="24"/>
  <c r="N131" i="10"/>
  <c r="I155" i="24"/>
  <c r="I138" i="10"/>
  <c r="I154" i="24"/>
  <c r="I137" i="10"/>
  <c r="P30" i="23"/>
  <c r="D33" i="23"/>
  <c r="AD96" i="24"/>
  <c r="AE96" i="24" s="1"/>
  <c r="AG96" i="24"/>
  <c r="J81" i="24"/>
  <c r="Q64" i="38"/>
  <c r="AH60" i="38"/>
  <c r="P83" i="41"/>
  <c r="AG83" i="41" s="1"/>
  <c r="AG82" i="41"/>
  <c r="AD99" i="51"/>
  <c r="AE99" i="51" s="1"/>
  <c r="AC103" i="51"/>
  <c r="O204" i="53"/>
  <c r="K204" i="53"/>
  <c r="G204" i="53"/>
  <c r="N204" i="53"/>
  <c r="J204" i="53"/>
  <c r="I204" i="53"/>
  <c r="H204" i="53"/>
  <c r="M204" i="53"/>
  <c r="E204" i="53"/>
  <c r="L204" i="53"/>
  <c r="M194" i="53"/>
  <c r="E194" i="53"/>
  <c r="H194" i="53"/>
  <c r="K194" i="53"/>
  <c r="O194" i="53"/>
  <c r="N194" i="53"/>
  <c r="H171" i="53"/>
  <c r="O171" i="53"/>
  <c r="K171" i="53"/>
  <c r="N171" i="53"/>
  <c r="M171" i="53"/>
  <c r="E171" i="53"/>
  <c r="J171" i="53"/>
  <c r="N201" i="53"/>
  <c r="F201" i="53"/>
  <c r="M201" i="53"/>
  <c r="I201" i="53"/>
  <c r="E201" i="53"/>
  <c r="H201" i="53"/>
  <c r="O201" i="53"/>
  <c r="K201" i="53"/>
  <c r="M178" i="53"/>
  <c r="M227" i="53" s="1"/>
  <c r="E178" i="53"/>
  <c r="E227" i="53" s="1"/>
  <c r="H178" i="53"/>
  <c r="H227" i="53" s="1"/>
  <c r="K178" i="53"/>
  <c r="K227" i="53" s="1"/>
  <c r="O178" i="53"/>
  <c r="O227" i="53" s="1"/>
  <c r="N178" i="53"/>
  <c r="N227" i="53" s="1"/>
  <c r="M182" i="53"/>
  <c r="M231" i="53" s="1"/>
  <c r="E182" i="53"/>
  <c r="E231" i="53" s="1"/>
  <c r="H182" i="53"/>
  <c r="H231" i="53" s="1"/>
  <c r="O182" i="53"/>
  <c r="O231" i="53" s="1"/>
  <c r="N182" i="53"/>
  <c r="N231" i="53" s="1"/>
  <c r="K182" i="53"/>
  <c r="K231" i="53" s="1"/>
  <c r="M186" i="53"/>
  <c r="M235" i="53" s="1"/>
  <c r="E186" i="53"/>
  <c r="E235" i="53" s="1"/>
  <c r="H186" i="53"/>
  <c r="H235" i="53" s="1"/>
  <c r="K186" i="53"/>
  <c r="K235" i="53" s="1"/>
  <c r="O186" i="53"/>
  <c r="O235" i="53" s="1"/>
  <c r="N186" i="53"/>
  <c r="N235" i="53" s="1"/>
  <c r="O176" i="53"/>
  <c r="O225" i="53" s="1"/>
  <c r="K176" i="53"/>
  <c r="K225" i="53" s="1"/>
  <c r="G176" i="53"/>
  <c r="N176" i="53"/>
  <c r="N225" i="53" s="1"/>
  <c r="J176" i="53"/>
  <c r="J225" i="53" s="1"/>
  <c r="M176" i="53"/>
  <c r="M225" i="53" s="1"/>
  <c r="E176" i="53"/>
  <c r="I176" i="53"/>
  <c r="I225" i="53" s="1"/>
  <c r="H176" i="53"/>
  <c r="H203" i="53"/>
  <c r="O203" i="53"/>
  <c r="K203" i="53"/>
  <c r="N203" i="53"/>
  <c r="M203" i="53"/>
  <c r="E203" i="53"/>
  <c r="J203" i="53"/>
  <c r="O330" i="54"/>
  <c r="O273" i="54" s="1"/>
  <c r="L330" i="54"/>
  <c r="L273" i="54" s="1"/>
  <c r="L334" i="54"/>
  <c r="L277" i="54" s="1"/>
  <c r="L356" i="54"/>
  <c r="L339" i="54"/>
  <c r="L282" i="54" s="1"/>
  <c r="O321" i="54"/>
  <c r="O264" i="54" s="1"/>
  <c r="F298" i="54"/>
  <c r="F355" i="54"/>
  <c r="E335" i="54"/>
  <c r="E278" i="54" s="1"/>
  <c r="E130" i="18" s="1"/>
  <c r="E173" i="10" s="1"/>
  <c r="E292" i="54"/>
  <c r="E349" i="54"/>
  <c r="P349" i="54" s="1"/>
  <c r="E305" i="54"/>
  <c r="E362" i="54"/>
  <c r="D308" i="54"/>
  <c r="P177" i="54"/>
  <c r="D365" i="54"/>
  <c r="E328" i="54"/>
  <c r="E271" i="54"/>
  <c r="D337" i="54"/>
  <c r="D280" i="54"/>
  <c r="P149" i="54"/>
  <c r="D350" i="54"/>
  <c r="P350" i="54" s="1"/>
  <c r="P162" i="54"/>
  <c r="AH48" i="6"/>
  <c r="AE48" i="6"/>
  <c r="AF48" i="6" s="1"/>
  <c r="AE98" i="8"/>
  <c r="AF98" i="8" s="1"/>
  <c r="Q17" i="8"/>
  <c r="Q103" i="8"/>
  <c r="AH98" i="8"/>
  <c r="AG194" i="10"/>
  <c r="H33" i="13"/>
  <c r="H29" i="13"/>
  <c r="E37" i="15"/>
  <c r="N152" i="24"/>
  <c r="N135" i="10"/>
  <c r="I33" i="15"/>
  <c r="I29" i="15"/>
  <c r="AG210" i="10"/>
  <c r="J144" i="24"/>
  <c r="J127" i="10"/>
  <c r="J33" i="16"/>
  <c r="J29" i="16"/>
  <c r="G105" i="18"/>
  <c r="H102" i="18"/>
  <c r="G145" i="10"/>
  <c r="AD98" i="24"/>
  <c r="AE98" i="24" s="1"/>
  <c r="AG98" i="24"/>
  <c r="AD48" i="28"/>
  <c r="AE48" i="28" s="1"/>
  <c r="AG48" i="28"/>
  <c r="AE60" i="38"/>
  <c r="AF60" i="38" s="1"/>
  <c r="AD64" i="38"/>
  <c r="N120" i="38"/>
  <c r="J120" i="38"/>
  <c r="F120" i="38"/>
  <c r="M120" i="38"/>
  <c r="I120" i="38"/>
  <c r="E120" i="38"/>
  <c r="O120" i="38"/>
  <c r="G120" i="38"/>
  <c r="L120" i="38"/>
  <c r="K120" i="38"/>
  <c r="P120" i="38"/>
  <c r="H120" i="38"/>
  <c r="N136" i="38"/>
  <c r="M72" i="18" s="1"/>
  <c r="J136" i="38"/>
  <c r="I72" i="18" s="1"/>
  <c r="F136" i="38"/>
  <c r="E72" i="18" s="1"/>
  <c r="M136" i="38"/>
  <c r="L72" i="18" s="1"/>
  <c r="I136" i="38"/>
  <c r="H72" i="18" s="1"/>
  <c r="E136" i="38"/>
  <c r="D72" i="18" s="1"/>
  <c r="O136" i="38"/>
  <c r="N72" i="18" s="1"/>
  <c r="G136" i="38"/>
  <c r="F72" i="18" s="1"/>
  <c r="L136" i="38"/>
  <c r="K72" i="18" s="1"/>
  <c r="K136" i="38"/>
  <c r="J72" i="18" s="1"/>
  <c r="P136" i="38"/>
  <c r="O72" i="18" s="1"/>
  <c r="H136" i="38"/>
  <c r="G72" i="18" s="1"/>
  <c r="N152" i="38"/>
  <c r="J152" i="38"/>
  <c r="F152" i="38"/>
  <c r="M152" i="38"/>
  <c r="I152" i="38"/>
  <c r="E152" i="38"/>
  <c r="O152" i="38"/>
  <c r="G152" i="38"/>
  <c r="L152" i="38"/>
  <c r="K152" i="38"/>
  <c r="P152" i="38"/>
  <c r="H152" i="38"/>
  <c r="N132" i="38"/>
  <c r="M72" i="19" s="1"/>
  <c r="J132" i="38"/>
  <c r="I72" i="19" s="1"/>
  <c r="F132" i="38"/>
  <c r="E72" i="19" s="1"/>
  <c r="M132" i="38"/>
  <c r="L72" i="19" s="1"/>
  <c r="I132" i="38"/>
  <c r="H72" i="19" s="1"/>
  <c r="E132" i="38"/>
  <c r="D72" i="19" s="1"/>
  <c r="O132" i="38"/>
  <c r="N72" i="19" s="1"/>
  <c r="G132" i="38"/>
  <c r="F72" i="19" s="1"/>
  <c r="L132" i="38"/>
  <c r="K72" i="19" s="1"/>
  <c r="K132" i="38"/>
  <c r="J72" i="19" s="1"/>
  <c r="P132" i="38"/>
  <c r="O72" i="19" s="1"/>
  <c r="H132" i="38"/>
  <c r="G72" i="19" s="1"/>
  <c r="N148" i="38"/>
  <c r="N27" i="33" s="1"/>
  <c r="N31" i="33" s="1"/>
  <c r="J148" i="38"/>
  <c r="J27" i="33" s="1"/>
  <c r="J31" i="33" s="1"/>
  <c r="F148" i="38"/>
  <c r="F27" i="33" s="1"/>
  <c r="F31" i="33" s="1"/>
  <c r="M148" i="38"/>
  <c r="M27" i="33" s="1"/>
  <c r="M31" i="33" s="1"/>
  <c r="I148" i="38"/>
  <c r="I27" i="33" s="1"/>
  <c r="I31" i="33" s="1"/>
  <c r="E148" i="38"/>
  <c r="E27" i="33" s="1"/>
  <c r="O148" i="38"/>
  <c r="O27" i="33" s="1"/>
  <c r="O31" i="33" s="1"/>
  <c r="G148" i="38"/>
  <c r="G27" i="33" s="1"/>
  <c r="G31" i="33" s="1"/>
  <c r="L148" i="38"/>
  <c r="L27" i="33" s="1"/>
  <c r="L31" i="33" s="1"/>
  <c r="K148" i="38"/>
  <c r="K27" i="33" s="1"/>
  <c r="K31" i="33" s="1"/>
  <c r="P148" i="38"/>
  <c r="P27" i="33" s="1"/>
  <c r="P31" i="33" s="1"/>
  <c r="H148" i="38"/>
  <c r="H27" i="33" s="1"/>
  <c r="H31" i="33" s="1"/>
  <c r="N164" i="38"/>
  <c r="M23" i="51" s="1"/>
  <c r="M63" i="51" s="1"/>
  <c r="J164" i="38"/>
  <c r="I23" i="51" s="1"/>
  <c r="I63" i="51" s="1"/>
  <c r="F164" i="38"/>
  <c r="E23" i="51" s="1"/>
  <c r="E63" i="51" s="1"/>
  <c r="M164" i="38"/>
  <c r="L23" i="51" s="1"/>
  <c r="L63" i="51" s="1"/>
  <c r="I164" i="38"/>
  <c r="H23" i="51" s="1"/>
  <c r="H63" i="51" s="1"/>
  <c r="E164" i="38"/>
  <c r="D23" i="51" s="1"/>
  <c r="O164" i="38"/>
  <c r="N23" i="51" s="1"/>
  <c r="N63" i="51" s="1"/>
  <c r="G164" i="38"/>
  <c r="F23" i="51" s="1"/>
  <c r="F63" i="51" s="1"/>
  <c r="L164" i="38"/>
  <c r="K23" i="51" s="1"/>
  <c r="K63" i="51" s="1"/>
  <c r="K164" i="38"/>
  <c r="J23" i="51" s="1"/>
  <c r="J63" i="51" s="1"/>
  <c r="P164" i="38"/>
  <c r="O23" i="51" s="1"/>
  <c r="O63" i="51" s="1"/>
  <c r="H164" i="38"/>
  <c r="G23" i="51" s="1"/>
  <c r="G63" i="51" s="1"/>
  <c r="N133" i="38"/>
  <c r="M72" i="20" s="1"/>
  <c r="J133" i="38"/>
  <c r="I72" i="20" s="1"/>
  <c r="F133" i="38"/>
  <c r="E72" i="20" s="1"/>
  <c r="M133" i="38"/>
  <c r="L72" i="20" s="1"/>
  <c r="I133" i="38"/>
  <c r="H72" i="20" s="1"/>
  <c r="E133" i="38"/>
  <c r="D72" i="20" s="1"/>
  <c r="K133" i="38"/>
  <c r="J72" i="20" s="1"/>
  <c r="P133" i="38"/>
  <c r="O72" i="20" s="1"/>
  <c r="H133" i="38"/>
  <c r="G72" i="20" s="1"/>
  <c r="O133" i="38"/>
  <c r="N72" i="20" s="1"/>
  <c r="G133" i="38"/>
  <c r="F72" i="20" s="1"/>
  <c r="L133" i="38"/>
  <c r="K72" i="20" s="1"/>
  <c r="N149" i="38"/>
  <c r="N16" i="39" s="1"/>
  <c r="N17" i="39" s="1"/>
  <c r="J149" i="38"/>
  <c r="J16" i="39" s="1"/>
  <c r="J17" i="39" s="1"/>
  <c r="F149" i="38"/>
  <c r="F16" i="39" s="1"/>
  <c r="F17" i="39" s="1"/>
  <c r="M149" i="38"/>
  <c r="M16" i="39" s="1"/>
  <c r="M17" i="39" s="1"/>
  <c r="I149" i="38"/>
  <c r="I16" i="39" s="1"/>
  <c r="I17" i="39" s="1"/>
  <c r="E149" i="38"/>
  <c r="E16" i="39" s="1"/>
  <c r="K149" i="38"/>
  <c r="K16" i="39" s="1"/>
  <c r="K17" i="39" s="1"/>
  <c r="P149" i="38"/>
  <c r="P16" i="39" s="1"/>
  <c r="P17" i="39" s="1"/>
  <c r="H149" i="38"/>
  <c r="H16" i="39" s="1"/>
  <c r="H17" i="39" s="1"/>
  <c r="O149" i="38"/>
  <c r="O16" i="39" s="1"/>
  <c r="O17" i="39" s="1"/>
  <c r="G149" i="38"/>
  <c r="G16" i="39" s="1"/>
  <c r="G17" i="39" s="1"/>
  <c r="L149" i="38"/>
  <c r="L16" i="39" s="1"/>
  <c r="L17" i="39" s="1"/>
  <c r="N134" i="38"/>
  <c r="M72" i="17" s="1"/>
  <c r="J134" i="38"/>
  <c r="I72" i="17" s="1"/>
  <c r="F134" i="38"/>
  <c r="E72" i="17" s="1"/>
  <c r="M134" i="38"/>
  <c r="L72" i="17" s="1"/>
  <c r="I134" i="38"/>
  <c r="H72" i="17" s="1"/>
  <c r="E134" i="38"/>
  <c r="D72" i="17" s="1"/>
  <c r="O134" i="38"/>
  <c r="N72" i="17" s="1"/>
  <c r="G134" i="38"/>
  <c r="F72" i="17" s="1"/>
  <c r="L134" i="38"/>
  <c r="K72" i="17" s="1"/>
  <c r="K134" i="38"/>
  <c r="J72" i="17" s="1"/>
  <c r="H134" i="38"/>
  <c r="G72" i="17" s="1"/>
  <c r="P134" i="38"/>
  <c r="O72" i="17" s="1"/>
  <c r="N150" i="38"/>
  <c r="N35" i="35" s="1"/>
  <c r="N39" i="35" s="1"/>
  <c r="J150" i="38"/>
  <c r="J35" i="35" s="1"/>
  <c r="J39" i="35" s="1"/>
  <c r="F150" i="38"/>
  <c r="F35" i="35" s="1"/>
  <c r="F39" i="35" s="1"/>
  <c r="M150" i="38"/>
  <c r="M35" i="35" s="1"/>
  <c r="M39" i="35" s="1"/>
  <c r="I150" i="38"/>
  <c r="I35" i="35" s="1"/>
  <c r="I39" i="35" s="1"/>
  <c r="E150" i="38"/>
  <c r="E35" i="35" s="1"/>
  <c r="O150" i="38"/>
  <c r="O35" i="35" s="1"/>
  <c r="O39" i="35" s="1"/>
  <c r="G150" i="38"/>
  <c r="G35" i="35" s="1"/>
  <c r="G39" i="35" s="1"/>
  <c r="L150" i="38"/>
  <c r="L35" i="35" s="1"/>
  <c r="L39" i="35" s="1"/>
  <c r="K150" i="38"/>
  <c r="K35" i="35" s="1"/>
  <c r="K39" i="35" s="1"/>
  <c r="H150" i="38"/>
  <c r="H35" i="35" s="1"/>
  <c r="H39" i="35" s="1"/>
  <c r="P150" i="38"/>
  <c r="P35" i="35" s="1"/>
  <c r="P39" i="35" s="1"/>
  <c r="F354" i="54"/>
  <c r="F297" i="54" s="1"/>
  <c r="F328" i="54"/>
  <c r="F271" i="54"/>
  <c r="F361" i="54"/>
  <c r="F304" i="54" s="1"/>
  <c r="F360" i="54"/>
  <c r="F303" i="54" s="1"/>
  <c r="P134" i="54"/>
  <c r="D322" i="54"/>
  <c r="D265" i="54" s="1"/>
  <c r="D334" i="54"/>
  <c r="D277" i="54" s="1"/>
  <c r="P277" i="54" s="1"/>
  <c r="P146" i="54"/>
  <c r="D298" i="54"/>
  <c r="P167" i="54"/>
  <c r="D355" i="54"/>
  <c r="D343" i="54"/>
  <c r="P343" i="54" s="1"/>
  <c r="P155" i="54"/>
  <c r="P161" i="54"/>
  <c r="AH32" i="5"/>
  <c r="Q118" i="5"/>
  <c r="AE32" i="5"/>
  <c r="AF32" i="5" s="1"/>
  <c r="AH128" i="5"/>
  <c r="AE128" i="5"/>
  <c r="K21" i="7"/>
  <c r="K111" i="7"/>
  <c r="K56" i="7"/>
  <c r="K26" i="7"/>
  <c r="K26" i="5" s="1"/>
  <c r="K112" i="5" s="1"/>
  <c r="AE127" i="5"/>
  <c r="AH127" i="5"/>
  <c r="O33" i="12"/>
  <c r="O29" i="12"/>
  <c r="AD30" i="10"/>
  <c r="AE30" i="10" s="1"/>
  <c r="P42" i="10"/>
  <c r="AG30" i="10"/>
  <c r="J117" i="18"/>
  <c r="I160" i="10"/>
  <c r="K33" i="11"/>
  <c r="K29" i="11"/>
  <c r="K51" i="10"/>
  <c r="L148" i="24"/>
  <c r="L131" i="10"/>
  <c r="X21" i="1"/>
  <c r="X23" i="1"/>
  <c r="M29" i="12"/>
  <c r="M33" i="12"/>
  <c r="AD97" i="19"/>
  <c r="AE97" i="19" s="1"/>
  <c r="AG97" i="19"/>
  <c r="AD96" i="21"/>
  <c r="AE96" i="21" s="1"/>
  <c r="AG96" i="21"/>
  <c r="AD93" i="23"/>
  <c r="AE93" i="23" s="1"/>
  <c r="AG93" i="23"/>
  <c r="I114" i="18"/>
  <c r="H157" i="10"/>
  <c r="M154" i="24"/>
  <c r="M137" i="10"/>
  <c r="AG94" i="25"/>
  <c r="AD94" i="25"/>
  <c r="AE94" i="25" s="1"/>
  <c r="N81" i="24"/>
  <c r="AE68" i="32"/>
  <c r="AF68" i="32" s="1"/>
  <c r="AD72" i="32"/>
  <c r="R35" i="1"/>
  <c r="AD30" i="1"/>
  <c r="AD35" i="1" s="1"/>
  <c r="O338" i="54"/>
  <c r="O281" i="54" s="1"/>
  <c r="P132" i="54"/>
  <c r="D320" i="54"/>
  <c r="D263" i="54" s="1"/>
  <c r="N284" i="54"/>
  <c r="N341" i="54"/>
  <c r="F290" i="54"/>
  <c r="F347" i="54"/>
  <c r="L270" i="54"/>
  <c r="L327" i="54"/>
  <c r="E298" i="54"/>
  <c r="E355" i="54"/>
  <c r="D328" i="54"/>
  <c r="P328" i="54" s="1"/>
  <c r="P140" i="54"/>
  <c r="E339" i="54"/>
  <c r="E282" i="54"/>
  <c r="P168" i="54"/>
  <c r="D356" i="54"/>
  <c r="D299" i="54" s="1"/>
  <c r="O361" i="54"/>
  <c r="F309" i="54"/>
  <c r="F366" i="54"/>
  <c r="P178" i="54"/>
  <c r="D366" i="54"/>
  <c r="AE123" i="5"/>
  <c r="AH123" i="5"/>
  <c r="AD130" i="5"/>
  <c r="AD60" i="5"/>
  <c r="H21" i="5"/>
  <c r="H107" i="5" s="1"/>
  <c r="AG219" i="10"/>
  <c r="D33" i="16"/>
  <c r="P30" i="16"/>
  <c r="D29" i="16"/>
  <c r="AG227" i="10"/>
  <c r="AD93" i="19"/>
  <c r="AE93" i="19" s="1"/>
  <c r="AG93" i="19"/>
  <c r="P98" i="15"/>
  <c r="P27" i="15"/>
  <c r="AG14" i="15"/>
  <c r="AD14" i="15"/>
  <c r="AE14" i="15" s="1"/>
  <c r="G81" i="25"/>
  <c r="J51" i="28"/>
  <c r="J55" i="28" s="1"/>
  <c r="K37" i="37"/>
  <c r="AC9" i="48"/>
  <c r="AD9" i="48" s="1"/>
  <c r="AE9" i="48" s="1"/>
  <c r="E337" i="54"/>
  <c r="E280" i="54"/>
  <c r="E130" i="22" s="1"/>
  <c r="E366" i="54"/>
  <c r="E309" i="54" s="1"/>
  <c r="E338" i="54"/>
  <c r="E281" i="54" s="1"/>
  <c r="O331" i="54"/>
  <c r="O274" i="54" s="1"/>
  <c r="O364" i="54"/>
  <c r="O324" i="54"/>
  <c r="O267" i="54"/>
  <c r="O363" i="54"/>
  <c r="D295" i="54"/>
  <c r="AE17" i="6"/>
  <c r="AF17" i="6" s="1"/>
  <c r="AE72" i="1"/>
  <c r="Q74" i="1"/>
  <c r="AM72" i="1"/>
  <c r="AJ72" i="1"/>
  <c r="E107" i="5"/>
  <c r="L55" i="50"/>
  <c r="M74" i="1"/>
  <c r="M75" i="1" s="1"/>
  <c r="R21" i="1"/>
  <c r="AD18" i="1"/>
  <c r="R23" i="1"/>
  <c r="AE119" i="5"/>
  <c r="AH119" i="5"/>
  <c r="AE48" i="9"/>
  <c r="AF48" i="9" s="1"/>
  <c r="AH48" i="9"/>
  <c r="V21" i="1"/>
  <c r="V23" i="1"/>
  <c r="AG193" i="10"/>
  <c r="E24" i="10"/>
  <c r="J145" i="24"/>
  <c r="G144" i="24"/>
  <c r="G127" i="10"/>
  <c r="O127" i="10"/>
  <c r="M144" i="24"/>
  <c r="O143" i="24"/>
  <c r="O24" i="10"/>
  <c r="O145" i="24" s="1"/>
  <c r="O126" i="10"/>
  <c r="P98" i="12"/>
  <c r="P27" i="12"/>
  <c r="AD14" i="12"/>
  <c r="AE14" i="12" s="1"/>
  <c r="AG14" i="12"/>
  <c r="AD95" i="14"/>
  <c r="AE95" i="14" s="1"/>
  <c r="AG95" i="14"/>
  <c r="J33" i="20"/>
  <c r="J28" i="20"/>
  <c r="P30" i="20"/>
  <c r="AH109" i="5"/>
  <c r="AE109" i="5"/>
  <c r="AB21" i="1"/>
  <c r="AB23" i="1"/>
  <c r="E29" i="14"/>
  <c r="E33" i="14"/>
  <c r="P30" i="14"/>
  <c r="O152" i="24"/>
  <c r="O135" i="10"/>
  <c r="F33" i="13"/>
  <c r="F29" i="13"/>
  <c r="F33" i="16"/>
  <c r="F29" i="16"/>
  <c r="G149" i="24"/>
  <c r="K151" i="24"/>
  <c r="AD35" i="25"/>
  <c r="AE35" i="25" s="1"/>
  <c r="P69" i="31"/>
  <c r="AG65" i="31"/>
  <c r="AD33" i="28"/>
  <c r="AE33" i="28" s="1"/>
  <c r="AG33" i="28"/>
  <c r="AH68" i="32"/>
  <c r="Q72" i="32"/>
  <c r="P103" i="51"/>
  <c r="AG99" i="51"/>
  <c r="AC9" i="41"/>
  <c r="AD9" i="41" s="1"/>
  <c r="AE9" i="41" s="1"/>
  <c r="Z43" i="47"/>
  <c r="AC43" i="47" s="1"/>
  <c r="L336" i="54"/>
  <c r="L279" i="54" s="1"/>
  <c r="O320" i="54"/>
  <c r="G342" i="54"/>
  <c r="G285" i="54"/>
  <c r="G335" i="54"/>
  <c r="G278" i="54"/>
  <c r="G130" i="18" s="1"/>
  <c r="G173" i="10" s="1"/>
  <c r="G319" i="54"/>
  <c r="G356" i="54"/>
  <c r="G345" i="54"/>
  <c r="G288" i="54" s="1"/>
  <c r="O334" i="54"/>
  <c r="O277" i="54"/>
  <c r="D300" i="54"/>
  <c r="P169" i="54"/>
  <c r="D357" i="54"/>
  <c r="O340" i="54"/>
  <c r="O283" i="54" s="1"/>
  <c r="O268" i="54"/>
  <c r="O325" i="54"/>
  <c r="L340" i="54"/>
  <c r="L283" i="54" s="1"/>
  <c r="F353" i="54"/>
  <c r="F296" i="54" s="1"/>
  <c r="N363" i="54"/>
  <c r="N367" i="54"/>
  <c r="N310" i="54"/>
  <c r="F331" i="54"/>
  <c r="F274" i="54" s="1"/>
  <c r="E340" i="54"/>
  <c r="E283" i="54"/>
  <c r="N350" i="54"/>
  <c r="N293" i="54"/>
  <c r="F364" i="54"/>
  <c r="F307" i="54" s="1"/>
  <c r="AC21" i="1"/>
  <c r="AC23" i="1"/>
  <c r="Q49" i="7"/>
  <c r="R139" i="10"/>
  <c r="P11" i="10"/>
  <c r="G145" i="24"/>
  <c r="G128" i="10"/>
  <c r="E47" i="10"/>
  <c r="AD97" i="18"/>
  <c r="AE97" i="18" s="1"/>
  <c r="AG97" i="18"/>
  <c r="AD35" i="13"/>
  <c r="AE35" i="13" s="1"/>
  <c r="AG35" i="13"/>
  <c r="O153" i="24"/>
  <c r="AE13" i="1"/>
  <c r="AH13" i="1"/>
  <c r="AM13" i="1"/>
  <c r="AJ13" i="1"/>
  <c r="N81" i="26"/>
  <c r="AC82" i="50"/>
  <c r="AC43" i="50"/>
  <c r="N336" i="54"/>
  <c r="N279" i="54" s="1"/>
  <c r="N353" i="54"/>
  <c r="N296" i="54" s="1"/>
  <c r="N287" i="54"/>
  <c r="N344" i="54"/>
  <c r="N276" i="54"/>
  <c r="N333" i="54"/>
  <c r="E272" i="54"/>
  <c r="E329" i="54"/>
  <c r="D270" i="54"/>
  <c r="I357" i="54"/>
  <c r="I300" i="54" s="1"/>
  <c r="I358" i="54"/>
  <c r="I301" i="54"/>
  <c r="J55" i="37" s="1"/>
  <c r="I73" i="28" s="1"/>
  <c r="I323" i="54"/>
  <c r="I266" i="54" s="1"/>
  <c r="I350" i="54"/>
  <c r="I293" i="54"/>
  <c r="I364" i="54"/>
  <c r="I331" i="54"/>
  <c r="I274" i="54" s="1"/>
  <c r="I320" i="54"/>
  <c r="I342" i="54"/>
  <c r="I285" i="54"/>
  <c r="I343" i="54"/>
  <c r="I286" i="54"/>
  <c r="I130" i="19" s="1"/>
  <c r="I325" i="54"/>
  <c r="I268" i="54" s="1"/>
  <c r="I346" i="54"/>
  <c r="I289" i="54"/>
  <c r="I326" i="54"/>
  <c r="I269" i="54"/>
  <c r="I369" i="54"/>
  <c r="M331" i="54"/>
  <c r="M274" i="54" s="1"/>
  <c r="M348" i="54"/>
  <c r="M291" i="54" s="1"/>
  <c r="M319" i="54"/>
  <c r="M329" i="54"/>
  <c r="M272" i="54" s="1"/>
  <c r="M352" i="54"/>
  <c r="M295" i="54"/>
  <c r="M339" i="54"/>
  <c r="M282" i="54"/>
  <c r="M327" i="54"/>
  <c r="M270" i="54" s="1"/>
  <c r="M362" i="54"/>
  <c r="M320" i="54"/>
  <c r="M337" i="54"/>
  <c r="M280" i="54"/>
  <c r="M130" i="22" s="1"/>
  <c r="M349" i="54"/>
  <c r="M326" i="54"/>
  <c r="M269" i="54"/>
  <c r="M365" i="54"/>
  <c r="J345" i="54"/>
  <c r="J288" i="54" s="1"/>
  <c r="J351" i="54"/>
  <c r="J327" i="54"/>
  <c r="J270" i="54" s="1"/>
  <c r="J368" i="54"/>
  <c r="J339" i="54"/>
  <c r="J282" i="54"/>
  <c r="J329" i="54"/>
  <c r="J272" i="54" s="1"/>
  <c r="J352" i="54"/>
  <c r="J295" i="54"/>
  <c r="J322" i="54"/>
  <c r="J319" i="54"/>
  <c r="J324" i="54"/>
  <c r="J267" i="54"/>
  <c r="J328" i="54"/>
  <c r="J271" i="54"/>
  <c r="J325" i="54"/>
  <c r="J268" i="54" s="1"/>
  <c r="J346" i="54"/>
  <c r="J289" i="54"/>
  <c r="E182" i="54"/>
  <c r="E183" i="54" s="1"/>
  <c r="H365" i="54"/>
  <c r="H298" i="54"/>
  <c r="H355" i="54"/>
  <c r="H288" i="54"/>
  <c r="H345" i="54"/>
  <c r="H262" i="54"/>
  <c r="H319" i="54"/>
  <c r="H347" i="54"/>
  <c r="H340" i="54"/>
  <c r="H283" i="54" s="1"/>
  <c r="H351" i="54"/>
  <c r="H291" i="54"/>
  <c r="H348" i="54"/>
  <c r="H332" i="54"/>
  <c r="H275" i="54" s="1"/>
  <c r="H320" i="54"/>
  <c r="H367" i="54"/>
  <c r="H310" i="54" s="1"/>
  <c r="H281" i="54"/>
  <c r="H338" i="54"/>
  <c r="H339" i="54"/>
  <c r="H282" i="54" s="1"/>
  <c r="AD27" i="25"/>
  <c r="AE27" i="25" s="1"/>
  <c r="AG27" i="25"/>
  <c r="K365" i="54"/>
  <c r="K348" i="54"/>
  <c r="K291" i="54" s="1"/>
  <c r="K329" i="54"/>
  <c r="K272" i="54" s="1"/>
  <c r="K328" i="54"/>
  <c r="K271" i="54"/>
  <c r="K363" i="54"/>
  <c r="K322" i="54"/>
  <c r="K346" i="54"/>
  <c r="K289" i="54"/>
  <c r="K321" i="54"/>
  <c r="K264" i="54"/>
  <c r="K369" i="54"/>
  <c r="K345" i="54"/>
  <c r="K288" i="54" s="1"/>
  <c r="K323" i="54"/>
  <c r="K266" i="54" s="1"/>
  <c r="K343" i="54"/>
  <c r="K286" i="54"/>
  <c r="K130" i="19" s="1"/>
  <c r="K367" i="54"/>
  <c r="K310" i="54"/>
  <c r="K19" i="8"/>
  <c r="K44" i="8"/>
  <c r="K20" i="5"/>
  <c r="I55" i="37" l="1"/>
  <c r="H73" i="28" s="1"/>
  <c r="P301" i="54"/>
  <c r="F223" i="53"/>
  <c r="F124" i="53"/>
  <c r="L240" i="53"/>
  <c r="L141" i="53"/>
  <c r="P273" i="54"/>
  <c r="O145" i="26"/>
  <c r="O145" i="25"/>
  <c r="P55" i="10"/>
  <c r="AG51" i="10"/>
  <c r="AD51" i="10"/>
  <c r="AE51" i="10" s="1"/>
  <c r="O219" i="53"/>
  <c r="O120" i="53"/>
  <c r="N240" i="53"/>
  <c r="N141" i="53"/>
  <c r="E261" i="53"/>
  <c r="E162" i="53" s="1"/>
  <c r="N12" i="1"/>
  <c r="P275" i="54"/>
  <c r="P288" i="54"/>
  <c r="J223" i="53"/>
  <c r="J124" i="53"/>
  <c r="E313" i="54"/>
  <c r="H261" i="53"/>
  <c r="H162" i="53" s="1"/>
  <c r="M223" i="53"/>
  <c r="M124" i="53" s="1"/>
  <c r="P285" i="54"/>
  <c r="P274" i="54"/>
  <c r="P272" i="54"/>
  <c r="H173" i="10"/>
  <c r="N82" i="25"/>
  <c r="AD103" i="18"/>
  <c r="AE103" i="18" s="1"/>
  <c r="AG103" i="18"/>
  <c r="AD26" i="12"/>
  <c r="AE26" i="12" s="1"/>
  <c r="AG26" i="12"/>
  <c r="P55" i="50"/>
  <c r="D55" i="47"/>
  <c r="D56" i="50"/>
  <c r="D78" i="50" s="1"/>
  <c r="D9" i="50" s="1"/>
  <c r="P338" i="54"/>
  <c r="O94" i="10"/>
  <c r="N94" i="10"/>
  <c r="E94" i="10"/>
  <c r="O23" i="47"/>
  <c r="O42" i="49"/>
  <c r="O43" i="49" s="1"/>
  <c r="N23" i="47"/>
  <c r="N42" i="49"/>
  <c r="N43" i="49" s="1"/>
  <c r="E23" i="47"/>
  <c r="E42" i="49"/>
  <c r="E43" i="49" s="1"/>
  <c r="O24" i="28"/>
  <c r="O36" i="28" s="1"/>
  <c r="P45" i="34"/>
  <c r="P46" i="34" s="1"/>
  <c r="N24" i="28"/>
  <c r="N36" i="28" s="1"/>
  <c r="O45" i="34"/>
  <c r="O46" i="34" s="1"/>
  <c r="E24" i="28"/>
  <c r="E36" i="28" s="1"/>
  <c r="F45" i="34"/>
  <c r="F46" i="34" s="1"/>
  <c r="J154" i="26"/>
  <c r="J154" i="25"/>
  <c r="AH17" i="7"/>
  <c r="AE17" i="7"/>
  <c r="AF17" i="7" s="1"/>
  <c r="H144" i="26"/>
  <c r="H144" i="25"/>
  <c r="P340" i="54"/>
  <c r="P279" i="54"/>
  <c r="G193" i="53"/>
  <c r="I193" i="53"/>
  <c r="N193" i="53"/>
  <c r="M188" i="53"/>
  <c r="J188" i="53"/>
  <c r="O188" i="53"/>
  <c r="L184" i="53"/>
  <c r="J184" i="53"/>
  <c r="O184" i="53"/>
  <c r="M180" i="53"/>
  <c r="M229" i="53" s="1"/>
  <c r="J180" i="53"/>
  <c r="J229" i="53" s="1"/>
  <c r="O180" i="53"/>
  <c r="O229" i="53" s="1"/>
  <c r="K191" i="53"/>
  <c r="H170" i="53"/>
  <c r="M170" i="53"/>
  <c r="AD30" i="21"/>
  <c r="AE30" i="21" s="1"/>
  <c r="P29" i="21"/>
  <c r="P33" i="21"/>
  <c r="AG30" i="21"/>
  <c r="AD35" i="12"/>
  <c r="AE35" i="12" s="1"/>
  <c r="AG35" i="12"/>
  <c r="G48" i="10"/>
  <c r="G148" i="24"/>
  <c r="G154" i="24"/>
  <c r="G147" i="24"/>
  <c r="G150" i="24"/>
  <c r="G152" i="24"/>
  <c r="G139" i="10"/>
  <c r="G146" i="24"/>
  <c r="N116" i="18"/>
  <c r="N147" i="26"/>
  <c r="N147" i="25"/>
  <c r="N161" i="25" s="1"/>
  <c r="F153" i="26"/>
  <c r="F153" i="25"/>
  <c r="F146" i="26"/>
  <c r="F146" i="25"/>
  <c r="M149" i="26"/>
  <c r="M149" i="25"/>
  <c r="AG214" i="10"/>
  <c r="I250" i="54"/>
  <c r="K197" i="54"/>
  <c r="J168" i="26"/>
  <c r="J82" i="26"/>
  <c r="J157" i="26"/>
  <c r="H148" i="26"/>
  <c r="H148" i="25"/>
  <c r="G21" i="5"/>
  <c r="G107" i="5" s="1"/>
  <c r="M106" i="5"/>
  <c r="O173" i="10"/>
  <c r="D55" i="28"/>
  <c r="P51" i="28"/>
  <c r="P296" i="54"/>
  <c r="AG98" i="23"/>
  <c r="AD98" i="23"/>
  <c r="AE98" i="23" s="1"/>
  <c r="K114" i="19"/>
  <c r="AG27" i="18"/>
  <c r="AD27" i="18"/>
  <c r="AE27" i="18" s="1"/>
  <c r="L48" i="10"/>
  <c r="L150" i="24"/>
  <c r="L139" i="10"/>
  <c r="L146" i="24"/>
  <c r="L143" i="24"/>
  <c r="L154" i="24"/>
  <c r="L145" i="24"/>
  <c r="L153" i="24"/>
  <c r="L147" i="24"/>
  <c r="L152" i="24"/>
  <c r="L151" i="24"/>
  <c r="L149" i="24"/>
  <c r="N145" i="26"/>
  <c r="N145" i="25"/>
  <c r="N159" i="25" s="1"/>
  <c r="W102" i="10"/>
  <c r="W103" i="10" s="1"/>
  <c r="X12" i="1"/>
  <c r="P332" i="54"/>
  <c r="P323" i="54"/>
  <c r="P269" i="54"/>
  <c r="O22" i="41"/>
  <c r="O46" i="42"/>
  <c r="O47" i="42" s="1"/>
  <c r="N22" i="41"/>
  <c r="N46" i="42"/>
  <c r="N47" i="42" s="1"/>
  <c r="E22" i="41"/>
  <c r="E46" i="42"/>
  <c r="E47" i="42" s="1"/>
  <c r="E82" i="25"/>
  <c r="O26" i="28"/>
  <c r="O38" i="28" s="1"/>
  <c r="P27" i="36"/>
  <c r="N26" i="28"/>
  <c r="N38" i="28" s="1"/>
  <c r="O27" i="36"/>
  <c r="E26" i="28"/>
  <c r="E38" i="28" s="1"/>
  <c r="F27" i="36"/>
  <c r="E82" i="26"/>
  <c r="G44" i="6"/>
  <c r="K44" i="6"/>
  <c r="F44" i="6"/>
  <c r="E168" i="24"/>
  <c r="E160" i="24"/>
  <c r="E159" i="24"/>
  <c r="E82" i="24"/>
  <c r="G60" i="9"/>
  <c r="G45" i="9"/>
  <c r="G46" i="9" s="1"/>
  <c r="K60" i="9"/>
  <c r="K45" i="9"/>
  <c r="K46" i="9" s="1"/>
  <c r="F60" i="9"/>
  <c r="F45" i="9"/>
  <c r="F46" i="9" s="1"/>
  <c r="F60" i="8"/>
  <c r="F45" i="8"/>
  <c r="F46" i="8" s="1"/>
  <c r="P361" i="54"/>
  <c r="G210" i="53"/>
  <c r="I210" i="53"/>
  <c r="F190" i="53"/>
  <c r="I190" i="53"/>
  <c r="E187" i="53"/>
  <c r="G187" i="53"/>
  <c r="H187" i="53"/>
  <c r="F183" i="53"/>
  <c r="G183" i="53"/>
  <c r="H183" i="53"/>
  <c r="E179" i="53"/>
  <c r="E228" i="53" s="1"/>
  <c r="H179" i="53"/>
  <c r="H228" i="53" s="1"/>
  <c r="F212" i="53"/>
  <c r="K212" i="53"/>
  <c r="I174" i="53"/>
  <c r="AC47" i="41"/>
  <c r="AG27" i="20"/>
  <c r="AD27" i="20"/>
  <c r="AE27" i="20" s="1"/>
  <c r="AD23" i="10"/>
  <c r="AE23" i="10" s="1"/>
  <c r="AG23" i="10"/>
  <c r="P138" i="10"/>
  <c r="V31" i="55"/>
  <c r="V92" i="43"/>
  <c r="V91" i="43"/>
  <c r="W78" i="1"/>
  <c r="D151" i="26"/>
  <c r="D151" i="25"/>
  <c r="D152" i="26"/>
  <c r="D152" i="25"/>
  <c r="I150" i="26"/>
  <c r="I150" i="25"/>
  <c r="J12" i="1"/>
  <c r="K60" i="8"/>
  <c r="K45" i="8"/>
  <c r="K46" i="8" s="1"/>
  <c r="N159" i="26"/>
  <c r="N161" i="26"/>
  <c r="N82" i="26"/>
  <c r="G145" i="26"/>
  <c r="G145" i="25"/>
  <c r="J145" i="26"/>
  <c r="J159" i="26" s="1"/>
  <c r="J145" i="25"/>
  <c r="L55" i="47"/>
  <c r="L56" i="47" s="1"/>
  <c r="L78" i="47" s="1"/>
  <c r="L9" i="47" s="1"/>
  <c r="L56" i="50"/>
  <c r="L78" i="50" s="1"/>
  <c r="L9" i="50" s="1"/>
  <c r="P366" i="54"/>
  <c r="N167" i="24"/>
  <c r="N163" i="24"/>
  <c r="N159" i="24"/>
  <c r="N82" i="24"/>
  <c r="N166" i="24"/>
  <c r="N162" i="24"/>
  <c r="N158" i="24"/>
  <c r="N168" i="24"/>
  <c r="N160" i="24"/>
  <c r="N169" i="24"/>
  <c r="N161" i="24"/>
  <c r="N164" i="24"/>
  <c r="N165" i="24"/>
  <c r="N157" i="24"/>
  <c r="M154" i="26"/>
  <c r="M154" i="25"/>
  <c r="L148" i="26"/>
  <c r="L148" i="25"/>
  <c r="J25" i="28"/>
  <c r="J37" i="28" s="1"/>
  <c r="K40" i="35"/>
  <c r="Q35" i="35"/>
  <c r="E39" i="35"/>
  <c r="I25" i="28"/>
  <c r="I37" i="28" s="1"/>
  <c r="J40" i="35"/>
  <c r="P72" i="17"/>
  <c r="N28" i="28"/>
  <c r="N40" i="28" s="1"/>
  <c r="O18" i="39"/>
  <c r="Q16" i="39"/>
  <c r="E17" i="39"/>
  <c r="I28" i="28"/>
  <c r="I40" i="28" s="1"/>
  <c r="J18" i="39"/>
  <c r="P72" i="20"/>
  <c r="J64" i="51"/>
  <c r="K33" i="1"/>
  <c r="P23" i="51"/>
  <c r="D63" i="51"/>
  <c r="I64" i="51"/>
  <c r="J33" i="1"/>
  <c r="J23" i="28"/>
  <c r="J35" i="28" s="1"/>
  <c r="K32" i="33"/>
  <c r="Q27" i="33"/>
  <c r="E31" i="33"/>
  <c r="I23" i="28"/>
  <c r="I35" i="28" s="1"/>
  <c r="J32" i="33"/>
  <c r="P72" i="19"/>
  <c r="P72" i="18"/>
  <c r="K165" i="38"/>
  <c r="K167" i="38" s="1"/>
  <c r="K168" i="38" s="1"/>
  <c r="K39" i="7"/>
  <c r="K39" i="5" s="1"/>
  <c r="E165" i="38"/>
  <c r="E167" i="38" s="1"/>
  <c r="E168" i="38" s="1"/>
  <c r="E39" i="7"/>
  <c r="J165" i="38"/>
  <c r="J167" i="38" s="1"/>
  <c r="J168" i="38" s="1"/>
  <c r="J39" i="7"/>
  <c r="P327" i="54"/>
  <c r="J153" i="53"/>
  <c r="K54" i="37" s="1"/>
  <c r="J252" i="53"/>
  <c r="N252" i="53"/>
  <c r="N153" i="53" s="1"/>
  <c r="O54" i="37" s="1"/>
  <c r="G126" i="53"/>
  <c r="G225" i="53"/>
  <c r="H250" i="53"/>
  <c r="H151" i="53" s="1"/>
  <c r="F250" i="53"/>
  <c r="F151" i="53" s="1"/>
  <c r="J220" i="53"/>
  <c r="J121" i="53" s="1"/>
  <c r="N220" i="53"/>
  <c r="N121" i="53" s="1"/>
  <c r="N243" i="53"/>
  <c r="N144" i="53" s="1"/>
  <c r="K243" i="53"/>
  <c r="K144" i="53" s="1"/>
  <c r="E243" i="53"/>
  <c r="E144" i="53" s="1"/>
  <c r="L253" i="53"/>
  <c r="L154" i="53" s="1"/>
  <c r="I253" i="53"/>
  <c r="I154" i="53" s="1"/>
  <c r="G253" i="53"/>
  <c r="G154" i="53" s="1"/>
  <c r="I154" i="26"/>
  <c r="I154" i="25"/>
  <c r="N148" i="26"/>
  <c r="N162" i="26" s="1"/>
  <c r="N148" i="25"/>
  <c r="N162" i="25" s="1"/>
  <c r="AG35" i="15"/>
  <c r="AD35" i="15"/>
  <c r="AE35" i="15" s="1"/>
  <c r="T41" i="1"/>
  <c r="T56" i="1" s="1"/>
  <c r="T37" i="1"/>
  <c r="J155" i="25"/>
  <c r="J155" i="26"/>
  <c r="J169" i="26" s="1"/>
  <c r="K12" i="1"/>
  <c r="N150" i="26"/>
  <c r="N164" i="26" s="1"/>
  <c r="N150" i="25"/>
  <c r="N164" i="25" s="1"/>
  <c r="Q59" i="5"/>
  <c r="AE15" i="5"/>
  <c r="AF15" i="5" s="1"/>
  <c r="AH15" i="5"/>
  <c r="Q58" i="5"/>
  <c r="L106" i="5"/>
  <c r="E145" i="26"/>
  <c r="E159" i="26" s="1"/>
  <c r="E145" i="25"/>
  <c r="E159" i="25" s="1"/>
  <c r="N151" i="25"/>
  <c r="N165" i="25" s="1"/>
  <c r="N151" i="26"/>
  <c r="N165" i="26" s="1"/>
  <c r="O21" i="5"/>
  <c r="O107" i="5" s="1"/>
  <c r="G208" i="54"/>
  <c r="I190" i="54"/>
  <c r="K258" i="53"/>
  <c r="K159" i="53" s="1"/>
  <c r="O159" i="53"/>
  <c r="O258" i="53"/>
  <c r="M258" i="53"/>
  <c r="M159" i="53" s="1"/>
  <c r="I249" i="53"/>
  <c r="I150" i="53" s="1"/>
  <c r="M249" i="53"/>
  <c r="M150" i="53" s="1"/>
  <c r="G249" i="53"/>
  <c r="G150" i="53" s="1"/>
  <c r="AD27" i="14"/>
  <c r="AE27" i="14" s="1"/>
  <c r="AG27" i="14"/>
  <c r="E146" i="26"/>
  <c r="E160" i="26" s="1"/>
  <c r="E146" i="25"/>
  <c r="E160" i="25" s="1"/>
  <c r="AG20" i="10"/>
  <c r="AD20" i="10"/>
  <c r="AE20" i="10" s="1"/>
  <c r="P135" i="10"/>
  <c r="AG13" i="10"/>
  <c r="AD13" i="10"/>
  <c r="AE13" i="10" s="1"/>
  <c r="P128" i="10"/>
  <c r="AG17" i="10"/>
  <c r="AD17" i="10"/>
  <c r="AE17" i="10" s="1"/>
  <c r="AC24" i="1"/>
  <c r="AC16" i="1"/>
  <c r="AG98" i="17"/>
  <c r="AD98" i="17"/>
  <c r="AE98" i="17" s="1"/>
  <c r="AD27" i="19"/>
  <c r="AE27" i="19" s="1"/>
  <c r="AG27" i="19"/>
  <c r="H145" i="26"/>
  <c r="H145" i="25"/>
  <c r="P303" i="54"/>
  <c r="P284" i="54"/>
  <c r="L221" i="53"/>
  <c r="L122" i="53"/>
  <c r="I221" i="53"/>
  <c r="I122" i="53"/>
  <c r="G221" i="53"/>
  <c r="G122" i="53" s="1"/>
  <c r="AG35" i="23"/>
  <c r="AD35" i="23"/>
  <c r="AE35" i="23" s="1"/>
  <c r="K48" i="10"/>
  <c r="K147" i="24"/>
  <c r="K148" i="24"/>
  <c r="K146" i="24"/>
  <c r="K154" i="24"/>
  <c r="K150" i="24"/>
  <c r="K139" i="10"/>
  <c r="K153" i="24"/>
  <c r="K152" i="24"/>
  <c r="AH59" i="6"/>
  <c r="AE59" i="6"/>
  <c r="AF59" i="6" s="1"/>
  <c r="N21" i="5"/>
  <c r="AH20" i="8"/>
  <c r="AE20" i="8"/>
  <c r="AF20" i="8" s="1"/>
  <c r="Q19" i="8"/>
  <c r="U37" i="1"/>
  <c r="U41" i="1"/>
  <c r="U56" i="1" s="1"/>
  <c r="P339" i="54"/>
  <c r="G205" i="53"/>
  <c r="G206" i="53"/>
  <c r="G208" i="53"/>
  <c r="G195" i="53"/>
  <c r="G189" i="53"/>
  <c r="G192" i="53"/>
  <c r="G211" i="53"/>
  <c r="G207" i="53"/>
  <c r="G202" i="53"/>
  <c r="G196" i="53"/>
  <c r="G173" i="53"/>
  <c r="G213" i="53"/>
  <c r="F208" i="53"/>
  <c r="F211" i="53"/>
  <c r="F189" i="53"/>
  <c r="F192" i="53"/>
  <c r="F196" i="53"/>
  <c r="F173" i="53"/>
  <c r="F207" i="53"/>
  <c r="F213" i="53"/>
  <c r="F206" i="53"/>
  <c r="F205" i="53"/>
  <c r="F202" i="53"/>
  <c r="F195" i="53"/>
  <c r="L192" i="53"/>
  <c r="L202" i="53"/>
  <c r="L195" i="53"/>
  <c r="L206" i="53"/>
  <c r="L189" i="53"/>
  <c r="L211" i="53"/>
  <c r="L207" i="53"/>
  <c r="L173" i="53"/>
  <c r="L213" i="53"/>
  <c r="L196" i="53"/>
  <c r="L208" i="53"/>
  <c r="L205" i="53"/>
  <c r="L43" i="50"/>
  <c r="L32" i="32"/>
  <c r="K81" i="28"/>
  <c r="O81" i="28"/>
  <c r="P32" i="32"/>
  <c r="M32" i="32"/>
  <c r="L81" i="28"/>
  <c r="K149" i="24"/>
  <c r="M248" i="53"/>
  <c r="M149" i="53" s="1"/>
  <c r="J248" i="53"/>
  <c r="J149" i="53"/>
  <c r="H218" i="53"/>
  <c r="F169" i="53"/>
  <c r="H234" i="53"/>
  <c r="H135" i="53" s="1"/>
  <c r="F185" i="53"/>
  <c r="L181" i="53"/>
  <c r="L230" i="53" s="1"/>
  <c r="F181" i="53"/>
  <c r="F230" i="53" s="1"/>
  <c r="F177" i="53"/>
  <c r="F226" i="53" s="1"/>
  <c r="K247" i="53"/>
  <c r="K148" i="53" s="1"/>
  <c r="O247" i="53"/>
  <c r="O148" i="53" s="1"/>
  <c r="E247" i="53"/>
  <c r="E148" i="53"/>
  <c r="O149" i="26"/>
  <c r="O149" i="25"/>
  <c r="AG27" i="21"/>
  <c r="AD27" i="21"/>
  <c r="AE27" i="21" s="1"/>
  <c r="M146" i="26"/>
  <c r="M146" i="25"/>
  <c r="H149" i="25"/>
  <c r="H149" i="26"/>
  <c r="N143" i="25"/>
  <c r="N157" i="25" s="1"/>
  <c r="N143" i="26"/>
  <c r="N157" i="26" s="1"/>
  <c r="H60" i="8"/>
  <c r="H45" i="8"/>
  <c r="H46" i="8" s="1"/>
  <c r="J254" i="54"/>
  <c r="L201" i="54"/>
  <c r="E154" i="26"/>
  <c r="E168" i="26" s="1"/>
  <c r="E154" i="25"/>
  <c r="E168" i="25" s="1"/>
  <c r="Z37" i="1"/>
  <c r="Z41" i="1"/>
  <c r="Z56" i="1" s="1"/>
  <c r="F173" i="10"/>
  <c r="P268" i="54"/>
  <c r="P369" i="54"/>
  <c r="G252" i="54"/>
  <c r="G307" i="54" s="1"/>
  <c r="I199" i="54"/>
  <c r="M224" i="53"/>
  <c r="M125" i="53" s="1"/>
  <c r="I224" i="53"/>
  <c r="I125" i="53"/>
  <c r="O224" i="53"/>
  <c r="O125" i="53" s="1"/>
  <c r="H246" i="53"/>
  <c r="H147" i="53"/>
  <c r="E246" i="53"/>
  <c r="E147" i="53" s="1"/>
  <c r="J197" i="53"/>
  <c r="AG192" i="10"/>
  <c r="N50" i="10"/>
  <c r="N55" i="10"/>
  <c r="P28" i="17"/>
  <c r="P33" i="17"/>
  <c r="AD30" i="17"/>
  <c r="AE30" i="17" s="1"/>
  <c r="AG30" i="17"/>
  <c r="O60" i="8"/>
  <c r="O45" i="8"/>
  <c r="O46" i="8" s="1"/>
  <c r="AG16" i="10"/>
  <c r="AD16" i="10"/>
  <c r="AE16" i="10" s="1"/>
  <c r="P131" i="10"/>
  <c r="I45" i="8"/>
  <c r="I46" i="8" s="1"/>
  <c r="I60" i="8"/>
  <c r="P267" i="54"/>
  <c r="F265" i="54"/>
  <c r="AD27" i="26"/>
  <c r="AE27" i="26" s="1"/>
  <c r="AG27" i="26"/>
  <c r="I121" i="18"/>
  <c r="H164" i="10"/>
  <c r="P270" i="54"/>
  <c r="O153" i="26"/>
  <c r="O153" i="25"/>
  <c r="AD11" i="10"/>
  <c r="P24" i="10"/>
  <c r="P50" i="10" s="1"/>
  <c r="AG11" i="10"/>
  <c r="P126" i="10"/>
  <c r="P357" i="54"/>
  <c r="O48" i="10"/>
  <c r="O147" i="24"/>
  <c r="O150" i="24"/>
  <c r="O154" i="24"/>
  <c r="O139" i="10"/>
  <c r="O148" i="24"/>
  <c r="O155" i="24"/>
  <c r="O146" i="24"/>
  <c r="O144" i="24"/>
  <c r="E48" i="10"/>
  <c r="E152" i="24"/>
  <c r="E149" i="24"/>
  <c r="E163" i="24" s="1"/>
  <c r="E144" i="24"/>
  <c r="E158" i="24" s="1"/>
  <c r="E148" i="24"/>
  <c r="E139" i="10"/>
  <c r="E150" i="24"/>
  <c r="E164" i="24" s="1"/>
  <c r="E151" i="24"/>
  <c r="P151" i="24" s="1"/>
  <c r="E143" i="24"/>
  <c r="AH74" i="1"/>
  <c r="AH72" i="1" s="1"/>
  <c r="Q75" i="1"/>
  <c r="AE74" i="1"/>
  <c r="AM74" i="1"/>
  <c r="AJ74" i="1"/>
  <c r="P295" i="54"/>
  <c r="D271" i="54"/>
  <c r="P271" i="54" s="1"/>
  <c r="K50" i="10"/>
  <c r="K55" i="10"/>
  <c r="AD42" i="10"/>
  <c r="AE42" i="10" s="1"/>
  <c r="AG42" i="10"/>
  <c r="P355" i="54"/>
  <c r="K25" i="28"/>
  <c r="K37" i="28" s="1"/>
  <c r="L40" i="35"/>
  <c r="H25" i="28"/>
  <c r="H37" i="28" s="1"/>
  <c r="I40" i="35"/>
  <c r="M25" i="28"/>
  <c r="M37" i="28" s="1"/>
  <c r="N40" i="35"/>
  <c r="H18" i="39"/>
  <c r="G28" i="28"/>
  <c r="G40" i="28" s="1"/>
  <c r="H28" i="28"/>
  <c r="H40" i="28" s="1"/>
  <c r="I18" i="39"/>
  <c r="M28" i="28"/>
  <c r="M40" i="28" s="1"/>
  <c r="N18" i="39"/>
  <c r="K64" i="51"/>
  <c r="L33" i="1"/>
  <c r="H64" i="51"/>
  <c r="I33" i="1"/>
  <c r="M64" i="51"/>
  <c r="N33" i="1"/>
  <c r="K23" i="28"/>
  <c r="K35" i="28" s="1"/>
  <c r="L32" i="33"/>
  <c r="H23" i="28"/>
  <c r="H35" i="28" s="1"/>
  <c r="I32" i="33"/>
  <c r="M23" i="28"/>
  <c r="M35" i="28" s="1"/>
  <c r="N32" i="33"/>
  <c r="L165" i="38"/>
  <c r="L167" i="38" s="1"/>
  <c r="L168" i="38" s="1"/>
  <c r="L39" i="7"/>
  <c r="L44" i="7" s="1"/>
  <c r="I165" i="38"/>
  <c r="I167" i="38" s="1"/>
  <c r="I168" i="38" s="1"/>
  <c r="I39" i="7"/>
  <c r="I44" i="7" s="1"/>
  <c r="N165" i="38"/>
  <c r="N167" i="38" s="1"/>
  <c r="N168" i="38" s="1"/>
  <c r="N39" i="7"/>
  <c r="N44" i="7" s="1"/>
  <c r="G148" i="10"/>
  <c r="N152" i="26"/>
  <c r="N166" i="26" s="1"/>
  <c r="N152" i="25"/>
  <c r="N166" i="25" s="1"/>
  <c r="E252" i="53"/>
  <c r="E153" i="53"/>
  <c r="F54" i="37" s="1"/>
  <c r="G203" i="53"/>
  <c r="H252" i="53"/>
  <c r="H153" i="53"/>
  <c r="I54" i="37" s="1"/>
  <c r="F176" i="53"/>
  <c r="G186" i="53"/>
  <c r="G235" i="53" s="1"/>
  <c r="I186" i="53"/>
  <c r="I235" i="53" s="1"/>
  <c r="F182" i="53"/>
  <c r="F231" i="53" s="1"/>
  <c r="I182" i="53"/>
  <c r="I231" i="53" s="1"/>
  <c r="G178" i="53"/>
  <c r="G227" i="53" s="1"/>
  <c r="I178" i="53"/>
  <c r="I227" i="53" s="1"/>
  <c r="L201" i="53"/>
  <c r="E250" i="53"/>
  <c r="E151" i="53" s="1"/>
  <c r="J201" i="53"/>
  <c r="E220" i="53"/>
  <c r="E121" i="53" s="1"/>
  <c r="G171" i="53"/>
  <c r="H220" i="53"/>
  <c r="H121" i="53" s="1"/>
  <c r="G194" i="53"/>
  <c r="I194" i="53"/>
  <c r="E253" i="53"/>
  <c r="E154" i="53"/>
  <c r="F204" i="53"/>
  <c r="K253" i="53"/>
  <c r="K154" i="53"/>
  <c r="J153" i="26"/>
  <c r="J167" i="26" s="1"/>
  <c r="J153" i="25"/>
  <c r="AE98" i="5"/>
  <c r="AF98" i="5" s="1"/>
  <c r="Q99" i="5"/>
  <c r="AH99" i="5" s="1"/>
  <c r="Q17" i="5"/>
  <c r="AH98" i="5"/>
  <c r="L60" i="8"/>
  <c r="L45" i="8"/>
  <c r="L46" i="8" s="1"/>
  <c r="E370" i="54"/>
  <c r="E372" i="54" s="1"/>
  <c r="P330" i="54"/>
  <c r="G235" i="54"/>
  <c r="I192" i="54"/>
  <c r="I207" i="54"/>
  <c r="K189" i="54"/>
  <c r="AG35" i="14"/>
  <c r="AD35" i="14"/>
  <c r="AE35" i="14" s="1"/>
  <c r="H258" i="53"/>
  <c r="H159" i="53" s="1"/>
  <c r="F209" i="53"/>
  <c r="F200" i="53"/>
  <c r="K249" i="53"/>
  <c r="K150" i="53" s="1"/>
  <c r="AC63" i="27"/>
  <c r="AD62" i="27"/>
  <c r="AE62" i="27" s="1"/>
  <c r="AD98" i="14"/>
  <c r="AE98" i="14" s="1"/>
  <c r="AG98" i="14"/>
  <c r="AG225" i="10"/>
  <c r="AG195" i="10"/>
  <c r="AD26" i="17"/>
  <c r="AE26" i="17" s="1"/>
  <c r="AG26" i="17"/>
  <c r="F21" i="5"/>
  <c r="Q21" i="7"/>
  <c r="P264" i="54"/>
  <c r="E221" i="53"/>
  <c r="E122" i="53" s="1"/>
  <c r="F172" i="53"/>
  <c r="K221" i="53"/>
  <c r="K122" i="53" s="1"/>
  <c r="AD27" i="22"/>
  <c r="AE27" i="22" s="1"/>
  <c r="AG27" i="22"/>
  <c r="AG12" i="10"/>
  <c r="AD12" i="10"/>
  <c r="AE12" i="10" s="1"/>
  <c r="P127" i="10"/>
  <c r="K143" i="24"/>
  <c r="AE58" i="7"/>
  <c r="AF58" i="7" s="1"/>
  <c r="AH58" i="7"/>
  <c r="H155" i="26"/>
  <c r="H155" i="25"/>
  <c r="F55" i="47"/>
  <c r="F56" i="47" s="1"/>
  <c r="F78" i="47" s="1"/>
  <c r="F9" i="47" s="1"/>
  <c r="F56" i="50"/>
  <c r="F78" i="50" s="1"/>
  <c r="F9" i="50" s="1"/>
  <c r="E60" i="8"/>
  <c r="E45" i="8"/>
  <c r="E46" i="8" s="1"/>
  <c r="P363" i="54"/>
  <c r="D289" i="54"/>
  <c r="P289" i="54" s="1"/>
  <c r="O206" i="53"/>
  <c r="O192" i="53"/>
  <c r="O211" i="53"/>
  <c r="O207" i="53"/>
  <c r="O196" i="53"/>
  <c r="O189" i="53"/>
  <c r="O202" i="53"/>
  <c r="O173" i="53"/>
  <c r="O213" i="53"/>
  <c r="O208" i="53"/>
  <c r="O205" i="53"/>
  <c r="O195" i="53"/>
  <c r="N173" i="53"/>
  <c r="N202" i="53"/>
  <c r="N213" i="53"/>
  <c r="N205" i="53"/>
  <c r="N207" i="53"/>
  <c r="N206" i="53"/>
  <c r="N208" i="53"/>
  <c r="N195" i="53"/>
  <c r="N189" i="53"/>
  <c r="N192" i="53"/>
  <c r="N211" i="53"/>
  <c r="N196" i="53"/>
  <c r="E206" i="53"/>
  <c r="E189" i="53"/>
  <c r="E173" i="53"/>
  <c r="E213" i="53"/>
  <c r="E195" i="53"/>
  <c r="E196" i="53"/>
  <c r="E208" i="53"/>
  <c r="E211" i="53"/>
  <c r="E205" i="53"/>
  <c r="E192" i="53"/>
  <c r="E207" i="53"/>
  <c r="E202" i="53"/>
  <c r="G32" i="32"/>
  <c r="F81" i="28"/>
  <c r="K32" i="32"/>
  <c r="J81" i="28"/>
  <c r="F32" i="32"/>
  <c r="E81" i="28"/>
  <c r="E155" i="24"/>
  <c r="I147" i="26"/>
  <c r="I147" i="25"/>
  <c r="P347" i="54"/>
  <c r="F199" i="53"/>
  <c r="G199" i="53"/>
  <c r="H248" i="53"/>
  <c r="H149" i="53"/>
  <c r="L169" i="53"/>
  <c r="E169" i="53"/>
  <c r="J169" i="53"/>
  <c r="L185" i="53"/>
  <c r="E185" i="53"/>
  <c r="J185" i="53"/>
  <c r="E181" i="53"/>
  <c r="E230" i="53" s="1"/>
  <c r="J181" i="53"/>
  <c r="J230" i="53" s="1"/>
  <c r="L177" i="53"/>
  <c r="L226" i="53" s="1"/>
  <c r="E177" i="53"/>
  <c r="E226" i="53" s="1"/>
  <c r="J177" i="53"/>
  <c r="J226" i="53" s="1"/>
  <c r="F198" i="53"/>
  <c r="I198" i="53"/>
  <c r="AD98" i="16"/>
  <c r="AE98" i="16" s="1"/>
  <c r="AG98" i="16"/>
  <c r="K145" i="24"/>
  <c r="H152" i="26"/>
  <c r="H152" i="25"/>
  <c r="H146" i="26"/>
  <c r="H146" i="25"/>
  <c r="F143" i="25"/>
  <c r="F143" i="26"/>
  <c r="AB24" i="1"/>
  <c r="AB16" i="1"/>
  <c r="G56" i="50"/>
  <c r="G78" i="50" s="1"/>
  <c r="G9" i="50" s="1"/>
  <c r="G55" i="47"/>
  <c r="G56" i="47" s="1"/>
  <c r="G78" i="47" s="1"/>
  <c r="G9" i="47" s="1"/>
  <c r="J370" i="54"/>
  <c r="J372" i="54" s="1"/>
  <c r="AE57" i="6"/>
  <c r="AF57" i="6" s="1"/>
  <c r="AH57" i="6"/>
  <c r="O370" i="54"/>
  <c r="O372" i="54" s="1"/>
  <c r="E175" i="53"/>
  <c r="J175" i="53"/>
  <c r="K197" i="53"/>
  <c r="I197" i="53"/>
  <c r="N197" i="53"/>
  <c r="AE57" i="8"/>
  <c r="AF57" i="8" s="1"/>
  <c r="AH57" i="8"/>
  <c r="P321" i="54"/>
  <c r="I146" i="26"/>
  <c r="I146" i="25"/>
  <c r="D148" i="26"/>
  <c r="P148" i="24"/>
  <c r="D148" i="25"/>
  <c r="P106" i="5"/>
  <c r="P324" i="54"/>
  <c r="F370" i="54"/>
  <c r="F372" i="54" s="1"/>
  <c r="F167" i="26"/>
  <c r="F157" i="26"/>
  <c r="F160" i="26"/>
  <c r="F82" i="26"/>
  <c r="M152" i="26"/>
  <c r="M152" i="25"/>
  <c r="AJ11" i="1"/>
  <c r="AE11" i="1"/>
  <c r="AH11" i="1"/>
  <c r="AM11" i="1"/>
  <c r="Q55" i="37"/>
  <c r="D73" i="28"/>
  <c r="P73" i="28" s="1"/>
  <c r="P348" i="54"/>
  <c r="P22" i="45"/>
  <c r="D46" i="45"/>
  <c r="D47" i="45" s="1"/>
  <c r="P72" i="13"/>
  <c r="P22" i="46"/>
  <c r="D46" i="46"/>
  <c r="D47" i="46" s="1"/>
  <c r="P72" i="16"/>
  <c r="P22" i="44"/>
  <c r="D46" i="44"/>
  <c r="D47" i="44" s="1"/>
  <c r="J94" i="10"/>
  <c r="D94" i="10"/>
  <c r="P72" i="11"/>
  <c r="I94" i="10"/>
  <c r="J23" i="47"/>
  <c r="J42" i="49"/>
  <c r="J43" i="49" s="1"/>
  <c r="P23" i="49"/>
  <c r="D23" i="47"/>
  <c r="D42" i="49"/>
  <c r="D43" i="49" s="1"/>
  <c r="I23" i="47"/>
  <c r="I42" i="49"/>
  <c r="I43" i="49" s="1"/>
  <c r="J24" i="28"/>
  <c r="J36" i="28" s="1"/>
  <c r="K45" i="34"/>
  <c r="K46" i="34" s="1"/>
  <c r="Q39" i="34"/>
  <c r="E44" i="34"/>
  <c r="I24" i="28"/>
  <c r="I36" i="28" s="1"/>
  <c r="J45" i="34"/>
  <c r="J46" i="34" s="1"/>
  <c r="P72" i="14"/>
  <c r="E147" i="24"/>
  <c r="E161" i="24" s="1"/>
  <c r="G206" i="54"/>
  <c r="H204" i="54"/>
  <c r="I188" i="54"/>
  <c r="P319" i="54"/>
  <c r="P336" i="54"/>
  <c r="K193" i="53"/>
  <c r="O193" i="53"/>
  <c r="M193" i="53"/>
  <c r="H188" i="53"/>
  <c r="N188" i="53"/>
  <c r="H184" i="53"/>
  <c r="E184" i="53"/>
  <c r="N184" i="53"/>
  <c r="L180" i="53"/>
  <c r="L229" i="53" s="1"/>
  <c r="H180" i="53"/>
  <c r="H229" i="53" s="1"/>
  <c r="N180" i="53"/>
  <c r="N229" i="53" s="1"/>
  <c r="E191" i="53"/>
  <c r="I191" i="53"/>
  <c r="O191" i="53"/>
  <c r="N170" i="53"/>
  <c r="J170" i="53"/>
  <c r="L170" i="53"/>
  <c r="G143" i="24"/>
  <c r="G155" i="24"/>
  <c r="N146" i="26"/>
  <c r="N160" i="26" s="1"/>
  <c r="N146" i="25"/>
  <c r="N160" i="25" s="1"/>
  <c r="F152" i="26"/>
  <c r="F166" i="26" s="1"/>
  <c r="F152" i="25"/>
  <c r="F155" i="26"/>
  <c r="F169" i="26" s="1"/>
  <c r="F155" i="25"/>
  <c r="V24" i="1"/>
  <c r="V16" i="1"/>
  <c r="M148" i="25"/>
  <c r="M148" i="26"/>
  <c r="I370" i="54"/>
  <c r="I372" i="54" s="1"/>
  <c r="P276" i="54"/>
  <c r="AH126" i="5"/>
  <c r="AE126" i="5"/>
  <c r="AD18" i="10"/>
  <c r="AE18" i="10" s="1"/>
  <c r="AG18" i="10"/>
  <c r="P133" i="10"/>
  <c r="M60" i="8"/>
  <c r="M45" i="8"/>
  <c r="M46" i="8" s="1"/>
  <c r="AH56" i="5"/>
  <c r="AE56" i="5"/>
  <c r="AF56" i="5" s="1"/>
  <c r="P352" i="54"/>
  <c r="AH33" i="37"/>
  <c r="AE33" i="37"/>
  <c r="AF33" i="37" s="1"/>
  <c r="Q37" i="37"/>
  <c r="Y24" i="1"/>
  <c r="Y16" i="1"/>
  <c r="P353" i="54"/>
  <c r="P278" i="54"/>
  <c r="D130" i="18"/>
  <c r="M155" i="26"/>
  <c r="M155" i="25"/>
  <c r="AD98" i="18"/>
  <c r="AE98" i="18" s="1"/>
  <c r="AG98" i="18"/>
  <c r="L144" i="24"/>
  <c r="AG98" i="11"/>
  <c r="AD98" i="11"/>
  <c r="AE98" i="11" s="1"/>
  <c r="AG35" i="16"/>
  <c r="AD35" i="16"/>
  <c r="AE35" i="16" s="1"/>
  <c r="P47" i="10"/>
  <c r="P344" i="54"/>
  <c r="P326" i="54"/>
  <c r="J46" i="42"/>
  <c r="J47" i="42" s="1"/>
  <c r="J22" i="41"/>
  <c r="P22" i="42"/>
  <c r="D22" i="41"/>
  <c r="D46" i="42"/>
  <c r="D47" i="42" s="1"/>
  <c r="I22" i="41"/>
  <c r="I46" i="42"/>
  <c r="I47" i="42" s="1"/>
  <c r="P72" i="25"/>
  <c r="D80" i="25"/>
  <c r="D81" i="25" s="1"/>
  <c r="I164" i="25"/>
  <c r="I82" i="25"/>
  <c r="I160" i="25"/>
  <c r="I161" i="25"/>
  <c r="I168" i="25"/>
  <c r="J26" i="28"/>
  <c r="J38" i="28" s="1"/>
  <c r="K27" i="36"/>
  <c r="Q22" i="36"/>
  <c r="E26" i="36"/>
  <c r="I26" i="28"/>
  <c r="I38" i="28" s="1"/>
  <c r="J27" i="36"/>
  <c r="D80" i="26"/>
  <c r="D81" i="26" s="1"/>
  <c r="P72" i="26"/>
  <c r="I168" i="26"/>
  <c r="I164" i="26"/>
  <c r="I160" i="26"/>
  <c r="I82" i="26"/>
  <c r="I161" i="26"/>
  <c r="O44" i="6"/>
  <c r="Q39" i="6"/>
  <c r="E39" i="5"/>
  <c r="E44" i="6"/>
  <c r="J39" i="5"/>
  <c r="J125" i="5" s="1"/>
  <c r="J44" i="6"/>
  <c r="P22" i="43"/>
  <c r="P72" i="24"/>
  <c r="D80" i="24"/>
  <c r="D81" i="24" s="1"/>
  <c r="O60" i="9"/>
  <c r="O45" i="9"/>
  <c r="O46" i="9" s="1"/>
  <c r="E44" i="9"/>
  <c r="Q39" i="9"/>
  <c r="J60" i="9"/>
  <c r="J45" i="9"/>
  <c r="J46" i="9" s="1"/>
  <c r="Q39" i="8"/>
  <c r="J60" i="8"/>
  <c r="J45" i="8"/>
  <c r="J46" i="8" s="1"/>
  <c r="P72" i="12"/>
  <c r="AH49" i="6"/>
  <c r="AE49" i="6"/>
  <c r="AF49" i="6" s="1"/>
  <c r="P354" i="54"/>
  <c r="O210" i="53"/>
  <c r="H210" i="53"/>
  <c r="M210" i="53"/>
  <c r="N190" i="53"/>
  <c r="H190" i="53"/>
  <c r="M190" i="53"/>
  <c r="M187" i="53"/>
  <c r="K187" i="53"/>
  <c r="L187" i="53"/>
  <c r="N183" i="53"/>
  <c r="K183" i="53"/>
  <c r="L183" i="53"/>
  <c r="M179" i="53"/>
  <c r="M228" i="53" s="1"/>
  <c r="L179" i="53"/>
  <c r="L228" i="53" s="1"/>
  <c r="M212" i="53"/>
  <c r="J212" i="53"/>
  <c r="O212" i="53"/>
  <c r="N174" i="53"/>
  <c r="H174" i="53"/>
  <c r="AD22" i="10"/>
  <c r="AE22" i="10" s="1"/>
  <c r="P137" i="10"/>
  <c r="AG22" i="10"/>
  <c r="AG29" i="31"/>
  <c r="AD29" i="31"/>
  <c r="AE29" i="31" s="1"/>
  <c r="D155" i="26"/>
  <c r="D155" i="25"/>
  <c r="J102" i="22"/>
  <c r="I105" i="22"/>
  <c r="T31" i="55"/>
  <c r="T91" i="43"/>
  <c r="T92" i="43"/>
  <c r="U78" i="1"/>
  <c r="D143" i="26"/>
  <c r="P143" i="24"/>
  <c r="D143" i="25"/>
  <c r="D150" i="26"/>
  <c r="D150" i="25"/>
  <c r="P150" i="24"/>
  <c r="D147" i="26"/>
  <c r="P147" i="24"/>
  <c r="D147" i="25"/>
  <c r="AG33" i="15"/>
  <c r="AD33" i="15"/>
  <c r="AE33" i="15" s="1"/>
  <c r="I143" i="26"/>
  <c r="I157" i="26" s="1"/>
  <c r="I143" i="25"/>
  <c r="I157" i="25" s="1"/>
  <c r="I149" i="26"/>
  <c r="I163" i="26" s="1"/>
  <c r="I149" i="25"/>
  <c r="I163" i="25" s="1"/>
  <c r="AD33" i="11"/>
  <c r="AE33" i="11" s="1"/>
  <c r="AG33" i="11"/>
  <c r="AH118" i="5"/>
  <c r="AE118" i="5"/>
  <c r="P334" i="54"/>
  <c r="F25" i="28"/>
  <c r="F37" i="28" s="1"/>
  <c r="G40" i="35"/>
  <c r="L28" i="28"/>
  <c r="L40" i="28" s="1"/>
  <c r="M18" i="39"/>
  <c r="G64" i="51"/>
  <c r="H33" i="1"/>
  <c r="L64" i="51"/>
  <c r="M33" i="1"/>
  <c r="F23" i="28"/>
  <c r="F35" i="28" s="1"/>
  <c r="G32" i="33"/>
  <c r="G165" i="38"/>
  <c r="G167" i="38" s="1"/>
  <c r="G168" i="38" s="1"/>
  <c r="G39" i="7"/>
  <c r="G44" i="7" s="1"/>
  <c r="AH17" i="8"/>
  <c r="AE17" i="8"/>
  <c r="AF17" i="8" s="1"/>
  <c r="P280" i="54"/>
  <c r="D130" i="22"/>
  <c r="P130" i="22" s="1"/>
  <c r="K252" i="53"/>
  <c r="K153" i="53" s="1"/>
  <c r="L54" i="37" s="1"/>
  <c r="L203" i="53"/>
  <c r="L176" i="53"/>
  <c r="L225" i="53" s="1"/>
  <c r="G201" i="53"/>
  <c r="N250" i="53"/>
  <c r="N151" i="53"/>
  <c r="K121" i="53"/>
  <c r="K220" i="53"/>
  <c r="L171" i="53"/>
  <c r="H243" i="53"/>
  <c r="H144" i="53"/>
  <c r="M253" i="53"/>
  <c r="M154" i="53" s="1"/>
  <c r="O253" i="53"/>
  <c r="O154" i="53"/>
  <c r="J167" i="24"/>
  <c r="J163" i="24"/>
  <c r="J159" i="24"/>
  <c r="J82" i="24"/>
  <c r="J166" i="24"/>
  <c r="J162" i="24"/>
  <c r="J158" i="24"/>
  <c r="J164" i="24"/>
  <c r="J165" i="24"/>
  <c r="J157" i="24"/>
  <c r="J168" i="24"/>
  <c r="J160" i="24"/>
  <c r="J161" i="24"/>
  <c r="J169" i="24"/>
  <c r="N144" i="26"/>
  <c r="N158" i="26" s="1"/>
  <c r="N144" i="25"/>
  <c r="N158" i="25" s="1"/>
  <c r="J147" i="25"/>
  <c r="J147" i="26"/>
  <c r="J161" i="26" s="1"/>
  <c r="AC139" i="10"/>
  <c r="AC141" i="10"/>
  <c r="AC186" i="10"/>
  <c r="AC122" i="10"/>
  <c r="AE122" i="10" s="1"/>
  <c r="AC193" i="10"/>
  <c r="AD193" i="10" s="1"/>
  <c r="AC192" i="10"/>
  <c r="AD192" i="10" s="1"/>
  <c r="AC215" i="10"/>
  <c r="AD215" i="10" s="1"/>
  <c r="AC213" i="10"/>
  <c r="AD213" i="10" s="1"/>
  <c r="AC208" i="10"/>
  <c r="AD208" i="10" s="1"/>
  <c r="AC202" i="10"/>
  <c r="AD202" i="10" s="1"/>
  <c r="AC227" i="10"/>
  <c r="AD227" i="10" s="1"/>
  <c r="AC226" i="10"/>
  <c r="AD226" i="10" s="1"/>
  <c r="AC206" i="10"/>
  <c r="AD206" i="10" s="1"/>
  <c r="AC207" i="10"/>
  <c r="AD207" i="10" s="1"/>
  <c r="AC209" i="10"/>
  <c r="AD209" i="10" s="1"/>
  <c r="AC220" i="10"/>
  <c r="AD220" i="10" s="1"/>
  <c r="AC204" i="10"/>
  <c r="AD204" i="10" s="1"/>
  <c r="AC223" i="10"/>
  <c r="AD223" i="10" s="1"/>
  <c r="AC194" i="10"/>
  <c r="AD194" i="10" s="1"/>
  <c r="AC224" i="10"/>
  <c r="AD224" i="10" s="1"/>
  <c r="AC187" i="10"/>
  <c r="AD187" i="10" s="1"/>
  <c r="AC221" i="10"/>
  <c r="AC219" i="10"/>
  <c r="AD219" i="10" s="1"/>
  <c r="AC190" i="10"/>
  <c r="AD190" i="10" s="1"/>
  <c r="AC196" i="10"/>
  <c r="AD196" i="10" s="1"/>
  <c r="AC188" i="10"/>
  <c r="AC205" i="10"/>
  <c r="AC216" i="10"/>
  <c r="AD216" i="10" s="1"/>
  <c r="AC200" i="10"/>
  <c r="AD200" i="10" s="1"/>
  <c r="AC222" i="10"/>
  <c r="AD222" i="10" s="1"/>
  <c r="AC218" i="10"/>
  <c r="AD218" i="10" s="1"/>
  <c r="AC211" i="10"/>
  <c r="AC203" i="10"/>
  <c r="AD203" i="10" s="1"/>
  <c r="AC199" i="10"/>
  <c r="AD199" i="10" s="1"/>
  <c r="AC189" i="10"/>
  <c r="AD189" i="10" s="1"/>
  <c r="AC217" i="10"/>
  <c r="AD217" i="10" s="1"/>
  <c r="AC201" i="10"/>
  <c r="AD201" i="10" s="1"/>
  <c r="AC212" i="10"/>
  <c r="AD212" i="10" s="1"/>
  <c r="AC191" i="10"/>
  <c r="AD191" i="10" s="1"/>
  <c r="AC225" i="10"/>
  <c r="AD225" i="10" s="1"/>
  <c r="AC195" i="10"/>
  <c r="AD195" i="10" s="1"/>
  <c r="AC214" i="10"/>
  <c r="AD214" i="10" s="1"/>
  <c r="AC198" i="10"/>
  <c r="AD198" i="10" s="1"/>
  <c r="AC197" i="10"/>
  <c r="AD197" i="10" s="1"/>
  <c r="AC210" i="10"/>
  <c r="AD210" i="10" s="1"/>
  <c r="M173" i="10"/>
  <c r="E258" i="53"/>
  <c r="E159" i="53" s="1"/>
  <c r="O249" i="53"/>
  <c r="O150" i="53"/>
  <c r="F148" i="26"/>
  <c r="F162" i="26" s="1"/>
  <c r="F148" i="25"/>
  <c r="N149" i="26"/>
  <c r="N163" i="26" s="1"/>
  <c r="N149" i="25"/>
  <c r="N163" i="25" s="1"/>
  <c r="N55" i="47"/>
  <c r="N56" i="47" s="1"/>
  <c r="N78" i="47" s="1"/>
  <c r="N9" i="47" s="1"/>
  <c r="N56" i="50"/>
  <c r="N78" i="50" s="1"/>
  <c r="N9" i="50" s="1"/>
  <c r="M221" i="53"/>
  <c r="M122" i="53" s="1"/>
  <c r="F149" i="26"/>
  <c r="F163" i="26" s="1"/>
  <c r="F149" i="25"/>
  <c r="P17" i="53"/>
  <c r="D21" i="53"/>
  <c r="D22" i="53" s="1"/>
  <c r="P342" i="54"/>
  <c r="N248" i="53"/>
  <c r="N149" i="53" s="1"/>
  <c r="K248" i="53"/>
  <c r="K149" i="53"/>
  <c r="L199" i="53"/>
  <c r="G169" i="53"/>
  <c r="I169" i="53"/>
  <c r="N119" i="53"/>
  <c r="N218" i="53"/>
  <c r="G185" i="53"/>
  <c r="I185" i="53"/>
  <c r="N135" i="53"/>
  <c r="N234" i="53"/>
  <c r="I181" i="53"/>
  <c r="I230" i="53" s="1"/>
  <c r="G177" i="53"/>
  <c r="G226" i="53" s="1"/>
  <c r="I177" i="53"/>
  <c r="I226" i="53" s="1"/>
  <c r="N148" i="53"/>
  <c r="N247" i="53"/>
  <c r="H247" i="53"/>
  <c r="H148" i="53"/>
  <c r="M247" i="53"/>
  <c r="M148" i="53" s="1"/>
  <c r="J114" i="22"/>
  <c r="AD98" i="21"/>
  <c r="AE98" i="21" s="1"/>
  <c r="AG98" i="21"/>
  <c r="M147" i="26"/>
  <c r="M147" i="25"/>
  <c r="G50" i="10"/>
  <c r="G55" i="10"/>
  <c r="AD35" i="11"/>
  <c r="AE35" i="11" s="1"/>
  <c r="AG35" i="11"/>
  <c r="AD27" i="16"/>
  <c r="AE27" i="16" s="1"/>
  <c r="AG27" i="16"/>
  <c r="H150" i="26"/>
  <c r="H150" i="25"/>
  <c r="H151" i="26"/>
  <c r="H151" i="25"/>
  <c r="H154" i="26"/>
  <c r="H154" i="25"/>
  <c r="K370" i="54"/>
  <c r="K372" i="54" s="1"/>
  <c r="H370" i="54"/>
  <c r="H372" i="54" s="1"/>
  <c r="AH17" i="9"/>
  <c r="AE17" i="9"/>
  <c r="AF17" i="9" s="1"/>
  <c r="I196" i="54"/>
  <c r="G249" i="54"/>
  <c r="P325" i="54"/>
  <c r="P310" i="54"/>
  <c r="D312" i="54"/>
  <c r="F175" i="53"/>
  <c r="G175" i="53"/>
  <c r="H125" i="53"/>
  <c r="H224" i="53"/>
  <c r="O246" i="53"/>
  <c r="O147" i="53" s="1"/>
  <c r="M246" i="53"/>
  <c r="M147" i="53" s="1"/>
  <c r="AG35" i="26"/>
  <c r="AD35" i="26"/>
  <c r="AE35" i="26" s="1"/>
  <c r="I153" i="25"/>
  <c r="I167" i="25" s="1"/>
  <c r="I153" i="26"/>
  <c r="I167" i="26" s="1"/>
  <c r="AH49" i="8"/>
  <c r="AE49" i="8"/>
  <c r="AF49" i="8" s="1"/>
  <c r="J150" i="26"/>
  <c r="J164" i="26" s="1"/>
  <c r="J150" i="25"/>
  <c r="P60" i="8"/>
  <c r="P45" i="8"/>
  <c r="P46" i="8" s="1"/>
  <c r="G257" i="54"/>
  <c r="I203" i="54"/>
  <c r="P364" i="54"/>
  <c r="AG21" i="10"/>
  <c r="AD21" i="10"/>
  <c r="AE21" i="10" s="1"/>
  <c r="AG98" i="26"/>
  <c r="AD98" i="26"/>
  <c r="AE98" i="26" s="1"/>
  <c r="AE15" i="1"/>
  <c r="AM15" i="1"/>
  <c r="AH15" i="1"/>
  <c r="AJ15" i="1"/>
  <c r="P33" i="13"/>
  <c r="AG30" i="13"/>
  <c r="AD30" i="13"/>
  <c r="AE30" i="13" s="1"/>
  <c r="P29" i="13"/>
  <c r="P49" i="10"/>
  <c r="AG49" i="10" s="1"/>
  <c r="G106" i="5"/>
  <c r="P331" i="54"/>
  <c r="P281" i="54"/>
  <c r="K94" i="10"/>
  <c r="H94" i="10"/>
  <c r="M94" i="10"/>
  <c r="K23" i="47"/>
  <c r="K42" i="49"/>
  <c r="K43" i="49" s="1"/>
  <c r="H23" i="47"/>
  <c r="H42" i="49"/>
  <c r="H43" i="49" s="1"/>
  <c r="M23" i="47"/>
  <c r="M42" i="49"/>
  <c r="M43" i="49" s="1"/>
  <c r="K24" i="28"/>
  <c r="K36" i="28" s="1"/>
  <c r="L45" i="34"/>
  <c r="L46" i="34" s="1"/>
  <c r="H24" i="28"/>
  <c r="H36" i="28" s="1"/>
  <c r="I45" i="34"/>
  <c r="I46" i="34" s="1"/>
  <c r="M24" i="28"/>
  <c r="M36" i="28" s="1"/>
  <c r="N45" i="34"/>
  <c r="N46" i="34" s="1"/>
  <c r="I103" i="19"/>
  <c r="H146" i="10"/>
  <c r="L116" i="19"/>
  <c r="K159" i="10"/>
  <c r="AD30" i="12"/>
  <c r="AE30" i="12" s="1"/>
  <c r="P29" i="12"/>
  <c r="P33" i="12"/>
  <c r="AG30" i="12"/>
  <c r="F258" i="54"/>
  <c r="F261" i="54"/>
  <c r="F313" i="54" s="1"/>
  <c r="P329" i="54"/>
  <c r="H242" i="53"/>
  <c r="H143" i="53"/>
  <c r="H129" i="18" s="1"/>
  <c r="F193" i="53"/>
  <c r="L188" i="53"/>
  <c r="I188" i="53"/>
  <c r="G188" i="53"/>
  <c r="I184" i="53"/>
  <c r="M233" i="53"/>
  <c r="M134" i="53" s="1"/>
  <c r="G184" i="53"/>
  <c r="I180" i="53"/>
  <c r="I229" i="53" s="1"/>
  <c r="G180" i="53"/>
  <c r="G229" i="53" s="1"/>
  <c r="M240" i="53"/>
  <c r="M141" i="53"/>
  <c r="J191" i="53"/>
  <c r="F170" i="53"/>
  <c r="K219" i="53"/>
  <c r="K120" i="53"/>
  <c r="E170" i="53"/>
  <c r="N153" i="26"/>
  <c r="N167" i="26" s="1"/>
  <c r="N153" i="25"/>
  <c r="N167" i="25" s="1"/>
  <c r="F151" i="25"/>
  <c r="F151" i="26"/>
  <c r="F165" i="26" s="1"/>
  <c r="G12" i="1"/>
  <c r="M150" i="26"/>
  <c r="M150" i="25"/>
  <c r="J55" i="47"/>
  <c r="J56" i="47" s="1"/>
  <c r="J78" i="47" s="1"/>
  <c r="J9" i="47" s="1"/>
  <c r="J56" i="50"/>
  <c r="J78" i="50" s="1"/>
  <c r="J9" i="50" s="1"/>
  <c r="M370" i="54"/>
  <c r="M372" i="54" s="1"/>
  <c r="O151" i="24"/>
  <c r="L118" i="18"/>
  <c r="P351" i="54"/>
  <c r="I237" i="54"/>
  <c r="K193" i="54"/>
  <c r="AG35" i="21"/>
  <c r="AD35" i="21"/>
  <c r="AE35" i="21" s="1"/>
  <c r="E45" i="37"/>
  <c r="H55" i="47"/>
  <c r="H56" i="47" s="1"/>
  <c r="H78" i="47" s="1"/>
  <c r="H9" i="47" s="1"/>
  <c r="H56" i="50"/>
  <c r="H78" i="50" s="1"/>
  <c r="H9" i="50" s="1"/>
  <c r="P335" i="54"/>
  <c r="N370" i="54"/>
  <c r="N372" i="54" s="1"/>
  <c r="G244" i="54"/>
  <c r="I195" i="54"/>
  <c r="AD27" i="23"/>
  <c r="AE27" i="23" s="1"/>
  <c r="AG27" i="23"/>
  <c r="O115" i="18"/>
  <c r="D266" i="54"/>
  <c r="P266" i="54" s="1"/>
  <c r="D370" i="54"/>
  <c r="D372" i="54" s="1"/>
  <c r="P318" i="54"/>
  <c r="K22" i="41"/>
  <c r="K46" i="42"/>
  <c r="K47" i="42" s="1"/>
  <c r="H22" i="41"/>
  <c r="H46" i="42"/>
  <c r="H47" i="42" s="1"/>
  <c r="M22" i="41"/>
  <c r="M46" i="42"/>
  <c r="M47" i="42" s="1"/>
  <c r="H168" i="25"/>
  <c r="H164" i="25"/>
  <c r="H160" i="25"/>
  <c r="H163" i="25"/>
  <c r="H169" i="25"/>
  <c r="H158" i="25"/>
  <c r="H162" i="25"/>
  <c r="H157" i="25"/>
  <c r="H165" i="25"/>
  <c r="H166" i="25"/>
  <c r="H159" i="25"/>
  <c r="H82" i="25"/>
  <c r="M163" i="25"/>
  <c r="M166" i="25"/>
  <c r="M162" i="25"/>
  <c r="M168" i="25"/>
  <c r="M160" i="25"/>
  <c r="M169" i="25"/>
  <c r="M161" i="25"/>
  <c r="M82" i="25"/>
  <c r="M164" i="25"/>
  <c r="K26" i="28"/>
  <c r="K38" i="28" s="1"/>
  <c r="L27" i="36"/>
  <c r="H26" i="28"/>
  <c r="H38" i="28" s="1"/>
  <c r="I27" i="36"/>
  <c r="M26" i="28"/>
  <c r="M38" i="28" s="1"/>
  <c r="N27" i="36"/>
  <c r="G159" i="26"/>
  <c r="G82" i="26"/>
  <c r="H169" i="26"/>
  <c r="H165" i="26"/>
  <c r="H157" i="26"/>
  <c r="H168" i="26"/>
  <c r="H164" i="26"/>
  <c r="H160" i="26"/>
  <c r="H82" i="26"/>
  <c r="H162" i="26"/>
  <c r="H163" i="26"/>
  <c r="H166" i="26"/>
  <c r="H158" i="26"/>
  <c r="H159" i="26"/>
  <c r="M168" i="26"/>
  <c r="M164" i="26"/>
  <c r="M160" i="26"/>
  <c r="M82" i="26"/>
  <c r="M163" i="26"/>
  <c r="M169" i="26"/>
  <c r="M161" i="26"/>
  <c r="M162" i="26"/>
  <c r="M166" i="26"/>
  <c r="H44" i="6"/>
  <c r="I39" i="5"/>
  <c r="I125" i="5" s="1"/>
  <c r="I44" i="6"/>
  <c r="N39" i="5"/>
  <c r="N125" i="5" s="1"/>
  <c r="N44" i="6"/>
  <c r="G166" i="24"/>
  <c r="G162" i="24"/>
  <c r="G158" i="24"/>
  <c r="G169" i="24"/>
  <c r="G165" i="24"/>
  <c r="G161" i="24"/>
  <c r="G157" i="24"/>
  <c r="G163" i="24"/>
  <c r="G82" i="24"/>
  <c r="G164" i="24"/>
  <c r="G167" i="24"/>
  <c r="G159" i="24"/>
  <c r="G168" i="24"/>
  <c r="G160" i="24"/>
  <c r="H169" i="24"/>
  <c r="H79" i="21" s="1"/>
  <c r="H165" i="24"/>
  <c r="H79" i="19" s="1"/>
  <c r="H80" i="19" s="1"/>
  <c r="H161" i="24"/>
  <c r="H157" i="24"/>
  <c r="H168" i="24"/>
  <c r="H79" i="23" s="1"/>
  <c r="H164" i="24"/>
  <c r="H79" i="17" s="1"/>
  <c r="H80" i="17" s="1"/>
  <c r="H81" i="17" s="1"/>
  <c r="H82" i="17" s="1"/>
  <c r="H160" i="24"/>
  <c r="H166" i="24"/>
  <c r="H79" i="20" s="1"/>
  <c r="H80" i="20" s="1"/>
  <c r="H81" i="20" s="1"/>
  <c r="H82" i="20" s="1"/>
  <c r="H158" i="24"/>
  <c r="H79" i="13" s="1"/>
  <c r="H80" i="13" s="1"/>
  <c r="H81" i="13" s="1"/>
  <c r="H82" i="13" s="1"/>
  <c r="H167" i="24"/>
  <c r="H159" i="24"/>
  <c r="H79" i="12" s="1"/>
  <c r="H162" i="24"/>
  <c r="H79" i="16" s="1"/>
  <c r="H80" i="16" s="1"/>
  <c r="H81" i="16" s="1"/>
  <c r="H82" i="16" s="1"/>
  <c r="H163" i="24"/>
  <c r="H79" i="18" s="1"/>
  <c r="H80" i="18" s="1"/>
  <c r="H82" i="24"/>
  <c r="M168" i="24"/>
  <c r="M164" i="24"/>
  <c r="M79" i="17" s="1"/>
  <c r="M80" i="17" s="1"/>
  <c r="M81" i="17" s="1"/>
  <c r="M82" i="17" s="1"/>
  <c r="M160" i="24"/>
  <c r="M79" i="14" s="1"/>
  <c r="M80" i="14" s="1"/>
  <c r="M81" i="14" s="1"/>
  <c r="M82" i="14" s="1"/>
  <c r="M167" i="24"/>
  <c r="M163" i="24"/>
  <c r="M159" i="24"/>
  <c r="M82" i="24"/>
  <c r="M165" i="24"/>
  <c r="M157" i="24"/>
  <c r="M166" i="24"/>
  <c r="M158" i="24"/>
  <c r="M169" i="24"/>
  <c r="M79" i="21" s="1"/>
  <c r="M161" i="24"/>
  <c r="M162" i="24"/>
  <c r="M79" i="16" s="1"/>
  <c r="M80" i="16" s="1"/>
  <c r="M81" i="16" s="1"/>
  <c r="M82" i="16" s="1"/>
  <c r="H60" i="9"/>
  <c r="H45" i="9"/>
  <c r="H46" i="9" s="1"/>
  <c r="I60" i="9"/>
  <c r="I45" i="9"/>
  <c r="I46" i="9" s="1"/>
  <c r="N60" i="9"/>
  <c r="N45" i="9"/>
  <c r="N46" i="9" s="1"/>
  <c r="N60" i="8"/>
  <c r="N45" i="8"/>
  <c r="N46" i="8" s="1"/>
  <c r="H80" i="12"/>
  <c r="H81" i="12" s="1"/>
  <c r="H82" i="12" s="1"/>
  <c r="AA28" i="1"/>
  <c r="AA36" i="1" s="1"/>
  <c r="J44" i="7"/>
  <c r="J21" i="5"/>
  <c r="I200" i="54"/>
  <c r="G253" i="54"/>
  <c r="G308" i="54" s="1"/>
  <c r="F210" i="53"/>
  <c r="J210" i="53"/>
  <c r="L210" i="53"/>
  <c r="J190" i="53"/>
  <c r="G190" i="53"/>
  <c r="L190" i="53"/>
  <c r="I187" i="53"/>
  <c r="F187" i="53"/>
  <c r="O187" i="53"/>
  <c r="E183" i="53"/>
  <c r="I183" i="53"/>
  <c r="O183" i="53"/>
  <c r="F179" i="53"/>
  <c r="F228" i="53" s="1"/>
  <c r="O179" i="53"/>
  <c r="O228" i="53" s="1"/>
  <c r="L212" i="53"/>
  <c r="N212" i="53"/>
  <c r="G174" i="53"/>
  <c r="L174" i="53"/>
  <c r="D154" i="26"/>
  <c r="D154" i="25"/>
  <c r="P154" i="24"/>
  <c r="AG98" i="20"/>
  <c r="AD98" i="20"/>
  <c r="AE98" i="20" s="1"/>
  <c r="J119" i="18"/>
  <c r="I162" i="10"/>
  <c r="R24" i="1"/>
  <c r="R16" i="1"/>
  <c r="D149" i="26"/>
  <c r="D149" i="25"/>
  <c r="P149" i="24"/>
  <c r="D146" i="25"/>
  <c r="D146" i="26"/>
  <c r="P146" i="24"/>
  <c r="D48" i="10"/>
  <c r="I151" i="26"/>
  <c r="I165" i="26" s="1"/>
  <c r="I151" i="25"/>
  <c r="I165" i="25" s="1"/>
  <c r="I152" i="25"/>
  <c r="I166" i="25" s="1"/>
  <c r="I152" i="26"/>
  <c r="I166" i="26" s="1"/>
  <c r="AC28" i="1"/>
  <c r="AC36" i="1" s="1"/>
  <c r="AD30" i="14"/>
  <c r="AE30" i="14" s="1"/>
  <c r="P29" i="14"/>
  <c r="P33" i="14"/>
  <c r="AG30" i="14"/>
  <c r="V28" i="1"/>
  <c r="V36" i="1" s="1"/>
  <c r="G370" i="54"/>
  <c r="G372" i="54" s="1"/>
  <c r="K151" i="26"/>
  <c r="K151" i="25"/>
  <c r="AG27" i="12"/>
  <c r="AD27" i="12"/>
  <c r="AE27" i="12" s="1"/>
  <c r="O143" i="26"/>
  <c r="O143" i="25"/>
  <c r="O157" i="25" s="1"/>
  <c r="R28" i="1"/>
  <c r="R36" i="1" s="1"/>
  <c r="AG27" i="15"/>
  <c r="P37" i="15"/>
  <c r="AG37" i="15" s="1"/>
  <c r="AD27" i="15"/>
  <c r="AE27" i="15" s="1"/>
  <c r="AG30" i="16"/>
  <c r="P33" i="16"/>
  <c r="AD30" i="16"/>
  <c r="AE30" i="16" s="1"/>
  <c r="P29" i="16"/>
  <c r="D309" i="54"/>
  <c r="K21" i="5"/>
  <c r="K107" i="5" s="1"/>
  <c r="K44" i="7"/>
  <c r="O25" i="28"/>
  <c r="O37" i="28" s="1"/>
  <c r="P40" i="35"/>
  <c r="L25" i="28"/>
  <c r="L37" i="28" s="1"/>
  <c r="M40" i="35"/>
  <c r="L18" i="39"/>
  <c r="K28" i="28"/>
  <c r="K40" i="28" s="1"/>
  <c r="P18" i="39"/>
  <c r="O28" i="28"/>
  <c r="O40" i="28" s="1"/>
  <c r="F64" i="51"/>
  <c r="G33" i="1"/>
  <c r="G23" i="28"/>
  <c r="G35" i="28" s="1"/>
  <c r="H32" i="33"/>
  <c r="L23" i="28"/>
  <c r="L35" i="28" s="1"/>
  <c r="M32" i="33"/>
  <c r="H165" i="38"/>
  <c r="H167" i="38" s="1"/>
  <c r="H168" i="38" s="1"/>
  <c r="H39" i="7"/>
  <c r="H44" i="7" s="1"/>
  <c r="M165" i="38"/>
  <c r="M167" i="38" s="1"/>
  <c r="M168" i="38" s="1"/>
  <c r="M39" i="7"/>
  <c r="M44" i="7" s="1"/>
  <c r="H105" i="18"/>
  <c r="I102" i="18"/>
  <c r="H145" i="10"/>
  <c r="P365" i="54"/>
  <c r="M252" i="53"/>
  <c r="M153" i="53" s="1"/>
  <c r="N54" i="37" s="1"/>
  <c r="I250" i="53"/>
  <c r="I151" i="53" s="1"/>
  <c r="M220" i="53"/>
  <c r="M121" i="53"/>
  <c r="O243" i="53"/>
  <c r="O144" i="53" s="1"/>
  <c r="M243" i="53"/>
  <c r="M144" i="53"/>
  <c r="J253" i="53"/>
  <c r="J154" i="53" s="1"/>
  <c r="AG30" i="23"/>
  <c r="P28" i="23"/>
  <c r="P33" i="23"/>
  <c r="AD30" i="23"/>
  <c r="AE30" i="23" s="1"/>
  <c r="I155" i="26"/>
  <c r="I169" i="26" s="1"/>
  <c r="I155" i="25"/>
  <c r="I169" i="25" s="1"/>
  <c r="J151" i="26"/>
  <c r="J165" i="26" s="1"/>
  <c r="J151" i="25"/>
  <c r="K56" i="50"/>
  <c r="K78" i="50" s="1"/>
  <c r="K9" i="50" s="1"/>
  <c r="K55" i="47"/>
  <c r="K56" i="47" s="1"/>
  <c r="K78" i="47" s="1"/>
  <c r="K9" i="47" s="1"/>
  <c r="I173" i="10"/>
  <c r="J202" i="54"/>
  <c r="H256" i="54"/>
  <c r="L209" i="53"/>
  <c r="J258" i="53"/>
  <c r="J159" i="53"/>
  <c r="L200" i="53"/>
  <c r="J249" i="53"/>
  <c r="J150" i="53" s="1"/>
  <c r="F166" i="25"/>
  <c r="F162" i="25"/>
  <c r="F169" i="25"/>
  <c r="F165" i="25"/>
  <c r="F163" i="25"/>
  <c r="F82" i="25"/>
  <c r="F168" i="25"/>
  <c r="F157" i="25"/>
  <c r="F160" i="25"/>
  <c r="F167" i="25"/>
  <c r="J152" i="26"/>
  <c r="J166" i="26" s="1"/>
  <c r="J152" i="25"/>
  <c r="F26" i="5"/>
  <c r="Q26" i="7"/>
  <c r="AG98" i="19"/>
  <c r="AD98" i="19"/>
  <c r="AE98" i="19" s="1"/>
  <c r="P360" i="54"/>
  <c r="I251" i="54"/>
  <c r="I306" i="54" s="1"/>
  <c r="K198" i="54"/>
  <c r="P341" i="54"/>
  <c r="J122" i="53"/>
  <c r="J221" i="53"/>
  <c r="O221" i="53"/>
  <c r="O122" i="53" s="1"/>
  <c r="O167" i="25"/>
  <c r="O159" i="25"/>
  <c r="O82" i="25"/>
  <c r="O163" i="25"/>
  <c r="L155" i="26"/>
  <c r="L155" i="25"/>
  <c r="D144" i="26"/>
  <c r="D144" i="25"/>
  <c r="P358" i="54"/>
  <c r="J189" i="53"/>
  <c r="J192" i="53"/>
  <c r="J202" i="53"/>
  <c r="J196" i="53"/>
  <c r="J206" i="53"/>
  <c r="J173" i="53"/>
  <c r="J213" i="53"/>
  <c r="J205" i="53"/>
  <c r="J195" i="53"/>
  <c r="J208" i="53"/>
  <c r="J211" i="53"/>
  <c r="J207" i="53"/>
  <c r="I173" i="53"/>
  <c r="I211" i="53"/>
  <c r="I207" i="53"/>
  <c r="I213" i="53"/>
  <c r="I208" i="53"/>
  <c r="I205" i="53"/>
  <c r="I192" i="53"/>
  <c r="I202" i="53"/>
  <c r="I196" i="53"/>
  <c r="I206" i="53"/>
  <c r="I189" i="53"/>
  <c r="I195" i="53"/>
  <c r="P72" i="23"/>
  <c r="N43" i="50"/>
  <c r="P23" i="50"/>
  <c r="D42" i="50"/>
  <c r="D43" i="50" s="1"/>
  <c r="P72" i="15"/>
  <c r="O32" i="32"/>
  <c r="N81" i="28"/>
  <c r="Q28" i="32"/>
  <c r="E32" i="32"/>
  <c r="D81" i="28"/>
  <c r="I81" i="28"/>
  <c r="J32" i="32"/>
  <c r="P72" i="21"/>
  <c r="J166" i="25"/>
  <c r="J169" i="25"/>
  <c r="J165" i="25"/>
  <c r="J161" i="25"/>
  <c r="J167" i="25"/>
  <c r="J82" i="25"/>
  <c r="J168" i="25"/>
  <c r="J159" i="25"/>
  <c r="J164" i="25"/>
  <c r="J157" i="25"/>
  <c r="J148" i="25"/>
  <c r="J162" i="25" s="1"/>
  <c r="J148" i="26"/>
  <c r="J162" i="26" s="1"/>
  <c r="K165" i="25"/>
  <c r="K82" i="25"/>
  <c r="K106" i="5"/>
  <c r="AH49" i="7"/>
  <c r="AE49" i="7"/>
  <c r="AF49" i="7" s="1"/>
  <c r="P300" i="54"/>
  <c r="G262" i="54"/>
  <c r="G149" i="26"/>
  <c r="G163" i="26" s="1"/>
  <c r="G149" i="25"/>
  <c r="G163" i="25" s="1"/>
  <c r="O152" i="26"/>
  <c r="O152" i="25"/>
  <c r="O166" i="25" s="1"/>
  <c r="AB28" i="1"/>
  <c r="AB36" i="1" s="1"/>
  <c r="P33" i="20"/>
  <c r="AD30" i="20"/>
  <c r="AE30" i="20" s="1"/>
  <c r="P28" i="20"/>
  <c r="AG30" i="20"/>
  <c r="AG98" i="12"/>
  <c r="AD98" i="12"/>
  <c r="AE98" i="12" s="1"/>
  <c r="M144" i="26"/>
  <c r="M158" i="26" s="1"/>
  <c r="M144" i="25"/>
  <c r="M158" i="25" s="1"/>
  <c r="G144" i="26"/>
  <c r="G158" i="26" s="1"/>
  <c r="G144" i="25"/>
  <c r="AD21" i="1"/>
  <c r="AD23" i="1"/>
  <c r="G165" i="25"/>
  <c r="G159" i="25"/>
  <c r="G158" i="25"/>
  <c r="G82" i="25"/>
  <c r="AG98" i="15"/>
  <c r="AD98" i="15"/>
  <c r="AE98" i="15" s="1"/>
  <c r="P356" i="54"/>
  <c r="P320" i="54"/>
  <c r="J114" i="18"/>
  <c r="I157" i="10"/>
  <c r="K117" i="18"/>
  <c r="J160" i="10"/>
  <c r="D286" i="54"/>
  <c r="P298" i="54"/>
  <c r="P322" i="54"/>
  <c r="G25" i="28"/>
  <c r="G37" i="28" s="1"/>
  <c r="H40" i="35"/>
  <c r="N25" i="28"/>
  <c r="N37" i="28" s="1"/>
  <c r="O40" i="35"/>
  <c r="E25" i="28"/>
  <c r="E37" i="28" s="1"/>
  <c r="F40" i="35"/>
  <c r="F28" i="28"/>
  <c r="F40" i="28" s="1"/>
  <c r="G18" i="39"/>
  <c r="K18" i="39"/>
  <c r="J28" i="28"/>
  <c r="J40" i="28" s="1"/>
  <c r="E28" i="28"/>
  <c r="E40" i="28" s="1"/>
  <c r="F18" i="39"/>
  <c r="O64" i="51"/>
  <c r="P33" i="1"/>
  <c r="N64" i="51"/>
  <c r="O33" i="1"/>
  <c r="E64" i="51"/>
  <c r="F33" i="1"/>
  <c r="O23" i="28"/>
  <c r="O35" i="28" s="1"/>
  <c r="P32" i="33"/>
  <c r="N23" i="28"/>
  <c r="N35" i="28" s="1"/>
  <c r="O32" i="33"/>
  <c r="E23" i="28"/>
  <c r="E35" i="28" s="1"/>
  <c r="F32" i="33"/>
  <c r="P165" i="38"/>
  <c r="P167" i="38" s="1"/>
  <c r="P168" i="38" s="1"/>
  <c r="P39" i="7"/>
  <c r="P44" i="7" s="1"/>
  <c r="O165" i="38"/>
  <c r="O167" i="38" s="1"/>
  <c r="O168" i="38" s="1"/>
  <c r="O39" i="7"/>
  <c r="O44" i="7" s="1"/>
  <c r="F165" i="38"/>
  <c r="F167" i="38" s="1"/>
  <c r="F168" i="38" s="1"/>
  <c r="F39" i="7"/>
  <c r="F39" i="5" s="1"/>
  <c r="F125" i="5" s="1"/>
  <c r="J144" i="26"/>
  <c r="J158" i="26" s="1"/>
  <c r="J144" i="25"/>
  <c r="J158" i="25" s="1"/>
  <c r="D293" i="54"/>
  <c r="P293" i="54" s="1"/>
  <c r="P337" i="54"/>
  <c r="I203" i="53"/>
  <c r="F203" i="53"/>
  <c r="O252" i="53"/>
  <c r="O153" i="53"/>
  <c r="P54" i="37" s="1"/>
  <c r="H225" i="53"/>
  <c r="H126" i="53" s="1"/>
  <c r="E225" i="53"/>
  <c r="E126" i="53"/>
  <c r="F186" i="53"/>
  <c r="F235" i="53" s="1"/>
  <c r="J186" i="53"/>
  <c r="J235" i="53" s="1"/>
  <c r="L186" i="53"/>
  <c r="L235" i="53" s="1"/>
  <c r="J182" i="53"/>
  <c r="J231" i="53" s="1"/>
  <c r="G182" i="53"/>
  <c r="G231" i="53" s="1"/>
  <c r="L182" i="53"/>
  <c r="L231" i="53" s="1"/>
  <c r="F178" i="53"/>
  <c r="F227" i="53" s="1"/>
  <c r="J178" i="53"/>
  <c r="J227" i="53" s="1"/>
  <c r="L178" i="53"/>
  <c r="L227" i="53" s="1"/>
  <c r="K250" i="53"/>
  <c r="K151" i="53" s="1"/>
  <c r="O250" i="53"/>
  <c r="O151" i="53"/>
  <c r="M250" i="53"/>
  <c r="M151" i="53" s="1"/>
  <c r="I171" i="53"/>
  <c r="F171" i="53"/>
  <c r="O220" i="53"/>
  <c r="O121" i="53" s="1"/>
  <c r="F194" i="53"/>
  <c r="J194" i="53"/>
  <c r="L194" i="53"/>
  <c r="H253" i="53"/>
  <c r="H154" i="53"/>
  <c r="N253" i="53"/>
  <c r="N154" i="53" s="1"/>
  <c r="J115" i="19"/>
  <c r="I158" i="10"/>
  <c r="J149" i="26"/>
  <c r="J163" i="26" s="1"/>
  <c r="J149" i="25"/>
  <c r="J163" i="25" s="1"/>
  <c r="J146" i="26"/>
  <c r="J160" i="26" s="1"/>
  <c r="J146" i="25"/>
  <c r="J160" i="25" s="1"/>
  <c r="AE57" i="7"/>
  <c r="AF57" i="7" s="1"/>
  <c r="AH57" i="7"/>
  <c r="W41" i="1"/>
  <c r="W56" i="1" s="1"/>
  <c r="W37" i="1"/>
  <c r="AC184" i="10"/>
  <c r="G209" i="53"/>
  <c r="I209" i="53"/>
  <c r="N209" i="53"/>
  <c r="H249" i="53"/>
  <c r="H150" i="53"/>
  <c r="E200" i="53"/>
  <c r="N200" i="53"/>
  <c r="H105" i="19"/>
  <c r="I102" i="19"/>
  <c r="G153" i="26"/>
  <c r="G167" i="26" s="1"/>
  <c r="G153" i="25"/>
  <c r="G167" i="25" s="1"/>
  <c r="AD14" i="10"/>
  <c r="AE14" i="10" s="1"/>
  <c r="AG14" i="10"/>
  <c r="P129" i="10"/>
  <c r="O50" i="10"/>
  <c r="O55" i="10"/>
  <c r="F145" i="26"/>
  <c r="F159" i="26" s="1"/>
  <c r="F145" i="25"/>
  <c r="F159" i="25" s="1"/>
  <c r="AG186" i="10"/>
  <c r="AD186" i="10"/>
  <c r="F50" i="10"/>
  <c r="F55" i="10"/>
  <c r="AD35" i="20"/>
  <c r="AE35" i="20" s="1"/>
  <c r="AG35" i="20"/>
  <c r="P27" i="17"/>
  <c r="H221" i="53"/>
  <c r="H122" i="53" s="1"/>
  <c r="N172" i="53"/>
  <c r="AG98" i="22"/>
  <c r="AD98" i="22"/>
  <c r="AE98" i="22" s="1"/>
  <c r="L50" i="10"/>
  <c r="L55" i="10"/>
  <c r="M145" i="26"/>
  <c r="M159" i="26" s="1"/>
  <c r="M145" i="25"/>
  <c r="M159" i="25" s="1"/>
  <c r="K155" i="24"/>
  <c r="AH58" i="6"/>
  <c r="AE58" i="6"/>
  <c r="AF58" i="6" s="1"/>
  <c r="AH59" i="7"/>
  <c r="AE59" i="7"/>
  <c r="AF59" i="7" s="1"/>
  <c r="E44" i="5"/>
  <c r="Q20" i="5"/>
  <c r="E106" i="5"/>
  <c r="E132" i="5"/>
  <c r="D282" i="54"/>
  <c r="P282" i="54" s="1"/>
  <c r="D306" i="54"/>
  <c r="K206" i="53"/>
  <c r="K208" i="53"/>
  <c r="K173" i="53"/>
  <c r="K213" i="53"/>
  <c r="K195" i="53"/>
  <c r="K192" i="53"/>
  <c r="K211" i="53"/>
  <c r="K205" i="53"/>
  <c r="K207" i="53"/>
  <c r="K196" i="53"/>
  <c r="K189" i="53"/>
  <c r="K202" i="53"/>
  <c r="H189" i="53"/>
  <c r="H173" i="53"/>
  <c r="H214" i="53" s="1"/>
  <c r="H202" i="53"/>
  <c r="H213" i="53"/>
  <c r="H195" i="53"/>
  <c r="H206" i="53"/>
  <c r="H208" i="53"/>
  <c r="H211" i="53"/>
  <c r="H205" i="53"/>
  <c r="H207" i="53"/>
  <c r="H192" i="53"/>
  <c r="H196" i="53"/>
  <c r="M205" i="53"/>
  <c r="M207" i="53"/>
  <c r="M195" i="53"/>
  <c r="M196" i="53"/>
  <c r="M208" i="53"/>
  <c r="M211" i="53"/>
  <c r="M202" i="53"/>
  <c r="M206" i="53"/>
  <c r="M189" i="53"/>
  <c r="M192" i="53"/>
  <c r="M173" i="53"/>
  <c r="M213" i="53"/>
  <c r="H80" i="23"/>
  <c r="H81" i="23" s="1"/>
  <c r="H82" i="23" s="1"/>
  <c r="G43" i="50"/>
  <c r="H43" i="50"/>
  <c r="H32" i="32"/>
  <c r="G81" i="28"/>
  <c r="I32" i="32"/>
  <c r="H81" i="28"/>
  <c r="N32" i="32"/>
  <c r="M81" i="28"/>
  <c r="H80" i="21"/>
  <c r="H81" i="21" s="1"/>
  <c r="H82" i="21" s="1"/>
  <c r="M80" i="21"/>
  <c r="M81" i="21" s="1"/>
  <c r="M82" i="21" s="1"/>
  <c r="I168" i="24"/>
  <c r="I79" i="23" s="1"/>
  <c r="I80" i="23" s="1"/>
  <c r="I81" i="23" s="1"/>
  <c r="I82" i="23" s="1"/>
  <c r="I164" i="24"/>
  <c r="I79" i="17" s="1"/>
  <c r="I80" i="17" s="1"/>
  <c r="I81" i="17" s="1"/>
  <c r="I82" i="17" s="1"/>
  <c r="I160" i="24"/>
  <c r="I79" i="14" s="1"/>
  <c r="I80" i="14" s="1"/>
  <c r="I81" i="14" s="1"/>
  <c r="I82" i="14" s="1"/>
  <c r="I167" i="24"/>
  <c r="I163" i="24"/>
  <c r="I159" i="24"/>
  <c r="I82" i="24"/>
  <c r="I169" i="24"/>
  <c r="I161" i="24"/>
  <c r="I79" i="15" s="1"/>
  <c r="I80" i="15" s="1"/>
  <c r="I81" i="15" s="1"/>
  <c r="I82" i="15" s="1"/>
  <c r="I162" i="24"/>
  <c r="I165" i="24"/>
  <c r="I157" i="24"/>
  <c r="I166" i="24"/>
  <c r="I158" i="24"/>
  <c r="P368" i="54"/>
  <c r="E199" i="53"/>
  <c r="I199" i="53"/>
  <c r="O199" i="53"/>
  <c r="K169" i="53"/>
  <c r="O169" i="53"/>
  <c r="M169" i="53"/>
  <c r="K185" i="53"/>
  <c r="O185" i="53"/>
  <c r="M185" i="53"/>
  <c r="G181" i="53"/>
  <c r="G230" i="53" s="1"/>
  <c r="M181" i="53"/>
  <c r="M230" i="53" s="1"/>
  <c r="K177" i="53"/>
  <c r="K226" i="53" s="1"/>
  <c r="O177" i="53"/>
  <c r="O226" i="53" s="1"/>
  <c r="M177" i="53"/>
  <c r="M226" i="53" s="1"/>
  <c r="J198" i="53"/>
  <c r="G198" i="53"/>
  <c r="L198" i="53"/>
  <c r="I104" i="19"/>
  <c r="H147" i="10"/>
  <c r="I145" i="26"/>
  <c r="I159" i="26" s="1"/>
  <c r="I145" i="25"/>
  <c r="I159" i="25" s="1"/>
  <c r="AH56" i="9"/>
  <c r="AE56" i="9"/>
  <c r="AF56" i="9" s="1"/>
  <c r="H153" i="26"/>
  <c r="H167" i="26" s="1"/>
  <c r="H153" i="25"/>
  <c r="H167" i="25" s="1"/>
  <c r="H147" i="26"/>
  <c r="H161" i="26" s="1"/>
  <c r="H147" i="25"/>
  <c r="H161" i="25" s="1"/>
  <c r="I12" i="1"/>
  <c r="M143" i="26"/>
  <c r="M157" i="26" s="1"/>
  <c r="M143" i="25"/>
  <c r="M157" i="25" s="1"/>
  <c r="H106" i="5"/>
  <c r="AG205" i="10"/>
  <c r="AD205" i="10"/>
  <c r="AH55" i="6"/>
  <c r="Q56" i="6"/>
  <c r="AE55" i="6"/>
  <c r="AF55" i="6" s="1"/>
  <c r="P367" i="54"/>
  <c r="D302" i="54"/>
  <c r="P302" i="54" s="1"/>
  <c r="N175" i="53"/>
  <c r="K175" i="53"/>
  <c r="L175" i="53"/>
  <c r="G197" i="53"/>
  <c r="L197" i="53"/>
  <c r="F197" i="53"/>
  <c r="F154" i="26"/>
  <c r="F168" i="26" s="1"/>
  <c r="F154" i="25"/>
  <c r="F144" i="26"/>
  <c r="F158" i="26" s="1"/>
  <c r="F144" i="25"/>
  <c r="F158" i="25" s="1"/>
  <c r="AH55" i="8"/>
  <c r="AE55" i="8"/>
  <c r="AF55" i="8" s="1"/>
  <c r="Q56" i="8"/>
  <c r="S31" i="55"/>
  <c r="S91" i="43"/>
  <c r="S92" i="43"/>
  <c r="T78" i="1"/>
  <c r="R102" i="10"/>
  <c r="R103" i="10" s="1"/>
  <c r="S12" i="1"/>
  <c r="AD12" i="1" s="1"/>
  <c r="J118" i="22"/>
  <c r="I161" i="10"/>
  <c r="O106" i="5"/>
  <c r="AH49" i="9"/>
  <c r="AE49" i="9"/>
  <c r="AF49" i="9" s="1"/>
  <c r="M153" i="26"/>
  <c r="M167" i="26" s="1"/>
  <c r="M153" i="25"/>
  <c r="M167" i="25" s="1"/>
  <c r="I44" i="5"/>
  <c r="I132" i="5"/>
  <c r="I106" i="5"/>
  <c r="O56" i="50"/>
  <c r="O78" i="50" s="1"/>
  <c r="O9" i="50" s="1"/>
  <c r="O55" i="47"/>
  <c r="O56" i="47" s="1"/>
  <c r="O78" i="47" s="1"/>
  <c r="O9" i="47" s="1"/>
  <c r="G210" i="54"/>
  <c r="G265" i="54" s="1"/>
  <c r="I191" i="54"/>
  <c r="E153" i="24"/>
  <c r="G151" i="26"/>
  <c r="G165" i="26" s="1"/>
  <c r="G151" i="25"/>
  <c r="AJ27" i="1"/>
  <c r="AF27" i="1"/>
  <c r="AM27" i="1"/>
  <c r="AE27" i="1"/>
  <c r="AH27" i="1"/>
  <c r="G60" i="8"/>
  <c r="G45" i="8"/>
  <c r="G46" i="8" s="1"/>
  <c r="G239" i="54"/>
  <c r="G294" i="54" s="1"/>
  <c r="I194" i="54"/>
  <c r="P362" i="54"/>
  <c r="P291" i="54"/>
  <c r="G94" i="10"/>
  <c r="F94" i="10"/>
  <c r="L94" i="10"/>
  <c r="G23" i="47"/>
  <c r="G42" i="49"/>
  <c r="G43" i="49" s="1"/>
  <c r="F23" i="47"/>
  <c r="F42" i="49"/>
  <c r="F43" i="49" s="1"/>
  <c r="L23" i="47"/>
  <c r="L42" i="49"/>
  <c r="L43" i="49" s="1"/>
  <c r="G24" i="28"/>
  <c r="G36" i="28" s="1"/>
  <c r="H45" i="34"/>
  <c r="H46" i="34" s="1"/>
  <c r="F24" i="28"/>
  <c r="F36" i="28" s="1"/>
  <c r="G45" i="34"/>
  <c r="G46" i="34" s="1"/>
  <c r="L24" i="28"/>
  <c r="L36" i="28" s="1"/>
  <c r="M45" i="34"/>
  <c r="M46" i="34" s="1"/>
  <c r="F80" i="14"/>
  <c r="F81" i="14" s="1"/>
  <c r="F82" i="14" s="1"/>
  <c r="F167" i="24"/>
  <c r="F163" i="24"/>
  <c r="F159" i="24"/>
  <c r="F82" i="24"/>
  <c r="F166" i="24"/>
  <c r="F162" i="24"/>
  <c r="F158" i="24"/>
  <c r="F168" i="24"/>
  <c r="F160" i="24"/>
  <c r="F79" i="14" s="1"/>
  <c r="F169" i="24"/>
  <c r="F161" i="24"/>
  <c r="F164" i="24"/>
  <c r="F165" i="24"/>
  <c r="F157" i="24"/>
  <c r="AD15" i="10"/>
  <c r="AE15" i="10" s="1"/>
  <c r="AG15" i="10"/>
  <c r="P130" i="10"/>
  <c r="D283" i="54"/>
  <c r="P283" i="54" s="1"/>
  <c r="L193" i="53"/>
  <c r="E193" i="53"/>
  <c r="J193" i="53"/>
  <c r="E188" i="53"/>
  <c r="F188" i="53"/>
  <c r="K188" i="53"/>
  <c r="F184" i="53"/>
  <c r="K184" i="53"/>
  <c r="E180" i="53"/>
  <c r="E229" i="53" s="1"/>
  <c r="F180" i="53"/>
  <c r="F229" i="53" s="1"/>
  <c r="K180" i="53"/>
  <c r="K229" i="53" s="1"/>
  <c r="F191" i="53"/>
  <c r="G191" i="53"/>
  <c r="H191" i="53"/>
  <c r="G170" i="53"/>
  <c r="I170" i="53"/>
  <c r="N154" i="26"/>
  <c r="N168" i="26" s="1"/>
  <c r="N154" i="25"/>
  <c r="N168" i="25" s="1"/>
  <c r="K144" i="24"/>
  <c r="N155" i="26"/>
  <c r="N169" i="26" s="1"/>
  <c r="N155" i="25"/>
  <c r="N169" i="25" s="1"/>
  <c r="O12" i="1"/>
  <c r="F147" i="26"/>
  <c r="F161" i="26" s="1"/>
  <c r="F147" i="25"/>
  <c r="F161" i="25" s="1"/>
  <c r="M151" i="26"/>
  <c r="M165" i="26" s="1"/>
  <c r="M151" i="25"/>
  <c r="M165" i="25" s="1"/>
  <c r="AH56" i="7"/>
  <c r="AE56" i="7"/>
  <c r="AF56" i="7" s="1"/>
  <c r="AG188" i="10"/>
  <c r="AD188" i="10"/>
  <c r="P333" i="54"/>
  <c r="AC48" i="10"/>
  <c r="AC50" i="10"/>
  <c r="AE50" i="10" s="1"/>
  <c r="AD211" i="10"/>
  <c r="AG211" i="10"/>
  <c r="F150" i="26"/>
  <c r="F164" i="26" s="1"/>
  <c r="F150" i="25"/>
  <c r="F164" i="25" s="1"/>
  <c r="Y28" i="1"/>
  <c r="Y36" i="1" s="1"/>
  <c r="Z31" i="55"/>
  <c r="Z92" i="43"/>
  <c r="Z91" i="43"/>
  <c r="AA78" i="1"/>
  <c r="P345" i="54"/>
  <c r="L370" i="54"/>
  <c r="L372" i="54" s="1"/>
  <c r="AD27" i="11"/>
  <c r="AE27" i="11" s="1"/>
  <c r="AG27" i="11"/>
  <c r="AH108" i="5"/>
  <c r="AE108" i="5"/>
  <c r="D287" i="54"/>
  <c r="P287" i="54" s="1"/>
  <c r="P182" i="54"/>
  <c r="P183" i="54" s="1"/>
  <c r="G22" i="41"/>
  <c r="G46" i="42"/>
  <c r="G47" i="42" s="1"/>
  <c r="F46" i="42"/>
  <c r="F47" i="42" s="1"/>
  <c r="F22" i="41"/>
  <c r="L22" i="41"/>
  <c r="L46" i="42"/>
  <c r="L47" i="42" s="1"/>
  <c r="L82" i="25"/>
  <c r="L162" i="25"/>
  <c r="L169" i="25"/>
  <c r="G26" i="28"/>
  <c r="G38" i="28" s="1"/>
  <c r="H27" i="36"/>
  <c r="F26" i="28"/>
  <c r="F38" i="28" s="1"/>
  <c r="G27" i="36"/>
  <c r="L26" i="28"/>
  <c r="L38" i="28" s="1"/>
  <c r="M27" i="36"/>
  <c r="K165" i="26"/>
  <c r="K82" i="26"/>
  <c r="O166" i="26"/>
  <c r="O157" i="26"/>
  <c r="O167" i="26"/>
  <c r="O159" i="26"/>
  <c r="O163" i="26"/>
  <c r="O82" i="26"/>
  <c r="L169" i="26"/>
  <c r="L82" i="26"/>
  <c r="L162" i="26"/>
  <c r="L39" i="5"/>
  <c r="L125" i="5" s="1"/>
  <c r="L44" i="6"/>
  <c r="P39" i="5"/>
  <c r="P125" i="5" s="1"/>
  <c r="P44" i="6"/>
  <c r="M39" i="5"/>
  <c r="M125" i="5" s="1"/>
  <c r="M44" i="6"/>
  <c r="K166" i="24"/>
  <c r="K162" i="24"/>
  <c r="K158" i="24"/>
  <c r="K169" i="24"/>
  <c r="K165" i="24"/>
  <c r="K79" i="19" s="1"/>
  <c r="K80" i="19" s="1"/>
  <c r="K161" i="24"/>
  <c r="K157" i="24"/>
  <c r="K167" i="24"/>
  <c r="K159" i="24"/>
  <c r="K168" i="24"/>
  <c r="K160" i="24"/>
  <c r="K163" i="24"/>
  <c r="K82" i="24"/>
  <c r="K164" i="24"/>
  <c r="O166" i="24"/>
  <c r="O162" i="24"/>
  <c r="O158" i="24"/>
  <c r="O169" i="24"/>
  <c r="O165" i="24"/>
  <c r="O161" i="24"/>
  <c r="O157" i="24"/>
  <c r="O163" i="24"/>
  <c r="O82" i="24"/>
  <c r="O164" i="24"/>
  <c r="O167" i="24"/>
  <c r="O159" i="24"/>
  <c r="O168" i="24"/>
  <c r="O160" i="24"/>
  <c r="L169" i="24"/>
  <c r="L79" i="21" s="1"/>
  <c r="L80" i="21" s="1"/>
  <c r="L81" i="21" s="1"/>
  <c r="L82" i="21" s="1"/>
  <c r="L165" i="24"/>
  <c r="L161" i="24"/>
  <c r="L157" i="24"/>
  <c r="L168" i="24"/>
  <c r="L164" i="24"/>
  <c r="L160" i="24"/>
  <c r="L162" i="24"/>
  <c r="L79" i="16" s="1"/>
  <c r="L80" i="16" s="1"/>
  <c r="L81" i="16" s="1"/>
  <c r="L82" i="16" s="1"/>
  <c r="L163" i="24"/>
  <c r="L82" i="24"/>
  <c r="L166" i="24"/>
  <c r="L158" i="24"/>
  <c r="L159" i="24"/>
  <c r="L167" i="24"/>
  <c r="L60" i="9"/>
  <c r="L45" i="9"/>
  <c r="L46" i="9" s="1"/>
  <c r="P60" i="9"/>
  <c r="P45" i="9"/>
  <c r="P46" i="9" s="1"/>
  <c r="M60" i="9"/>
  <c r="M45" i="9"/>
  <c r="M46" i="9" s="1"/>
  <c r="D297" i="54"/>
  <c r="P297" i="54" s="1"/>
  <c r="N210" i="53"/>
  <c r="K210" i="53"/>
  <c r="E210" i="53"/>
  <c r="K190" i="53"/>
  <c r="O190" i="53"/>
  <c r="E190" i="53"/>
  <c r="J187" i="53"/>
  <c r="N187" i="53"/>
  <c r="M183" i="53"/>
  <c r="J183" i="53"/>
  <c r="J179" i="53"/>
  <c r="J228" i="53" s="1"/>
  <c r="N179" i="53"/>
  <c r="N228" i="53" s="1"/>
  <c r="I212" i="53"/>
  <c r="G212" i="53"/>
  <c r="K174" i="53"/>
  <c r="O174" i="53"/>
  <c r="E174" i="53"/>
  <c r="AM73" i="1"/>
  <c r="AJ73" i="1"/>
  <c r="AH73" i="1"/>
  <c r="AE73" i="1"/>
  <c r="D145" i="25"/>
  <c r="D145" i="26"/>
  <c r="P145" i="24"/>
  <c r="D153" i="25"/>
  <c r="D153" i="26"/>
  <c r="P153" i="24"/>
  <c r="I148" i="26"/>
  <c r="I162" i="26" s="1"/>
  <c r="I148" i="25"/>
  <c r="I162" i="25" s="1"/>
  <c r="I144" i="25"/>
  <c r="I158" i="25" s="1"/>
  <c r="I144" i="26"/>
  <c r="I158" i="26" s="1"/>
  <c r="M170" i="25" l="1"/>
  <c r="M171" i="25" s="1"/>
  <c r="L58" i="37"/>
  <c r="L59" i="37" s="1"/>
  <c r="L12" i="37" s="1"/>
  <c r="L24" i="37" s="1"/>
  <c r="K72" i="28"/>
  <c r="K76" i="28" s="1"/>
  <c r="K77" i="28" s="1"/>
  <c r="I170" i="25"/>
  <c r="I171" i="25" s="1"/>
  <c r="AD24" i="1"/>
  <c r="AD16" i="1"/>
  <c r="M170" i="26"/>
  <c r="M171" i="26" s="1"/>
  <c r="G60" i="7"/>
  <c r="G45" i="7"/>
  <c r="G46" i="7" s="1"/>
  <c r="I170" i="26"/>
  <c r="I171" i="26" s="1"/>
  <c r="O58" i="37"/>
  <c r="O59" i="37" s="1"/>
  <c r="O12" i="37" s="1"/>
  <c r="O24" i="37" s="1"/>
  <c r="N72" i="28"/>
  <c r="N76" i="28" s="1"/>
  <c r="N77" i="28" s="1"/>
  <c r="K125" i="5"/>
  <c r="K132" i="5"/>
  <c r="K44" i="5"/>
  <c r="O60" i="7"/>
  <c r="O45" i="7"/>
  <c r="O46" i="7" s="1"/>
  <c r="N60" i="7"/>
  <c r="N45" i="7"/>
  <c r="N46" i="7" s="1"/>
  <c r="N170" i="26"/>
  <c r="N171" i="26" s="1"/>
  <c r="N58" i="37"/>
  <c r="N59" i="37" s="1"/>
  <c r="N12" i="37" s="1"/>
  <c r="N24" i="37" s="1"/>
  <c r="M72" i="28"/>
  <c r="M76" i="28" s="1"/>
  <c r="M77" i="28" s="1"/>
  <c r="N170" i="25"/>
  <c r="N171" i="25" s="1"/>
  <c r="K237" i="53"/>
  <c r="K138" i="53"/>
  <c r="I105" i="19"/>
  <c r="J102" i="19"/>
  <c r="K223" i="53"/>
  <c r="K124" i="53" s="1"/>
  <c r="J236" i="53"/>
  <c r="J137" i="53"/>
  <c r="E259" i="53"/>
  <c r="E160" i="53" s="1"/>
  <c r="O79" i="20"/>
  <c r="O80" i="20" s="1"/>
  <c r="O81" i="20" s="1"/>
  <c r="O82" i="20" s="1"/>
  <c r="P60" i="6"/>
  <c r="P45" i="6"/>
  <c r="P46" i="6" s="1"/>
  <c r="G240" i="53"/>
  <c r="G141" i="53"/>
  <c r="F138" i="53"/>
  <c r="F237" i="53"/>
  <c r="F79" i="12"/>
  <c r="F80" i="12" s="1"/>
  <c r="F81" i="12" s="1"/>
  <c r="F82" i="12" s="1"/>
  <c r="G261" i="53"/>
  <c r="G162" i="53" s="1"/>
  <c r="J232" i="53"/>
  <c r="J133" i="53"/>
  <c r="E239" i="53"/>
  <c r="E140" i="53" s="1"/>
  <c r="K259" i="53"/>
  <c r="K160" i="53"/>
  <c r="O79" i="12"/>
  <c r="O80" i="12" s="1"/>
  <c r="O81" i="12" s="1"/>
  <c r="O82" i="12" s="1"/>
  <c r="O79" i="18"/>
  <c r="O80" i="18" s="1"/>
  <c r="Y37" i="1"/>
  <c r="Y41" i="1"/>
  <c r="Y56" i="1" s="1"/>
  <c r="I219" i="53"/>
  <c r="I120" i="53" s="1"/>
  <c r="F240" i="53"/>
  <c r="F141" i="53" s="1"/>
  <c r="K233" i="53"/>
  <c r="K134" i="53" s="1"/>
  <c r="E237" i="53"/>
  <c r="E138" i="53"/>
  <c r="F170" i="24"/>
  <c r="F171" i="24" s="1"/>
  <c r="F79" i="11"/>
  <c r="F80" i="11" s="1"/>
  <c r="F81" i="11" s="1"/>
  <c r="F82" i="11" s="1"/>
  <c r="F79" i="21"/>
  <c r="F80" i="21" s="1"/>
  <c r="F81" i="21" s="1"/>
  <c r="F82" i="21" s="1"/>
  <c r="F79" i="16"/>
  <c r="F80" i="16" s="1"/>
  <c r="F81" i="16" s="1"/>
  <c r="F82" i="16" s="1"/>
  <c r="F79" i="18"/>
  <c r="F80" i="18" s="1"/>
  <c r="F221" i="10"/>
  <c r="F181" i="10"/>
  <c r="F101" i="10"/>
  <c r="F228" i="10" s="1"/>
  <c r="K118" i="22"/>
  <c r="J161" i="10"/>
  <c r="G246" i="53"/>
  <c r="G147" i="53"/>
  <c r="AE56" i="6"/>
  <c r="AF56" i="6" s="1"/>
  <c r="AH56" i="6"/>
  <c r="L247" i="53"/>
  <c r="L148" i="53"/>
  <c r="M234" i="53"/>
  <c r="M135" i="53" s="1"/>
  <c r="O218" i="53"/>
  <c r="O214" i="53"/>
  <c r="O119" i="53"/>
  <c r="E248" i="53"/>
  <c r="E149" i="53" s="1"/>
  <c r="I170" i="24"/>
  <c r="I171" i="24" s="1"/>
  <c r="I79" i="11"/>
  <c r="I80" i="11" s="1"/>
  <c r="I81" i="11" s="1"/>
  <c r="I82" i="11" s="1"/>
  <c r="I79" i="21"/>
  <c r="I80" i="21" s="1"/>
  <c r="I81" i="21" s="1"/>
  <c r="I82" i="21" s="1"/>
  <c r="I79" i="22"/>
  <c r="I80" i="22" s="1"/>
  <c r="M22" i="28"/>
  <c r="N33" i="32"/>
  <c r="G22" i="28"/>
  <c r="H33" i="32"/>
  <c r="M238" i="53"/>
  <c r="M139" i="53"/>
  <c r="M129" i="19" s="1"/>
  <c r="M133" i="19" s="1"/>
  <c r="M257" i="53"/>
  <c r="M158" i="53" s="1"/>
  <c r="M254" i="53"/>
  <c r="M155" i="53"/>
  <c r="H254" i="53"/>
  <c r="H155" i="53" s="1"/>
  <c r="H244" i="53"/>
  <c r="H145" i="53"/>
  <c r="H238" i="53"/>
  <c r="H139" i="53" s="1"/>
  <c r="H129" i="19" s="1"/>
  <c r="K256" i="53"/>
  <c r="K157" i="53"/>
  <c r="K244" i="53"/>
  <c r="K145" i="53" s="1"/>
  <c r="K255" i="53"/>
  <c r="K156" i="53"/>
  <c r="K155" i="26"/>
  <c r="K169" i="26" s="1"/>
  <c r="K155" i="25"/>
  <c r="K169" i="25" s="1"/>
  <c r="N221" i="53"/>
  <c r="N122" i="53" s="1"/>
  <c r="AD129" i="10"/>
  <c r="AE129" i="10" s="1"/>
  <c r="AG129" i="10"/>
  <c r="N249" i="53"/>
  <c r="N150" i="53"/>
  <c r="N258" i="53"/>
  <c r="N159" i="53"/>
  <c r="K115" i="19"/>
  <c r="J158" i="10"/>
  <c r="P60" i="7"/>
  <c r="P45" i="7"/>
  <c r="P46" i="7" s="1"/>
  <c r="P286" i="54"/>
  <c r="D130" i="19"/>
  <c r="P130" i="19" s="1"/>
  <c r="K114" i="18"/>
  <c r="J157" i="10"/>
  <c r="AD28" i="1"/>
  <c r="AD36" i="1" s="1"/>
  <c r="AB41" i="1"/>
  <c r="AB56" i="1" s="1"/>
  <c r="AB37" i="1"/>
  <c r="P81" i="28"/>
  <c r="N22" i="28"/>
  <c r="O33" i="32"/>
  <c r="I238" i="53"/>
  <c r="I139" i="53" s="1"/>
  <c r="I129" i="19" s="1"/>
  <c r="I133" i="19" s="1"/>
  <c r="I241" i="53"/>
  <c r="I142" i="53"/>
  <c r="I129" i="22" s="1"/>
  <c r="I133" i="22" s="1"/>
  <c r="I157" i="53"/>
  <c r="I256" i="53"/>
  <c r="J260" i="53"/>
  <c r="J161" i="53"/>
  <c r="J262" i="53"/>
  <c r="J163" i="53" s="1"/>
  <c r="J251" i="53"/>
  <c r="J152" i="53" s="1"/>
  <c r="J251" i="54"/>
  <c r="J306" i="54" s="1"/>
  <c r="L198" i="54"/>
  <c r="K60" i="7"/>
  <c r="K45" i="7"/>
  <c r="K46" i="7" s="1"/>
  <c r="AG33" i="14"/>
  <c r="AD33" i="14"/>
  <c r="AE33" i="14" s="1"/>
  <c r="E12" i="1"/>
  <c r="K119" i="18"/>
  <c r="J162" i="10"/>
  <c r="L223" i="53"/>
  <c r="L124" i="53" s="1"/>
  <c r="E232" i="53"/>
  <c r="E133" i="53"/>
  <c r="L239" i="53"/>
  <c r="L140" i="53" s="1"/>
  <c r="J259" i="53"/>
  <c r="J160" i="53"/>
  <c r="M79" i="15"/>
  <c r="M80" i="15" s="1"/>
  <c r="M81" i="15" s="1"/>
  <c r="M82" i="15" s="1"/>
  <c r="M170" i="24"/>
  <c r="M171" i="24" s="1"/>
  <c r="M79" i="11"/>
  <c r="M80" i="11" s="1"/>
  <c r="M81" i="11" s="1"/>
  <c r="M82" i="11" s="1"/>
  <c r="M79" i="18"/>
  <c r="M80" i="18" s="1"/>
  <c r="M79" i="23"/>
  <c r="M80" i="23" s="1"/>
  <c r="M81" i="23" s="1"/>
  <c r="M82" i="23" s="1"/>
  <c r="H79" i="14"/>
  <c r="H80" i="14" s="1"/>
  <c r="H81" i="14" s="1"/>
  <c r="H82" i="14" s="1"/>
  <c r="H79" i="15"/>
  <c r="H80" i="15" s="1"/>
  <c r="H81" i="15" s="1"/>
  <c r="H82" i="15" s="1"/>
  <c r="G79" i="19"/>
  <c r="G80" i="19" s="1"/>
  <c r="N60" i="6"/>
  <c r="N45" i="6"/>
  <c r="N46" i="6" s="1"/>
  <c r="H60" i="6"/>
  <c r="H45" i="6"/>
  <c r="H46" i="6" s="1"/>
  <c r="H170" i="25"/>
  <c r="H171" i="25" s="1"/>
  <c r="P370" i="54"/>
  <c r="P372" i="54" s="1"/>
  <c r="P115" i="18"/>
  <c r="J195" i="54"/>
  <c r="H244" i="54"/>
  <c r="H299" i="54" s="1"/>
  <c r="I292" i="54"/>
  <c r="M118" i="18"/>
  <c r="I237" i="53"/>
  <c r="I138" i="53"/>
  <c r="M221" i="10"/>
  <c r="M101" i="10"/>
  <c r="M228" i="10" s="1"/>
  <c r="M181" i="10"/>
  <c r="K221" i="10"/>
  <c r="K101" i="10"/>
  <c r="K228" i="10" s="1"/>
  <c r="K181" i="10"/>
  <c r="AG33" i="13"/>
  <c r="AD33" i="13"/>
  <c r="AE33" i="13" s="1"/>
  <c r="H257" i="54"/>
  <c r="H312" i="54" s="1"/>
  <c r="J203" i="54"/>
  <c r="G125" i="53"/>
  <c r="G224" i="53"/>
  <c r="G234" i="53"/>
  <c r="G135" i="53" s="1"/>
  <c r="I214" i="53"/>
  <c r="I218" i="53"/>
  <c r="I119" i="53" s="1"/>
  <c r="J79" i="21"/>
  <c r="J80" i="21" s="1"/>
  <c r="J81" i="21" s="1"/>
  <c r="J82" i="21" s="1"/>
  <c r="J170" i="24"/>
  <c r="J171" i="24" s="1"/>
  <c r="J79" i="11"/>
  <c r="J80" i="11" s="1"/>
  <c r="J81" i="11" s="1"/>
  <c r="J82" i="11" s="1"/>
  <c r="J79" i="16"/>
  <c r="J80" i="16" s="1"/>
  <c r="J81" i="16" s="1"/>
  <c r="J82" i="16" s="1"/>
  <c r="J79" i="18"/>
  <c r="J80" i="18" s="1"/>
  <c r="L220" i="53"/>
  <c r="L121" i="53" s="1"/>
  <c r="H223" i="53"/>
  <c r="H124" i="53"/>
  <c r="M261" i="53"/>
  <c r="M162" i="53" s="1"/>
  <c r="K232" i="53"/>
  <c r="K133" i="53" s="1"/>
  <c r="M236" i="53"/>
  <c r="M137" i="53" s="1"/>
  <c r="M259" i="53"/>
  <c r="M160" i="53"/>
  <c r="AG72" i="12"/>
  <c r="AD72" i="12"/>
  <c r="AE72" i="12" s="1"/>
  <c r="AH39" i="8"/>
  <c r="AE39" i="8"/>
  <c r="AF39" i="8" s="1"/>
  <c r="E60" i="9"/>
  <c r="E45" i="9"/>
  <c r="E46" i="9" s="1"/>
  <c r="AG72" i="24"/>
  <c r="AD72" i="24"/>
  <c r="AE72" i="24" s="1"/>
  <c r="P80" i="24"/>
  <c r="E125" i="5"/>
  <c r="D168" i="25"/>
  <c r="D164" i="25"/>
  <c r="D160" i="25"/>
  <c r="D167" i="25"/>
  <c r="D163" i="25"/>
  <c r="D165" i="25"/>
  <c r="D158" i="25"/>
  <c r="D166" i="25"/>
  <c r="D157" i="25"/>
  <c r="D162" i="25"/>
  <c r="D159" i="25"/>
  <c r="D169" i="25"/>
  <c r="D82" i="25"/>
  <c r="D161" i="25"/>
  <c r="L144" i="26"/>
  <c r="L158" i="26" s="1"/>
  <c r="L144" i="25"/>
  <c r="L158" i="25" s="1"/>
  <c r="X31" i="55"/>
  <c r="X91" i="43"/>
  <c r="X92" i="43"/>
  <c r="Y78" i="1"/>
  <c r="G143" i="26"/>
  <c r="G157" i="26" s="1"/>
  <c r="G143" i="25"/>
  <c r="G157" i="25" s="1"/>
  <c r="O240" i="53"/>
  <c r="O141" i="53"/>
  <c r="H233" i="53"/>
  <c r="H134" i="53" s="1"/>
  <c r="O242" i="53"/>
  <c r="O143" i="53" s="1"/>
  <c r="O129" i="18" s="1"/>
  <c r="H206" i="54"/>
  <c r="I204" i="54"/>
  <c r="J188" i="54"/>
  <c r="AD72" i="11"/>
  <c r="AE72" i="11" s="1"/>
  <c r="AG72" i="11"/>
  <c r="AD72" i="16"/>
  <c r="AE72" i="16" s="1"/>
  <c r="AG72" i="16"/>
  <c r="AH55" i="37"/>
  <c r="AE55" i="37"/>
  <c r="AF55" i="37" s="1"/>
  <c r="K246" i="53"/>
  <c r="K147" i="53" s="1"/>
  <c r="J119" i="53"/>
  <c r="J218" i="53"/>
  <c r="J214" i="53"/>
  <c r="F43" i="50"/>
  <c r="E251" i="53"/>
  <c r="E152" i="53" s="1"/>
  <c r="E260" i="53"/>
  <c r="E161" i="53" s="1"/>
  <c r="E262" i="53"/>
  <c r="E163" i="53" s="1"/>
  <c r="N245" i="53"/>
  <c r="N146" i="53"/>
  <c r="N244" i="53"/>
  <c r="N145" i="53" s="1"/>
  <c r="N254" i="53"/>
  <c r="N155" i="53"/>
  <c r="O244" i="53"/>
  <c r="O145" i="53" s="1"/>
  <c r="O222" i="53"/>
  <c r="O123" i="53"/>
  <c r="O256" i="53"/>
  <c r="O157" i="53" s="1"/>
  <c r="AG127" i="10"/>
  <c r="AD127" i="10"/>
  <c r="AE127" i="10" s="1"/>
  <c r="F107" i="5"/>
  <c r="F132" i="5"/>
  <c r="F44" i="5"/>
  <c r="Q21" i="5"/>
  <c r="H235" i="54"/>
  <c r="H290" i="54" s="1"/>
  <c r="J192" i="54"/>
  <c r="I243" i="53"/>
  <c r="I144" i="53"/>
  <c r="G121" i="53"/>
  <c r="G220" i="53"/>
  <c r="G252" i="53"/>
  <c r="G153" i="53"/>
  <c r="H54" i="37" s="1"/>
  <c r="I60" i="7"/>
  <c r="I45" i="7"/>
  <c r="I46" i="7" s="1"/>
  <c r="E152" i="26"/>
  <c r="E166" i="26" s="1"/>
  <c r="E152" i="25"/>
  <c r="E166" i="25" s="1"/>
  <c r="O155" i="25"/>
  <c r="O169" i="25" s="1"/>
  <c r="O79" i="21" s="1"/>
  <c r="O80" i="21" s="1"/>
  <c r="O81" i="21" s="1"/>
  <c r="O82" i="21" s="1"/>
  <c r="O155" i="26"/>
  <c r="O169" i="26" s="1"/>
  <c r="O150" i="26"/>
  <c r="O164" i="26" s="1"/>
  <c r="O150" i="25"/>
  <c r="O164" i="25" s="1"/>
  <c r="O79" i="17" s="1"/>
  <c r="O80" i="17" s="1"/>
  <c r="O81" i="17" s="1"/>
  <c r="O82" i="17" s="1"/>
  <c r="AD126" i="10"/>
  <c r="AE126" i="10" s="1"/>
  <c r="AG126" i="10"/>
  <c r="J309" i="54"/>
  <c r="O22" i="28"/>
  <c r="P33" i="32"/>
  <c r="O43" i="50"/>
  <c r="L262" i="53"/>
  <c r="L163" i="53" s="1"/>
  <c r="L238" i="53"/>
  <c r="L139" i="53"/>
  <c r="L129" i="19" s="1"/>
  <c r="L133" i="19" s="1"/>
  <c r="L142" i="53"/>
  <c r="L129" i="22" s="1"/>
  <c r="L133" i="22" s="1"/>
  <c r="L241" i="53"/>
  <c r="F255" i="53"/>
  <c r="F156" i="53" s="1"/>
  <c r="F245" i="53"/>
  <c r="F146" i="53" s="1"/>
  <c r="F257" i="53"/>
  <c r="F158" i="53"/>
  <c r="G251" i="53"/>
  <c r="G152" i="53" s="1"/>
  <c r="G238" i="53"/>
  <c r="G139" i="53"/>
  <c r="G129" i="19" s="1"/>
  <c r="G133" i="19" s="1"/>
  <c r="G254" i="53"/>
  <c r="G155" i="53" s="1"/>
  <c r="N107" i="5"/>
  <c r="N132" i="5"/>
  <c r="N44" i="5"/>
  <c r="K152" i="26"/>
  <c r="K166" i="26" s="1"/>
  <c r="K152" i="25"/>
  <c r="K166" i="25" s="1"/>
  <c r="K154" i="26"/>
  <c r="K168" i="26" s="1"/>
  <c r="K154" i="25"/>
  <c r="K168" i="25" s="1"/>
  <c r="K79" i="23" s="1"/>
  <c r="K80" i="23" s="1"/>
  <c r="K81" i="23" s="1"/>
  <c r="K82" i="23" s="1"/>
  <c r="L12" i="1"/>
  <c r="AB31" i="55"/>
  <c r="AB91" i="43"/>
  <c r="AB92" i="43"/>
  <c r="AC78" i="1"/>
  <c r="AG128" i="10"/>
  <c r="AD128" i="10"/>
  <c r="AE128" i="10" s="1"/>
  <c r="H208" i="54"/>
  <c r="H263" i="54" s="1"/>
  <c r="J190" i="54"/>
  <c r="L44" i="5"/>
  <c r="Q39" i="7"/>
  <c r="E44" i="7"/>
  <c r="D64" i="51"/>
  <c r="E33" i="1"/>
  <c r="Q33" i="1" s="1"/>
  <c r="AG72" i="17"/>
  <c r="AD72" i="17"/>
  <c r="AE72" i="17" s="1"/>
  <c r="D25" i="28"/>
  <c r="E40" i="35"/>
  <c r="N170" i="24"/>
  <c r="N171" i="24" s="1"/>
  <c r="N79" i="11"/>
  <c r="N80" i="11" s="1"/>
  <c r="N81" i="11" s="1"/>
  <c r="N82" i="11" s="1"/>
  <c r="N79" i="21"/>
  <c r="N80" i="21" s="1"/>
  <c r="N81" i="21" s="1"/>
  <c r="N82" i="21" s="1"/>
  <c r="N79" i="16"/>
  <c r="N80" i="16" s="1"/>
  <c r="N81" i="16" s="1"/>
  <c r="N82" i="16" s="1"/>
  <c r="N79" i="18"/>
  <c r="N80" i="18" s="1"/>
  <c r="F261" i="53"/>
  <c r="F162" i="53"/>
  <c r="G133" i="53"/>
  <c r="G232" i="53"/>
  <c r="E236" i="53"/>
  <c r="E137" i="53"/>
  <c r="G259" i="53"/>
  <c r="G160" i="53" s="1"/>
  <c r="E79" i="14"/>
  <c r="E80" i="14" s="1"/>
  <c r="E81" i="14" s="1"/>
  <c r="E82" i="14" s="1"/>
  <c r="L151" i="26"/>
  <c r="L165" i="26" s="1"/>
  <c r="L151" i="25"/>
  <c r="L165" i="25" s="1"/>
  <c r="L79" i="19" s="1"/>
  <c r="L80" i="19" s="1"/>
  <c r="L145" i="25"/>
  <c r="L159" i="25" s="1"/>
  <c r="L145" i="26"/>
  <c r="L159" i="26" s="1"/>
  <c r="AG51" i="28"/>
  <c r="AD51" i="28"/>
  <c r="AE51" i="28" s="1"/>
  <c r="P55" i="28"/>
  <c r="L197" i="54"/>
  <c r="J250" i="54"/>
  <c r="J305" i="54" s="1"/>
  <c r="O116" i="18"/>
  <c r="G152" i="26"/>
  <c r="G166" i="26" s="1"/>
  <c r="G152" i="25"/>
  <c r="G166" i="25" s="1"/>
  <c r="G79" i="20" s="1"/>
  <c r="G80" i="20" s="1"/>
  <c r="G81" i="20" s="1"/>
  <c r="G82" i="20" s="1"/>
  <c r="G148" i="26"/>
  <c r="G162" i="26" s="1"/>
  <c r="G148" i="25"/>
  <c r="G162" i="25" s="1"/>
  <c r="M219" i="53"/>
  <c r="M120" i="53" s="1"/>
  <c r="L233" i="53"/>
  <c r="L134" i="53" s="1"/>
  <c r="N242" i="53"/>
  <c r="N143" i="53"/>
  <c r="N129" i="18" s="1"/>
  <c r="P55" i="47"/>
  <c r="D56" i="47"/>
  <c r="D78" i="47" s="1"/>
  <c r="D9" i="47" s="1"/>
  <c r="P9" i="47" s="1"/>
  <c r="AG55" i="10"/>
  <c r="AD55" i="10"/>
  <c r="AE55" i="10" s="1"/>
  <c r="D313" i="54"/>
  <c r="O223" i="53"/>
  <c r="O124" i="53" s="1"/>
  <c r="K239" i="53"/>
  <c r="K140" i="53"/>
  <c r="L79" i="13"/>
  <c r="L80" i="13" s="1"/>
  <c r="L81" i="13" s="1"/>
  <c r="L82" i="13" s="1"/>
  <c r="AC102" i="10"/>
  <c r="AC103" i="10" s="1"/>
  <c r="AC180" i="10"/>
  <c r="AC104" i="10"/>
  <c r="AE104" i="10" s="1"/>
  <c r="E242" i="53"/>
  <c r="E143" i="53"/>
  <c r="E129" i="18" s="1"/>
  <c r="E153" i="26"/>
  <c r="E167" i="26" s="1"/>
  <c r="E153" i="25"/>
  <c r="E167" i="25" s="1"/>
  <c r="F246" i="53"/>
  <c r="F147" i="53"/>
  <c r="K234" i="53"/>
  <c r="K135" i="53" s="1"/>
  <c r="I79" i="16"/>
  <c r="I80" i="16" s="1"/>
  <c r="I81" i="16" s="1"/>
  <c r="I82" i="16" s="1"/>
  <c r="M251" i="53"/>
  <c r="M152" i="53"/>
  <c r="E124" i="53"/>
  <c r="E223" i="53"/>
  <c r="I261" i="53"/>
  <c r="I162" i="53"/>
  <c r="M232" i="53"/>
  <c r="M133" i="53" s="1"/>
  <c r="O239" i="53"/>
  <c r="O140" i="53"/>
  <c r="N259" i="53"/>
  <c r="N160" i="53" s="1"/>
  <c r="L79" i="12"/>
  <c r="L80" i="12" s="1"/>
  <c r="L81" i="12" s="1"/>
  <c r="L82" i="12" s="1"/>
  <c r="O79" i="22"/>
  <c r="O80" i="22" s="1"/>
  <c r="O170" i="24"/>
  <c r="O171" i="24" s="1"/>
  <c r="O79" i="11"/>
  <c r="O80" i="11" s="1"/>
  <c r="O81" i="11" s="1"/>
  <c r="O82" i="11" s="1"/>
  <c r="K79" i="20"/>
  <c r="K80" i="20" s="1"/>
  <c r="K81" i="20" s="1"/>
  <c r="K82" i="20" s="1"/>
  <c r="M60" i="6"/>
  <c r="M45" i="6"/>
  <c r="M46" i="6" s="1"/>
  <c r="L60" i="6"/>
  <c r="L45" i="6"/>
  <c r="L46" i="6" s="1"/>
  <c r="O16" i="1"/>
  <c r="K144" i="26"/>
  <c r="K158" i="26" s="1"/>
  <c r="K144" i="25"/>
  <c r="K158" i="25" s="1"/>
  <c r="K79" i="13" s="1"/>
  <c r="K80" i="13" s="1"/>
  <c r="K81" i="13" s="1"/>
  <c r="K82" i="13" s="1"/>
  <c r="G219" i="53"/>
  <c r="G120" i="53" s="1"/>
  <c r="F233" i="53"/>
  <c r="F134" i="53" s="1"/>
  <c r="J242" i="53"/>
  <c r="J143" i="53" s="1"/>
  <c r="J129" i="18" s="1"/>
  <c r="AD130" i="10"/>
  <c r="AE130" i="10" s="1"/>
  <c r="AG130" i="10"/>
  <c r="F79" i="19"/>
  <c r="F80" i="19" s="1"/>
  <c r="F79" i="20"/>
  <c r="F80" i="20" s="1"/>
  <c r="F81" i="20" s="1"/>
  <c r="F82" i="20" s="1"/>
  <c r="F79" i="22"/>
  <c r="F80" i="22" s="1"/>
  <c r="G221" i="10"/>
  <c r="G101" i="10"/>
  <c r="G228" i="10" s="1"/>
  <c r="G181" i="10"/>
  <c r="I60" i="5"/>
  <c r="I18" i="1"/>
  <c r="I130" i="5"/>
  <c r="I45" i="5"/>
  <c r="I46" i="5" s="1"/>
  <c r="S24" i="1"/>
  <c r="S28" i="1" s="1"/>
  <c r="S36" i="1" s="1"/>
  <c r="S16" i="1"/>
  <c r="L125" i="53"/>
  <c r="L224" i="53"/>
  <c r="G247" i="53"/>
  <c r="G148" i="53"/>
  <c r="O234" i="53"/>
  <c r="O135" i="53" s="1"/>
  <c r="K218" i="53"/>
  <c r="K119" i="53"/>
  <c r="K214" i="53"/>
  <c r="I79" i="19"/>
  <c r="I80" i="19" s="1"/>
  <c r="M262" i="53"/>
  <c r="M163" i="53"/>
  <c r="M255" i="53"/>
  <c r="M156" i="53" s="1"/>
  <c r="M245" i="53"/>
  <c r="M146" i="53"/>
  <c r="H146" i="53"/>
  <c r="H245" i="53"/>
  <c r="H260" i="53"/>
  <c r="H161" i="53"/>
  <c r="H163" i="53"/>
  <c r="H262" i="53"/>
  <c r="K251" i="53"/>
  <c r="K152" i="53"/>
  <c r="K254" i="53"/>
  <c r="K155" i="53" s="1"/>
  <c r="K262" i="53"/>
  <c r="K163" i="53" s="1"/>
  <c r="E249" i="53"/>
  <c r="E150" i="53"/>
  <c r="I258" i="53"/>
  <c r="I159" i="53"/>
  <c r="AC58" i="10"/>
  <c r="L243" i="53"/>
  <c r="L144" i="53"/>
  <c r="F252" i="53"/>
  <c r="F153" i="53" s="1"/>
  <c r="G54" i="37" s="1"/>
  <c r="D22" i="28"/>
  <c r="E33" i="32"/>
  <c r="AD72" i="23"/>
  <c r="AE72" i="23" s="1"/>
  <c r="AG72" i="23"/>
  <c r="I255" i="53"/>
  <c r="I156" i="53"/>
  <c r="I254" i="53"/>
  <c r="I155" i="53"/>
  <c r="I260" i="53"/>
  <c r="I161" i="53"/>
  <c r="J257" i="53"/>
  <c r="J158" i="53"/>
  <c r="J222" i="53"/>
  <c r="J123" i="53" s="1"/>
  <c r="J241" i="53"/>
  <c r="J142" i="53"/>
  <c r="J129" i="22" s="1"/>
  <c r="J133" i="22" s="1"/>
  <c r="P144" i="24"/>
  <c r="F170" i="25"/>
  <c r="F171" i="25" s="1"/>
  <c r="L258" i="53"/>
  <c r="L159" i="53"/>
  <c r="AD33" i="23"/>
  <c r="AE33" i="23" s="1"/>
  <c r="AG33" i="23"/>
  <c r="M60" i="7"/>
  <c r="M45" i="7"/>
  <c r="M46" i="7" s="1"/>
  <c r="R37" i="1"/>
  <c r="R41" i="1"/>
  <c r="R56" i="1" s="1"/>
  <c r="G223" i="53"/>
  <c r="G124" i="53" s="1"/>
  <c r="O137" i="53"/>
  <c r="O236" i="53"/>
  <c r="G239" i="53"/>
  <c r="G140" i="53" s="1"/>
  <c r="F259" i="53"/>
  <c r="F160" i="53" s="1"/>
  <c r="J107" i="5"/>
  <c r="J44" i="5"/>
  <c r="J132" i="5"/>
  <c r="M79" i="19"/>
  <c r="M80" i="19" s="1"/>
  <c r="M79" i="22"/>
  <c r="M80" i="22" s="1"/>
  <c r="H79" i="22"/>
  <c r="H80" i="22" s="1"/>
  <c r="G79" i="12"/>
  <c r="G80" i="12" s="1"/>
  <c r="G81" i="12" s="1"/>
  <c r="G82" i="12" s="1"/>
  <c r="G79" i="18"/>
  <c r="G80" i="18" s="1"/>
  <c r="H39" i="5"/>
  <c r="G299" i="54"/>
  <c r="O151" i="26"/>
  <c r="O165" i="26" s="1"/>
  <c r="O151" i="25"/>
  <c r="O165" i="25" s="1"/>
  <c r="O79" i="19" s="1"/>
  <c r="O80" i="19" s="1"/>
  <c r="F219" i="53"/>
  <c r="F120" i="53"/>
  <c r="L237" i="53"/>
  <c r="L138" i="53"/>
  <c r="AG33" i="12"/>
  <c r="AD33" i="12"/>
  <c r="AE33" i="12" s="1"/>
  <c r="M116" i="19"/>
  <c r="L159" i="10"/>
  <c r="G312" i="54"/>
  <c r="F224" i="53"/>
  <c r="F125" i="53"/>
  <c r="G218" i="53"/>
  <c r="G214" i="53"/>
  <c r="G119" i="53"/>
  <c r="D208" i="53"/>
  <c r="D205" i="53"/>
  <c r="D192" i="53"/>
  <c r="D189" i="53"/>
  <c r="D202" i="53"/>
  <c r="D195" i="53"/>
  <c r="D206" i="53"/>
  <c r="D173" i="53"/>
  <c r="D211" i="53"/>
  <c r="D207" i="53"/>
  <c r="D213" i="53"/>
  <c r="D196" i="53"/>
  <c r="D212" i="53"/>
  <c r="D179" i="53"/>
  <c r="D183" i="53"/>
  <c r="D187" i="53"/>
  <c r="D170" i="53"/>
  <c r="D184" i="53"/>
  <c r="D181" i="53"/>
  <c r="D172" i="53"/>
  <c r="D204" i="53"/>
  <c r="D191" i="53"/>
  <c r="D180" i="53"/>
  <c r="D193" i="53"/>
  <c r="D197" i="53"/>
  <c r="D188" i="53"/>
  <c r="D175" i="53"/>
  <c r="D198" i="53"/>
  <c r="D200" i="53"/>
  <c r="D209" i="53"/>
  <c r="D194" i="53"/>
  <c r="D178" i="53"/>
  <c r="D182" i="53"/>
  <c r="D186" i="53"/>
  <c r="D176" i="53"/>
  <c r="D177" i="53"/>
  <c r="D185" i="53"/>
  <c r="D169" i="53"/>
  <c r="D199" i="53"/>
  <c r="D171" i="53"/>
  <c r="D201" i="53"/>
  <c r="D203" i="53"/>
  <c r="D174" i="53"/>
  <c r="D190" i="53"/>
  <c r="D210" i="53"/>
  <c r="J79" i="15"/>
  <c r="J80" i="15" s="1"/>
  <c r="J81" i="15" s="1"/>
  <c r="J82" i="15" s="1"/>
  <c r="J79" i="19"/>
  <c r="J80" i="19" s="1"/>
  <c r="J79" i="20"/>
  <c r="J80" i="20" s="1"/>
  <c r="J81" i="20" s="1"/>
  <c r="J82" i="20" s="1"/>
  <c r="J79" i="22"/>
  <c r="J80" i="22" s="1"/>
  <c r="G151" i="53"/>
  <c r="G250" i="53"/>
  <c r="P155" i="24"/>
  <c r="N223" i="53"/>
  <c r="N124" i="53"/>
  <c r="N232" i="53"/>
  <c r="N133" i="53"/>
  <c r="M239" i="53"/>
  <c r="M140" i="53"/>
  <c r="H259" i="53"/>
  <c r="H160" i="53"/>
  <c r="J60" i="6"/>
  <c r="J45" i="6"/>
  <c r="J46" i="6" s="1"/>
  <c r="AH39" i="6"/>
  <c r="AE39" i="6"/>
  <c r="AF39" i="6" s="1"/>
  <c r="Q44" i="6"/>
  <c r="AG72" i="25"/>
  <c r="AD72" i="25"/>
  <c r="AE72" i="25" s="1"/>
  <c r="P80" i="25"/>
  <c r="P22" i="41"/>
  <c r="P130" i="18"/>
  <c r="D173" i="10"/>
  <c r="P173" i="10" s="1"/>
  <c r="L219" i="53"/>
  <c r="L120" i="53"/>
  <c r="I240" i="53"/>
  <c r="I141" i="53" s="1"/>
  <c r="N237" i="53"/>
  <c r="N138" i="53" s="1"/>
  <c r="K242" i="53"/>
  <c r="K143" i="53"/>
  <c r="K129" i="18" s="1"/>
  <c r="P23" i="47"/>
  <c r="I221" i="10"/>
  <c r="I101" i="10"/>
  <c r="I228" i="10" s="1"/>
  <c r="I181" i="10"/>
  <c r="D221" i="10"/>
  <c r="P94" i="10"/>
  <c r="D101" i="10"/>
  <c r="D228" i="10" s="1"/>
  <c r="D181" i="10"/>
  <c r="AG22" i="44"/>
  <c r="AD22" i="44"/>
  <c r="AE22" i="44" s="1"/>
  <c r="P46" i="44"/>
  <c r="AG22" i="45"/>
  <c r="AD22" i="45"/>
  <c r="AE22" i="45" s="1"/>
  <c r="P46" i="45"/>
  <c r="P44" i="5"/>
  <c r="J224" i="53"/>
  <c r="J125" i="53"/>
  <c r="J234" i="53"/>
  <c r="J135" i="53"/>
  <c r="E214" i="53"/>
  <c r="E119" i="53"/>
  <c r="E218" i="53"/>
  <c r="G248" i="53"/>
  <c r="G149" i="53" s="1"/>
  <c r="J22" i="28"/>
  <c r="K33" i="32"/>
  <c r="E256" i="53"/>
  <c r="E157" i="53" s="1"/>
  <c r="E257" i="53"/>
  <c r="E158" i="53" s="1"/>
  <c r="E222" i="53"/>
  <c r="E123" i="53" s="1"/>
  <c r="N260" i="53"/>
  <c r="N161" i="53" s="1"/>
  <c r="N257" i="53"/>
  <c r="N158" i="53" s="1"/>
  <c r="N262" i="53"/>
  <c r="N163" i="53" s="1"/>
  <c r="O254" i="53"/>
  <c r="O155" i="53" s="1"/>
  <c r="O251" i="53"/>
  <c r="O152" i="53" s="1"/>
  <c r="O260" i="53"/>
  <c r="O161" i="53" s="1"/>
  <c r="F122" i="53"/>
  <c r="F221" i="53"/>
  <c r="F44" i="7"/>
  <c r="J207" i="54"/>
  <c r="J262" i="54" s="1"/>
  <c r="L189" i="54"/>
  <c r="G290" i="54"/>
  <c r="F253" i="53"/>
  <c r="F154" i="53"/>
  <c r="G243" i="53"/>
  <c r="G144" i="53"/>
  <c r="F225" i="53"/>
  <c r="F126" i="53" s="1"/>
  <c r="F58" i="37"/>
  <c r="F59" i="37" s="1"/>
  <c r="F12" i="37" s="1"/>
  <c r="F24" i="37" s="1"/>
  <c r="E72" i="28"/>
  <c r="E76" i="28" s="1"/>
  <c r="E77" i="28" s="1"/>
  <c r="E143" i="26"/>
  <c r="E157" i="26" s="1"/>
  <c r="E143" i="25"/>
  <c r="E157" i="25" s="1"/>
  <c r="E148" i="25"/>
  <c r="E162" i="25" s="1"/>
  <c r="E148" i="26"/>
  <c r="E162" i="26" s="1"/>
  <c r="F12" i="1"/>
  <c r="O148" i="26"/>
  <c r="O162" i="26" s="1"/>
  <c r="O148" i="25"/>
  <c r="O162" i="25" s="1"/>
  <c r="O147" i="26"/>
  <c r="O161" i="26" s="1"/>
  <c r="O147" i="25"/>
  <c r="O161" i="25" s="1"/>
  <c r="I164" i="10"/>
  <c r="J121" i="18"/>
  <c r="AD33" i="17"/>
  <c r="AE33" i="17" s="1"/>
  <c r="AG33" i="17"/>
  <c r="K43" i="50"/>
  <c r="L254" i="53"/>
  <c r="L155" i="53"/>
  <c r="L222" i="53"/>
  <c r="L123" i="53"/>
  <c r="L255" i="53"/>
  <c r="L156" i="53"/>
  <c r="F244" i="53"/>
  <c r="F145" i="53"/>
  <c r="F262" i="53"/>
  <c r="F163" i="53"/>
  <c r="F241" i="53"/>
  <c r="F142" i="53"/>
  <c r="F129" i="22" s="1"/>
  <c r="F133" i="22" s="1"/>
  <c r="G262" i="53"/>
  <c r="G163" i="53"/>
  <c r="G256" i="53"/>
  <c r="G157" i="53"/>
  <c r="G244" i="53"/>
  <c r="G145" i="53"/>
  <c r="K153" i="26"/>
  <c r="K167" i="26" s="1"/>
  <c r="K153" i="25"/>
  <c r="K167" i="25" s="1"/>
  <c r="K79" i="22" s="1"/>
  <c r="K80" i="22" s="1"/>
  <c r="K146" i="26"/>
  <c r="K160" i="26" s="1"/>
  <c r="K146" i="25"/>
  <c r="K160" i="25" s="1"/>
  <c r="G263" i="54"/>
  <c r="AG23" i="51"/>
  <c r="AD23" i="51"/>
  <c r="AE23" i="51" s="1"/>
  <c r="P63" i="51"/>
  <c r="AH35" i="35"/>
  <c r="AE35" i="35"/>
  <c r="AF35" i="35" s="1"/>
  <c r="Q39" i="35"/>
  <c r="N79" i="19"/>
  <c r="N80" i="19" s="1"/>
  <c r="N79" i="14"/>
  <c r="N80" i="14" s="1"/>
  <c r="N81" i="14" s="1"/>
  <c r="N82" i="14" s="1"/>
  <c r="N79" i="20"/>
  <c r="N80" i="20" s="1"/>
  <c r="N81" i="20" s="1"/>
  <c r="N82" i="20" s="1"/>
  <c r="N79" i="22"/>
  <c r="N80" i="22" s="1"/>
  <c r="J16" i="1"/>
  <c r="P152" i="25"/>
  <c r="F232" i="53"/>
  <c r="F133" i="53" s="1"/>
  <c r="I239" i="53"/>
  <c r="I140" i="53" s="1"/>
  <c r="E162" i="24"/>
  <c r="E79" i="16" s="1"/>
  <c r="E80" i="16" s="1"/>
  <c r="E81" i="16" s="1"/>
  <c r="E82" i="16" s="1"/>
  <c r="E166" i="24"/>
  <c r="E79" i="20" s="1"/>
  <c r="E80" i="20" s="1"/>
  <c r="E81" i="20" s="1"/>
  <c r="E82" i="20" s="1"/>
  <c r="E79" i="12"/>
  <c r="E80" i="12" s="1"/>
  <c r="E81" i="12" s="1"/>
  <c r="E82" i="12" s="1"/>
  <c r="K60" i="6"/>
  <c r="K45" i="6"/>
  <c r="K46" i="6" s="1"/>
  <c r="L152" i="26"/>
  <c r="L166" i="26" s="1"/>
  <c r="L152" i="25"/>
  <c r="L166" i="25" s="1"/>
  <c r="L79" i="20" s="1"/>
  <c r="L80" i="20" s="1"/>
  <c r="L81" i="20" s="1"/>
  <c r="L82" i="20" s="1"/>
  <c r="L154" i="26"/>
  <c r="L168" i="26" s="1"/>
  <c r="L154" i="25"/>
  <c r="L168" i="25" s="1"/>
  <c r="L79" i="23" s="1"/>
  <c r="L80" i="23" s="1"/>
  <c r="L81" i="23" s="1"/>
  <c r="L82" i="23" s="1"/>
  <c r="L150" i="26"/>
  <c r="L164" i="26" s="1"/>
  <c r="L150" i="25"/>
  <c r="L164" i="25" s="1"/>
  <c r="L79" i="17" s="1"/>
  <c r="L80" i="17" s="1"/>
  <c r="L81" i="17" s="1"/>
  <c r="L82" i="17" s="1"/>
  <c r="M44" i="5"/>
  <c r="I305" i="54"/>
  <c r="G150" i="26"/>
  <c r="G164" i="26" s="1"/>
  <c r="G150" i="25"/>
  <c r="G164" i="25" s="1"/>
  <c r="H12" i="1"/>
  <c r="AD33" i="21"/>
  <c r="AE33" i="21" s="1"/>
  <c r="AG33" i="21"/>
  <c r="H120" i="53"/>
  <c r="H219" i="53"/>
  <c r="H263" i="53" s="1"/>
  <c r="O237" i="53"/>
  <c r="O138" i="53" s="1"/>
  <c r="I242" i="53"/>
  <c r="I143" i="53" s="1"/>
  <c r="I129" i="18" s="1"/>
  <c r="N221" i="10"/>
  <c r="N181" i="10"/>
  <c r="N101" i="10"/>
  <c r="N228" i="10" s="1"/>
  <c r="AG55" i="50"/>
  <c r="P56" i="50"/>
  <c r="AD55" i="50"/>
  <c r="AE55" i="50" s="1"/>
  <c r="N16" i="1"/>
  <c r="O79" i="15"/>
  <c r="O80" i="15" s="1"/>
  <c r="O81" i="15" s="1"/>
  <c r="O82" i="15" s="1"/>
  <c r="K79" i="21"/>
  <c r="K80" i="21" s="1"/>
  <c r="K81" i="21" s="1"/>
  <c r="K82" i="21" s="1"/>
  <c r="F79" i="17"/>
  <c r="F80" i="17" s="1"/>
  <c r="F81" i="17" s="1"/>
  <c r="F82" i="17" s="1"/>
  <c r="L221" i="10"/>
  <c r="L101" i="10"/>
  <c r="L228" i="10" s="1"/>
  <c r="L181" i="10"/>
  <c r="J104" i="19"/>
  <c r="I147" i="10"/>
  <c r="I79" i="13"/>
  <c r="I80" i="13" s="1"/>
  <c r="I81" i="13" s="1"/>
  <c r="I82" i="13" s="1"/>
  <c r="M222" i="53"/>
  <c r="M123" i="53" s="1"/>
  <c r="H241" i="53"/>
  <c r="H142" i="53"/>
  <c r="H129" i="22" s="1"/>
  <c r="H133" i="22" s="1"/>
  <c r="H257" i="53"/>
  <c r="H158" i="53"/>
  <c r="H251" i="53"/>
  <c r="H152" i="53"/>
  <c r="K238" i="53"/>
  <c r="K139" i="53"/>
  <c r="K129" i="19" s="1"/>
  <c r="K133" i="19" s="1"/>
  <c r="K260" i="53"/>
  <c r="K161" i="53"/>
  <c r="K222" i="53"/>
  <c r="K123" i="53"/>
  <c r="AH20" i="5"/>
  <c r="Q106" i="5"/>
  <c r="AE20" i="5"/>
  <c r="AF20" i="5" s="1"/>
  <c r="G258" i="53"/>
  <c r="G159" i="53"/>
  <c r="J243" i="53"/>
  <c r="J144" i="53"/>
  <c r="F220" i="53"/>
  <c r="F121" i="53"/>
  <c r="I252" i="53"/>
  <c r="I153" i="53"/>
  <c r="J54" i="37" s="1"/>
  <c r="L117" i="18"/>
  <c r="K160" i="10"/>
  <c r="J170" i="25"/>
  <c r="J171" i="25" s="1"/>
  <c r="I22" i="28"/>
  <c r="J33" i="32"/>
  <c r="AE28" i="32"/>
  <c r="AF28" i="32" s="1"/>
  <c r="AH28" i="32"/>
  <c r="Q32" i="32"/>
  <c r="AG23" i="50"/>
  <c r="AD23" i="50"/>
  <c r="AE23" i="50" s="1"/>
  <c r="P42" i="50"/>
  <c r="I245" i="53"/>
  <c r="I146" i="53" s="1"/>
  <c r="I158" i="53"/>
  <c r="I257" i="53"/>
  <c r="I222" i="53"/>
  <c r="I123" i="53" s="1"/>
  <c r="J244" i="53"/>
  <c r="J145" i="53" s="1"/>
  <c r="J255" i="53"/>
  <c r="J156" i="53" s="1"/>
  <c r="J238" i="53"/>
  <c r="J139" i="53" s="1"/>
  <c r="J129" i="19" s="1"/>
  <c r="J133" i="19" s="1"/>
  <c r="AH26" i="7"/>
  <c r="AE26" i="7"/>
  <c r="AF26" i="7" s="1"/>
  <c r="L249" i="53"/>
  <c r="L150" i="53"/>
  <c r="H311" i="54"/>
  <c r="H148" i="10"/>
  <c r="AG33" i="16"/>
  <c r="AD33" i="16"/>
  <c r="AE33" i="16" s="1"/>
  <c r="V37" i="1"/>
  <c r="V41" i="1"/>
  <c r="V56" i="1" s="1"/>
  <c r="N261" i="53"/>
  <c r="N162" i="53" s="1"/>
  <c r="O133" i="53"/>
  <c r="O232" i="53"/>
  <c r="F236" i="53"/>
  <c r="F137" i="53" s="1"/>
  <c r="J239" i="53"/>
  <c r="J140" i="53" s="1"/>
  <c r="J60" i="7"/>
  <c r="J45" i="7"/>
  <c r="J46" i="7" s="1"/>
  <c r="M79" i="13"/>
  <c r="M80" i="13" s="1"/>
  <c r="M81" i="13" s="1"/>
  <c r="M82" i="13" s="1"/>
  <c r="G79" i="22"/>
  <c r="G80" i="22" s="1"/>
  <c r="G170" i="24"/>
  <c r="G171" i="24" s="1"/>
  <c r="G79" i="11"/>
  <c r="G80" i="11" s="1"/>
  <c r="G81" i="11" s="1"/>
  <c r="G82" i="11" s="1"/>
  <c r="G79" i="13"/>
  <c r="G80" i="13" s="1"/>
  <c r="G81" i="13" s="1"/>
  <c r="G82" i="13" s="1"/>
  <c r="I60" i="6"/>
  <c r="I45" i="6"/>
  <c r="I46" i="6" s="1"/>
  <c r="H170" i="26"/>
  <c r="H171" i="26" s="1"/>
  <c r="Q45" i="37"/>
  <c r="D63" i="28"/>
  <c r="E47" i="37"/>
  <c r="E120" i="53"/>
  <c r="E219" i="53"/>
  <c r="J240" i="53"/>
  <c r="J141" i="53" s="1"/>
  <c r="I233" i="53"/>
  <c r="I134" i="53" s="1"/>
  <c r="F242" i="53"/>
  <c r="F143" i="53" s="1"/>
  <c r="F129" i="18" s="1"/>
  <c r="F316" i="54"/>
  <c r="F314" i="54"/>
  <c r="H221" i="10"/>
  <c r="H181" i="10"/>
  <c r="H101" i="10"/>
  <c r="H228" i="10" s="1"/>
  <c r="G304" i="54"/>
  <c r="K114" i="22"/>
  <c r="N214" i="53"/>
  <c r="L248" i="53"/>
  <c r="L149" i="53"/>
  <c r="AG17" i="53"/>
  <c r="AD17" i="53"/>
  <c r="AE17" i="53" s="1"/>
  <c r="P21" i="53"/>
  <c r="J79" i="14"/>
  <c r="J80" i="14" s="1"/>
  <c r="J81" i="14" s="1"/>
  <c r="J82" i="14" s="1"/>
  <c r="J79" i="17"/>
  <c r="J80" i="17" s="1"/>
  <c r="J81" i="17" s="1"/>
  <c r="J82" i="17" s="1"/>
  <c r="AD130" i="22"/>
  <c r="AE130" i="22" s="1"/>
  <c r="AG130" i="22"/>
  <c r="AD137" i="10"/>
  <c r="AE137" i="10" s="1"/>
  <c r="AG137" i="10"/>
  <c r="O261" i="53"/>
  <c r="O162" i="53" s="1"/>
  <c r="L236" i="53"/>
  <c r="L137" i="53" s="1"/>
  <c r="H239" i="53"/>
  <c r="H140" i="53" s="1"/>
  <c r="O160" i="53"/>
  <c r="O259" i="53"/>
  <c r="O39" i="5"/>
  <c r="AD72" i="26"/>
  <c r="AE72" i="26" s="1"/>
  <c r="AG72" i="26"/>
  <c r="P80" i="26"/>
  <c r="D26" i="28"/>
  <c r="E27" i="36"/>
  <c r="AG22" i="42"/>
  <c r="AD22" i="42"/>
  <c r="AE22" i="42" s="1"/>
  <c r="P46" i="42"/>
  <c r="AH37" i="37"/>
  <c r="AE37" i="37"/>
  <c r="AF37" i="37" s="1"/>
  <c r="AD133" i="10"/>
  <c r="AE133" i="10" s="1"/>
  <c r="AG133" i="10"/>
  <c r="J219" i="53"/>
  <c r="J120" i="53" s="1"/>
  <c r="E240" i="53"/>
  <c r="E141" i="53" s="1"/>
  <c r="N134" i="53"/>
  <c r="N233" i="53"/>
  <c r="H237" i="53"/>
  <c r="H138" i="53" s="1"/>
  <c r="G258" i="54"/>
  <c r="G261" i="54"/>
  <c r="AG72" i="14"/>
  <c r="AD72" i="14"/>
  <c r="AE72" i="14" s="1"/>
  <c r="D24" i="28"/>
  <c r="E45" i="34"/>
  <c r="E46" i="34" s="1"/>
  <c r="AG23" i="49"/>
  <c r="AD23" i="49"/>
  <c r="AE23" i="49" s="1"/>
  <c r="P42" i="49"/>
  <c r="AD72" i="13"/>
  <c r="AE72" i="13" s="1"/>
  <c r="AG72" i="13"/>
  <c r="F170" i="26"/>
  <c r="F171" i="26" s="1"/>
  <c r="N246" i="53"/>
  <c r="N147" i="53" s="1"/>
  <c r="E224" i="53"/>
  <c r="E125" i="53" s="1"/>
  <c r="AA31" i="55"/>
  <c r="AA91" i="43"/>
  <c r="AA92" i="43"/>
  <c r="AB78" i="1"/>
  <c r="K145" i="26"/>
  <c r="K159" i="26" s="1"/>
  <c r="K145" i="25"/>
  <c r="K159" i="25" s="1"/>
  <c r="K79" i="12" s="1"/>
  <c r="K80" i="12" s="1"/>
  <c r="K81" i="12" s="1"/>
  <c r="K82" i="12" s="1"/>
  <c r="I247" i="53"/>
  <c r="I148" i="53" s="1"/>
  <c r="E135" i="53"/>
  <c r="E234" i="53"/>
  <c r="L218" i="53"/>
  <c r="L214" i="53"/>
  <c r="L119" i="53"/>
  <c r="F248" i="53"/>
  <c r="F149" i="53"/>
  <c r="E155" i="26"/>
  <c r="E169" i="26" s="1"/>
  <c r="E155" i="25"/>
  <c r="E169" i="25" s="1"/>
  <c r="E241" i="53"/>
  <c r="E142" i="53"/>
  <c r="E129" i="22" s="1"/>
  <c r="E133" i="22" s="1"/>
  <c r="E245" i="53"/>
  <c r="E146" i="53" s="1"/>
  <c r="E238" i="53"/>
  <c r="E139" i="53"/>
  <c r="E129" i="19" s="1"/>
  <c r="E133" i="19" s="1"/>
  <c r="N241" i="53"/>
  <c r="N142" i="53"/>
  <c r="N129" i="22" s="1"/>
  <c r="N133" i="22" s="1"/>
  <c r="N255" i="53"/>
  <c r="N156" i="53"/>
  <c r="N251" i="53"/>
  <c r="N152" i="53"/>
  <c r="O257" i="53"/>
  <c r="O158" i="53"/>
  <c r="O238" i="53"/>
  <c r="O139" i="53"/>
  <c r="O129" i="19" s="1"/>
  <c r="O133" i="19" s="1"/>
  <c r="O241" i="53"/>
  <c r="O142" i="53"/>
  <c r="O129" i="22" s="1"/>
  <c r="O133" i="22" s="1"/>
  <c r="F249" i="53"/>
  <c r="F150" i="53"/>
  <c r="I262" i="54"/>
  <c r="L250" i="53"/>
  <c r="L151" i="53" s="1"/>
  <c r="H72" i="28"/>
  <c r="H76" i="28" s="1"/>
  <c r="H77" i="28" s="1"/>
  <c r="I58" i="37"/>
  <c r="I59" i="37" s="1"/>
  <c r="I12" i="37" s="1"/>
  <c r="I24" i="37" s="1"/>
  <c r="L60" i="7"/>
  <c r="L45" i="7"/>
  <c r="L46" i="7" s="1"/>
  <c r="E151" i="26"/>
  <c r="E165" i="26" s="1"/>
  <c r="E151" i="25"/>
  <c r="E165" i="25" s="1"/>
  <c r="E144" i="26"/>
  <c r="E158" i="26" s="1"/>
  <c r="E144" i="25"/>
  <c r="E158" i="25" s="1"/>
  <c r="E79" i="13" s="1"/>
  <c r="E80" i="13" s="1"/>
  <c r="E81" i="13" s="1"/>
  <c r="E82" i="13" s="1"/>
  <c r="O144" i="26"/>
  <c r="O158" i="26" s="1"/>
  <c r="O170" i="26" s="1"/>
  <c r="O171" i="26" s="1"/>
  <c r="O144" i="25"/>
  <c r="O158" i="25" s="1"/>
  <c r="O170" i="25" s="1"/>
  <c r="O171" i="25" s="1"/>
  <c r="P12" i="1"/>
  <c r="P48" i="10"/>
  <c r="AG24" i="10"/>
  <c r="P139" i="10"/>
  <c r="H252" i="54"/>
  <c r="J199" i="54"/>
  <c r="F119" i="53"/>
  <c r="F214" i="53"/>
  <c r="F218" i="53"/>
  <c r="K149" i="26"/>
  <c r="K163" i="26" s="1"/>
  <c r="K149" i="25"/>
  <c r="K163" i="25" s="1"/>
  <c r="K79" i="18" s="1"/>
  <c r="K80" i="18" s="1"/>
  <c r="L257" i="53"/>
  <c r="L158" i="53" s="1"/>
  <c r="L256" i="53"/>
  <c r="L157" i="53"/>
  <c r="L244" i="53"/>
  <c r="L145" i="53"/>
  <c r="F251" i="53"/>
  <c r="F152" i="53"/>
  <c r="F256" i="53"/>
  <c r="F157" i="53"/>
  <c r="F238" i="53"/>
  <c r="F139" i="53"/>
  <c r="F129" i="19" s="1"/>
  <c r="F133" i="19" s="1"/>
  <c r="G222" i="53"/>
  <c r="G123" i="53"/>
  <c r="G260" i="53"/>
  <c r="G161" i="53"/>
  <c r="G257" i="53"/>
  <c r="G158" i="53"/>
  <c r="U64" i="1"/>
  <c r="U57" i="1"/>
  <c r="K148" i="26"/>
  <c r="K162" i="26" s="1"/>
  <c r="K148" i="25"/>
  <c r="K162" i="25" s="1"/>
  <c r="K79" i="16" s="1"/>
  <c r="K80" i="16" s="1"/>
  <c r="K81" i="16" s="1"/>
  <c r="K82" i="16" s="1"/>
  <c r="L132" i="5"/>
  <c r="K16" i="1"/>
  <c r="AG72" i="18"/>
  <c r="AD72" i="18"/>
  <c r="AE72" i="18" s="1"/>
  <c r="AD72" i="19"/>
  <c r="AE72" i="19" s="1"/>
  <c r="AG72" i="19"/>
  <c r="D23" i="28"/>
  <c r="E32" i="33"/>
  <c r="AG72" i="20"/>
  <c r="AD72" i="20"/>
  <c r="AE72" i="20" s="1"/>
  <c r="D28" i="28"/>
  <c r="E18" i="39"/>
  <c r="N79" i="17"/>
  <c r="N80" i="17" s="1"/>
  <c r="N81" i="17" s="1"/>
  <c r="N82" i="17" s="1"/>
  <c r="N79" i="23"/>
  <c r="N80" i="23" s="1"/>
  <c r="N81" i="23" s="1"/>
  <c r="N82" i="23" s="1"/>
  <c r="P152" i="24"/>
  <c r="P151" i="26"/>
  <c r="I223" i="53"/>
  <c r="I124" i="53" s="1"/>
  <c r="H236" i="53"/>
  <c r="H137" i="53"/>
  <c r="F239" i="53"/>
  <c r="F140" i="53" s="1"/>
  <c r="E157" i="24"/>
  <c r="E79" i="23"/>
  <c r="E80" i="23" s="1"/>
  <c r="E81" i="23" s="1"/>
  <c r="E82" i="23" s="1"/>
  <c r="F60" i="6"/>
  <c r="F45" i="6"/>
  <c r="F46" i="6" s="1"/>
  <c r="G39" i="5"/>
  <c r="L147" i="26"/>
  <c r="L161" i="26" s="1"/>
  <c r="L147" i="25"/>
  <c r="L161" i="25" s="1"/>
  <c r="L79" i="15" s="1"/>
  <c r="L80" i="15" s="1"/>
  <c r="L81" i="15" s="1"/>
  <c r="L82" i="15" s="1"/>
  <c r="L143" i="26"/>
  <c r="L157" i="26" s="1"/>
  <c r="L143" i="25"/>
  <c r="L157" i="25" s="1"/>
  <c r="M12" i="1"/>
  <c r="J170" i="26"/>
  <c r="J171" i="26" s="1"/>
  <c r="G146" i="25"/>
  <c r="G160" i="25" s="1"/>
  <c r="G146" i="26"/>
  <c r="G160" i="26" s="1"/>
  <c r="G147" i="26"/>
  <c r="G161" i="26" s="1"/>
  <c r="G147" i="25"/>
  <c r="G161" i="25" s="1"/>
  <c r="K240" i="53"/>
  <c r="K141" i="53" s="1"/>
  <c r="O233" i="53"/>
  <c r="O134" i="53" s="1"/>
  <c r="J138" i="53"/>
  <c r="J237" i="53"/>
  <c r="G242" i="53"/>
  <c r="G143" i="53" s="1"/>
  <c r="G129" i="18" s="1"/>
  <c r="O221" i="10"/>
  <c r="O101" i="10"/>
  <c r="O228" i="10" s="1"/>
  <c r="O181" i="10"/>
  <c r="N236" i="53"/>
  <c r="N137" i="53"/>
  <c r="L170" i="24"/>
  <c r="L171" i="24" s="1"/>
  <c r="L79" i="11"/>
  <c r="L80" i="11" s="1"/>
  <c r="L81" i="11" s="1"/>
  <c r="L82" i="11" s="1"/>
  <c r="O79" i="16"/>
  <c r="O80" i="16" s="1"/>
  <c r="O81" i="16" s="1"/>
  <c r="O82" i="16" s="1"/>
  <c r="H240" i="53"/>
  <c r="H141" i="53"/>
  <c r="F79" i="23"/>
  <c r="F80" i="23" s="1"/>
  <c r="F81" i="23" s="1"/>
  <c r="F82" i="23" s="1"/>
  <c r="K224" i="53"/>
  <c r="K125" i="53"/>
  <c r="I16" i="1"/>
  <c r="J247" i="53"/>
  <c r="J148" i="53"/>
  <c r="O248" i="53"/>
  <c r="O149" i="53"/>
  <c r="I79" i="12"/>
  <c r="I80" i="12" s="1"/>
  <c r="I81" i="12" s="1"/>
  <c r="I82" i="12" s="1"/>
  <c r="H22" i="28"/>
  <c r="I33" i="32"/>
  <c r="M244" i="53"/>
  <c r="M145" i="53" s="1"/>
  <c r="P145" i="25"/>
  <c r="K79" i="14"/>
  <c r="K80" i="14" s="1"/>
  <c r="K81" i="14" s="1"/>
  <c r="K82" i="14" s="1"/>
  <c r="K170" i="24"/>
  <c r="K171" i="24" s="1"/>
  <c r="L143" i="53"/>
  <c r="L129" i="18" s="1"/>
  <c r="L242" i="53"/>
  <c r="F79" i="15"/>
  <c r="F80" i="15" s="1"/>
  <c r="F81" i="15" s="1"/>
  <c r="F82" i="15" s="1"/>
  <c r="F79" i="13"/>
  <c r="F80" i="13" s="1"/>
  <c r="F81" i="13" s="1"/>
  <c r="F82" i="13" s="1"/>
  <c r="H239" i="54"/>
  <c r="H294" i="54" s="1"/>
  <c r="J194" i="54"/>
  <c r="H210" i="54"/>
  <c r="H265" i="54" s="1"/>
  <c r="J191" i="54"/>
  <c r="AE56" i="8"/>
  <c r="AF56" i="8" s="1"/>
  <c r="AH56" i="8"/>
  <c r="L246" i="53"/>
  <c r="L147" i="53" s="1"/>
  <c r="N224" i="53"/>
  <c r="N125" i="53" s="1"/>
  <c r="M214" i="53"/>
  <c r="M218" i="53"/>
  <c r="M119" i="53"/>
  <c r="I248" i="53"/>
  <c r="I149" i="53"/>
  <c r="I79" i="20"/>
  <c r="I80" i="20" s="1"/>
  <c r="I81" i="20" s="1"/>
  <c r="I82" i="20" s="1"/>
  <c r="I79" i="18"/>
  <c r="I80" i="18" s="1"/>
  <c r="M241" i="53"/>
  <c r="M142" i="53"/>
  <c r="M129" i="22" s="1"/>
  <c r="M133" i="22" s="1"/>
  <c r="M260" i="53"/>
  <c r="M161" i="53"/>
  <c r="M256" i="53"/>
  <c r="M157" i="53"/>
  <c r="H256" i="53"/>
  <c r="H157" i="53"/>
  <c r="H255" i="53"/>
  <c r="H156" i="53"/>
  <c r="H222" i="53"/>
  <c r="H123" i="53"/>
  <c r="K245" i="53"/>
  <c r="K146" i="53"/>
  <c r="K241" i="53"/>
  <c r="K142" i="53"/>
  <c r="K129" i="22" s="1"/>
  <c r="K133" i="22" s="1"/>
  <c r="K257" i="53"/>
  <c r="K158" i="53"/>
  <c r="E60" i="5"/>
  <c r="E18" i="1"/>
  <c r="E130" i="5"/>
  <c r="E45" i="5"/>
  <c r="E46" i="5" s="1"/>
  <c r="AD27" i="17"/>
  <c r="AE27" i="17" s="1"/>
  <c r="AG27" i="17"/>
  <c r="W64" i="1"/>
  <c r="W57" i="1"/>
  <c r="F243" i="53"/>
  <c r="F144" i="53"/>
  <c r="I220" i="53"/>
  <c r="I121" i="53"/>
  <c r="O72" i="28"/>
  <c r="O76" i="28" s="1"/>
  <c r="O77" i="28" s="1"/>
  <c r="P58" i="37"/>
  <c r="P59" i="37" s="1"/>
  <c r="P12" i="37" s="1"/>
  <c r="P24" i="37" s="1"/>
  <c r="AG33" i="20"/>
  <c r="AD33" i="20"/>
  <c r="AE33" i="20" s="1"/>
  <c r="AG72" i="21"/>
  <c r="AD72" i="21"/>
  <c r="AE72" i="21" s="1"/>
  <c r="AG72" i="15"/>
  <c r="AD72" i="15"/>
  <c r="AE72" i="15" s="1"/>
  <c r="I244" i="53"/>
  <c r="I145" i="53" s="1"/>
  <c r="I251" i="53"/>
  <c r="I152" i="53" s="1"/>
  <c r="I262" i="53"/>
  <c r="I163" i="53" s="1"/>
  <c r="J256" i="53"/>
  <c r="J157" i="53" s="1"/>
  <c r="J254" i="53"/>
  <c r="J155" i="53" s="1"/>
  <c r="J245" i="53"/>
  <c r="J146" i="53" s="1"/>
  <c r="F112" i="5"/>
  <c r="Q26" i="5"/>
  <c r="I256" i="54"/>
  <c r="I311" i="54" s="1"/>
  <c r="K202" i="54"/>
  <c r="I105" i="18"/>
  <c r="J102" i="18"/>
  <c r="I145" i="10"/>
  <c r="H60" i="7"/>
  <c r="H45" i="7"/>
  <c r="H46" i="7" s="1"/>
  <c r="AC37" i="1"/>
  <c r="AC41" i="1"/>
  <c r="AC56" i="1" s="1"/>
  <c r="Q31" i="55"/>
  <c r="Q92" i="43"/>
  <c r="Q91" i="43"/>
  <c r="R78" i="1"/>
  <c r="L261" i="53"/>
  <c r="L162" i="53" s="1"/>
  <c r="I232" i="53"/>
  <c r="I133" i="53" s="1"/>
  <c r="I236" i="53"/>
  <c r="I137" i="53" s="1"/>
  <c r="L259" i="53"/>
  <c r="L160" i="53" s="1"/>
  <c r="H253" i="54"/>
  <c r="H308" i="54" s="1"/>
  <c r="J200" i="54"/>
  <c r="AA41" i="1"/>
  <c r="AA56" i="1" s="1"/>
  <c r="AA37" i="1"/>
  <c r="M79" i="20"/>
  <c r="M80" i="20" s="1"/>
  <c r="M81" i="20" s="1"/>
  <c r="M82" i="20" s="1"/>
  <c r="M79" i="12"/>
  <c r="M80" i="12" s="1"/>
  <c r="M81" i="12" s="1"/>
  <c r="M82" i="12" s="1"/>
  <c r="H170" i="24"/>
  <c r="H171" i="24" s="1"/>
  <c r="H79" i="11"/>
  <c r="H80" i="11" s="1"/>
  <c r="H81" i="11" s="1"/>
  <c r="H82" i="11" s="1"/>
  <c r="G79" i="14"/>
  <c r="G80" i="14" s="1"/>
  <c r="G81" i="14" s="1"/>
  <c r="G82" i="14" s="1"/>
  <c r="G79" i="17"/>
  <c r="G80" i="17" s="1"/>
  <c r="G81" i="17" s="1"/>
  <c r="G82" i="17" s="1"/>
  <c r="G79" i="15"/>
  <c r="G80" i="15" s="1"/>
  <c r="G81" i="15" s="1"/>
  <c r="G82" i="15" s="1"/>
  <c r="G79" i="16"/>
  <c r="G80" i="16" s="1"/>
  <c r="G81" i="16" s="1"/>
  <c r="G82" i="16" s="1"/>
  <c r="J237" i="54"/>
  <c r="J292" i="54" s="1"/>
  <c r="L193" i="54"/>
  <c r="G16" i="1"/>
  <c r="G233" i="53"/>
  <c r="G134" i="53"/>
  <c r="G237" i="53"/>
  <c r="G138" i="53" s="1"/>
  <c r="H133" i="18"/>
  <c r="J103" i="19"/>
  <c r="I146" i="10"/>
  <c r="H249" i="54"/>
  <c r="H304" i="54" s="1"/>
  <c r="J196" i="54"/>
  <c r="I234" i="53"/>
  <c r="I135" i="53" s="1"/>
  <c r="J79" i="23"/>
  <c r="J80" i="23" s="1"/>
  <c r="J81" i="23" s="1"/>
  <c r="J82" i="23" s="1"/>
  <c r="J79" i="13"/>
  <c r="J80" i="13" s="1"/>
  <c r="J81" i="13" s="1"/>
  <c r="J82" i="13" s="1"/>
  <c r="J79" i="12"/>
  <c r="J80" i="12" s="1"/>
  <c r="J81" i="12" s="1"/>
  <c r="J82" i="12" s="1"/>
  <c r="L252" i="53"/>
  <c r="L153" i="53"/>
  <c r="M54" i="37" s="1"/>
  <c r="K102" i="22"/>
  <c r="J105" i="22"/>
  <c r="J261" i="53"/>
  <c r="J162" i="53"/>
  <c r="L232" i="53"/>
  <c r="L133" i="53"/>
  <c r="K236" i="53"/>
  <c r="K137" i="53" s="1"/>
  <c r="N239" i="53"/>
  <c r="N140" i="53"/>
  <c r="AE39" i="9"/>
  <c r="AF39" i="9" s="1"/>
  <c r="AH39" i="9"/>
  <c r="Q44" i="9"/>
  <c r="D169" i="24"/>
  <c r="D165" i="24"/>
  <c r="D161" i="24"/>
  <c r="D157" i="24"/>
  <c r="D168" i="24"/>
  <c r="D164" i="24"/>
  <c r="D160" i="24"/>
  <c r="D162" i="24"/>
  <c r="D163" i="24"/>
  <c r="D82" i="24"/>
  <c r="D166" i="24"/>
  <c r="D158" i="24"/>
  <c r="D159" i="24"/>
  <c r="D167" i="24"/>
  <c r="AG22" i="43"/>
  <c r="AD22" i="43"/>
  <c r="AE22" i="43" s="1"/>
  <c r="E60" i="6"/>
  <c r="E45" i="6"/>
  <c r="E46" i="6" s="1"/>
  <c r="O60" i="6"/>
  <c r="O45" i="6"/>
  <c r="O46" i="6" s="1"/>
  <c r="D169" i="26"/>
  <c r="D165" i="26"/>
  <c r="P165" i="26" s="1"/>
  <c r="D161" i="26"/>
  <c r="D157" i="26"/>
  <c r="D168" i="26"/>
  <c r="D164" i="26"/>
  <c r="D160" i="26"/>
  <c r="D82" i="26"/>
  <c r="D166" i="26"/>
  <c r="P166" i="26" s="1"/>
  <c r="D158" i="26"/>
  <c r="P158" i="26" s="1"/>
  <c r="D167" i="26"/>
  <c r="D159" i="26"/>
  <c r="P159" i="26" s="1"/>
  <c r="D162" i="26"/>
  <c r="P162" i="26" s="1"/>
  <c r="D163" i="26"/>
  <c r="AH22" i="36"/>
  <c r="AE22" i="36"/>
  <c r="AF22" i="36" s="1"/>
  <c r="Q26" i="36"/>
  <c r="AD47" i="10"/>
  <c r="AE47" i="10" s="1"/>
  <c r="AG47" i="10"/>
  <c r="U31" i="55"/>
  <c r="U92" i="43"/>
  <c r="U91" i="43"/>
  <c r="V78" i="1"/>
  <c r="G155" i="26"/>
  <c r="G169" i="26" s="1"/>
  <c r="G155" i="25"/>
  <c r="G169" i="25" s="1"/>
  <c r="G79" i="21" s="1"/>
  <c r="G80" i="21" s="1"/>
  <c r="G81" i="21" s="1"/>
  <c r="G82" i="21" s="1"/>
  <c r="N219" i="53"/>
  <c r="N263" i="53" s="1"/>
  <c r="E233" i="53"/>
  <c r="E134" i="53" s="1"/>
  <c r="M242" i="53"/>
  <c r="M143" i="53" s="1"/>
  <c r="M129" i="18" s="1"/>
  <c r="E147" i="26"/>
  <c r="E161" i="26" s="1"/>
  <c r="E147" i="25"/>
  <c r="E161" i="25" s="1"/>
  <c r="E79" i="15" s="1"/>
  <c r="E80" i="15" s="1"/>
  <c r="E81" i="15" s="1"/>
  <c r="E82" i="15" s="1"/>
  <c r="AH39" i="34"/>
  <c r="AE39" i="34"/>
  <c r="AF39" i="34" s="1"/>
  <c r="Q44" i="34"/>
  <c r="J221" i="10"/>
  <c r="J181" i="10"/>
  <c r="J101" i="10"/>
  <c r="J228" i="10" s="1"/>
  <c r="AG22" i="46"/>
  <c r="AD22" i="46"/>
  <c r="AE22" i="46" s="1"/>
  <c r="P46" i="46"/>
  <c r="AD73" i="28"/>
  <c r="AE73" i="28" s="1"/>
  <c r="AG73" i="28"/>
  <c r="P132" i="5"/>
  <c r="I246" i="53"/>
  <c r="I147" i="53"/>
  <c r="F247" i="53"/>
  <c r="F148" i="53"/>
  <c r="L234" i="53"/>
  <c r="L135" i="53"/>
  <c r="E22" i="28"/>
  <c r="F33" i="32"/>
  <c r="F22" i="28"/>
  <c r="G33" i="32"/>
  <c r="J43" i="50"/>
  <c r="E254" i="53"/>
  <c r="E155" i="53" s="1"/>
  <c r="E145" i="53"/>
  <c r="E244" i="53"/>
  <c r="E255" i="53"/>
  <c r="E156" i="53" s="1"/>
  <c r="N238" i="53"/>
  <c r="N139" i="53" s="1"/>
  <c r="N129" i="19" s="1"/>
  <c r="N133" i="19" s="1"/>
  <c r="N256" i="53"/>
  <c r="N157" i="53" s="1"/>
  <c r="N123" i="53"/>
  <c r="N222" i="53"/>
  <c r="O262" i="53"/>
  <c r="O163" i="53" s="1"/>
  <c r="O245" i="53"/>
  <c r="O146" i="53" s="1"/>
  <c r="O255" i="53"/>
  <c r="O156" i="53" s="1"/>
  <c r="K143" i="25"/>
  <c r="K157" i="25" s="1"/>
  <c r="K79" i="11" s="1"/>
  <c r="K80" i="11" s="1"/>
  <c r="K81" i="11" s="1"/>
  <c r="K82" i="11" s="1"/>
  <c r="K143" i="26"/>
  <c r="K157" i="26" s="1"/>
  <c r="AE21" i="7"/>
  <c r="AF21" i="7" s="1"/>
  <c r="AH21" i="7"/>
  <c r="Q44" i="7"/>
  <c r="F258" i="53"/>
  <c r="F159" i="53"/>
  <c r="Q103" i="5"/>
  <c r="AH17" i="5"/>
  <c r="AE17" i="5"/>
  <c r="AF17" i="5" s="1"/>
  <c r="J250" i="53"/>
  <c r="J151" i="53" s="1"/>
  <c r="AM75" i="1"/>
  <c r="AJ75" i="1"/>
  <c r="AE75" i="1"/>
  <c r="E150" i="26"/>
  <c r="E164" i="26" s="1"/>
  <c r="E150" i="25"/>
  <c r="E164" i="25" s="1"/>
  <c r="E79" i="17" s="1"/>
  <c r="E80" i="17" s="1"/>
  <c r="E81" i="17" s="1"/>
  <c r="E82" i="17" s="1"/>
  <c r="E149" i="26"/>
  <c r="E163" i="26" s="1"/>
  <c r="E149" i="25"/>
  <c r="E163" i="25" s="1"/>
  <c r="E79" i="18" s="1"/>
  <c r="E80" i="18" s="1"/>
  <c r="O146" i="25"/>
  <c r="O160" i="25" s="1"/>
  <c r="O79" i="14" s="1"/>
  <c r="O80" i="14" s="1"/>
  <c r="O81" i="14" s="1"/>
  <c r="O82" i="14" s="1"/>
  <c r="O146" i="26"/>
  <c r="O160" i="26" s="1"/>
  <c r="O154" i="25"/>
  <c r="O168" i="25" s="1"/>
  <c r="O79" i="23" s="1"/>
  <c r="O80" i="23" s="1"/>
  <c r="O81" i="23" s="1"/>
  <c r="O82" i="23" s="1"/>
  <c r="O154" i="26"/>
  <c r="O168" i="26" s="1"/>
  <c r="AE11" i="10"/>
  <c r="AD24" i="10"/>
  <c r="AE24" i="10" s="1"/>
  <c r="AG131" i="10"/>
  <c r="AD131" i="10"/>
  <c r="AE131" i="10" s="1"/>
  <c r="J246" i="53"/>
  <c r="J147" i="53"/>
  <c r="Z57" i="1"/>
  <c r="Z64" i="1"/>
  <c r="K254" i="54"/>
  <c r="K309" i="54" s="1"/>
  <c r="M201" i="54"/>
  <c r="F234" i="53"/>
  <c r="F135" i="53"/>
  <c r="H119" i="53"/>
  <c r="L22" i="28"/>
  <c r="M33" i="32"/>
  <c r="K22" i="28"/>
  <c r="L33" i="32"/>
  <c r="L245" i="53"/>
  <c r="L146" i="53" s="1"/>
  <c r="L260" i="53"/>
  <c r="L161" i="53" s="1"/>
  <c r="L251" i="53"/>
  <c r="L152" i="53" s="1"/>
  <c r="F254" i="53"/>
  <c r="F155" i="53" s="1"/>
  <c r="F123" i="53"/>
  <c r="F222" i="53"/>
  <c r="F260" i="53"/>
  <c r="F161" i="53" s="1"/>
  <c r="G245" i="53"/>
  <c r="G146" i="53" s="1"/>
  <c r="G241" i="53"/>
  <c r="G142" i="53" s="1"/>
  <c r="G129" i="22" s="1"/>
  <c r="G133" i="22" s="1"/>
  <c r="G255" i="53"/>
  <c r="G156" i="53" s="1"/>
  <c r="Q44" i="8"/>
  <c r="K150" i="25"/>
  <c r="K164" i="25" s="1"/>
  <c r="K79" i="17" s="1"/>
  <c r="K80" i="17" s="1"/>
  <c r="K81" i="17" s="1"/>
  <c r="K82" i="17" s="1"/>
  <c r="K150" i="26"/>
  <c r="K164" i="26" s="1"/>
  <c r="K147" i="26"/>
  <c r="K161" i="26" s="1"/>
  <c r="K147" i="25"/>
  <c r="K161" i="25" s="1"/>
  <c r="K79" i="15" s="1"/>
  <c r="K80" i="15" s="1"/>
  <c r="K81" i="15" s="1"/>
  <c r="K82" i="15" s="1"/>
  <c r="AG135" i="10"/>
  <c r="AD135" i="10"/>
  <c r="AE135" i="10" s="1"/>
  <c r="AE58" i="5"/>
  <c r="AF58" i="5" s="1"/>
  <c r="AH58" i="5"/>
  <c r="AH59" i="5"/>
  <c r="AE59" i="5"/>
  <c r="AF59" i="5" s="1"/>
  <c r="T64" i="1"/>
  <c r="T57" i="1"/>
  <c r="K58" i="37"/>
  <c r="K59" i="37" s="1"/>
  <c r="K12" i="37" s="1"/>
  <c r="K24" i="37" s="1"/>
  <c r="J72" i="28"/>
  <c r="J76" i="28" s="1"/>
  <c r="J77" i="28" s="1"/>
  <c r="AE27" i="33"/>
  <c r="AF27" i="33" s="1"/>
  <c r="AH27" i="33"/>
  <c r="Q31" i="33"/>
  <c r="AH16" i="39"/>
  <c r="Q17" i="39"/>
  <c r="AE16" i="39"/>
  <c r="AF16" i="39" s="1"/>
  <c r="N79" i="15"/>
  <c r="N80" i="15" s="1"/>
  <c r="N81" i="15" s="1"/>
  <c r="N82" i="15" s="1"/>
  <c r="N79" i="13"/>
  <c r="N80" i="13" s="1"/>
  <c r="N81" i="13" s="1"/>
  <c r="N82" i="13" s="1"/>
  <c r="N79" i="12"/>
  <c r="N80" i="12" s="1"/>
  <c r="N81" i="12" s="1"/>
  <c r="N82" i="12" s="1"/>
  <c r="P152" i="26"/>
  <c r="AD138" i="10"/>
  <c r="AE138" i="10" s="1"/>
  <c r="AG138" i="10"/>
  <c r="K261" i="53"/>
  <c r="K162" i="53"/>
  <c r="H232" i="53"/>
  <c r="H133" i="53" s="1"/>
  <c r="G236" i="53"/>
  <c r="G137" i="53" s="1"/>
  <c r="I259" i="53"/>
  <c r="I160" i="53"/>
  <c r="E169" i="24"/>
  <c r="E79" i="21" s="1"/>
  <c r="E80" i="21" s="1"/>
  <c r="E81" i="21" s="1"/>
  <c r="E82" i="21" s="1"/>
  <c r="E165" i="24"/>
  <c r="E79" i="19" s="1"/>
  <c r="E80" i="19" s="1"/>
  <c r="E167" i="24"/>
  <c r="E79" i="22" s="1"/>
  <c r="E80" i="22" s="1"/>
  <c r="G60" i="6"/>
  <c r="G45" i="6"/>
  <c r="G46" i="6" s="1"/>
  <c r="X24" i="1"/>
  <c r="X28" i="1" s="1"/>
  <c r="X36" i="1" s="1"/>
  <c r="X16" i="1"/>
  <c r="L149" i="26"/>
  <c r="L163" i="26" s="1"/>
  <c r="L149" i="25"/>
  <c r="L163" i="25" s="1"/>
  <c r="L79" i="18" s="1"/>
  <c r="L80" i="18" s="1"/>
  <c r="L153" i="25"/>
  <c r="L167" i="25" s="1"/>
  <c r="L79" i="22" s="1"/>
  <c r="L80" i="22" s="1"/>
  <c r="L153" i="26"/>
  <c r="L167" i="26" s="1"/>
  <c r="L146" i="26"/>
  <c r="L160" i="26" s="1"/>
  <c r="L146" i="25"/>
  <c r="L160" i="25" s="1"/>
  <c r="L79" i="14" s="1"/>
  <c r="L80" i="14" s="1"/>
  <c r="L81" i="14" s="1"/>
  <c r="L82" i="14" s="1"/>
  <c r="L114" i="19"/>
  <c r="M132" i="5"/>
  <c r="G154" i="25"/>
  <c r="G168" i="25" s="1"/>
  <c r="G79" i="23" s="1"/>
  <c r="G80" i="23" s="1"/>
  <c r="G81" i="23" s="1"/>
  <c r="G82" i="23" s="1"/>
  <c r="G154" i="26"/>
  <c r="G168" i="26" s="1"/>
  <c r="J233" i="53"/>
  <c r="J134" i="53" s="1"/>
  <c r="M237" i="53"/>
  <c r="M138" i="53"/>
  <c r="E221" i="10"/>
  <c r="E101" i="10"/>
  <c r="E228" i="10" s="1"/>
  <c r="E181" i="10"/>
  <c r="P9" i="50"/>
  <c r="E316" i="54"/>
  <c r="E314" i="54"/>
  <c r="N266" i="53" l="1"/>
  <c r="I133" i="18"/>
  <c r="I172" i="10"/>
  <c r="I176" i="10" s="1"/>
  <c r="I164" i="53"/>
  <c r="H133" i="19"/>
  <c r="H172" i="10"/>
  <c r="H176" i="10" s="1"/>
  <c r="F133" i="18"/>
  <c r="F172" i="10"/>
  <c r="F176" i="10" s="1"/>
  <c r="G58" i="37"/>
  <c r="G59" i="37" s="1"/>
  <c r="G12" i="37" s="1"/>
  <c r="G24" i="37" s="1"/>
  <c r="F72" i="28"/>
  <c r="F76" i="28" s="1"/>
  <c r="F77" i="28" s="1"/>
  <c r="M133" i="18"/>
  <c r="M172" i="10"/>
  <c r="M176" i="10" s="1"/>
  <c r="G133" i="18"/>
  <c r="G172" i="10"/>
  <c r="G176" i="10" s="1"/>
  <c r="H266" i="53"/>
  <c r="J133" i="18"/>
  <c r="J172" i="10"/>
  <c r="J176" i="10" s="1"/>
  <c r="O133" i="18"/>
  <c r="O172" i="10"/>
  <c r="O176" i="10" s="1"/>
  <c r="AH44" i="8"/>
  <c r="AE44" i="8"/>
  <c r="AF44" i="8" s="1"/>
  <c r="Q60" i="8"/>
  <c r="Q45" i="8"/>
  <c r="K34" i="28"/>
  <c r="K42" i="28" s="1"/>
  <c r="K30" i="28"/>
  <c r="L20" i="1" s="1"/>
  <c r="L25" i="1" s="1"/>
  <c r="Z65" i="1"/>
  <c r="Z68" i="1"/>
  <c r="Z69" i="1" s="1"/>
  <c r="P157" i="26"/>
  <c r="D170" i="26"/>
  <c r="D171" i="26" s="1"/>
  <c r="P159" i="24"/>
  <c r="D79" i="12"/>
  <c r="P163" i="24"/>
  <c r="D79" i="18"/>
  <c r="D79" i="23"/>
  <c r="P168" i="24"/>
  <c r="P169" i="24"/>
  <c r="D79" i="21"/>
  <c r="P150" i="25"/>
  <c r="F26" i="52"/>
  <c r="F27" i="52" s="1"/>
  <c r="F40" i="48"/>
  <c r="F88" i="46"/>
  <c r="F88" i="43"/>
  <c r="F37" i="43"/>
  <c r="F37" i="41" s="1"/>
  <c r="F36" i="43"/>
  <c r="F88" i="41"/>
  <c r="F88" i="44"/>
  <c r="F88" i="42"/>
  <c r="F88" i="45"/>
  <c r="G78" i="1"/>
  <c r="P146" i="25"/>
  <c r="I210" i="54"/>
  <c r="I265" i="54" s="1"/>
  <c r="K191" i="54"/>
  <c r="L133" i="18"/>
  <c r="L172" i="10"/>
  <c r="L176" i="10" s="1"/>
  <c r="H40" i="48"/>
  <c r="H88" i="46"/>
  <c r="H88" i="44"/>
  <c r="H88" i="42"/>
  <c r="H26" i="52"/>
  <c r="H27" i="52" s="1"/>
  <c r="H88" i="45"/>
  <c r="H88" i="43"/>
  <c r="H88" i="41"/>
  <c r="H36" i="43"/>
  <c r="H37" i="43"/>
  <c r="H37" i="41" s="1"/>
  <c r="I78" i="1"/>
  <c r="F263" i="53"/>
  <c r="H307" i="54"/>
  <c r="AG48" i="10"/>
  <c r="AD48" i="10"/>
  <c r="AE48" i="10" s="1"/>
  <c r="L263" i="53"/>
  <c r="P43" i="49"/>
  <c r="AG42" i="49"/>
  <c r="AD42" i="49"/>
  <c r="AE42" i="49" s="1"/>
  <c r="P24" i="28"/>
  <c r="D36" i="28"/>
  <c r="P47" i="42"/>
  <c r="AG46" i="42"/>
  <c r="AD46" i="42"/>
  <c r="AE46" i="42" s="1"/>
  <c r="P26" i="28"/>
  <c r="D38" i="28"/>
  <c r="O125" i="5"/>
  <c r="O44" i="5"/>
  <c r="O132" i="5"/>
  <c r="P63" i="28"/>
  <c r="D65" i="28"/>
  <c r="V57" i="1"/>
  <c r="V64" i="1"/>
  <c r="P144" i="26"/>
  <c r="AH32" i="32"/>
  <c r="Q33" i="32"/>
  <c r="AE32" i="32"/>
  <c r="AF32" i="32" s="1"/>
  <c r="I30" i="28"/>
  <c r="J20" i="1" s="1"/>
  <c r="J25" i="1" s="1"/>
  <c r="I34" i="28"/>
  <c r="I42" i="28" s="1"/>
  <c r="J58" i="37"/>
  <c r="J59" i="37" s="1"/>
  <c r="J12" i="37" s="1"/>
  <c r="J24" i="37" s="1"/>
  <c r="I72" i="28"/>
  <c r="I76" i="28" s="1"/>
  <c r="I77" i="28" s="1"/>
  <c r="AG56" i="50"/>
  <c r="AD56" i="50"/>
  <c r="AE56" i="50" s="1"/>
  <c r="P78" i="50"/>
  <c r="F16" i="1"/>
  <c r="E170" i="25"/>
  <c r="E171" i="25" s="1"/>
  <c r="K207" i="54"/>
  <c r="K262" i="54" s="1"/>
  <c r="M189" i="54"/>
  <c r="J30" i="28"/>
  <c r="K20" i="1" s="1"/>
  <c r="K25" i="1" s="1"/>
  <c r="J34" i="28"/>
  <c r="J42" i="28" s="1"/>
  <c r="E164" i="53"/>
  <c r="P147" i="26"/>
  <c r="D239" i="53"/>
  <c r="P239" i="53" s="1"/>
  <c r="P190" i="53"/>
  <c r="P171" i="53"/>
  <c r="D121" i="53"/>
  <c r="P121" i="53" s="1"/>
  <c r="D220" i="53"/>
  <c r="P220" i="53" s="1"/>
  <c r="D226" i="53"/>
  <c r="P226" i="53" s="1"/>
  <c r="P177" i="53"/>
  <c r="P178" i="53"/>
  <c r="D227" i="53"/>
  <c r="P227" i="53" s="1"/>
  <c r="D247" i="53"/>
  <c r="P247" i="53" s="1"/>
  <c r="P198" i="53"/>
  <c r="D148" i="53"/>
  <c r="P148" i="53" s="1"/>
  <c r="P193" i="53"/>
  <c r="D242" i="53"/>
  <c r="P242" i="53" s="1"/>
  <c r="D221" i="53"/>
  <c r="P221" i="53" s="1"/>
  <c r="P172" i="53"/>
  <c r="D122" i="53"/>
  <c r="P122" i="53" s="1"/>
  <c r="P187" i="53"/>
  <c r="D137" i="53"/>
  <c r="P137" i="53" s="1"/>
  <c r="D236" i="53"/>
  <c r="P236" i="53" s="1"/>
  <c r="D245" i="53"/>
  <c r="P245" i="53" s="1"/>
  <c r="P196" i="53"/>
  <c r="D222" i="53"/>
  <c r="P222" i="53" s="1"/>
  <c r="P173" i="53"/>
  <c r="D238" i="53"/>
  <c r="P238" i="53" s="1"/>
  <c r="P189" i="53"/>
  <c r="G164" i="53"/>
  <c r="R57" i="1"/>
  <c r="R64" i="1"/>
  <c r="U31" i="52"/>
  <c r="U28" i="52"/>
  <c r="N26" i="52"/>
  <c r="N27" i="52" s="1"/>
  <c r="N40" i="48"/>
  <c r="N88" i="46"/>
  <c r="N88" i="43"/>
  <c r="N37" i="43"/>
  <c r="N37" i="41" s="1"/>
  <c r="N36" i="43"/>
  <c r="N88" i="41"/>
  <c r="U29" i="52"/>
  <c r="N88" i="44"/>
  <c r="N88" i="42"/>
  <c r="N88" i="45"/>
  <c r="O78" i="1"/>
  <c r="O79" i="13"/>
  <c r="O80" i="13" s="1"/>
  <c r="O81" i="13" s="1"/>
  <c r="O82" i="13" s="1"/>
  <c r="AG55" i="47"/>
  <c r="AD55" i="47"/>
  <c r="AE55" i="47" s="1"/>
  <c r="P56" i="47"/>
  <c r="E60" i="7"/>
  <c r="E45" i="7"/>
  <c r="E46" i="7" s="1"/>
  <c r="O34" i="28"/>
  <c r="O42" i="28" s="1"/>
  <c r="O30" i="28"/>
  <c r="P20" i="1" s="1"/>
  <c r="P25" i="1" s="1"/>
  <c r="J164" i="53"/>
  <c r="H258" i="54"/>
  <c r="H261" i="54"/>
  <c r="G170" i="26"/>
  <c r="G171" i="26" s="1"/>
  <c r="P157" i="25"/>
  <c r="D170" i="25"/>
  <c r="D171" i="25" s="1"/>
  <c r="P163" i="25"/>
  <c r="P168" i="25"/>
  <c r="P150" i="26"/>
  <c r="P144" i="25"/>
  <c r="L114" i="18"/>
  <c r="K157" i="10"/>
  <c r="G34" i="28"/>
  <c r="G42" i="28" s="1"/>
  <c r="G30" i="28"/>
  <c r="Y64" i="1"/>
  <c r="Y57" i="1"/>
  <c r="K130" i="5"/>
  <c r="K60" i="5"/>
  <c r="K18" i="1"/>
  <c r="K45" i="5"/>
  <c r="K46" i="5" s="1"/>
  <c r="AG9" i="50"/>
  <c r="AD9" i="50"/>
  <c r="AE9" i="50" s="1"/>
  <c r="W31" i="55"/>
  <c r="W91" i="43"/>
  <c r="W92" i="43"/>
  <c r="X78" i="1"/>
  <c r="AH17" i="39"/>
  <c r="AE17" i="39"/>
  <c r="AF17" i="39" s="1"/>
  <c r="Q18" i="39"/>
  <c r="T68" i="1"/>
  <c r="T69" i="1" s="1"/>
  <c r="T65" i="1"/>
  <c r="K170" i="26"/>
  <c r="K171" i="26" s="1"/>
  <c r="E30" i="28"/>
  <c r="F20" i="1" s="1"/>
  <c r="F25" i="1" s="1"/>
  <c r="E34" i="28"/>
  <c r="E42" i="28" s="1"/>
  <c r="P167" i="26"/>
  <c r="P160" i="26"/>
  <c r="P161" i="26"/>
  <c r="P158" i="24"/>
  <c r="D79" i="13"/>
  <c r="P162" i="24"/>
  <c r="D79" i="16"/>
  <c r="P157" i="24"/>
  <c r="D170" i="24"/>
  <c r="D171" i="24" s="1"/>
  <c r="D79" i="11"/>
  <c r="Q60" i="9"/>
  <c r="AE44" i="9"/>
  <c r="AF44" i="9" s="1"/>
  <c r="AH44" i="9"/>
  <c r="Q45" i="9"/>
  <c r="P147" i="25"/>
  <c r="K103" i="19"/>
  <c r="J146" i="10"/>
  <c r="I253" i="54"/>
  <c r="I308" i="54" s="1"/>
  <c r="K200" i="54"/>
  <c r="AC64" i="1"/>
  <c r="AC57" i="1"/>
  <c r="J256" i="54"/>
  <c r="J311" i="54" s="1"/>
  <c r="L202" i="54"/>
  <c r="W65" i="1"/>
  <c r="W68" i="1"/>
  <c r="W69" i="1" s="1"/>
  <c r="L170" i="25"/>
  <c r="L171" i="25" s="1"/>
  <c r="G125" i="5"/>
  <c r="G132" i="5"/>
  <c r="Q132" i="5" s="1"/>
  <c r="G44" i="5"/>
  <c r="E170" i="24"/>
  <c r="E171" i="24" s="1"/>
  <c r="E79" i="11"/>
  <c r="E80" i="11" s="1"/>
  <c r="E81" i="11" s="1"/>
  <c r="E82" i="11" s="1"/>
  <c r="P28" i="28"/>
  <c r="D40" i="28"/>
  <c r="Q31" i="52"/>
  <c r="Q28" i="52"/>
  <c r="J26" i="52"/>
  <c r="J27" i="52" s="1"/>
  <c r="J40" i="48"/>
  <c r="J88" i="46"/>
  <c r="J88" i="43"/>
  <c r="J37" i="43"/>
  <c r="J37" i="41" s="1"/>
  <c r="J36" i="43"/>
  <c r="J88" i="41"/>
  <c r="J88" i="44"/>
  <c r="J88" i="42"/>
  <c r="Q29" i="52"/>
  <c r="J88" i="45"/>
  <c r="K78" i="1"/>
  <c r="P16" i="1"/>
  <c r="G313" i="54"/>
  <c r="AD80" i="26"/>
  <c r="AE80" i="26" s="1"/>
  <c r="AG80" i="26"/>
  <c r="P81" i="26"/>
  <c r="P22" i="53"/>
  <c r="AG21" i="53"/>
  <c r="AD21" i="53"/>
  <c r="AE21" i="53" s="1"/>
  <c r="AH45" i="37"/>
  <c r="Q47" i="37"/>
  <c r="AE45" i="37"/>
  <c r="AF45" i="37" s="1"/>
  <c r="P154" i="25"/>
  <c r="P43" i="50"/>
  <c r="AG42" i="50"/>
  <c r="AD42" i="50"/>
  <c r="AE42" i="50" s="1"/>
  <c r="T29" i="52"/>
  <c r="T31" i="52"/>
  <c r="T28" i="52"/>
  <c r="M26" i="52"/>
  <c r="M27" i="52" s="1"/>
  <c r="M40" i="48"/>
  <c r="M88" i="45"/>
  <c r="M88" i="43"/>
  <c r="M88" i="46"/>
  <c r="M37" i="43"/>
  <c r="M37" i="41" s="1"/>
  <c r="M36" i="43"/>
  <c r="M88" i="41"/>
  <c r="M88" i="42"/>
  <c r="M88" i="44"/>
  <c r="N78" i="1"/>
  <c r="M60" i="5"/>
  <c r="M18" i="1"/>
  <c r="M130" i="5"/>
  <c r="M45" i="5"/>
  <c r="M46" i="5" s="1"/>
  <c r="I26" i="52"/>
  <c r="I27" i="52" s="1"/>
  <c r="I88" i="45"/>
  <c r="I40" i="48"/>
  <c r="I88" i="43"/>
  <c r="I37" i="43"/>
  <c r="I37" i="41" s="1"/>
  <c r="I36" i="43"/>
  <c r="I88" i="41"/>
  <c r="I88" i="46"/>
  <c r="I88" i="42"/>
  <c r="I88" i="44"/>
  <c r="J78" i="1"/>
  <c r="E170" i="26"/>
  <c r="E171" i="26" s="1"/>
  <c r="P181" i="10"/>
  <c r="AG181" i="10" s="1"/>
  <c r="AG23" i="47"/>
  <c r="AD23" i="47"/>
  <c r="AE23" i="47" s="1"/>
  <c r="AG22" i="41"/>
  <c r="AD22" i="41"/>
  <c r="AE22" i="41" s="1"/>
  <c r="AH44" i="6"/>
  <c r="Q60" i="6"/>
  <c r="AE44" i="6"/>
  <c r="AF44" i="6" s="1"/>
  <c r="Q45" i="6"/>
  <c r="P174" i="53"/>
  <c r="D124" i="53"/>
  <c r="P124" i="53" s="1"/>
  <c r="D223" i="53"/>
  <c r="P223" i="53" s="1"/>
  <c r="D248" i="53"/>
  <c r="P248" i="53" s="1"/>
  <c r="P199" i="53"/>
  <c r="D225" i="53"/>
  <c r="P225" i="53" s="1"/>
  <c r="D126" i="53"/>
  <c r="P126" i="53" s="1"/>
  <c r="P176" i="53"/>
  <c r="D243" i="53"/>
  <c r="P243" i="53" s="1"/>
  <c r="P194" i="53"/>
  <c r="D144" i="53"/>
  <c r="P144" i="53" s="1"/>
  <c r="P175" i="53"/>
  <c r="D125" i="53"/>
  <c r="P125" i="53" s="1"/>
  <c r="D224" i="53"/>
  <c r="P224" i="53" s="1"/>
  <c r="D229" i="53"/>
  <c r="P229" i="53" s="1"/>
  <c r="P180" i="53"/>
  <c r="D230" i="53"/>
  <c r="P230" i="53" s="1"/>
  <c r="P181" i="53"/>
  <c r="P183" i="53"/>
  <c r="D232" i="53"/>
  <c r="P232" i="53" s="1"/>
  <c r="D133" i="53"/>
  <c r="P133" i="53" s="1"/>
  <c r="D262" i="53"/>
  <c r="P262" i="53" s="1"/>
  <c r="D163" i="53"/>
  <c r="P163" i="53" s="1"/>
  <c r="P213" i="53"/>
  <c r="D255" i="53"/>
  <c r="P255" i="53" s="1"/>
  <c r="P206" i="53"/>
  <c r="D156" i="53"/>
  <c r="P156" i="53" s="1"/>
  <c r="D241" i="53"/>
  <c r="P241" i="53" s="1"/>
  <c r="D142" i="53"/>
  <c r="P192" i="53"/>
  <c r="N116" i="19"/>
  <c r="M159" i="10"/>
  <c r="H125" i="5"/>
  <c r="H132" i="5"/>
  <c r="H44" i="5"/>
  <c r="J130" i="5"/>
  <c r="J60" i="5"/>
  <c r="J18" i="1"/>
  <c r="J45" i="5"/>
  <c r="J46" i="5" s="1"/>
  <c r="N133" i="18"/>
  <c r="N172" i="10"/>
  <c r="N176" i="10" s="1"/>
  <c r="AE39" i="7"/>
  <c r="AF39" i="7" s="1"/>
  <c r="AH39" i="7"/>
  <c r="N130" i="5"/>
  <c r="N60" i="5"/>
  <c r="N18" i="1"/>
  <c r="N45" i="5"/>
  <c r="N46" i="5" s="1"/>
  <c r="G72" i="28"/>
  <c r="G76" i="28" s="1"/>
  <c r="G77" i="28" s="1"/>
  <c r="H58" i="37"/>
  <c r="H59" i="37" s="1"/>
  <c r="H12" i="37" s="1"/>
  <c r="H24" i="37" s="1"/>
  <c r="AE21" i="5"/>
  <c r="AF21" i="5" s="1"/>
  <c r="AH21" i="5"/>
  <c r="Q107" i="5"/>
  <c r="P169" i="25"/>
  <c r="P166" i="25"/>
  <c r="P167" i="25"/>
  <c r="Q39" i="5"/>
  <c r="Q44" i="5" s="1"/>
  <c r="I263" i="53"/>
  <c r="I257" i="54"/>
  <c r="I312" i="54" s="1"/>
  <c r="K203" i="54"/>
  <c r="N118" i="18"/>
  <c r="AB64" i="1"/>
  <c r="AB57" i="1"/>
  <c r="O164" i="53"/>
  <c r="L118" i="22"/>
  <c r="K161" i="10"/>
  <c r="P153" i="25"/>
  <c r="P153" i="26"/>
  <c r="P145" i="26"/>
  <c r="M114" i="19"/>
  <c r="L254" i="54"/>
  <c r="L309" i="54" s="1"/>
  <c r="N201" i="54"/>
  <c r="K170" i="25"/>
  <c r="K171" i="25" s="1"/>
  <c r="AH44" i="34"/>
  <c r="Q45" i="34"/>
  <c r="AE44" i="34"/>
  <c r="AF44" i="34" s="1"/>
  <c r="P163" i="26"/>
  <c r="P164" i="26"/>
  <c r="P166" i="24"/>
  <c r="D79" i="20"/>
  <c r="P160" i="24"/>
  <c r="D79" i="14"/>
  <c r="P161" i="24"/>
  <c r="D79" i="15"/>
  <c r="K105" i="22"/>
  <c r="L102" i="22"/>
  <c r="L72" i="28"/>
  <c r="L76" i="28" s="1"/>
  <c r="L77" i="28" s="1"/>
  <c r="M58" i="37"/>
  <c r="M59" i="37" s="1"/>
  <c r="M12" i="37" s="1"/>
  <c r="M24" i="37" s="1"/>
  <c r="I249" i="54"/>
  <c r="I304" i="54" s="1"/>
  <c r="K196" i="54"/>
  <c r="M193" i="54"/>
  <c r="K237" i="54"/>
  <c r="K292" i="54" s="1"/>
  <c r="I148" i="10"/>
  <c r="E23" i="1"/>
  <c r="M164" i="53"/>
  <c r="H34" i="28"/>
  <c r="H42" i="28" s="1"/>
  <c r="H30" i="28"/>
  <c r="I20" i="1" s="1"/>
  <c r="I25" i="1" s="1"/>
  <c r="L170" i="26"/>
  <c r="L171" i="26" s="1"/>
  <c r="P23" i="28"/>
  <c r="D35" i="28"/>
  <c r="F164" i="53"/>
  <c r="AG139" i="10"/>
  <c r="AD139" i="10"/>
  <c r="AE139" i="10" s="1"/>
  <c r="L164" i="53"/>
  <c r="P149" i="26"/>
  <c r="K104" i="19"/>
  <c r="J147" i="10"/>
  <c r="P64" i="51"/>
  <c r="AG63" i="51"/>
  <c r="AD63" i="51"/>
  <c r="AE63" i="51" s="1"/>
  <c r="K121" i="18"/>
  <c r="J164" i="10"/>
  <c r="F60" i="7"/>
  <c r="F45" i="7"/>
  <c r="F46" i="7" s="1"/>
  <c r="P130" i="5"/>
  <c r="P60" i="5"/>
  <c r="P18" i="1"/>
  <c r="P45" i="5"/>
  <c r="P46" i="5" s="1"/>
  <c r="P47" i="44"/>
  <c r="AG46" i="44"/>
  <c r="AD46" i="44"/>
  <c r="AE46" i="44" s="1"/>
  <c r="K133" i="18"/>
  <c r="K172" i="10"/>
  <c r="K176" i="10" s="1"/>
  <c r="AD173" i="10"/>
  <c r="AE173" i="10" s="1"/>
  <c r="AG173" i="10"/>
  <c r="AG80" i="25"/>
  <c r="AD80" i="25"/>
  <c r="AE80" i="25" s="1"/>
  <c r="P81" i="25"/>
  <c r="D252" i="53"/>
  <c r="P252" i="53" s="1"/>
  <c r="P203" i="53"/>
  <c r="D218" i="53"/>
  <c r="D214" i="53"/>
  <c r="P214" i="53" s="1"/>
  <c r="P169" i="53"/>
  <c r="P186" i="53"/>
  <c r="D235" i="53"/>
  <c r="P235" i="53" s="1"/>
  <c r="P209" i="53"/>
  <c r="D258" i="53"/>
  <c r="P258" i="53" s="1"/>
  <c r="D159" i="53"/>
  <c r="P159" i="53" s="1"/>
  <c r="D237" i="53"/>
  <c r="P237" i="53" s="1"/>
  <c r="P188" i="53"/>
  <c r="D240" i="53"/>
  <c r="P240" i="53" s="1"/>
  <c r="P191" i="53"/>
  <c r="D233" i="53"/>
  <c r="P233" i="53" s="1"/>
  <c r="D134" i="53"/>
  <c r="P134" i="53" s="1"/>
  <c r="P184" i="53"/>
  <c r="P179" i="53"/>
  <c r="D228" i="53"/>
  <c r="P228" i="53" s="1"/>
  <c r="D256" i="53"/>
  <c r="P256" i="53" s="1"/>
  <c r="P207" i="53"/>
  <c r="D244" i="53"/>
  <c r="P244" i="53" s="1"/>
  <c r="P195" i="53"/>
  <c r="D145" i="53"/>
  <c r="P145" i="53" s="1"/>
  <c r="D254" i="53"/>
  <c r="P254" i="53" s="1"/>
  <c r="P205" i="53"/>
  <c r="G263" i="53"/>
  <c r="P22" i="28"/>
  <c r="D34" i="28"/>
  <c r="D30" i="28"/>
  <c r="K164" i="53"/>
  <c r="R31" i="55"/>
  <c r="R92" i="43"/>
  <c r="R91" i="43"/>
  <c r="S78" i="1"/>
  <c r="I23" i="1"/>
  <c r="E133" i="18"/>
  <c r="E172" i="10"/>
  <c r="E176" i="10" s="1"/>
  <c r="K250" i="54"/>
  <c r="K305" i="54" s="1"/>
  <c r="M197" i="54"/>
  <c r="P25" i="28"/>
  <c r="D37" i="28"/>
  <c r="AM33" i="1"/>
  <c r="AE33" i="1"/>
  <c r="AH33" i="1"/>
  <c r="AJ33" i="1"/>
  <c r="L130" i="5"/>
  <c r="L60" i="5"/>
  <c r="L18" i="1"/>
  <c r="L45" i="5"/>
  <c r="L46" i="5" s="1"/>
  <c r="F130" i="5"/>
  <c r="F60" i="5"/>
  <c r="F18" i="1"/>
  <c r="F45" i="5"/>
  <c r="F46" i="5" s="1"/>
  <c r="J204" i="54"/>
  <c r="I206" i="54"/>
  <c r="K188" i="54"/>
  <c r="P159" i="25"/>
  <c r="P158" i="25"/>
  <c r="P160" i="25"/>
  <c r="I244" i="54"/>
  <c r="K195" i="54"/>
  <c r="L119" i="18"/>
  <c r="K162" i="10"/>
  <c r="K251" i="54"/>
  <c r="K306" i="54" s="1"/>
  <c r="M198" i="54"/>
  <c r="N34" i="28"/>
  <c r="N42" i="28" s="1"/>
  <c r="N30" i="28"/>
  <c r="O20" i="1" s="1"/>
  <c r="O25" i="1" s="1"/>
  <c r="AD37" i="1"/>
  <c r="AD41" i="1"/>
  <c r="AD56" i="1" s="1"/>
  <c r="AD130" i="19"/>
  <c r="AE130" i="19" s="1"/>
  <c r="AG130" i="19"/>
  <c r="M30" i="28"/>
  <c r="N20" i="1" s="1"/>
  <c r="N25" i="1" s="1"/>
  <c r="M34" i="28"/>
  <c r="M42" i="28" s="1"/>
  <c r="J105" i="19"/>
  <c r="K102" i="19"/>
  <c r="AC26" i="52"/>
  <c r="AC27" i="52" s="1"/>
  <c r="AC91" i="43"/>
  <c r="AD78" i="1"/>
  <c r="AC92" i="43"/>
  <c r="AC4" i="51"/>
  <c r="X41" i="1"/>
  <c r="X56" i="1" s="1"/>
  <c r="X37" i="1"/>
  <c r="L34" i="28"/>
  <c r="L42" i="28" s="1"/>
  <c r="L30" i="28"/>
  <c r="M20" i="1" s="1"/>
  <c r="M25" i="1" s="1"/>
  <c r="Q60" i="7"/>
  <c r="AH44" i="7"/>
  <c r="AE44" i="7"/>
  <c r="AF44" i="7" s="1"/>
  <c r="Q45" i="7"/>
  <c r="AH31" i="33"/>
  <c r="Q32" i="33"/>
  <c r="AE31" i="33"/>
  <c r="AF31" i="33" s="1"/>
  <c r="H164" i="53"/>
  <c r="AH103" i="5"/>
  <c r="AE103" i="5"/>
  <c r="AF103" i="5" s="1"/>
  <c r="F30" i="28"/>
  <c r="G20" i="1" s="1"/>
  <c r="G25" i="1" s="1"/>
  <c r="F34" i="28"/>
  <c r="F42" i="28" s="1"/>
  <c r="P47" i="46"/>
  <c r="AG46" i="46"/>
  <c r="AD46" i="46"/>
  <c r="AE46" i="46" s="1"/>
  <c r="N120" i="53"/>
  <c r="N164" i="53" s="1"/>
  <c r="AH26" i="36"/>
  <c r="Q27" i="36"/>
  <c r="AE26" i="36"/>
  <c r="AF26" i="36" s="1"/>
  <c r="P168" i="26"/>
  <c r="P169" i="26"/>
  <c r="D79" i="22"/>
  <c r="P167" i="24"/>
  <c r="P164" i="24"/>
  <c r="D79" i="17"/>
  <c r="P165" i="24"/>
  <c r="D79" i="19"/>
  <c r="P143" i="26"/>
  <c r="AA57" i="1"/>
  <c r="AA64" i="1"/>
  <c r="P154" i="26"/>
  <c r="J105" i="18"/>
  <c r="K102" i="18"/>
  <c r="J145" i="10"/>
  <c r="J148" i="10" s="1"/>
  <c r="AE26" i="5"/>
  <c r="AF26" i="5" s="1"/>
  <c r="Q112" i="5"/>
  <c r="AH26" i="5"/>
  <c r="M263" i="53"/>
  <c r="I239" i="54"/>
  <c r="I294" i="54" s="1"/>
  <c r="K194" i="54"/>
  <c r="M16" i="1"/>
  <c r="U68" i="1"/>
  <c r="U69" i="1" s="1"/>
  <c r="U65" i="1"/>
  <c r="I252" i="54"/>
  <c r="I307" i="54" s="1"/>
  <c r="K199" i="54"/>
  <c r="P148" i="26"/>
  <c r="P155" i="26"/>
  <c r="L114" i="22"/>
  <c r="P146" i="26"/>
  <c r="M117" i="18"/>
  <c r="L160" i="10"/>
  <c r="AH106" i="5"/>
  <c r="AE106" i="5"/>
  <c r="H16" i="1"/>
  <c r="AH39" i="35"/>
  <c r="Q40" i="35"/>
  <c r="AE39" i="35"/>
  <c r="AF39" i="35" s="1"/>
  <c r="E263" i="53"/>
  <c r="P47" i="45"/>
  <c r="AG46" i="45"/>
  <c r="AD46" i="45"/>
  <c r="AE46" i="45" s="1"/>
  <c r="P221" i="10"/>
  <c r="AG94" i="10"/>
  <c r="AD94" i="10"/>
  <c r="AE94" i="10" s="1"/>
  <c r="P101" i="10"/>
  <c r="AG130" i="18"/>
  <c r="AD130" i="18"/>
  <c r="AE130" i="18" s="1"/>
  <c r="P143" i="25"/>
  <c r="D259" i="53"/>
  <c r="P259" i="53" s="1"/>
  <c r="P210" i="53"/>
  <c r="P201" i="53"/>
  <c r="D151" i="53"/>
  <c r="P151" i="53" s="1"/>
  <c r="D250" i="53"/>
  <c r="P250" i="53" s="1"/>
  <c r="D234" i="53"/>
  <c r="P234" i="53" s="1"/>
  <c r="P185" i="53"/>
  <c r="D135" i="53"/>
  <c r="P135" i="53" s="1"/>
  <c r="P182" i="53"/>
  <c r="D231" i="53"/>
  <c r="P231" i="53" s="1"/>
  <c r="D249" i="53"/>
  <c r="P249" i="53" s="1"/>
  <c r="P200" i="53"/>
  <c r="D246" i="53"/>
  <c r="P246" i="53" s="1"/>
  <c r="P197" i="53"/>
  <c r="D147" i="53"/>
  <c r="P147" i="53" s="1"/>
  <c r="D253" i="53"/>
  <c r="P253" i="53" s="1"/>
  <c r="P204" i="53"/>
  <c r="P170" i="53"/>
  <c r="D120" i="53"/>
  <c r="P120" i="53" s="1"/>
  <c r="D219" i="53"/>
  <c r="P219" i="53" s="1"/>
  <c r="D261" i="53"/>
  <c r="P261" i="53" s="1"/>
  <c r="P212" i="53"/>
  <c r="D162" i="53"/>
  <c r="P162" i="53" s="1"/>
  <c r="D260" i="53"/>
  <c r="P260" i="53" s="1"/>
  <c r="P211" i="53"/>
  <c r="D161" i="53"/>
  <c r="P161" i="53" s="1"/>
  <c r="D251" i="53"/>
  <c r="P251" i="53" s="1"/>
  <c r="P202" i="53"/>
  <c r="D257" i="53"/>
  <c r="P257" i="53" s="1"/>
  <c r="P208" i="53"/>
  <c r="P149" i="25"/>
  <c r="AC185" i="10"/>
  <c r="AE58" i="10"/>
  <c r="K263" i="53"/>
  <c r="S41" i="1"/>
  <c r="S56" i="1" s="1"/>
  <c r="S37" i="1"/>
  <c r="D314" i="54"/>
  <c r="D316" i="54"/>
  <c r="AG9" i="47"/>
  <c r="AD9" i="47"/>
  <c r="AE9" i="47" s="1"/>
  <c r="P116" i="18"/>
  <c r="AG55" i="28"/>
  <c r="AD55" i="28"/>
  <c r="AE55" i="28" s="1"/>
  <c r="P151" i="25"/>
  <c r="I208" i="54"/>
  <c r="I263" i="54" s="1"/>
  <c r="K190" i="54"/>
  <c r="L16" i="1"/>
  <c r="I235" i="54"/>
  <c r="I290" i="54" s="1"/>
  <c r="K192" i="54"/>
  <c r="J263" i="53"/>
  <c r="P148" i="25"/>
  <c r="G170" i="25"/>
  <c r="G171" i="25" s="1"/>
  <c r="P161" i="25"/>
  <c r="P162" i="25"/>
  <c r="P165" i="25"/>
  <c r="P164" i="25"/>
  <c r="AG80" i="24"/>
  <c r="AD80" i="24"/>
  <c r="AE80" i="24" s="1"/>
  <c r="P81" i="24"/>
  <c r="P155" i="25"/>
  <c r="AD115" i="18"/>
  <c r="AE115" i="18" s="1"/>
  <c r="AG115" i="18"/>
  <c r="Q12" i="1"/>
  <c r="E16" i="1"/>
  <c r="L115" i="19"/>
  <c r="K158" i="10"/>
  <c r="O263" i="53"/>
  <c r="Q60" i="5" l="1"/>
  <c r="AH44" i="5"/>
  <c r="Q130" i="5"/>
  <c r="AE44" i="5"/>
  <c r="AF44" i="5" s="1"/>
  <c r="Q45" i="5"/>
  <c r="O266" i="53"/>
  <c r="S57" i="1"/>
  <c r="S64" i="1"/>
  <c r="AG116" i="18"/>
  <c r="AD116" i="18"/>
  <c r="AE116" i="18" s="1"/>
  <c r="K266" i="53"/>
  <c r="D152" i="53"/>
  <c r="P152" i="53" s="1"/>
  <c r="D154" i="53"/>
  <c r="P154" i="53" s="1"/>
  <c r="D150" i="53"/>
  <c r="P150" i="53" s="1"/>
  <c r="G26" i="52"/>
  <c r="G27" i="52" s="1"/>
  <c r="G40" i="48"/>
  <c r="G88" i="46"/>
  <c r="G37" i="43"/>
  <c r="G37" i="41" s="1"/>
  <c r="G36" i="43"/>
  <c r="G88" i="41"/>
  <c r="G88" i="44"/>
  <c r="G88" i="42"/>
  <c r="G88" i="45"/>
  <c r="G88" i="43"/>
  <c r="H78" i="1"/>
  <c r="AH112" i="5"/>
  <c r="AE112" i="5"/>
  <c r="N167" i="53"/>
  <c r="N166" i="53"/>
  <c r="N267" i="53" s="1"/>
  <c r="H166" i="53"/>
  <c r="H267" i="53" s="1"/>
  <c r="H167" i="53"/>
  <c r="AH45" i="7"/>
  <c r="AE45" i="7"/>
  <c r="AF45" i="7" s="1"/>
  <c r="Q46" i="7"/>
  <c r="AH46" i="7" s="1"/>
  <c r="J244" i="54"/>
  <c r="J299" i="54" s="1"/>
  <c r="L195" i="54"/>
  <c r="D263" i="53"/>
  <c r="P218" i="53"/>
  <c r="AD81" i="25"/>
  <c r="AE81" i="25" s="1"/>
  <c r="AG81" i="25"/>
  <c r="P82" i="25"/>
  <c r="L104" i="19"/>
  <c r="K147" i="10"/>
  <c r="L166" i="53"/>
  <c r="L167" i="53"/>
  <c r="J249" i="54"/>
  <c r="J304" i="54" s="1"/>
  <c r="L196" i="54"/>
  <c r="L105" i="22"/>
  <c r="M102" i="22"/>
  <c r="P79" i="14"/>
  <c r="D80" i="14"/>
  <c r="D81" i="14" s="1"/>
  <c r="D82" i="14" s="1"/>
  <c r="M118" i="22"/>
  <c r="L161" i="10"/>
  <c r="J257" i="54"/>
  <c r="J312" i="54" s="1"/>
  <c r="L203" i="54"/>
  <c r="H130" i="5"/>
  <c r="H60" i="5"/>
  <c r="H18" i="1"/>
  <c r="H45" i="5"/>
  <c r="H46" i="5" s="1"/>
  <c r="O116" i="19"/>
  <c r="N159" i="10"/>
  <c r="AE45" i="6"/>
  <c r="AF45" i="6" s="1"/>
  <c r="AH45" i="6"/>
  <c r="Q46" i="6"/>
  <c r="AH46" i="6" s="1"/>
  <c r="I40" i="47"/>
  <c r="I42" i="48"/>
  <c r="I43" i="48" s="1"/>
  <c r="M40" i="47"/>
  <c r="M42" i="48"/>
  <c r="M43" i="48" s="1"/>
  <c r="J36" i="41"/>
  <c r="J46" i="41" s="1"/>
  <c r="J46" i="43"/>
  <c r="J47" i="43" s="1"/>
  <c r="J42" i="48"/>
  <c r="J43" i="48" s="1"/>
  <c r="J40" i="47"/>
  <c r="G130" i="5"/>
  <c r="G60" i="5"/>
  <c r="G18" i="1"/>
  <c r="Q18" i="1" s="1"/>
  <c r="G45" i="5"/>
  <c r="G46" i="5" s="1"/>
  <c r="Q46" i="9"/>
  <c r="AH46" i="9" s="1"/>
  <c r="AH45" i="9"/>
  <c r="AE45" i="9"/>
  <c r="AF45" i="9" s="1"/>
  <c r="P79" i="11"/>
  <c r="D80" i="11"/>
  <c r="D81" i="11" s="1"/>
  <c r="D82" i="11" s="1"/>
  <c r="P170" i="25"/>
  <c r="P171" i="25" s="1"/>
  <c r="J167" i="53"/>
  <c r="J166" i="53"/>
  <c r="E26" i="52"/>
  <c r="E27" i="52" s="1"/>
  <c r="E88" i="46"/>
  <c r="E88" i="45"/>
  <c r="E88" i="43"/>
  <c r="E40" i="48"/>
  <c r="E37" i="43"/>
  <c r="E37" i="41" s="1"/>
  <c r="E36" i="43"/>
  <c r="E88" i="41"/>
  <c r="E88" i="44"/>
  <c r="E88" i="42"/>
  <c r="F78" i="1"/>
  <c r="AG63" i="28"/>
  <c r="AD63" i="28"/>
  <c r="AE63" i="28" s="1"/>
  <c r="P65" i="28"/>
  <c r="AG47" i="42"/>
  <c r="AD47" i="42"/>
  <c r="AE47" i="42" s="1"/>
  <c r="F266" i="53"/>
  <c r="P79" i="12"/>
  <c r="D80" i="12"/>
  <c r="D81" i="12" s="1"/>
  <c r="D82" i="12" s="1"/>
  <c r="AE45" i="8"/>
  <c r="AF45" i="8" s="1"/>
  <c r="Q46" i="8"/>
  <c r="AH46" i="8" s="1"/>
  <c r="AH45" i="8"/>
  <c r="J267" i="53"/>
  <c r="J266" i="53"/>
  <c r="D40" i="48"/>
  <c r="D88" i="46"/>
  <c r="D88" i="44"/>
  <c r="D88" i="42"/>
  <c r="D88" i="45"/>
  <c r="D26" i="52"/>
  <c r="D27" i="52" s="1"/>
  <c r="D88" i="43"/>
  <c r="D37" i="43"/>
  <c r="D88" i="41"/>
  <c r="D36" i="43"/>
  <c r="E78" i="1"/>
  <c r="M115" i="19"/>
  <c r="L158" i="10"/>
  <c r="J235" i="54"/>
  <c r="J290" i="54" s="1"/>
  <c r="L192" i="54"/>
  <c r="D158" i="53"/>
  <c r="P158" i="53" s="1"/>
  <c r="D160" i="53"/>
  <c r="P160" i="53" s="1"/>
  <c r="AG47" i="45"/>
  <c r="AD47" i="45"/>
  <c r="AE47" i="45" s="1"/>
  <c r="AH40" i="35"/>
  <c r="AE40" i="35"/>
  <c r="N117" i="18"/>
  <c r="M160" i="10"/>
  <c r="M114" i="22"/>
  <c r="J252" i="54"/>
  <c r="J307" i="54" s="1"/>
  <c r="L199" i="54"/>
  <c r="L40" i="48"/>
  <c r="L88" i="46"/>
  <c r="S29" i="52"/>
  <c r="S28" i="52"/>
  <c r="L26" i="52"/>
  <c r="L27" i="52" s="1"/>
  <c r="L88" i="44"/>
  <c r="L88" i="42"/>
  <c r="S31" i="52"/>
  <c r="L88" i="45"/>
  <c r="L88" i="43"/>
  <c r="L88" i="41"/>
  <c r="L37" i="43"/>
  <c r="L37" i="41" s="1"/>
  <c r="L36" i="43"/>
  <c r="M78" i="1"/>
  <c r="P79" i="19"/>
  <c r="D80" i="19"/>
  <c r="K105" i="19"/>
  <c r="L102" i="19"/>
  <c r="I299" i="54"/>
  <c r="L250" i="54"/>
  <c r="L305" i="54" s="1"/>
  <c r="N197" i="54"/>
  <c r="D42" i="28"/>
  <c r="D155" i="53"/>
  <c r="P155" i="53" s="1"/>
  <c r="D138" i="53"/>
  <c r="P138" i="53" s="1"/>
  <c r="D119" i="53"/>
  <c r="D153" i="53"/>
  <c r="AG47" i="44"/>
  <c r="AD47" i="44"/>
  <c r="AE47" i="44" s="1"/>
  <c r="AG23" i="28"/>
  <c r="AD23" i="28"/>
  <c r="AE23" i="28" s="1"/>
  <c r="P35" i="28"/>
  <c r="M167" i="53"/>
  <c r="M166" i="53"/>
  <c r="O167" i="53"/>
  <c r="O166" i="53"/>
  <c r="O267" i="53" s="1"/>
  <c r="N23" i="1"/>
  <c r="J23" i="1"/>
  <c r="I36" i="41"/>
  <c r="I46" i="41" s="1"/>
  <c r="I46" i="43"/>
  <c r="I47" i="43" s="1"/>
  <c r="M23" i="1"/>
  <c r="AG28" i="28"/>
  <c r="AD28" i="28"/>
  <c r="AE28" i="28" s="1"/>
  <c r="P40" i="28"/>
  <c r="AC68" i="1"/>
  <c r="AC69" i="1" s="1"/>
  <c r="AC65" i="1"/>
  <c r="L103" i="19"/>
  <c r="K146" i="10"/>
  <c r="P79" i="13"/>
  <c r="D80" i="13"/>
  <c r="D81" i="13" s="1"/>
  <c r="D82" i="13" s="1"/>
  <c r="K23" i="1"/>
  <c r="Y65" i="1"/>
  <c r="Y68" i="1"/>
  <c r="Y69" i="1" s="1"/>
  <c r="M114" i="18"/>
  <c r="L157" i="10"/>
  <c r="AG56" i="47"/>
  <c r="P78" i="47"/>
  <c r="AD56" i="47"/>
  <c r="AE56" i="47" s="1"/>
  <c r="G167" i="53"/>
  <c r="G166" i="53"/>
  <c r="D123" i="53"/>
  <c r="P123" i="53" s="1"/>
  <c r="D146" i="53"/>
  <c r="P146" i="53" s="1"/>
  <c r="D143" i="53"/>
  <c r="L207" i="54"/>
  <c r="L262" i="54" s="1"/>
  <c r="N189" i="54"/>
  <c r="V65" i="1"/>
  <c r="V68" i="1"/>
  <c r="V69" i="1" s="1"/>
  <c r="AG26" i="28"/>
  <c r="AD26" i="28"/>
  <c r="AE26" i="28" s="1"/>
  <c r="P38" i="28"/>
  <c r="AG43" i="49"/>
  <c r="AD43" i="49"/>
  <c r="AE43" i="49" s="1"/>
  <c r="P79" i="23"/>
  <c r="D80" i="23"/>
  <c r="D81" i="23" s="1"/>
  <c r="D82" i="23" s="1"/>
  <c r="AE60" i="8"/>
  <c r="AF60" i="8" s="1"/>
  <c r="AH60" i="8"/>
  <c r="I166" i="53"/>
  <c r="I167" i="53"/>
  <c r="AJ12" i="1"/>
  <c r="AM12" i="1"/>
  <c r="AH12" i="1"/>
  <c r="AE12" i="1"/>
  <c r="Q16" i="1"/>
  <c r="AD81" i="24"/>
  <c r="AE81" i="24" s="1"/>
  <c r="AG81" i="24"/>
  <c r="P82" i="24"/>
  <c r="J208" i="54"/>
  <c r="J263" i="54" s="1"/>
  <c r="L190" i="54"/>
  <c r="AG221" i="10"/>
  <c r="AD221" i="10"/>
  <c r="E266" i="53"/>
  <c r="M267" i="53"/>
  <c r="M266" i="53"/>
  <c r="AA65" i="1"/>
  <c r="AA68" i="1"/>
  <c r="AA69" i="1" s="1"/>
  <c r="P79" i="22"/>
  <c r="D80" i="22"/>
  <c r="AH27" i="36"/>
  <c r="AE27" i="36"/>
  <c r="AE32" i="33"/>
  <c r="AF32" i="33" s="1"/>
  <c r="AH32" i="33"/>
  <c r="J206" i="54"/>
  <c r="L188" i="54"/>
  <c r="K204" i="54"/>
  <c r="F23" i="1"/>
  <c r="L23" i="1"/>
  <c r="AG22" i="28"/>
  <c r="AD22" i="28"/>
  <c r="AE22" i="28" s="1"/>
  <c r="P30" i="28"/>
  <c r="P34" i="28"/>
  <c r="D157" i="53"/>
  <c r="P157" i="53" s="1"/>
  <c r="D141" i="53"/>
  <c r="P141" i="53" s="1"/>
  <c r="L121" i="18"/>
  <c r="K164" i="10"/>
  <c r="AG64" i="51"/>
  <c r="P4" i="51"/>
  <c r="AD64" i="51"/>
  <c r="AE64" i="51" s="1"/>
  <c r="P79" i="15"/>
  <c r="D80" i="15"/>
  <c r="D81" i="15" s="1"/>
  <c r="D82" i="15" s="1"/>
  <c r="P79" i="20"/>
  <c r="D80" i="20"/>
  <c r="D81" i="20" s="1"/>
  <c r="D82" i="20" s="1"/>
  <c r="N114" i="19"/>
  <c r="O118" i="18"/>
  <c r="I267" i="53"/>
  <c r="I266" i="53"/>
  <c r="P142" i="53"/>
  <c r="D129" i="22"/>
  <c r="D149" i="53"/>
  <c r="P149" i="53" s="1"/>
  <c r="AE60" i="6"/>
  <c r="AF60" i="6" s="1"/>
  <c r="AH60" i="6"/>
  <c r="AH47" i="37"/>
  <c r="AE47" i="37"/>
  <c r="AF47" i="37" s="1"/>
  <c r="AG22" i="53"/>
  <c r="AD22" i="53"/>
  <c r="G316" i="54"/>
  <c r="G314" i="54"/>
  <c r="K256" i="54"/>
  <c r="K311" i="54" s="1"/>
  <c r="M202" i="54"/>
  <c r="J253" i="54"/>
  <c r="J308" i="54" s="1"/>
  <c r="L200" i="54"/>
  <c r="P170" i="24"/>
  <c r="P171" i="24" s="1"/>
  <c r="H20" i="1"/>
  <c r="H25" i="1" s="1"/>
  <c r="H313" i="54"/>
  <c r="D140" i="53"/>
  <c r="P140" i="53" s="1"/>
  <c r="E167" i="53"/>
  <c r="E166" i="53"/>
  <c r="E267" i="53" s="1"/>
  <c r="P82" i="50"/>
  <c r="AG78" i="50"/>
  <c r="AD78" i="50"/>
  <c r="AE78" i="50" s="1"/>
  <c r="AE33" i="32"/>
  <c r="AF33" i="32" s="1"/>
  <c r="AH33" i="32"/>
  <c r="O130" i="5"/>
  <c r="O60" i="5"/>
  <c r="O18" i="1"/>
  <c r="O45" i="5"/>
  <c r="O46" i="5" s="1"/>
  <c r="AG24" i="28"/>
  <c r="P36" i="28"/>
  <c r="AD24" i="28"/>
  <c r="AE24" i="28" s="1"/>
  <c r="L267" i="53"/>
  <c r="L266" i="53"/>
  <c r="J210" i="54"/>
  <c r="J265" i="54" s="1"/>
  <c r="L191" i="54"/>
  <c r="P79" i="21"/>
  <c r="D80" i="21"/>
  <c r="D81" i="21" s="1"/>
  <c r="D82" i="21" s="1"/>
  <c r="P79" i="18"/>
  <c r="D80" i="18"/>
  <c r="R31" i="52"/>
  <c r="R28" i="52"/>
  <c r="K26" i="52"/>
  <c r="K27" i="52" s="1"/>
  <c r="K40" i="48"/>
  <c r="K88" i="46"/>
  <c r="R29" i="52"/>
  <c r="K37" i="43"/>
  <c r="K37" i="41" s="1"/>
  <c r="K36" i="43"/>
  <c r="K88" i="41"/>
  <c r="K88" i="44"/>
  <c r="K88" i="42"/>
  <c r="K88" i="45"/>
  <c r="K88" i="43"/>
  <c r="L78" i="1"/>
  <c r="AD101" i="10"/>
  <c r="AE101" i="10" s="1"/>
  <c r="P228" i="10"/>
  <c r="AG101" i="10"/>
  <c r="J239" i="54"/>
  <c r="J294" i="54" s="1"/>
  <c r="L194" i="54"/>
  <c r="K105" i="18"/>
  <c r="L102" i="18"/>
  <c r="K145" i="10"/>
  <c r="K148" i="10" s="1"/>
  <c r="P79" i="17"/>
  <c r="D80" i="17"/>
  <c r="D81" i="17" s="1"/>
  <c r="D82" i="17" s="1"/>
  <c r="AG47" i="46"/>
  <c r="AD47" i="46"/>
  <c r="AE47" i="46" s="1"/>
  <c r="AH60" i="7"/>
  <c r="AE60" i="7"/>
  <c r="AF60" i="7" s="1"/>
  <c r="X64" i="1"/>
  <c r="X57" i="1"/>
  <c r="AD57" i="1"/>
  <c r="AD64" i="1"/>
  <c r="L251" i="54"/>
  <c r="L306" i="54" s="1"/>
  <c r="N198" i="54"/>
  <c r="M119" i="18"/>
  <c r="L162" i="10"/>
  <c r="I258" i="54"/>
  <c r="I261" i="54"/>
  <c r="I313" i="54" s="1"/>
  <c r="AG25" i="28"/>
  <c r="AD25" i="28"/>
  <c r="AE25" i="28" s="1"/>
  <c r="P37" i="28"/>
  <c r="K167" i="53"/>
  <c r="K166" i="53"/>
  <c r="K267" i="53" s="1"/>
  <c r="G267" i="53"/>
  <c r="G266" i="53"/>
  <c r="P23" i="1"/>
  <c r="F167" i="53"/>
  <c r="F166" i="53"/>
  <c r="F267" i="53" s="1"/>
  <c r="L237" i="54"/>
  <c r="L292" i="54" s="1"/>
  <c r="N193" i="54"/>
  <c r="AE45" i="34"/>
  <c r="Q46" i="34"/>
  <c r="AH46" i="34" s="1"/>
  <c r="AH45" i="34"/>
  <c r="M254" i="54"/>
  <c r="M309" i="54" s="1"/>
  <c r="O201" i="54"/>
  <c r="AB68" i="1"/>
  <c r="AB69" i="1" s="1"/>
  <c r="AB65" i="1"/>
  <c r="Q125" i="5"/>
  <c r="AH39" i="5"/>
  <c r="AE39" i="5"/>
  <c r="AF39" i="5" s="1"/>
  <c r="AE107" i="5"/>
  <c r="AH107" i="5"/>
  <c r="M36" i="41"/>
  <c r="M46" i="41" s="1"/>
  <c r="M46" i="43"/>
  <c r="M47" i="43" s="1"/>
  <c r="AG43" i="50"/>
  <c r="AD43" i="50"/>
  <c r="AE43" i="50" s="1"/>
  <c r="AD81" i="26"/>
  <c r="AE81" i="26" s="1"/>
  <c r="P82" i="26"/>
  <c r="AG81" i="26"/>
  <c r="O36" i="43"/>
  <c r="V31" i="52"/>
  <c r="V28" i="52"/>
  <c r="O26" i="52"/>
  <c r="O27" i="52" s="1"/>
  <c r="O40" i="48"/>
  <c r="O88" i="46"/>
  <c r="V29" i="52"/>
  <c r="O37" i="43"/>
  <c r="O37" i="41" s="1"/>
  <c r="O88" i="41"/>
  <c r="O88" i="44"/>
  <c r="O88" i="42"/>
  <c r="O88" i="45"/>
  <c r="O88" i="43"/>
  <c r="P78" i="1"/>
  <c r="AH60" i="9"/>
  <c r="AE60" i="9"/>
  <c r="AF60" i="9" s="1"/>
  <c r="P79" i="16"/>
  <c r="D80" i="16"/>
  <c r="D81" i="16" s="1"/>
  <c r="D82" i="16" s="1"/>
  <c r="AH18" i="39"/>
  <c r="AE18" i="39"/>
  <c r="N36" i="41"/>
  <c r="N46" i="41" s="1"/>
  <c r="N46" i="43"/>
  <c r="N47" i="43" s="1"/>
  <c r="N42" i="48"/>
  <c r="N43" i="48" s="1"/>
  <c r="N40" i="47"/>
  <c r="R65" i="1"/>
  <c r="R68" i="1"/>
  <c r="R69" i="1" s="1"/>
  <c r="D139" i="53"/>
  <c r="H36" i="41"/>
  <c r="H46" i="41" s="1"/>
  <c r="H46" i="43"/>
  <c r="H47" i="43" s="1"/>
  <c r="H40" i="47"/>
  <c r="H42" i="48"/>
  <c r="H43" i="48" s="1"/>
  <c r="F36" i="41"/>
  <c r="F46" i="41" s="1"/>
  <c r="F46" i="43"/>
  <c r="F47" i="43" s="1"/>
  <c r="F42" i="48"/>
  <c r="F43" i="48" s="1"/>
  <c r="F40" i="47"/>
  <c r="P170" i="26"/>
  <c r="P171" i="26" s="1"/>
  <c r="AH18" i="1" l="1"/>
  <c r="AE18" i="1"/>
  <c r="AF18" i="1" s="1"/>
  <c r="AJ18" i="1"/>
  <c r="AM18" i="1"/>
  <c r="G32" i="1"/>
  <c r="F42" i="47"/>
  <c r="AD79" i="16"/>
  <c r="AE79" i="16" s="1"/>
  <c r="AG79" i="16"/>
  <c r="P80" i="16"/>
  <c r="I32" i="1"/>
  <c r="H42" i="47"/>
  <c r="O32" i="1"/>
  <c r="N42" i="47"/>
  <c r="N254" i="54"/>
  <c r="N309" i="54" s="1"/>
  <c r="P201" i="54"/>
  <c r="AE46" i="34"/>
  <c r="AF45" i="34"/>
  <c r="X68" i="1"/>
  <c r="X69" i="1" s="1"/>
  <c r="X65" i="1"/>
  <c r="L105" i="18"/>
  <c r="M102" i="18"/>
  <c r="L145" i="10"/>
  <c r="AG79" i="21"/>
  <c r="AD79" i="21"/>
  <c r="AE79" i="21" s="1"/>
  <c r="P80" i="21"/>
  <c r="K253" i="54"/>
  <c r="K308" i="54" s="1"/>
  <c r="M200" i="54"/>
  <c r="O114" i="19"/>
  <c r="M121" i="18"/>
  <c r="L164" i="10"/>
  <c r="AG30" i="28"/>
  <c r="AD30" i="28"/>
  <c r="AE30" i="28" s="1"/>
  <c r="K206" i="54"/>
  <c r="M188" i="54"/>
  <c r="L204" i="54"/>
  <c r="AG79" i="22"/>
  <c r="AD79" i="22"/>
  <c r="AE79" i="22" s="1"/>
  <c r="P80" i="22"/>
  <c r="AG79" i="23"/>
  <c r="AD79" i="23"/>
  <c r="AE79" i="23" s="1"/>
  <c r="P80" i="23"/>
  <c r="O189" i="54"/>
  <c r="M207" i="54"/>
  <c r="M262" i="54" s="1"/>
  <c r="AG78" i="47"/>
  <c r="AD78" i="47"/>
  <c r="AE78" i="47" s="1"/>
  <c r="N114" i="18"/>
  <c r="M157" i="10"/>
  <c r="M103" i="19"/>
  <c r="L146" i="10"/>
  <c r="AG35" i="28"/>
  <c r="AD35" i="28"/>
  <c r="AE35" i="28" s="1"/>
  <c r="L36" i="41"/>
  <c r="L46" i="41" s="1"/>
  <c r="L46" i="43"/>
  <c r="L47" i="43" s="1"/>
  <c r="L40" i="47"/>
  <c r="L42" i="48"/>
  <c r="L43" i="48" s="1"/>
  <c r="N114" i="22"/>
  <c r="N115" i="19"/>
  <c r="M158" i="10"/>
  <c r="P37" i="43"/>
  <c r="D37" i="41"/>
  <c r="P37" i="41" s="1"/>
  <c r="T88" i="42"/>
  <c r="P88" i="42"/>
  <c r="W88" i="42"/>
  <c r="V88" i="42"/>
  <c r="U88" i="42"/>
  <c r="E40" i="47"/>
  <c r="E42" i="48"/>
  <c r="E43" i="48" s="1"/>
  <c r="H23" i="1"/>
  <c r="AD79" i="14"/>
  <c r="AE79" i="14" s="1"/>
  <c r="AG79" i="14"/>
  <c r="P80" i="14"/>
  <c r="L147" i="10"/>
  <c r="M104" i="19"/>
  <c r="K244" i="54"/>
  <c r="K299" i="54" s="1"/>
  <c r="M195" i="54"/>
  <c r="P139" i="53"/>
  <c r="D129" i="19"/>
  <c r="AG82" i="26"/>
  <c r="AD82" i="26"/>
  <c r="AE82" i="26" s="1"/>
  <c r="M237" i="54"/>
  <c r="M292" i="54" s="1"/>
  <c r="O193" i="54"/>
  <c r="AD65" i="1"/>
  <c r="AD68" i="1"/>
  <c r="AD69" i="1" s="1"/>
  <c r="AG228" i="10"/>
  <c r="AD228" i="10"/>
  <c r="K36" i="41"/>
  <c r="K46" i="41" s="1"/>
  <c r="K46" i="43"/>
  <c r="K47" i="43" s="1"/>
  <c r="K40" i="47"/>
  <c r="K42" i="48"/>
  <c r="K43" i="48" s="1"/>
  <c r="K210" i="54"/>
  <c r="K265" i="54" s="1"/>
  <c r="M191" i="54"/>
  <c r="O23" i="1"/>
  <c r="H314" i="54"/>
  <c r="H316" i="54"/>
  <c r="AG79" i="15"/>
  <c r="AD79" i="15"/>
  <c r="AE79" i="15" s="1"/>
  <c r="P80" i="15"/>
  <c r="J258" i="54"/>
  <c r="J261" i="54"/>
  <c r="J313" i="54" s="1"/>
  <c r="K208" i="54"/>
  <c r="K263" i="54" s="1"/>
  <c r="M190" i="54"/>
  <c r="I47" i="41"/>
  <c r="J30" i="1"/>
  <c r="P153" i="53"/>
  <c r="E54" i="37"/>
  <c r="K252" i="54"/>
  <c r="K307" i="54" s="1"/>
  <c r="M199" i="54"/>
  <c r="K235" i="54"/>
  <c r="K290" i="54" s="1"/>
  <c r="M192" i="54"/>
  <c r="V88" i="43"/>
  <c r="U88" i="43"/>
  <c r="T88" i="43"/>
  <c r="P88" i="43"/>
  <c r="W88" i="43"/>
  <c r="T88" i="44"/>
  <c r="P88" i="44"/>
  <c r="X88" i="44" s="1"/>
  <c r="W88" i="44"/>
  <c r="V88" i="44"/>
  <c r="U88" i="44"/>
  <c r="X88" i="43"/>
  <c r="J47" i="41"/>
  <c r="K30" i="1"/>
  <c r="J32" i="1"/>
  <c r="I42" i="47"/>
  <c r="M105" i="22"/>
  <c r="N102" i="22"/>
  <c r="AD82" i="25"/>
  <c r="AE82" i="25" s="1"/>
  <c r="AG82" i="25"/>
  <c r="P263" i="53"/>
  <c r="D266" i="53"/>
  <c r="AE45" i="5"/>
  <c r="AF45" i="5" s="1"/>
  <c r="AH45" i="5"/>
  <c r="Q46" i="5"/>
  <c r="AH46" i="5" s="1"/>
  <c r="AH60" i="5"/>
  <c r="AE60" i="5"/>
  <c r="AF60" i="5" s="1"/>
  <c r="F47" i="41"/>
  <c r="G30" i="1"/>
  <c r="H47" i="41"/>
  <c r="I30" i="1"/>
  <c r="M47" i="41"/>
  <c r="N30" i="1"/>
  <c r="N119" i="18"/>
  <c r="M162" i="10"/>
  <c r="AG79" i="17"/>
  <c r="AD79" i="17"/>
  <c r="AE79" i="17" s="1"/>
  <c r="P80" i="17"/>
  <c r="K239" i="54"/>
  <c r="K294" i="54" s="1"/>
  <c r="M194" i="54"/>
  <c r="AD79" i="18"/>
  <c r="AE79" i="18" s="1"/>
  <c r="AG79" i="18"/>
  <c r="P80" i="18"/>
  <c r="AG36" i="28"/>
  <c r="AD36" i="28"/>
  <c r="AE36" i="28" s="1"/>
  <c r="L256" i="54"/>
  <c r="L311" i="54" s="1"/>
  <c r="N202" i="54"/>
  <c r="AH22" i="53"/>
  <c r="AE22" i="53"/>
  <c r="D133" i="22"/>
  <c r="P129" i="22"/>
  <c r="P26" i="52"/>
  <c r="P27" i="52" s="1"/>
  <c r="AJ16" i="1"/>
  <c r="AE16" i="1"/>
  <c r="AE17" i="1" s="1"/>
  <c r="AM16" i="1"/>
  <c r="AH16" i="1"/>
  <c r="Q78" i="1"/>
  <c r="AP78" i="1" s="1"/>
  <c r="AF34" i="1"/>
  <c r="AF33" i="1"/>
  <c r="P143" i="53"/>
  <c r="D129" i="18"/>
  <c r="AD79" i="13"/>
  <c r="AE79" i="13" s="1"/>
  <c r="AG79" i="13"/>
  <c r="P80" i="13"/>
  <c r="D164" i="53"/>
  <c r="P119" i="53"/>
  <c r="AD79" i="19"/>
  <c r="AE79" i="19" s="1"/>
  <c r="AG79" i="19"/>
  <c r="P80" i="19"/>
  <c r="O117" i="18"/>
  <c r="N160" i="10"/>
  <c r="P36" i="43"/>
  <c r="D36" i="41"/>
  <c r="D46" i="43"/>
  <c r="D47" i="43" s="1"/>
  <c r="T88" i="46"/>
  <c r="P88" i="46"/>
  <c r="W88" i="46"/>
  <c r="V88" i="46"/>
  <c r="U88" i="46"/>
  <c r="AG79" i="12"/>
  <c r="AD79" i="12"/>
  <c r="AE79" i="12" s="1"/>
  <c r="P80" i="12"/>
  <c r="E36" i="41"/>
  <c r="E46" i="41" s="1"/>
  <c r="E46" i="43"/>
  <c r="E47" i="43" s="1"/>
  <c r="AG79" i="11"/>
  <c r="AD79" i="11"/>
  <c r="AE79" i="11" s="1"/>
  <c r="P80" i="11"/>
  <c r="K32" i="1"/>
  <c r="J42" i="47"/>
  <c r="P116" i="19"/>
  <c r="O159" i="10"/>
  <c r="P159" i="10" s="1"/>
  <c r="N118" i="22"/>
  <c r="M161" i="10"/>
  <c r="G40" i="47"/>
  <c r="G42" i="48"/>
  <c r="G43" i="48" s="1"/>
  <c r="N47" i="41"/>
  <c r="O30" i="1"/>
  <c r="O40" i="47"/>
  <c r="O42" i="48"/>
  <c r="O43" i="48" s="1"/>
  <c r="O36" i="41"/>
  <c r="O46" i="41" s="1"/>
  <c r="O46" i="43"/>
  <c r="O47" i="43" s="1"/>
  <c r="AH125" i="5"/>
  <c r="AE125" i="5"/>
  <c r="AD37" i="28"/>
  <c r="AE37" i="28" s="1"/>
  <c r="AG37" i="28"/>
  <c r="I316" i="54"/>
  <c r="I314" i="54"/>
  <c r="M251" i="54"/>
  <c r="M306" i="54" s="1"/>
  <c r="O198" i="54"/>
  <c r="P118" i="18"/>
  <c r="AD79" i="20"/>
  <c r="AE79" i="20" s="1"/>
  <c r="AG79" i="20"/>
  <c r="P80" i="20"/>
  <c r="AD34" i="28"/>
  <c r="AE34" i="28" s="1"/>
  <c r="AG34" i="28"/>
  <c r="P42" i="28"/>
  <c r="AD82" i="24"/>
  <c r="AE82" i="24" s="1"/>
  <c r="AG82" i="24"/>
  <c r="AD38" i="28"/>
  <c r="AE38" i="28" s="1"/>
  <c r="AG38" i="28"/>
  <c r="AG40" i="28"/>
  <c r="AD40" i="28"/>
  <c r="AE40" i="28" s="1"/>
  <c r="M250" i="54"/>
  <c r="M305" i="54" s="1"/>
  <c r="O197" i="54"/>
  <c r="L105" i="19"/>
  <c r="M102" i="19"/>
  <c r="W88" i="41"/>
  <c r="V88" i="41"/>
  <c r="U88" i="41"/>
  <c r="T88" i="41"/>
  <c r="P88" i="41"/>
  <c r="X88" i="41" s="1"/>
  <c r="U88" i="45"/>
  <c r="T88" i="45"/>
  <c r="P88" i="45"/>
  <c r="X88" i="45" s="1"/>
  <c r="W88" i="45"/>
  <c r="V88" i="45"/>
  <c r="P40" i="48"/>
  <c r="D40" i="47"/>
  <c r="D42" i="48"/>
  <c r="D43" i="48" s="1"/>
  <c r="AD65" i="28"/>
  <c r="AE65" i="28" s="1"/>
  <c r="AG65" i="28"/>
  <c r="X88" i="42"/>
  <c r="X88" i="46"/>
  <c r="G23" i="1"/>
  <c r="N32" i="1"/>
  <c r="M42" i="47"/>
  <c r="M203" i="54"/>
  <c r="K257" i="54"/>
  <c r="K312" i="54" s="1"/>
  <c r="M196" i="54"/>
  <c r="K249" i="54"/>
  <c r="K304" i="54" s="1"/>
  <c r="G36" i="41"/>
  <c r="G46" i="41" s="1"/>
  <c r="G46" i="43"/>
  <c r="G47" i="43" s="1"/>
  <c r="S65" i="1"/>
  <c r="S68" i="1"/>
  <c r="S69" i="1" s="1"/>
  <c r="AH130" i="5"/>
  <c r="AE130" i="5"/>
  <c r="G47" i="41" l="1"/>
  <c r="H30" i="1"/>
  <c r="L249" i="54"/>
  <c r="L304" i="54" s="1"/>
  <c r="N196" i="54"/>
  <c r="N250" i="54"/>
  <c r="N305" i="54" s="1"/>
  <c r="P197" i="54"/>
  <c r="AG118" i="18"/>
  <c r="AD118" i="18"/>
  <c r="AE118" i="18" s="1"/>
  <c r="O118" i="22"/>
  <c r="N161" i="10"/>
  <c r="P36" i="41"/>
  <c r="D46" i="41"/>
  <c r="AD80" i="19"/>
  <c r="AE80" i="19" s="1"/>
  <c r="AG80" i="19"/>
  <c r="AG80" i="13"/>
  <c r="AD80" i="13"/>
  <c r="AE80" i="13" s="1"/>
  <c r="P81" i="13"/>
  <c r="AD80" i="17"/>
  <c r="AE80" i="17" s="1"/>
  <c r="AG80" i="17"/>
  <c r="P81" i="17"/>
  <c r="O119" i="18"/>
  <c r="N162" i="10"/>
  <c r="L235" i="54"/>
  <c r="L290" i="54" s="1"/>
  <c r="N192" i="54"/>
  <c r="L244" i="54"/>
  <c r="L299" i="54" s="1"/>
  <c r="N195" i="54"/>
  <c r="O114" i="18"/>
  <c r="N157" i="10"/>
  <c r="L148" i="10"/>
  <c r="F43" i="47"/>
  <c r="G31" i="1"/>
  <c r="G35" i="1" s="1"/>
  <c r="Q23" i="1"/>
  <c r="AD80" i="20"/>
  <c r="AE80" i="20" s="1"/>
  <c r="AG80" i="20"/>
  <c r="P81" i="20"/>
  <c r="P32" i="1"/>
  <c r="O42" i="47"/>
  <c r="H32" i="1"/>
  <c r="G42" i="47"/>
  <c r="AD159" i="10"/>
  <c r="AE159" i="10" s="1"/>
  <c r="AG159" i="10"/>
  <c r="AD80" i="11"/>
  <c r="AE80" i="11" s="1"/>
  <c r="AG80" i="11"/>
  <c r="P81" i="11"/>
  <c r="AG36" i="43"/>
  <c r="AD36" i="43"/>
  <c r="AE36" i="43" s="1"/>
  <c r="P46" i="43"/>
  <c r="D166" i="53"/>
  <c r="D267" i="53" s="1"/>
  <c r="P164" i="53"/>
  <c r="D167" i="53"/>
  <c r="D133" i="18"/>
  <c r="P129" i="18"/>
  <c r="D172" i="10"/>
  <c r="AM78" i="1"/>
  <c r="AE78" i="1"/>
  <c r="N105" i="22"/>
  <c r="O102" i="22"/>
  <c r="D72" i="28"/>
  <c r="Q54" i="37"/>
  <c r="E58" i="37"/>
  <c r="E59" i="37" s="1"/>
  <c r="E12" i="37" s="1"/>
  <c r="L208" i="54"/>
  <c r="L263" i="54" s="1"/>
  <c r="N190" i="54"/>
  <c r="L32" i="1"/>
  <c r="K42" i="47"/>
  <c r="AG80" i="14"/>
  <c r="AD80" i="14"/>
  <c r="AE80" i="14" s="1"/>
  <c r="P81" i="14"/>
  <c r="O115" i="19"/>
  <c r="N158" i="10"/>
  <c r="M32" i="1"/>
  <c r="L42" i="47"/>
  <c r="N207" i="54"/>
  <c r="N262" i="54" s="1"/>
  <c r="P189" i="54"/>
  <c r="AD80" i="22"/>
  <c r="AE80" i="22" s="1"/>
  <c r="AG80" i="22"/>
  <c r="L206" i="54"/>
  <c r="M204" i="54"/>
  <c r="N188" i="54"/>
  <c r="P114" i="19"/>
  <c r="AG80" i="21"/>
  <c r="AD80" i="21"/>
  <c r="AE80" i="21" s="1"/>
  <c r="P81" i="21"/>
  <c r="M105" i="18"/>
  <c r="N102" i="18"/>
  <c r="M145" i="10"/>
  <c r="N43" i="47"/>
  <c r="O31" i="1"/>
  <c r="AD80" i="16"/>
  <c r="AE80" i="16" s="1"/>
  <c r="AG80" i="16"/>
  <c r="P81" i="16"/>
  <c r="P40" i="47"/>
  <c r="E32" i="1"/>
  <c r="D42" i="47"/>
  <c r="M105" i="19"/>
  <c r="N102" i="19"/>
  <c r="L257" i="54"/>
  <c r="L312" i="54" s="1"/>
  <c r="N203" i="54"/>
  <c r="AG40" i="48"/>
  <c r="AD40" i="48"/>
  <c r="AE40" i="48" s="1"/>
  <c r="P42" i="48"/>
  <c r="AD42" i="28"/>
  <c r="AE42" i="28" s="1"/>
  <c r="AG42" i="28"/>
  <c r="N251" i="54"/>
  <c r="N306" i="54" s="1"/>
  <c r="P198" i="54"/>
  <c r="O35" i="1"/>
  <c r="AG116" i="19"/>
  <c r="AD116" i="19"/>
  <c r="AE116" i="19" s="1"/>
  <c r="E47" i="41"/>
  <c r="F30" i="1"/>
  <c r="L239" i="54"/>
  <c r="L294" i="54" s="1"/>
  <c r="N194" i="54"/>
  <c r="P266" i="53"/>
  <c r="AG80" i="15"/>
  <c r="AD80" i="15"/>
  <c r="AE80" i="15" s="1"/>
  <c r="P81" i="15"/>
  <c r="L210" i="54"/>
  <c r="L265" i="54" s="1"/>
  <c r="N191" i="54"/>
  <c r="N237" i="54"/>
  <c r="N292" i="54" s="1"/>
  <c r="P193" i="54"/>
  <c r="D133" i="19"/>
  <c r="P129" i="19"/>
  <c r="N104" i="19"/>
  <c r="M147" i="10"/>
  <c r="AG37" i="41"/>
  <c r="AD37" i="41"/>
  <c r="AE37" i="41" s="1"/>
  <c r="O114" i="22"/>
  <c r="N103" i="19"/>
  <c r="M146" i="10"/>
  <c r="AD80" i="23"/>
  <c r="AE80" i="23" s="1"/>
  <c r="AG80" i="23"/>
  <c r="P81" i="23"/>
  <c r="K258" i="54"/>
  <c r="K261" i="54"/>
  <c r="K313" i="54" s="1"/>
  <c r="L253" i="54"/>
  <c r="L308" i="54" s="1"/>
  <c r="N200" i="54"/>
  <c r="M43" i="47"/>
  <c r="N31" i="1"/>
  <c r="N35" i="1" s="1"/>
  <c r="O47" i="41"/>
  <c r="P30" i="1"/>
  <c r="J43" i="47"/>
  <c r="K31" i="1"/>
  <c r="K35" i="1" s="1"/>
  <c r="AG80" i="12"/>
  <c r="AD80" i="12"/>
  <c r="AE80" i="12" s="1"/>
  <c r="P81" i="12"/>
  <c r="O160" i="10"/>
  <c r="P160" i="10" s="1"/>
  <c r="P117" i="18"/>
  <c r="AG129" i="22"/>
  <c r="AD129" i="22"/>
  <c r="AE129" i="22" s="1"/>
  <c r="P133" i="22"/>
  <c r="M256" i="54"/>
  <c r="M311" i="54" s="1"/>
  <c r="O202" i="54"/>
  <c r="AG80" i="18"/>
  <c r="AD80" i="18"/>
  <c r="AE80" i="18" s="1"/>
  <c r="I35" i="1"/>
  <c r="I43" i="47"/>
  <c r="J31" i="1"/>
  <c r="L252" i="54"/>
  <c r="L307" i="54" s="1"/>
  <c r="N199" i="54"/>
  <c r="J35" i="1"/>
  <c r="J316" i="54"/>
  <c r="J314" i="54"/>
  <c r="K47" i="41"/>
  <c r="L30" i="1"/>
  <c r="F32" i="1"/>
  <c r="E42" i="47"/>
  <c r="AG37" i="43"/>
  <c r="AD37" i="43"/>
  <c r="AE37" i="43" s="1"/>
  <c r="L47" i="41"/>
  <c r="M30" i="1"/>
  <c r="M164" i="10"/>
  <c r="N121" i="18"/>
  <c r="O254" i="54"/>
  <c r="X201" i="54"/>
  <c r="H43" i="47"/>
  <c r="I31" i="1"/>
  <c r="N256" i="54" l="1"/>
  <c r="N311" i="54" s="1"/>
  <c r="P202" i="54"/>
  <c r="P114" i="22"/>
  <c r="O237" i="54"/>
  <c r="X193" i="54"/>
  <c r="AD81" i="15"/>
  <c r="AE81" i="15" s="1"/>
  <c r="P82" i="15"/>
  <c r="AG81" i="15"/>
  <c r="N105" i="19"/>
  <c r="O102" i="19"/>
  <c r="AG40" i="47"/>
  <c r="AD40" i="47"/>
  <c r="AE40" i="47" s="1"/>
  <c r="P42" i="47"/>
  <c r="AG114" i="19"/>
  <c r="AD114" i="19"/>
  <c r="AE114" i="19" s="1"/>
  <c r="L258" i="54"/>
  <c r="L261" i="54"/>
  <c r="L313" i="54" s="1"/>
  <c r="P115" i="19"/>
  <c r="O158" i="10"/>
  <c r="P158" i="10" s="1"/>
  <c r="K43" i="47"/>
  <c r="L31" i="1"/>
  <c r="E24" i="37"/>
  <c r="Q12" i="37"/>
  <c r="O105" i="22"/>
  <c r="P102" i="22"/>
  <c r="P47" i="43"/>
  <c r="AG46" i="43"/>
  <c r="AD46" i="43"/>
  <c r="AE46" i="43" s="1"/>
  <c r="G43" i="47"/>
  <c r="H31" i="1"/>
  <c r="AG81" i="20"/>
  <c r="P82" i="20"/>
  <c r="AD81" i="20"/>
  <c r="AE81" i="20" s="1"/>
  <c r="AG36" i="41"/>
  <c r="AD36" i="41"/>
  <c r="AE36" i="41" s="1"/>
  <c r="P46" i="41"/>
  <c r="O309" i="54"/>
  <c r="P309" i="54" s="1"/>
  <c r="P254" i="54"/>
  <c r="M252" i="54"/>
  <c r="M307" i="54" s="1"/>
  <c r="O199" i="54"/>
  <c r="AD117" i="18"/>
  <c r="AE117" i="18" s="1"/>
  <c r="AG117" i="18"/>
  <c r="K316" i="54"/>
  <c r="K314" i="54"/>
  <c r="O104" i="19"/>
  <c r="N147" i="10"/>
  <c r="O251" i="54"/>
  <c r="X198" i="54"/>
  <c r="P82" i="16"/>
  <c r="AG81" i="16"/>
  <c r="AD81" i="16"/>
  <c r="AE81" i="16" s="1"/>
  <c r="AG81" i="21"/>
  <c r="AD81" i="21"/>
  <c r="AE81" i="21" s="1"/>
  <c r="P82" i="21"/>
  <c r="L43" i="47"/>
  <c r="M31" i="1"/>
  <c r="AG81" i="14"/>
  <c r="P82" i="14"/>
  <c r="AD81" i="14"/>
  <c r="AE81" i="14" s="1"/>
  <c r="AH54" i="37"/>
  <c r="Q58" i="37"/>
  <c r="AE54" i="37"/>
  <c r="AF54" i="37" s="1"/>
  <c r="M244" i="54"/>
  <c r="M299" i="54" s="1"/>
  <c r="O195" i="54"/>
  <c r="O250" i="54"/>
  <c r="X197" i="54"/>
  <c r="H35" i="1"/>
  <c r="E43" i="47"/>
  <c r="F31" i="1"/>
  <c r="F35" i="1" s="1"/>
  <c r="AG133" i="22"/>
  <c r="AD133" i="22"/>
  <c r="AE133" i="22" s="1"/>
  <c r="M253" i="54"/>
  <c r="M308" i="54" s="1"/>
  <c r="O200" i="54"/>
  <c r="AD129" i="19"/>
  <c r="AE129" i="19" s="1"/>
  <c r="AG129" i="19"/>
  <c r="P133" i="19"/>
  <c r="M210" i="54"/>
  <c r="M265" i="54" s="1"/>
  <c r="O191" i="54"/>
  <c r="M239" i="54"/>
  <c r="M294" i="54" s="1"/>
  <c r="O194" i="54"/>
  <c r="P43" i="48"/>
  <c r="AG42" i="48"/>
  <c r="AD42" i="48"/>
  <c r="AE42" i="48" s="1"/>
  <c r="M257" i="54"/>
  <c r="M312" i="54" s="1"/>
  <c r="O203" i="54"/>
  <c r="D43" i="47"/>
  <c r="E31" i="1"/>
  <c r="Q31" i="1" s="1"/>
  <c r="M148" i="10"/>
  <c r="N204" i="54"/>
  <c r="M206" i="54"/>
  <c r="O188" i="54"/>
  <c r="M208" i="54"/>
  <c r="M263" i="54" s="1"/>
  <c r="O190" i="54"/>
  <c r="P72" i="28"/>
  <c r="D76" i="28"/>
  <c r="D77" i="28" s="1"/>
  <c r="E20" i="1" s="1"/>
  <c r="P172" i="10"/>
  <c r="D176" i="10"/>
  <c r="P166" i="53"/>
  <c r="P267" i="53" s="1"/>
  <c r="P167" i="53"/>
  <c r="O43" i="47"/>
  <c r="P31" i="1"/>
  <c r="P35" i="1" s="1"/>
  <c r="O157" i="10"/>
  <c r="P114" i="18"/>
  <c r="O162" i="10"/>
  <c r="P162" i="10" s="1"/>
  <c r="P119" i="18"/>
  <c r="AG81" i="13"/>
  <c r="AD81" i="13"/>
  <c r="AE81" i="13" s="1"/>
  <c r="P82" i="13"/>
  <c r="P118" i="22"/>
  <c r="O161" i="10"/>
  <c r="P161" i="10" s="1"/>
  <c r="M35" i="1"/>
  <c r="O121" i="18"/>
  <c r="N164" i="10"/>
  <c r="AG160" i="10"/>
  <c r="AD160" i="10"/>
  <c r="AE160" i="10" s="1"/>
  <c r="L35" i="1"/>
  <c r="AD81" i="12"/>
  <c r="AE81" i="12" s="1"/>
  <c r="P82" i="12"/>
  <c r="AG81" i="12"/>
  <c r="AD81" i="23"/>
  <c r="AE81" i="23" s="1"/>
  <c r="P82" i="23"/>
  <c r="AG81" i="23"/>
  <c r="O103" i="19"/>
  <c r="N146" i="10"/>
  <c r="Q32" i="1"/>
  <c r="N105" i="18"/>
  <c r="O102" i="18"/>
  <c r="N145" i="10"/>
  <c r="N148" i="10" s="1"/>
  <c r="O207" i="54"/>
  <c r="X189" i="54"/>
  <c r="AD129" i="18"/>
  <c r="AE129" i="18" s="1"/>
  <c r="AG129" i="18"/>
  <c r="P133" i="18"/>
  <c r="P82" i="11"/>
  <c r="AD81" i="11"/>
  <c r="AE81" i="11" s="1"/>
  <c r="AG81" i="11"/>
  <c r="AH23" i="1"/>
  <c r="AM23" i="1"/>
  <c r="AF23" i="1"/>
  <c r="AJ23" i="1"/>
  <c r="AE23" i="1"/>
  <c r="M235" i="54"/>
  <c r="M290" i="54" s="1"/>
  <c r="O192" i="54"/>
  <c r="AD81" i="17"/>
  <c r="AE81" i="17" s="1"/>
  <c r="AG81" i="17"/>
  <c r="P82" i="17"/>
  <c r="D47" i="41"/>
  <c r="E30" i="1"/>
  <c r="M249" i="54"/>
  <c r="M304" i="54" s="1"/>
  <c r="O196" i="54"/>
  <c r="AD82" i="17" l="1"/>
  <c r="AE82" i="17" s="1"/>
  <c r="AG82" i="17"/>
  <c r="O105" i="18"/>
  <c r="O145" i="10"/>
  <c r="P102" i="18"/>
  <c r="P103" i="19"/>
  <c r="O146" i="10"/>
  <c r="P146" i="10" s="1"/>
  <c r="AG114" i="18"/>
  <c r="AD114" i="18"/>
  <c r="AE114" i="18" s="1"/>
  <c r="AG172" i="10"/>
  <c r="AD172" i="10"/>
  <c r="AE172" i="10" s="1"/>
  <c r="P176" i="10"/>
  <c r="N239" i="54"/>
  <c r="N294" i="54" s="1"/>
  <c r="P194" i="54"/>
  <c r="AD133" i="19"/>
  <c r="AE133" i="19" s="1"/>
  <c r="AG133" i="19"/>
  <c r="N244" i="54"/>
  <c r="N299" i="54" s="1"/>
  <c r="P195" i="54"/>
  <c r="AD82" i="14"/>
  <c r="AE82" i="14" s="1"/>
  <c r="AG82" i="14"/>
  <c r="AD82" i="21"/>
  <c r="AE82" i="21" s="1"/>
  <c r="AG82" i="21"/>
  <c r="O306" i="54"/>
  <c r="P306" i="54" s="1"/>
  <c r="P251" i="54"/>
  <c r="AH12" i="37"/>
  <c r="Q24" i="37"/>
  <c r="AE12" i="37"/>
  <c r="AF12" i="37" s="1"/>
  <c r="AD158" i="10"/>
  <c r="AE158" i="10" s="1"/>
  <c r="AG158" i="10"/>
  <c r="P43" i="47"/>
  <c r="AG42" i="47"/>
  <c r="AD42" i="47"/>
  <c r="AE42" i="47" s="1"/>
  <c r="N249" i="54"/>
  <c r="N304" i="54" s="1"/>
  <c r="P196" i="54"/>
  <c r="AG82" i="11"/>
  <c r="AD82" i="11"/>
  <c r="AE82" i="11" s="1"/>
  <c r="AD82" i="12"/>
  <c r="AE82" i="12" s="1"/>
  <c r="AG82" i="12"/>
  <c r="P157" i="10"/>
  <c r="Q20" i="1"/>
  <c r="E25" i="1"/>
  <c r="Q25" i="1" s="1"/>
  <c r="O204" i="54"/>
  <c r="N206" i="54"/>
  <c r="P188" i="54"/>
  <c r="AJ31" i="1"/>
  <c r="AH31" i="1"/>
  <c r="AF31" i="1"/>
  <c r="AM31" i="1"/>
  <c r="AE31" i="1"/>
  <c r="AH58" i="37"/>
  <c r="AE58" i="37"/>
  <c r="AF58" i="37" s="1"/>
  <c r="Q59" i="37"/>
  <c r="AG82" i="16"/>
  <c r="AD82" i="16"/>
  <c r="AE82" i="16" s="1"/>
  <c r="AG47" i="43"/>
  <c r="AD47" i="43"/>
  <c r="AE47" i="43" s="1"/>
  <c r="AG115" i="19"/>
  <c r="AD115" i="19"/>
  <c r="AE115" i="19" s="1"/>
  <c r="AG161" i="10"/>
  <c r="AD161" i="10"/>
  <c r="AE161" i="10" s="1"/>
  <c r="Q30" i="1"/>
  <c r="E35" i="1"/>
  <c r="AD133" i="18"/>
  <c r="AE133" i="18" s="1"/>
  <c r="AG133" i="18"/>
  <c r="O262" i="54"/>
  <c r="P262" i="54" s="1"/>
  <c r="P207" i="54"/>
  <c r="AM32" i="1"/>
  <c r="AE32" i="1"/>
  <c r="AJ32" i="1"/>
  <c r="AH32" i="1"/>
  <c r="AF32" i="1"/>
  <c r="AG82" i="23"/>
  <c r="AD82" i="23"/>
  <c r="AE82" i="23" s="1"/>
  <c r="AG118" i="22"/>
  <c r="AD118" i="22"/>
  <c r="AE118" i="22" s="1"/>
  <c r="AD119" i="18"/>
  <c r="AE119" i="18" s="1"/>
  <c r="AG119" i="18"/>
  <c r="AG72" i="28"/>
  <c r="AD72" i="28"/>
  <c r="AE72" i="28" s="1"/>
  <c r="P76" i="28"/>
  <c r="M258" i="54"/>
  <c r="M261" i="54"/>
  <c r="M313" i="54" s="1"/>
  <c r="N210" i="54"/>
  <c r="N265" i="54" s="1"/>
  <c r="P191" i="54"/>
  <c r="O147" i="10"/>
  <c r="P147" i="10" s="1"/>
  <c r="P104" i="19"/>
  <c r="P105" i="22"/>
  <c r="AG102" i="22"/>
  <c r="AD102" i="22"/>
  <c r="AE102" i="22" s="1"/>
  <c r="L314" i="54"/>
  <c r="L316" i="54"/>
  <c r="O292" i="54"/>
  <c r="P292" i="54" s="1"/>
  <c r="P237" i="54"/>
  <c r="O256" i="54"/>
  <c r="X202" i="54"/>
  <c r="N235" i="54"/>
  <c r="N290" i="54" s="1"/>
  <c r="P192" i="54"/>
  <c r="O164" i="10"/>
  <c r="P164" i="10" s="1"/>
  <c r="P121" i="18"/>
  <c r="AG82" i="13"/>
  <c r="AD82" i="13"/>
  <c r="AE82" i="13" s="1"/>
  <c r="AD162" i="10"/>
  <c r="AE162" i="10" s="1"/>
  <c r="AG162" i="10"/>
  <c r="N208" i="54"/>
  <c r="N263" i="54" s="1"/>
  <c r="P190" i="54"/>
  <c r="N257" i="54"/>
  <c r="N312" i="54" s="1"/>
  <c r="P203" i="54"/>
  <c r="AG43" i="48"/>
  <c r="AD43" i="48"/>
  <c r="AE43" i="48" s="1"/>
  <c r="N253" i="54"/>
  <c r="N308" i="54" s="1"/>
  <c r="P200" i="54"/>
  <c r="O305" i="54"/>
  <c r="P305" i="54" s="1"/>
  <c r="P250" i="54"/>
  <c r="N252" i="54"/>
  <c r="N307" i="54" s="1"/>
  <c r="P199" i="54"/>
  <c r="P47" i="41"/>
  <c r="AG46" i="41"/>
  <c r="AD46" i="41"/>
  <c r="AE46" i="41" s="1"/>
  <c r="AD82" i="20"/>
  <c r="AE82" i="20" s="1"/>
  <c r="AG82" i="20"/>
  <c r="O105" i="19"/>
  <c r="P102" i="19"/>
  <c r="AD82" i="15"/>
  <c r="AE82" i="15" s="1"/>
  <c r="AG82" i="15"/>
  <c r="AG114" i="22"/>
  <c r="AD114" i="22"/>
  <c r="AE114" i="22" s="1"/>
  <c r="AM25" i="1" l="1"/>
  <c r="AE25" i="1"/>
  <c r="AF25" i="1"/>
  <c r="AJ25" i="1"/>
  <c r="AH25" i="1"/>
  <c r="O249" i="54"/>
  <c r="X196" i="54"/>
  <c r="O148" i="10"/>
  <c r="P145" i="10"/>
  <c r="AG102" i="19"/>
  <c r="P105" i="19"/>
  <c r="AD102" i="19"/>
  <c r="AE102" i="19" s="1"/>
  <c r="AG76" i="28"/>
  <c r="AD76" i="28"/>
  <c r="AE76" i="28" s="1"/>
  <c r="P77" i="28"/>
  <c r="AH59" i="37"/>
  <c r="AE59" i="37"/>
  <c r="AF59" i="37" s="1"/>
  <c r="O206" i="54"/>
  <c r="P204" i="54"/>
  <c r="X188" i="54"/>
  <c r="AM20" i="1"/>
  <c r="AE20" i="1"/>
  <c r="AF20" i="1" s="1"/>
  <c r="AH20" i="1"/>
  <c r="AJ20" i="1"/>
  <c r="AG43" i="47"/>
  <c r="AD43" i="47"/>
  <c r="AE43" i="47" s="1"/>
  <c r="AE24" i="37"/>
  <c r="AF24" i="37" s="1"/>
  <c r="AH24" i="37"/>
  <c r="O244" i="54"/>
  <c r="X195" i="54"/>
  <c r="O239" i="54"/>
  <c r="X194" i="54"/>
  <c r="AG146" i="10"/>
  <c r="AD146" i="10"/>
  <c r="AE146" i="10" s="1"/>
  <c r="O252" i="54"/>
  <c r="X199" i="54"/>
  <c r="O257" i="54"/>
  <c r="X203" i="54"/>
  <c r="O210" i="54"/>
  <c r="X191" i="54"/>
  <c r="O208" i="54"/>
  <c r="X190" i="54"/>
  <c r="O235" i="54"/>
  <c r="X192" i="54"/>
  <c r="O311" i="54"/>
  <c r="P311" i="54" s="1"/>
  <c r="P256" i="54"/>
  <c r="AG104" i="19"/>
  <c r="AD104" i="19"/>
  <c r="AE104" i="19" s="1"/>
  <c r="M316" i="54"/>
  <c r="M314" i="54"/>
  <c r="N258" i="54"/>
  <c r="N261" i="54"/>
  <c r="N313" i="54" s="1"/>
  <c r="AG157" i="10"/>
  <c r="AD157" i="10"/>
  <c r="AE157" i="10" s="1"/>
  <c r="AG103" i="19"/>
  <c r="AD103" i="19"/>
  <c r="AE103" i="19" s="1"/>
  <c r="O253" i="54"/>
  <c r="X200" i="54"/>
  <c r="AG121" i="18"/>
  <c r="AD121" i="18"/>
  <c r="AE121" i="18" s="1"/>
  <c r="AG164" i="10"/>
  <c r="AD164" i="10"/>
  <c r="AE164" i="10" s="1"/>
  <c r="M112" i="22"/>
  <c r="I112" i="22"/>
  <c r="E112" i="22"/>
  <c r="AG105" i="22"/>
  <c r="L112" i="22"/>
  <c r="H112" i="22"/>
  <c r="N112" i="22"/>
  <c r="F112" i="22"/>
  <c r="K112" i="22"/>
  <c r="G112" i="22"/>
  <c r="AD105" i="22"/>
  <c r="AE105" i="22" s="1"/>
  <c r="O112" i="22"/>
  <c r="J112" i="22"/>
  <c r="AG47" i="41"/>
  <c r="AD47" i="41"/>
  <c r="AE47" i="41" s="1"/>
  <c r="AG147" i="10"/>
  <c r="AD147" i="10"/>
  <c r="AE147" i="10" s="1"/>
  <c r="AH30" i="1"/>
  <c r="Q35" i="1"/>
  <c r="AF30" i="1"/>
  <c r="AE30" i="1"/>
  <c r="AM30" i="1"/>
  <c r="AJ30" i="1"/>
  <c r="AG176" i="10"/>
  <c r="AD176" i="10"/>
  <c r="AE176" i="10" s="1"/>
  <c r="AD102" i="18"/>
  <c r="AE102" i="18" s="1"/>
  <c r="AG102" i="18"/>
  <c r="P105" i="18"/>
  <c r="D112" i="22" l="1"/>
  <c r="P108" i="22"/>
  <c r="O290" i="54"/>
  <c r="P290" i="54" s="1"/>
  <c r="P235" i="54"/>
  <c r="O265" i="54"/>
  <c r="P265" i="54" s="1"/>
  <c r="P210" i="54"/>
  <c r="O307" i="54"/>
  <c r="P307" i="54" s="1"/>
  <c r="P252" i="54"/>
  <c r="X204" i="54"/>
  <c r="AM35" i="1"/>
  <c r="AJ35" i="1"/>
  <c r="AE35" i="1"/>
  <c r="AH35" i="1"/>
  <c r="O263" i="54"/>
  <c r="P263" i="54" s="1"/>
  <c r="P208" i="54"/>
  <c r="O312" i="54"/>
  <c r="P312" i="54" s="1"/>
  <c r="P257" i="54"/>
  <c r="O258" i="54"/>
  <c r="P258" i="54" s="1"/>
  <c r="O261" i="54"/>
  <c r="P206" i="54"/>
  <c r="O304" i="54"/>
  <c r="P304" i="54" s="1"/>
  <c r="P249" i="54"/>
  <c r="AG105" i="18"/>
  <c r="AD105" i="18"/>
  <c r="AE105" i="18" s="1"/>
  <c r="O308" i="54"/>
  <c r="P308" i="54" s="1"/>
  <c r="P253" i="54"/>
  <c r="O294" i="54"/>
  <c r="P294" i="54" s="1"/>
  <c r="P239" i="54"/>
  <c r="AD77" i="28"/>
  <c r="AE77" i="28" s="1"/>
  <c r="AG77" i="28"/>
  <c r="L112" i="19"/>
  <c r="H112" i="19"/>
  <c r="M112" i="19"/>
  <c r="G112" i="19"/>
  <c r="K112" i="19"/>
  <c r="F112" i="19"/>
  <c r="AG105" i="19"/>
  <c r="N112" i="19"/>
  <c r="AD105" i="19"/>
  <c r="AE105" i="19" s="1"/>
  <c r="J112" i="19"/>
  <c r="I112" i="19"/>
  <c r="O112" i="19"/>
  <c r="E112" i="19"/>
  <c r="N316" i="54"/>
  <c r="N314" i="54"/>
  <c r="O299" i="54"/>
  <c r="P299" i="54" s="1"/>
  <c r="P244" i="54"/>
  <c r="AD145" i="10"/>
  <c r="AE145" i="10" s="1"/>
  <c r="AG145" i="10"/>
  <c r="P148" i="10"/>
  <c r="D112" i="19" l="1"/>
  <c r="P108" i="19"/>
  <c r="M112" i="18"/>
  <c r="M151" i="10"/>
  <c r="M155" i="10" s="1"/>
  <c r="E112" i="18"/>
  <c r="E151" i="10"/>
  <c r="E155" i="10" s="1"/>
  <c r="L112" i="18"/>
  <c r="L151" i="10"/>
  <c r="L155" i="10" s="1"/>
  <c r="O313" i="54"/>
  <c r="P261" i="54"/>
  <c r="P313" i="54" s="1"/>
  <c r="D112" i="18"/>
  <c r="P108" i="18"/>
  <c r="D151" i="10"/>
  <c r="K112" i="18"/>
  <c r="K151" i="10"/>
  <c r="K155" i="10" s="1"/>
  <c r="F112" i="18"/>
  <c r="F151" i="10"/>
  <c r="F155" i="10" s="1"/>
  <c r="I112" i="18"/>
  <c r="I151" i="10"/>
  <c r="I155" i="10" s="1"/>
  <c r="O112" i="18"/>
  <c r="O151" i="10"/>
  <c r="O155" i="10" s="1"/>
  <c r="J112" i="18"/>
  <c r="J151" i="10"/>
  <c r="J155" i="10" s="1"/>
  <c r="AG108" i="22"/>
  <c r="AD108" i="22"/>
  <c r="AE108" i="22" s="1"/>
  <c r="P112" i="22"/>
  <c r="AD148" i="10"/>
  <c r="AE148" i="10" s="1"/>
  <c r="AG148" i="10"/>
  <c r="H112" i="18"/>
  <c r="H151" i="10"/>
  <c r="H155" i="10" s="1"/>
  <c r="G151" i="10"/>
  <c r="G155" i="10" s="1"/>
  <c r="G112" i="18"/>
  <c r="N112" i="18"/>
  <c r="N151" i="10"/>
  <c r="N155" i="10" s="1"/>
  <c r="D120" i="22"/>
  <c r="AD108" i="18" l="1"/>
  <c r="AE108" i="18" s="1"/>
  <c r="AG108" i="18"/>
  <c r="P112" i="18"/>
  <c r="P314" i="54"/>
  <c r="P316" i="54"/>
  <c r="AG108" i="19"/>
  <c r="AD108" i="19"/>
  <c r="AE108" i="19" s="1"/>
  <c r="P112" i="19"/>
  <c r="D120" i="18"/>
  <c r="O316" i="54"/>
  <c r="O314" i="54"/>
  <c r="D120" i="19"/>
  <c r="D122" i="22"/>
  <c r="D134" i="22" s="1"/>
  <c r="D35" i="22" s="1"/>
  <c r="D81" i="22" s="1"/>
  <c r="D82" i="22" s="1"/>
  <c r="E120" i="22"/>
  <c r="AG112" i="22"/>
  <c r="AD112" i="22"/>
  <c r="AE112" i="22" s="1"/>
  <c r="D155" i="10"/>
  <c r="P151" i="10"/>
  <c r="D122" i="19" l="1"/>
  <c r="D134" i="19" s="1"/>
  <c r="D35" i="19" s="1"/>
  <c r="D81" i="19" s="1"/>
  <c r="D82" i="19" s="1"/>
  <c r="E120" i="19"/>
  <c r="AG112" i="19"/>
  <c r="AD112" i="19"/>
  <c r="AE112" i="19" s="1"/>
  <c r="AD151" i="10"/>
  <c r="AE151" i="10" s="1"/>
  <c r="AG151" i="10"/>
  <c r="P155" i="10"/>
  <c r="F120" i="22"/>
  <c r="E122" i="22"/>
  <c r="E134" i="22" s="1"/>
  <c r="E35" i="22" s="1"/>
  <c r="E81" i="22" s="1"/>
  <c r="E82" i="22" s="1"/>
  <c r="AD112" i="18"/>
  <c r="AE112" i="18" s="1"/>
  <c r="AG112" i="18"/>
  <c r="E120" i="18"/>
  <c r="D122" i="18"/>
  <c r="D134" i="18" s="1"/>
  <c r="D35" i="18" s="1"/>
  <c r="D81" i="18" s="1"/>
  <c r="D82" i="18" s="1"/>
  <c r="D163" i="10"/>
  <c r="F120" i="19" l="1"/>
  <c r="E122" i="19"/>
  <c r="E134" i="19" s="1"/>
  <c r="E35" i="19" s="1"/>
  <c r="E81" i="19" s="1"/>
  <c r="E82" i="19" s="1"/>
  <c r="E122" i="18"/>
  <c r="E134" i="18" s="1"/>
  <c r="E35" i="18" s="1"/>
  <c r="E81" i="18" s="1"/>
  <c r="E82" i="18" s="1"/>
  <c r="F120" i="18"/>
  <c r="E163" i="10"/>
  <c r="E165" i="10" s="1"/>
  <c r="E177" i="10" s="1"/>
  <c r="E57" i="10" s="1"/>
  <c r="AD155" i="10"/>
  <c r="AE155" i="10" s="1"/>
  <c r="AG155" i="10"/>
  <c r="D165" i="10"/>
  <c r="D177" i="10" s="1"/>
  <c r="D57" i="10" s="1"/>
  <c r="G120" i="22"/>
  <c r="F122" i="22"/>
  <c r="F134" i="22" s="1"/>
  <c r="F35" i="22" s="1"/>
  <c r="F81" i="22" s="1"/>
  <c r="F82" i="22" s="1"/>
  <c r="G120" i="18" l="1"/>
  <c r="F163" i="10"/>
  <c r="F165" i="10" s="1"/>
  <c r="F177" i="10" s="1"/>
  <c r="F57" i="10" s="1"/>
  <c r="F122" i="18"/>
  <c r="F134" i="18" s="1"/>
  <c r="F35" i="18" s="1"/>
  <c r="F81" i="18" s="1"/>
  <c r="F82" i="18" s="1"/>
  <c r="D58" i="10"/>
  <c r="D185" i="10" s="1"/>
  <c r="D184" i="10"/>
  <c r="E19" i="1"/>
  <c r="D141" i="10"/>
  <c r="D102" i="10"/>
  <c r="D103" i="10" s="1"/>
  <c r="H120" i="22"/>
  <c r="G122" i="22"/>
  <c r="G134" i="22" s="1"/>
  <c r="G35" i="22" s="1"/>
  <c r="G81" i="22" s="1"/>
  <c r="G82" i="22" s="1"/>
  <c r="E58" i="10"/>
  <c r="E185" i="10" s="1"/>
  <c r="E184" i="10"/>
  <c r="F19" i="1"/>
  <c r="E141" i="10"/>
  <c r="E102" i="10"/>
  <c r="E103" i="10" s="1"/>
  <c r="G120" i="19"/>
  <c r="F122" i="19"/>
  <c r="F134" i="19" s="1"/>
  <c r="F35" i="19" s="1"/>
  <c r="F81" i="19" s="1"/>
  <c r="F82" i="19" s="1"/>
  <c r="H120" i="18" l="1"/>
  <c r="G163" i="10"/>
  <c r="G122" i="18"/>
  <c r="G134" i="18" s="1"/>
  <c r="G35" i="18" s="1"/>
  <c r="G81" i="18" s="1"/>
  <c r="G82" i="18" s="1"/>
  <c r="I120" i="22"/>
  <c r="H122" i="22"/>
  <c r="H134" i="22" s="1"/>
  <c r="H35" i="22" s="1"/>
  <c r="H81" i="22" s="1"/>
  <c r="H82" i="22" s="1"/>
  <c r="F24" i="1"/>
  <c r="F28" i="1" s="1"/>
  <c r="F36" i="1" s="1"/>
  <c r="F21" i="1"/>
  <c r="H120" i="19"/>
  <c r="G122" i="19"/>
  <c r="G134" i="19" s="1"/>
  <c r="G35" i="19" s="1"/>
  <c r="G81" i="19" s="1"/>
  <c r="G82" i="19" s="1"/>
  <c r="E21" i="1"/>
  <c r="E24" i="1"/>
  <c r="F184" i="10"/>
  <c r="F58" i="10"/>
  <c r="F185" i="10" s="1"/>
  <c r="G19" i="1"/>
  <c r="F102" i="10"/>
  <c r="F103" i="10" s="1"/>
  <c r="F141" i="10"/>
  <c r="G165" i="10" l="1"/>
  <c r="G177" i="10" s="1"/>
  <c r="G57" i="10" s="1"/>
  <c r="J120" i="22"/>
  <c r="I122" i="22"/>
  <c r="I134" i="22" s="1"/>
  <c r="I35" i="22" s="1"/>
  <c r="I81" i="22" s="1"/>
  <c r="I82" i="22" s="1"/>
  <c r="E28" i="1"/>
  <c r="E36" i="1" s="1"/>
  <c r="F37" i="1"/>
  <c r="F41" i="1"/>
  <c r="F56" i="1" s="1"/>
  <c r="G184" i="10"/>
  <c r="G102" i="10"/>
  <c r="G103" i="10" s="1"/>
  <c r="I120" i="19"/>
  <c r="H122" i="19"/>
  <c r="H134" i="19" s="1"/>
  <c r="H35" i="19" s="1"/>
  <c r="H81" i="19" s="1"/>
  <c r="H82" i="19" s="1"/>
  <c r="G24" i="1"/>
  <c r="G28" i="1" s="1"/>
  <c r="G36" i="1" s="1"/>
  <c r="G21" i="1"/>
  <c r="H163" i="10"/>
  <c r="H165" i="10" s="1"/>
  <c r="H177" i="10" s="1"/>
  <c r="H57" i="10" s="1"/>
  <c r="I120" i="18"/>
  <c r="H122" i="18"/>
  <c r="H134" i="18" s="1"/>
  <c r="H35" i="18" s="1"/>
  <c r="H81" i="18" s="1"/>
  <c r="H82" i="18" s="1"/>
  <c r="G141" i="10" l="1"/>
  <c r="H19" i="1"/>
  <c r="G58" i="10"/>
  <c r="G185" i="10" s="1"/>
  <c r="G41" i="1"/>
  <c r="G56" i="1" s="1"/>
  <c r="G37" i="1"/>
  <c r="H24" i="1"/>
  <c r="H28" i="1" s="1"/>
  <c r="H36" i="1" s="1"/>
  <c r="E37" i="1"/>
  <c r="E41" i="1"/>
  <c r="E56" i="1" s="1"/>
  <c r="H58" i="10"/>
  <c r="H185" i="10" s="1"/>
  <c r="H184" i="10"/>
  <c r="H102" i="10"/>
  <c r="H103" i="10" s="1"/>
  <c r="I19" i="1"/>
  <c r="H141" i="10"/>
  <c r="I163" i="10"/>
  <c r="I165" i="10" s="1"/>
  <c r="I177" i="10" s="1"/>
  <c r="I57" i="10" s="1"/>
  <c r="J120" i="18"/>
  <c r="I122" i="18"/>
  <c r="I134" i="18" s="1"/>
  <c r="I35" i="18" s="1"/>
  <c r="I81" i="18" s="1"/>
  <c r="I82" i="18" s="1"/>
  <c r="J120" i="19"/>
  <c r="I122" i="19"/>
  <c r="I134" i="19" s="1"/>
  <c r="I35" i="19" s="1"/>
  <c r="I81" i="19" s="1"/>
  <c r="I82" i="19" s="1"/>
  <c r="F57" i="1"/>
  <c r="F64" i="1"/>
  <c r="K120" i="22"/>
  <c r="J122" i="22"/>
  <c r="J134" i="22" s="1"/>
  <c r="J35" i="22" s="1"/>
  <c r="J81" i="22" s="1"/>
  <c r="J82" i="22" s="1"/>
  <c r="H21" i="1" l="1"/>
  <c r="F65" i="1"/>
  <c r="F68" i="1"/>
  <c r="F69" i="1" s="1"/>
  <c r="K120" i="18"/>
  <c r="J163" i="10"/>
  <c r="J165" i="10" s="1"/>
  <c r="J177" i="10" s="1"/>
  <c r="J57" i="10" s="1"/>
  <c r="J122" i="18"/>
  <c r="J134" i="18" s="1"/>
  <c r="J35" i="18" s="1"/>
  <c r="J81" i="18" s="1"/>
  <c r="J82" i="18" s="1"/>
  <c r="E64" i="1"/>
  <c r="E57" i="1"/>
  <c r="H41" i="1"/>
  <c r="H56" i="1" s="1"/>
  <c r="H37" i="1"/>
  <c r="I58" i="10"/>
  <c r="I185" i="10" s="1"/>
  <c r="I184" i="10"/>
  <c r="I102" i="10"/>
  <c r="I103" i="10" s="1"/>
  <c r="J19" i="1"/>
  <c r="I141" i="10"/>
  <c r="I24" i="1"/>
  <c r="I28" i="1" s="1"/>
  <c r="I36" i="1" s="1"/>
  <c r="I21" i="1"/>
  <c r="L120" i="22"/>
  <c r="K122" i="22"/>
  <c r="K134" i="22" s="1"/>
  <c r="K35" i="22" s="1"/>
  <c r="K81" i="22" s="1"/>
  <c r="K82" i="22" s="1"/>
  <c r="K120" i="19"/>
  <c r="J122" i="19"/>
  <c r="J134" i="19" s="1"/>
  <c r="J35" i="19" s="1"/>
  <c r="J81" i="19" s="1"/>
  <c r="J82" i="19" s="1"/>
  <c r="G64" i="1"/>
  <c r="G57" i="1"/>
  <c r="J184" i="10" l="1"/>
  <c r="J58" i="10"/>
  <c r="J185" i="10" s="1"/>
  <c r="J102" i="10"/>
  <c r="J103" i="10" s="1"/>
  <c r="K19" i="1"/>
  <c r="J141" i="10"/>
  <c r="L120" i="19"/>
  <c r="K122" i="19"/>
  <c r="K134" i="19" s="1"/>
  <c r="K35" i="19" s="1"/>
  <c r="K81" i="19" s="1"/>
  <c r="K82" i="19" s="1"/>
  <c r="J24" i="1"/>
  <c r="J28" i="1" s="1"/>
  <c r="J36" i="1" s="1"/>
  <c r="J21" i="1"/>
  <c r="L120" i="18"/>
  <c r="K163" i="10"/>
  <c r="K165" i="10" s="1"/>
  <c r="K177" i="10" s="1"/>
  <c r="K57" i="10" s="1"/>
  <c r="K122" i="18"/>
  <c r="K134" i="18" s="1"/>
  <c r="K35" i="18" s="1"/>
  <c r="K81" i="18" s="1"/>
  <c r="K82" i="18" s="1"/>
  <c r="G65" i="1"/>
  <c r="G68" i="1"/>
  <c r="G69" i="1" s="1"/>
  <c r="H64" i="1"/>
  <c r="H57" i="1"/>
  <c r="E68" i="1"/>
  <c r="E69" i="1" s="1"/>
  <c r="E65" i="1"/>
  <c r="M120" i="22"/>
  <c r="L122" i="22"/>
  <c r="L134" i="22" s="1"/>
  <c r="L35" i="22" s="1"/>
  <c r="L81" i="22" s="1"/>
  <c r="L82" i="22" s="1"/>
  <c r="I37" i="1"/>
  <c r="I41" i="1"/>
  <c r="I56" i="1" s="1"/>
  <c r="I64" i="1" l="1"/>
  <c r="I57" i="1"/>
  <c r="M120" i="18"/>
  <c r="L163" i="10"/>
  <c r="L165" i="10" s="1"/>
  <c r="L177" i="10" s="1"/>
  <c r="L57" i="10" s="1"/>
  <c r="L122" i="18"/>
  <c r="L134" i="18" s="1"/>
  <c r="L35" i="18" s="1"/>
  <c r="L81" i="18" s="1"/>
  <c r="L82" i="18" s="1"/>
  <c r="M120" i="19"/>
  <c r="L122" i="19"/>
  <c r="L134" i="19" s="1"/>
  <c r="L35" i="19" s="1"/>
  <c r="L81" i="19" s="1"/>
  <c r="L82" i="19" s="1"/>
  <c r="K24" i="1"/>
  <c r="K21" i="1"/>
  <c r="J37" i="1"/>
  <c r="J41" i="1"/>
  <c r="J56" i="1" s="1"/>
  <c r="N120" i="22"/>
  <c r="M122" i="22"/>
  <c r="M134" i="22" s="1"/>
  <c r="M35" i="22" s="1"/>
  <c r="M81" i="22" s="1"/>
  <c r="M82" i="22" s="1"/>
  <c r="H68" i="1"/>
  <c r="H69" i="1" s="1"/>
  <c r="H65" i="1"/>
  <c r="K184" i="10"/>
  <c r="K58" i="10"/>
  <c r="K185" i="10" s="1"/>
  <c r="L19" i="1"/>
  <c r="K141" i="10"/>
  <c r="K102" i="10"/>
  <c r="K103" i="10" s="1"/>
  <c r="K28" i="1" l="1"/>
  <c r="K36" i="1" s="1"/>
  <c r="K41" i="1"/>
  <c r="K56" i="1" s="1"/>
  <c r="K37" i="1"/>
  <c r="L58" i="10"/>
  <c r="L185" i="10" s="1"/>
  <c r="L184" i="10"/>
  <c r="M19" i="1"/>
  <c r="L141" i="10"/>
  <c r="L102" i="10"/>
  <c r="L103" i="10" s="1"/>
  <c r="O120" i="22"/>
  <c r="N122" i="22"/>
  <c r="N134" i="22" s="1"/>
  <c r="N35" i="22" s="1"/>
  <c r="N81" i="22" s="1"/>
  <c r="N82" i="22" s="1"/>
  <c r="N120" i="18"/>
  <c r="M163" i="10"/>
  <c r="M165" i="10" s="1"/>
  <c r="M177" i="10" s="1"/>
  <c r="M57" i="10" s="1"/>
  <c r="M122" i="18"/>
  <c r="M134" i="18" s="1"/>
  <c r="M35" i="18" s="1"/>
  <c r="M81" i="18" s="1"/>
  <c r="M82" i="18" s="1"/>
  <c r="J57" i="1"/>
  <c r="J64" i="1"/>
  <c r="N120" i="19"/>
  <c r="M122" i="19"/>
  <c r="M134" i="19" s="1"/>
  <c r="M35" i="19" s="1"/>
  <c r="M81" i="19" s="1"/>
  <c r="M82" i="19" s="1"/>
  <c r="L24" i="1"/>
  <c r="L28" i="1" s="1"/>
  <c r="L36" i="1" s="1"/>
  <c r="L21" i="1"/>
  <c r="I65" i="1"/>
  <c r="I68" i="1"/>
  <c r="I69" i="1" s="1"/>
  <c r="O122" i="22" l="1"/>
  <c r="O134" i="22" s="1"/>
  <c r="O35" i="22" s="1"/>
  <c r="O81" i="22" s="1"/>
  <c r="O82" i="22" s="1"/>
  <c r="P120" i="22"/>
  <c r="J65" i="1"/>
  <c r="J68" i="1"/>
  <c r="J69" i="1" s="1"/>
  <c r="M58" i="10"/>
  <c r="M185" i="10" s="1"/>
  <c r="M184" i="10"/>
  <c r="M102" i="10"/>
  <c r="M103" i="10" s="1"/>
  <c r="N19" i="1"/>
  <c r="M141" i="10"/>
  <c r="O120" i="19"/>
  <c r="N122" i="19"/>
  <c r="N134" i="19" s="1"/>
  <c r="N35" i="19" s="1"/>
  <c r="N81" i="19" s="1"/>
  <c r="N82" i="19" s="1"/>
  <c r="L41" i="1"/>
  <c r="L56" i="1" s="1"/>
  <c r="L37" i="1"/>
  <c r="O120" i="18"/>
  <c r="P120" i="18" s="1"/>
  <c r="N163" i="10"/>
  <c r="N165" i="10" s="1"/>
  <c r="N177" i="10" s="1"/>
  <c r="N57" i="10" s="1"/>
  <c r="N122" i="18"/>
  <c r="N134" i="18" s="1"/>
  <c r="N35" i="18" s="1"/>
  <c r="N81" i="18" s="1"/>
  <c r="N82" i="18" s="1"/>
  <c r="M24" i="1"/>
  <c r="M28" i="1" s="1"/>
  <c r="M36" i="1" s="1"/>
  <c r="M21" i="1"/>
  <c r="K57" i="1"/>
  <c r="K64" i="1"/>
  <c r="P122" i="22" l="1"/>
  <c r="AD120" i="22"/>
  <c r="AE120" i="22" s="1"/>
  <c r="AG120" i="22"/>
  <c r="O122" i="19"/>
  <c r="O134" i="19" s="1"/>
  <c r="O35" i="19" s="1"/>
  <c r="O81" i="19" s="1"/>
  <c r="O82" i="19" s="1"/>
  <c r="P120" i="19"/>
  <c r="P122" i="18"/>
  <c r="AG120" i="18"/>
  <c r="AD120" i="18"/>
  <c r="AE120" i="18" s="1"/>
  <c r="K65" i="1"/>
  <c r="K68" i="1"/>
  <c r="K69" i="1" s="1"/>
  <c r="M37" i="1"/>
  <c r="M41" i="1"/>
  <c r="M56" i="1" s="1"/>
  <c r="O163" i="10"/>
  <c r="O122" i="18"/>
  <c r="O134" i="18" s="1"/>
  <c r="O35" i="18" s="1"/>
  <c r="O81" i="18" s="1"/>
  <c r="O82" i="18" s="1"/>
  <c r="L64" i="1"/>
  <c r="L57" i="1"/>
  <c r="N24" i="1"/>
  <c r="N28" i="1" s="1"/>
  <c r="N36" i="1" s="1"/>
  <c r="N21" i="1"/>
  <c r="N184" i="10"/>
  <c r="N58" i="10"/>
  <c r="N185" i="10" s="1"/>
  <c r="N102" i="10"/>
  <c r="N103" i="10" s="1"/>
  <c r="O19" i="1"/>
  <c r="N141" i="10"/>
  <c r="O165" i="10" l="1"/>
  <c r="O177" i="10" s="1"/>
  <c r="O57" i="10" s="1"/>
  <c r="P57" i="10" s="1"/>
  <c r="P163" i="10"/>
  <c r="AD122" i="22"/>
  <c r="AE122" i="22" s="1"/>
  <c r="AG122" i="22"/>
  <c r="P134" i="22"/>
  <c r="P122" i="19"/>
  <c r="AD120" i="19"/>
  <c r="AE120" i="19" s="1"/>
  <c r="AG120" i="19"/>
  <c r="P134" i="18"/>
  <c r="AG122" i="18"/>
  <c r="AD122" i="18"/>
  <c r="AE122" i="18" s="1"/>
  <c r="M64" i="1"/>
  <c r="M57" i="1"/>
  <c r="N37" i="1"/>
  <c r="N41" i="1"/>
  <c r="N56" i="1" s="1"/>
  <c r="L68" i="1"/>
  <c r="L69" i="1" s="1"/>
  <c r="L65" i="1"/>
  <c r="O184" i="10"/>
  <c r="O58" i="10"/>
  <c r="O185" i="10" s="1"/>
  <c r="O102" i="10"/>
  <c r="O103" i="10" s="1"/>
  <c r="P19" i="1"/>
  <c r="Q19" i="1" s="1"/>
  <c r="O141" i="10"/>
  <c r="O24" i="1"/>
  <c r="O28" i="1" s="1"/>
  <c r="O36" i="1" s="1"/>
  <c r="O21" i="1"/>
  <c r="P165" i="10" l="1"/>
  <c r="AD163" i="10"/>
  <c r="AE163" i="10" s="1"/>
  <c r="AG163" i="10"/>
  <c r="AM19" i="1"/>
  <c r="AH19" i="1"/>
  <c r="AE19" i="1"/>
  <c r="AF19" i="1" s="1"/>
  <c r="AJ19" i="1"/>
  <c r="Q21" i="1"/>
  <c r="P35" i="22"/>
  <c r="AD134" i="22"/>
  <c r="AE134" i="22" s="1"/>
  <c r="AG134" i="22"/>
  <c r="P58" i="10"/>
  <c r="AG57" i="10"/>
  <c r="P184" i="10"/>
  <c r="AD57" i="10"/>
  <c r="AE57" i="10" s="1"/>
  <c r="P141" i="10"/>
  <c r="P102" i="10"/>
  <c r="AG122" i="19"/>
  <c r="AD122" i="19"/>
  <c r="AE122" i="19" s="1"/>
  <c r="P134" i="19"/>
  <c r="AG134" i="18"/>
  <c r="P35" i="18"/>
  <c r="AD134" i="18"/>
  <c r="AE134" i="18" s="1"/>
  <c r="M68" i="1"/>
  <c r="M69" i="1" s="1"/>
  <c r="M65" i="1"/>
  <c r="P24" i="1"/>
  <c r="P21" i="1"/>
  <c r="N57" i="1"/>
  <c r="N64" i="1"/>
  <c r="O41" i="1"/>
  <c r="O56" i="1" s="1"/>
  <c r="O37" i="1"/>
  <c r="AD141" i="10" l="1"/>
  <c r="AE141" i="10" s="1"/>
  <c r="AG141" i="10"/>
  <c r="AG58" i="10"/>
  <c r="P185" i="10"/>
  <c r="AE21" i="1"/>
  <c r="AJ21" i="1"/>
  <c r="AH21" i="1"/>
  <c r="AM21" i="1"/>
  <c r="P28" i="1"/>
  <c r="P36" i="1" s="1"/>
  <c r="Q24" i="1"/>
  <c r="AG184" i="10"/>
  <c r="AD184" i="10"/>
  <c r="AG102" i="10"/>
  <c r="AD102" i="10"/>
  <c r="AE102" i="10" s="1"/>
  <c r="P103" i="10"/>
  <c r="AG35" i="22"/>
  <c r="AD35" i="22"/>
  <c r="AE35" i="22" s="1"/>
  <c r="P81" i="22"/>
  <c r="AG165" i="10"/>
  <c r="AD165" i="10"/>
  <c r="AE165" i="10" s="1"/>
  <c r="P177" i="10"/>
  <c r="AD134" i="19"/>
  <c r="AE134" i="19" s="1"/>
  <c r="AG134" i="19"/>
  <c r="P35" i="19"/>
  <c r="P81" i="18"/>
  <c r="AG35" i="18"/>
  <c r="AD35" i="18"/>
  <c r="AE35" i="18" s="1"/>
  <c r="O64" i="1"/>
  <c r="O57" i="1"/>
  <c r="N65" i="1"/>
  <c r="N68" i="1"/>
  <c r="N69" i="1" s="1"/>
  <c r="P41" i="1"/>
  <c r="P56" i="1" s="1"/>
  <c r="P37" i="1"/>
  <c r="AG185" i="10" l="1"/>
  <c r="AD185" i="10"/>
  <c r="AG103" i="10"/>
  <c r="AD103" i="10"/>
  <c r="AE103" i="10" s="1"/>
  <c r="AE24" i="1"/>
  <c r="Q28" i="1"/>
  <c r="AH24" i="1"/>
  <c r="AF24" i="1"/>
  <c r="AJ24" i="1"/>
  <c r="AM24" i="1"/>
  <c r="AD81" i="22"/>
  <c r="AE81" i="22" s="1"/>
  <c r="P82" i="22"/>
  <c r="AG81" i="22"/>
  <c r="AG177" i="10"/>
  <c r="AD177" i="10"/>
  <c r="AE177" i="10" s="1"/>
  <c r="P180" i="10"/>
  <c r="AG180" i="10" s="1"/>
  <c r="AG35" i="19"/>
  <c r="P81" i="19"/>
  <c r="AD35" i="19"/>
  <c r="AE35" i="19" s="1"/>
  <c r="AD81" i="18"/>
  <c r="AE81" i="18" s="1"/>
  <c r="P82" i="18"/>
  <c r="AG81" i="18"/>
  <c r="P64" i="1"/>
  <c r="P57" i="1"/>
  <c r="O65" i="1"/>
  <c r="O68" i="1"/>
  <c r="O69" i="1" s="1"/>
  <c r="AG82" i="22" l="1"/>
  <c r="AD82" i="22"/>
  <c r="AE82" i="22" s="1"/>
  <c r="AJ28" i="1"/>
  <c r="AH28" i="1"/>
  <c r="AM28" i="1"/>
  <c r="Q36" i="1"/>
  <c r="AE28" i="1"/>
  <c r="AD81" i="19"/>
  <c r="AE81" i="19" s="1"/>
  <c r="P82" i="19"/>
  <c r="AG81" i="19"/>
  <c r="AD82" i="18"/>
  <c r="AE82" i="18" s="1"/>
  <c r="AG82" i="18"/>
  <c r="P68" i="1"/>
  <c r="P69" i="1" s="1"/>
  <c r="P65" i="1"/>
  <c r="Q41" i="1" l="1"/>
  <c r="Q37" i="1"/>
  <c r="AM36" i="1"/>
  <c r="AH36" i="1"/>
  <c r="AJ36" i="1"/>
  <c r="AE36" i="1"/>
  <c r="AD82" i="19"/>
  <c r="AE82" i="19" s="1"/>
  <c r="AG82" i="19"/>
  <c r="AJ37" i="1" l="1"/>
  <c r="AM37" i="1"/>
  <c r="AE37" i="1"/>
  <c r="AH41" i="1"/>
  <c r="AM41" i="1"/>
  <c r="AE41" i="1"/>
  <c r="Q56" i="1"/>
  <c r="AJ41" i="1"/>
  <c r="Q57" i="1" l="1"/>
  <c r="Q64" i="1"/>
  <c r="AM56" i="1"/>
  <c r="AE56" i="1"/>
  <c r="AH56" i="1"/>
  <c r="AJ56" i="1"/>
  <c r="AJ64" i="1" l="1"/>
  <c r="AM64" i="1"/>
  <c r="AH64" i="1"/>
  <c r="Q68" i="1"/>
  <c r="Q65" i="1"/>
  <c r="AE64" i="1"/>
  <c r="AE57" i="1"/>
  <c r="AM57" i="1"/>
  <c r="AJ57" i="1"/>
  <c r="AE68" i="1" l="1"/>
  <c r="AM68" i="1"/>
  <c r="Q69" i="1"/>
  <c r="AH68" i="1"/>
  <c r="AJ68" i="1"/>
  <c r="AJ65" i="1"/>
  <c r="AM65" i="1"/>
  <c r="AJ69" i="1" l="1"/>
  <c r="AM69" i="1"/>
</calcChain>
</file>

<file path=xl/comments1.xml><?xml version="1.0" encoding="utf-8"?>
<comments xmlns="http://schemas.openxmlformats.org/spreadsheetml/2006/main">
  <authors>
    <author>tc={E49DEEDC-E3E0-4560-82D1-12140C643621}</author>
  </authors>
  <commentList>
    <comment ref="C45" authorId="0" shapeId="0">
      <text>
        <r>
          <rPr>
            <sz val="11"/>
            <color theme="1"/>
            <rFont val="等线"/>
            <family val="2"/>
            <scheme val="minor"/>
          </rPr>
          <t>[线程批注]
你的Excel版本可读取此线程批注; 但如果在更新版本的Excel中打开文件，则对批注所作的任何改动都将被删除。了解详细信息: https://go.microsoft.com/fwlink/?linkid=870924
注释:
    消防安全自查平台费2500/月</t>
        </r>
      </text>
    </comment>
  </commentList>
</comments>
</file>

<file path=xl/comments2.xml><?xml version="1.0" encoding="utf-8"?>
<comments xmlns="http://schemas.openxmlformats.org/spreadsheetml/2006/main">
  <authors>
    <author>tc={92C83D81-73AA-4D81-8E2F-B4EB5A3B24DC}</author>
  </authors>
  <commentList>
    <comment ref="C63" authorId="0" shapeId="0">
      <text>
        <r>
          <rPr>
            <sz val="11"/>
            <color theme="1"/>
            <rFont val="等线"/>
            <family val="2"/>
            <scheme val="minor"/>
          </rPr>
          <t>[线程批注]
你的Excel版本可读取此线程批注; 但如果在更新版本的Excel中打开文件，则对批注所作的任何改动都将被删除。了解详细信息: https://go.microsoft.com/fwlink/?linkid=870924
注释:
    此数为固定值，粘贴数值即可。</t>
        </r>
      </text>
    </comment>
  </commentList>
</comments>
</file>

<file path=xl/comments3.xml><?xml version="1.0" encoding="utf-8"?>
<comments xmlns="http://schemas.openxmlformats.org/spreadsheetml/2006/main">
  <authors>
    <author>tc={321F56B2-FA3F-4FD1-93D3-C624E2DECF00}</author>
  </authors>
  <commentList>
    <comment ref="C65" authorId="0" shapeId="0">
      <text>
        <r>
          <rPr>
            <sz val="11"/>
            <color theme="1"/>
            <rFont val="等线"/>
            <family val="2"/>
            <scheme val="minor"/>
          </rPr>
          <t>[线程批注]
你的Excel版本可读取此线程批注; 但如果在更新版本的Excel中打开文件，则对批注所作的任何改动都将被删除。了解详细信息: https://go.microsoft.com/fwlink/?linkid=870924
注释:
    此数为固定值，粘贴数值即可。</t>
        </r>
      </text>
    </comment>
  </commentList>
</comments>
</file>

<file path=xl/sharedStrings.xml><?xml version="1.0" encoding="utf-8"?>
<sst xmlns="http://schemas.openxmlformats.org/spreadsheetml/2006/main" count="13451" uniqueCount="1227">
  <si>
    <t>A</t>
    <phoneticPr fontId="7" type="noConversion"/>
  </si>
  <si>
    <t>A</t>
    <phoneticPr fontId="7" type="noConversion"/>
  </si>
  <si>
    <t>A</t>
  </si>
  <si>
    <t>Hotel Profit &amp; Loss Monthly Report</t>
    <phoneticPr fontId="7" type="noConversion"/>
  </si>
  <si>
    <r>
      <rPr>
        <b/>
        <sz val="14"/>
        <rFont val="微软雅黑"/>
        <family val="2"/>
        <charset val="134"/>
      </rPr>
      <t>酒店月度损益报表</t>
    </r>
    <phoneticPr fontId="7" type="noConversion"/>
  </si>
  <si>
    <t>Income Statement</t>
    <phoneticPr fontId="7" type="noConversion"/>
  </si>
  <si>
    <t>Var.</t>
    <phoneticPr fontId="7" type="noConversion"/>
  </si>
  <si>
    <t>2021年</t>
  </si>
  <si>
    <t>Account</t>
  </si>
  <si>
    <t>Dept</t>
  </si>
  <si>
    <t>Budget</t>
    <phoneticPr fontId="7" type="noConversion"/>
  </si>
  <si>
    <t>Budget</t>
  </si>
  <si>
    <t>Actual</t>
  </si>
  <si>
    <t>Forecast</t>
    <phoneticPr fontId="7" type="noConversion"/>
  </si>
  <si>
    <t>Forecast</t>
    <phoneticPr fontId="7" type="noConversion"/>
  </si>
  <si>
    <t>ACTUAL</t>
  </si>
  <si>
    <t>&lt;&lt;30100110..30100192,38108100,39810200..39810300</t>
    <phoneticPr fontId="7" type="noConversion"/>
  </si>
  <si>
    <t>&lt;&lt;10099..10999</t>
    <phoneticPr fontId="7" type="noConversion"/>
  </si>
  <si>
    <r>
      <t xml:space="preserve">Rooms Revenue </t>
    </r>
    <r>
      <rPr>
        <sz val="12"/>
        <rFont val="微软雅黑"/>
        <family val="2"/>
        <charset val="134"/>
      </rPr>
      <t>客房收入</t>
    </r>
    <phoneticPr fontId="7" type="noConversion"/>
  </si>
  <si>
    <t>&lt;&lt;30200210..30400050,38108100,39810200..39810300</t>
    <phoneticPr fontId="7" type="noConversion"/>
  </si>
  <si>
    <t>&lt;&lt;20001..29999</t>
    <phoneticPr fontId="7" type="noConversion"/>
  </si>
  <si>
    <r>
      <t xml:space="preserve">Food and Beverage Revenue </t>
    </r>
    <r>
      <rPr>
        <sz val="12"/>
        <rFont val="微软雅黑"/>
        <family val="2"/>
        <charset val="134"/>
      </rPr>
      <t>餐饮收入</t>
    </r>
    <phoneticPr fontId="7" type="noConversion"/>
  </si>
  <si>
    <t>&lt;&lt;36010011..36800100,37013000,38108100,39810200..39810300</t>
    <phoneticPr fontId="7" type="noConversion"/>
  </si>
  <si>
    <t>&lt;&lt;31099..39000</t>
    <phoneticPr fontId="7" type="noConversion"/>
  </si>
  <si>
    <r>
      <t xml:space="preserve">Other Operating Dept. Revenue </t>
    </r>
    <r>
      <rPr>
        <sz val="12"/>
        <rFont val="微软雅黑"/>
        <family val="2"/>
        <charset val="134"/>
      </rPr>
      <t>他运营部门收入</t>
    </r>
    <phoneticPr fontId="7" type="noConversion"/>
  </si>
  <si>
    <t>&lt;&lt;37011000,38108100,39810200..39810300</t>
    <phoneticPr fontId="7" type="noConversion"/>
  </si>
  <si>
    <t>&lt;&lt;39801</t>
    <phoneticPr fontId="7" type="noConversion"/>
  </si>
  <si>
    <r>
      <t xml:space="preserve">Shop&amp;Showcase Revenue </t>
    </r>
    <r>
      <rPr>
        <sz val="12"/>
        <rFont val="微软雅黑"/>
        <family val="2"/>
        <charset val="134"/>
      </rPr>
      <t>零售和展柜收入</t>
    </r>
    <phoneticPr fontId="7" type="noConversion"/>
  </si>
  <si>
    <t>&lt;&lt;36800200..37010000,37012000..39810300</t>
    <phoneticPr fontId="7" type="noConversion"/>
  </si>
  <si>
    <r>
      <t xml:space="preserve">Miscellaneous Revenue </t>
    </r>
    <r>
      <rPr>
        <sz val="12"/>
        <rFont val="微软雅黑"/>
        <family val="2"/>
        <charset val="134"/>
      </rPr>
      <t>杂项收入</t>
    </r>
    <phoneticPr fontId="7" type="noConversion"/>
  </si>
  <si>
    <r>
      <t xml:space="preserve">Total Gross Operating Revenue </t>
    </r>
    <r>
      <rPr>
        <b/>
        <sz val="12"/>
        <rFont val="微软雅黑"/>
        <family val="2"/>
        <charset val="134"/>
      </rPr>
      <t>运营总收入</t>
    </r>
    <phoneticPr fontId="7" type="noConversion"/>
  </si>
  <si>
    <t>&lt;&lt;40200100..69999999</t>
    <phoneticPr fontId="7" type="noConversion"/>
  </si>
  <si>
    <r>
      <t xml:space="preserve">Rooms Expenses </t>
    </r>
    <r>
      <rPr>
        <sz val="12"/>
        <rFont val="微软雅黑"/>
        <family val="2"/>
        <charset val="134"/>
      </rPr>
      <t>客房费用</t>
    </r>
    <phoneticPr fontId="7" type="noConversion"/>
  </si>
  <si>
    <t>&lt;&lt;20001..29999</t>
    <phoneticPr fontId="7" type="noConversion"/>
  </si>
  <si>
    <r>
      <t xml:space="preserve">Food and Beverage Expenses </t>
    </r>
    <r>
      <rPr>
        <sz val="12"/>
        <rFont val="微软雅黑"/>
        <family val="2"/>
        <charset val="134"/>
      </rPr>
      <t>餐饮费用</t>
    </r>
    <phoneticPr fontId="7" type="noConversion"/>
  </si>
  <si>
    <r>
      <t xml:space="preserve">Other Operating Dept. Expenses </t>
    </r>
    <r>
      <rPr>
        <sz val="12"/>
        <rFont val="微软雅黑"/>
        <family val="2"/>
        <charset val="134"/>
      </rPr>
      <t>他运营部门费用</t>
    </r>
    <phoneticPr fontId="7" type="noConversion"/>
  </si>
  <si>
    <r>
      <t xml:space="preserve">Total Gross Operating Expenses </t>
    </r>
    <r>
      <rPr>
        <b/>
        <sz val="12"/>
        <rFont val="微软雅黑"/>
        <family val="2"/>
        <charset val="134"/>
      </rPr>
      <t>运营总费用</t>
    </r>
    <phoneticPr fontId="7" type="noConversion"/>
  </si>
  <si>
    <r>
      <t xml:space="preserve">Rooms Profit </t>
    </r>
    <r>
      <rPr>
        <sz val="12"/>
        <rFont val="微软雅黑"/>
        <family val="2"/>
        <charset val="134"/>
      </rPr>
      <t>客房利润</t>
    </r>
  </si>
  <si>
    <r>
      <t xml:space="preserve">Food and Beverage Profit </t>
    </r>
    <r>
      <rPr>
        <sz val="12"/>
        <rFont val="微软雅黑"/>
        <family val="2"/>
        <charset val="134"/>
      </rPr>
      <t>餐饮利润</t>
    </r>
  </si>
  <si>
    <r>
      <t xml:space="preserve">Other Operating Dept. Profit </t>
    </r>
    <r>
      <rPr>
        <sz val="12"/>
        <rFont val="微软雅黑"/>
        <family val="2"/>
        <charset val="134"/>
      </rPr>
      <t>他运营部门利润</t>
    </r>
  </si>
  <si>
    <r>
      <t xml:space="preserve">Shop&amp;Showcase Profit </t>
    </r>
    <r>
      <rPr>
        <sz val="12"/>
        <rFont val="微软雅黑"/>
        <family val="2"/>
        <charset val="134"/>
      </rPr>
      <t>零售和展柜利润</t>
    </r>
  </si>
  <si>
    <r>
      <t xml:space="preserve">Miscellaneous Profit </t>
    </r>
    <r>
      <rPr>
        <sz val="12"/>
        <rFont val="微软雅黑"/>
        <family val="2"/>
        <charset val="134"/>
      </rPr>
      <t>杂项利润</t>
    </r>
  </si>
  <si>
    <r>
      <t xml:space="preserve">Total Departmental Profit </t>
    </r>
    <r>
      <rPr>
        <b/>
        <sz val="12"/>
        <rFont val="微软雅黑"/>
        <family val="2"/>
        <charset val="134"/>
      </rPr>
      <t>部门利润合计</t>
    </r>
    <phoneticPr fontId="7" type="noConversion"/>
  </si>
  <si>
    <t>&lt;&lt;50010100..699999999</t>
    <phoneticPr fontId="7" type="noConversion"/>
  </si>
  <si>
    <t>&lt;&lt;41001..41004,42004,43004</t>
    <phoneticPr fontId="7" type="noConversion"/>
  </si>
  <si>
    <r>
      <t xml:space="preserve">Administrative and General </t>
    </r>
    <r>
      <rPr>
        <sz val="12"/>
        <rFont val="微软雅黑"/>
        <family val="2"/>
        <charset val="134"/>
      </rPr>
      <t>行政部门费用</t>
    </r>
    <phoneticPr fontId="7" type="noConversion"/>
  </si>
  <si>
    <t>&lt;&lt;50010100..60014800,60014820..699999999</t>
    <phoneticPr fontId="7" type="noConversion"/>
  </si>
  <si>
    <t>&lt;&lt;41071..41073</t>
    <phoneticPr fontId="7" type="noConversion"/>
  </si>
  <si>
    <r>
      <t xml:space="preserve">Marketing and Sales </t>
    </r>
    <r>
      <rPr>
        <sz val="12"/>
        <rFont val="微软雅黑"/>
        <family val="2"/>
        <charset val="134"/>
      </rPr>
      <t>营销费用</t>
    </r>
    <phoneticPr fontId="7" type="noConversion"/>
  </si>
  <si>
    <t>&lt;&lt;60014810</t>
    <phoneticPr fontId="7" type="noConversion"/>
  </si>
  <si>
    <r>
      <t xml:space="preserve">Marketing Fund </t>
    </r>
    <r>
      <rPr>
        <sz val="12"/>
        <rFont val="微软雅黑"/>
        <family val="2"/>
        <charset val="134"/>
      </rPr>
      <t>市场营销基金</t>
    </r>
    <phoneticPr fontId="7" type="noConversion"/>
  </si>
  <si>
    <t>&lt;&lt;41006</t>
    <phoneticPr fontId="7" type="noConversion"/>
  </si>
  <si>
    <r>
      <t xml:space="preserve">Repairs and Maintenance </t>
    </r>
    <r>
      <rPr>
        <sz val="12"/>
        <rFont val="微软雅黑"/>
        <family val="2"/>
        <charset val="134"/>
      </rPr>
      <t>工程维修维护费</t>
    </r>
    <phoneticPr fontId="7" type="noConversion"/>
  </si>
  <si>
    <t>&lt;&lt;41005</t>
    <phoneticPr fontId="7" type="noConversion"/>
  </si>
  <si>
    <r>
      <t xml:space="preserve">Utilities </t>
    </r>
    <r>
      <rPr>
        <sz val="12"/>
        <rFont val="微软雅黑"/>
        <family val="2"/>
        <charset val="134"/>
      </rPr>
      <t>能源</t>
    </r>
    <phoneticPr fontId="7" type="noConversion"/>
  </si>
  <si>
    <r>
      <t xml:space="preserve">Total Undistributed Operating Expenses </t>
    </r>
    <r>
      <rPr>
        <b/>
        <sz val="12"/>
        <rFont val="微软雅黑"/>
        <family val="2"/>
        <charset val="134"/>
      </rPr>
      <t>其他费用合计</t>
    </r>
    <phoneticPr fontId="7" type="noConversion"/>
  </si>
  <si>
    <r>
      <t xml:space="preserve">Gross Operating Profit </t>
    </r>
    <r>
      <rPr>
        <b/>
        <sz val="12"/>
        <rFont val="微软雅黑"/>
        <family val="2"/>
        <charset val="134"/>
      </rPr>
      <t>经营毛利额</t>
    </r>
    <phoneticPr fontId="7" type="noConversion"/>
  </si>
  <si>
    <r>
      <t xml:space="preserve">Gross Operating Profit % </t>
    </r>
    <r>
      <rPr>
        <b/>
        <sz val="12"/>
        <rFont val="微软雅黑"/>
        <family val="2"/>
        <charset val="134"/>
      </rPr>
      <t>经营毛利率</t>
    </r>
    <r>
      <rPr>
        <b/>
        <sz val="12"/>
        <rFont val="Arial"/>
        <family val="2"/>
      </rPr>
      <t>%</t>
    </r>
    <phoneticPr fontId="7" type="noConversion"/>
  </si>
  <si>
    <t>&lt;&lt;70010100</t>
    <phoneticPr fontId="7" type="noConversion"/>
  </si>
  <si>
    <t>&lt;&lt;70011</t>
    <phoneticPr fontId="7" type="noConversion"/>
  </si>
  <si>
    <r>
      <t xml:space="preserve">Basic Management Fees </t>
    </r>
    <r>
      <rPr>
        <sz val="12"/>
        <rFont val="微软雅黑"/>
        <family val="2"/>
        <charset val="134"/>
      </rPr>
      <t>基本管理费</t>
    </r>
    <phoneticPr fontId="7" type="noConversion"/>
  </si>
  <si>
    <t>&lt;&lt;70010200</t>
    <phoneticPr fontId="7" type="noConversion"/>
  </si>
  <si>
    <r>
      <t xml:space="preserve">Incentive Management Fees </t>
    </r>
    <r>
      <rPr>
        <sz val="12"/>
        <rFont val="微软雅黑"/>
        <family val="2"/>
        <charset val="134"/>
      </rPr>
      <t>奖励管理费</t>
    </r>
    <phoneticPr fontId="7" type="noConversion"/>
  </si>
  <si>
    <r>
      <t xml:space="preserve">Income Before Fixed Charges </t>
    </r>
    <r>
      <rPr>
        <b/>
        <sz val="12"/>
        <rFont val="微软雅黑"/>
        <family val="2"/>
        <charset val="134"/>
      </rPr>
      <t>固定费用前收入</t>
    </r>
    <phoneticPr fontId="7" type="noConversion"/>
  </si>
  <si>
    <t>&lt;&lt;70010300..70010400</t>
    <phoneticPr fontId="7" type="noConversion"/>
  </si>
  <si>
    <t>&lt;&lt;70011</t>
    <phoneticPr fontId="7" type="noConversion"/>
  </si>
  <si>
    <r>
      <t xml:space="preserve">Rent </t>
    </r>
    <r>
      <rPr>
        <sz val="12"/>
        <rFont val="微软雅黑"/>
        <family val="2"/>
        <charset val="134"/>
      </rPr>
      <t>房租</t>
    </r>
    <phoneticPr fontId="7" type="noConversion"/>
  </si>
  <si>
    <t>&lt;&lt;70010010</t>
    <phoneticPr fontId="7" type="noConversion"/>
  </si>
  <si>
    <r>
      <t xml:space="preserve">Tax and Related Fees </t>
    </r>
    <r>
      <rPr>
        <sz val="12"/>
        <rFont val="微软雅黑"/>
        <family val="2"/>
        <charset val="134"/>
      </rPr>
      <t>税金及相关附加费</t>
    </r>
    <phoneticPr fontId="7" type="noConversion"/>
  </si>
  <si>
    <t>&lt;&lt;70010800..70011000</t>
    <phoneticPr fontId="7" type="noConversion"/>
  </si>
  <si>
    <r>
      <t xml:space="preserve">Insurance </t>
    </r>
    <r>
      <rPr>
        <sz val="12"/>
        <rFont val="微软雅黑"/>
        <family val="2"/>
        <charset val="134"/>
      </rPr>
      <t>保险</t>
    </r>
    <phoneticPr fontId="7" type="noConversion"/>
  </si>
  <si>
    <t>&lt;&lt;70010600</t>
    <phoneticPr fontId="7" type="noConversion"/>
  </si>
  <si>
    <r>
      <t xml:space="preserve">Others </t>
    </r>
    <r>
      <rPr>
        <sz val="12"/>
        <rFont val="微软雅黑"/>
        <family val="2"/>
        <charset val="134"/>
      </rPr>
      <t>其他</t>
    </r>
    <phoneticPr fontId="7" type="noConversion"/>
  </si>
  <si>
    <r>
      <t xml:space="preserve">Total Fixed Charges </t>
    </r>
    <r>
      <rPr>
        <b/>
        <sz val="12"/>
        <rFont val="微软雅黑"/>
        <family val="2"/>
        <charset val="134"/>
      </rPr>
      <t>固定费用合计</t>
    </r>
    <phoneticPr fontId="7" type="noConversion"/>
  </si>
  <si>
    <t>&lt;&lt;39810601</t>
    <phoneticPr fontId="7" type="noConversion"/>
  </si>
  <si>
    <r>
      <t xml:space="preserve">Interest (Income) </t>
    </r>
    <r>
      <rPr>
        <sz val="12"/>
        <rFont val="微软雅黑"/>
        <family val="2"/>
        <charset val="134"/>
      </rPr>
      <t>利息收入</t>
    </r>
    <phoneticPr fontId="7" type="noConversion"/>
  </si>
  <si>
    <t>70030000</t>
  </si>
  <si>
    <t>&lt;&lt;70011</t>
  </si>
  <si>
    <t>Interest payments 利息支出</t>
  </si>
  <si>
    <t>39810800</t>
  </si>
  <si>
    <t>Other income其他收益</t>
  </si>
  <si>
    <t>39810700</t>
  </si>
  <si>
    <t>Non-operating income 营业外收入</t>
  </si>
  <si>
    <t>70040000</t>
  </si>
  <si>
    <t>Non-operating expenses 营业外支出</t>
  </si>
  <si>
    <t>&lt;&lt;70011100</t>
    <phoneticPr fontId="7" type="noConversion"/>
  </si>
  <si>
    <t>&lt;&lt;70011</t>
    <phoneticPr fontId="7" type="noConversion"/>
  </si>
  <si>
    <r>
      <t xml:space="preserve">Other Non Operating (Income) Expenses </t>
    </r>
    <r>
      <rPr>
        <sz val="12"/>
        <rFont val="微软雅黑"/>
        <family val="2"/>
        <charset val="134"/>
      </rPr>
      <t>其他非营运费用</t>
    </r>
    <phoneticPr fontId="7" type="noConversion"/>
  </si>
  <si>
    <r>
      <t xml:space="preserve">Total Non Operating (Income) Expenses </t>
    </r>
    <r>
      <rPr>
        <b/>
        <sz val="12"/>
        <rFont val="微软雅黑"/>
        <family val="2"/>
        <charset val="134"/>
      </rPr>
      <t>非营运费用</t>
    </r>
    <r>
      <rPr>
        <b/>
        <sz val="12"/>
        <rFont val="Arial"/>
        <family val="2"/>
      </rPr>
      <t>(</t>
    </r>
    <r>
      <rPr>
        <b/>
        <sz val="12"/>
        <rFont val="微软雅黑"/>
        <family val="2"/>
        <charset val="134"/>
      </rPr>
      <t>收入</t>
    </r>
    <r>
      <rPr>
        <b/>
        <sz val="12"/>
        <rFont val="Arial"/>
        <family val="2"/>
      </rPr>
      <t>)</t>
    </r>
    <r>
      <rPr>
        <b/>
        <sz val="12"/>
        <rFont val="微软雅黑"/>
        <family val="2"/>
        <charset val="134"/>
      </rPr>
      <t>合计</t>
    </r>
    <phoneticPr fontId="7" type="noConversion"/>
  </si>
  <si>
    <r>
      <t xml:space="preserve">Net Operating Income (Loss) </t>
    </r>
    <r>
      <rPr>
        <b/>
        <sz val="12"/>
        <rFont val="微软雅黑"/>
        <family val="2"/>
        <charset val="134"/>
      </rPr>
      <t>净利润</t>
    </r>
    <r>
      <rPr>
        <b/>
        <sz val="12"/>
        <rFont val="Arial"/>
        <family val="2"/>
      </rPr>
      <t>(</t>
    </r>
    <r>
      <rPr>
        <b/>
        <sz val="12"/>
        <rFont val="微软雅黑"/>
        <family val="2"/>
        <charset val="134"/>
      </rPr>
      <t>亏损</t>
    </r>
    <r>
      <rPr>
        <b/>
        <sz val="12"/>
        <rFont val="Arial"/>
        <family val="2"/>
      </rPr>
      <t>)</t>
    </r>
    <phoneticPr fontId="7" type="noConversion"/>
  </si>
  <si>
    <r>
      <t xml:space="preserve">Net Operating Income (Loss) % </t>
    </r>
    <r>
      <rPr>
        <b/>
        <sz val="12"/>
        <rFont val="微软雅黑"/>
        <family val="2"/>
        <charset val="134"/>
      </rPr>
      <t>净利润</t>
    </r>
    <r>
      <rPr>
        <b/>
        <sz val="12"/>
        <rFont val="Arial"/>
        <family val="2"/>
      </rPr>
      <t>(</t>
    </r>
    <r>
      <rPr>
        <b/>
        <sz val="12"/>
        <rFont val="微软雅黑"/>
        <family val="2"/>
        <charset val="134"/>
      </rPr>
      <t>亏损</t>
    </r>
    <r>
      <rPr>
        <b/>
        <sz val="12"/>
        <rFont val="Arial"/>
        <family val="2"/>
      </rPr>
      <t>)</t>
    </r>
    <r>
      <rPr>
        <b/>
        <sz val="12"/>
        <rFont val="微软雅黑"/>
        <family val="2"/>
        <charset val="134"/>
      </rPr>
      <t>率</t>
    </r>
    <r>
      <rPr>
        <b/>
        <sz val="12"/>
        <rFont val="Arial"/>
        <family val="2"/>
      </rPr>
      <t>%</t>
    </r>
    <phoneticPr fontId="7" type="noConversion"/>
  </si>
  <si>
    <t>&lt;&lt;70020000</t>
    <phoneticPr fontId="7" type="noConversion"/>
  </si>
  <si>
    <t>&lt;&lt;70100</t>
    <phoneticPr fontId="7" type="noConversion"/>
  </si>
  <si>
    <r>
      <t xml:space="preserve">Owner Office Expenses </t>
    </r>
    <r>
      <rPr>
        <sz val="12"/>
        <rFont val="微软雅黑"/>
        <family val="2"/>
        <charset val="134"/>
      </rPr>
      <t>业主办公室费用</t>
    </r>
    <phoneticPr fontId="7" type="noConversion"/>
  </si>
  <si>
    <t>&lt;&lt;70010500</t>
    <phoneticPr fontId="7" type="noConversion"/>
  </si>
  <si>
    <r>
      <t xml:space="preserve">Pre-opening Expenses </t>
    </r>
    <r>
      <rPr>
        <sz val="12"/>
        <rFont val="微软雅黑"/>
        <family val="2"/>
        <charset val="134"/>
      </rPr>
      <t>预开业费用</t>
    </r>
    <phoneticPr fontId="7" type="noConversion"/>
  </si>
  <si>
    <t>&lt;&lt;70010700</t>
    <phoneticPr fontId="7" type="noConversion"/>
  </si>
  <si>
    <r>
      <t xml:space="preserve">FFE Reserve </t>
    </r>
    <r>
      <rPr>
        <sz val="12"/>
        <rFont val="微软雅黑"/>
        <family val="2"/>
        <charset val="134"/>
      </rPr>
      <t>资产储备</t>
    </r>
    <phoneticPr fontId="7" type="noConversion"/>
  </si>
  <si>
    <r>
      <t xml:space="preserve">Adjusted Net Operating Income (Loss) </t>
    </r>
    <r>
      <rPr>
        <b/>
        <sz val="12"/>
        <rFont val="微软雅黑"/>
        <family val="2"/>
        <charset val="134"/>
      </rPr>
      <t>调整后净利润</t>
    </r>
    <r>
      <rPr>
        <b/>
        <sz val="12"/>
        <rFont val="Arial"/>
        <family val="2"/>
      </rPr>
      <t>(</t>
    </r>
    <r>
      <rPr>
        <b/>
        <sz val="12"/>
        <rFont val="微软雅黑"/>
        <family val="2"/>
        <charset val="134"/>
      </rPr>
      <t>亏损</t>
    </r>
    <r>
      <rPr>
        <b/>
        <sz val="12"/>
        <rFont val="Arial"/>
        <family val="2"/>
      </rPr>
      <t>)</t>
    </r>
    <phoneticPr fontId="7" type="noConversion"/>
  </si>
  <si>
    <r>
      <t xml:space="preserve">Adjusted Net Operating Income (Loss) % </t>
    </r>
    <r>
      <rPr>
        <b/>
        <sz val="12"/>
        <rFont val="微软雅黑"/>
        <family val="2"/>
        <charset val="134"/>
      </rPr>
      <t>调整后净利润</t>
    </r>
    <r>
      <rPr>
        <b/>
        <sz val="12"/>
        <rFont val="Arial"/>
        <family val="2"/>
      </rPr>
      <t>(</t>
    </r>
    <r>
      <rPr>
        <b/>
        <sz val="12"/>
        <rFont val="微软雅黑"/>
        <family val="2"/>
        <charset val="134"/>
      </rPr>
      <t>亏损</t>
    </r>
    <r>
      <rPr>
        <b/>
        <sz val="12"/>
        <rFont val="Arial"/>
        <family val="2"/>
      </rPr>
      <t>)</t>
    </r>
    <r>
      <rPr>
        <b/>
        <sz val="12"/>
        <rFont val="微软雅黑"/>
        <family val="2"/>
        <charset val="134"/>
      </rPr>
      <t>率</t>
    </r>
    <r>
      <rPr>
        <b/>
        <sz val="12"/>
        <rFont val="Arial"/>
        <family val="2"/>
      </rPr>
      <t>%</t>
    </r>
    <phoneticPr fontId="7" type="noConversion"/>
  </si>
  <si>
    <t>&lt;&lt;70010020</t>
  </si>
  <si>
    <t>Enterprise income tax 企业所得税</t>
  </si>
  <si>
    <t>Adjusted Net Operating Income (Loss) 企业所得税后净利润(亏损)</t>
  </si>
  <si>
    <t>Adjusted Net Operating Income (Loss) %企业所得税后净利润(亏损)%</t>
  </si>
  <si>
    <t>&lt;&lt;90010201</t>
    <phoneticPr fontId="7" type="noConversion"/>
  </si>
  <si>
    <t>&lt;&lt;10100</t>
    <phoneticPr fontId="7" type="noConversion"/>
  </si>
  <si>
    <r>
      <t xml:space="preserve">Total Rooms </t>
    </r>
    <r>
      <rPr>
        <b/>
        <sz val="12"/>
        <color theme="1"/>
        <rFont val="微软雅黑"/>
        <family val="2"/>
        <charset val="134"/>
      </rPr>
      <t>总房间数</t>
    </r>
    <phoneticPr fontId="7" type="noConversion"/>
  </si>
  <si>
    <t>&lt;&lt;90010205</t>
    <phoneticPr fontId="7" type="noConversion"/>
  </si>
  <si>
    <r>
      <t xml:space="preserve">Room Sold </t>
    </r>
    <r>
      <rPr>
        <b/>
        <sz val="12"/>
        <color theme="1"/>
        <rFont val="微软雅黑"/>
        <family val="2"/>
        <charset val="134"/>
      </rPr>
      <t>付费房间数</t>
    </r>
    <phoneticPr fontId="7" type="noConversion"/>
  </si>
  <si>
    <r>
      <t xml:space="preserve">Paid Occupancy </t>
    </r>
    <r>
      <rPr>
        <b/>
        <sz val="12"/>
        <color theme="1"/>
        <rFont val="微软雅黑"/>
        <family val="2"/>
        <charset val="134"/>
      </rPr>
      <t>付费房入出租率</t>
    </r>
    <r>
      <rPr>
        <b/>
        <sz val="12"/>
        <color theme="1"/>
        <rFont val="Arial"/>
        <family val="2"/>
      </rPr>
      <t>%</t>
    </r>
    <phoneticPr fontId="7" type="noConversion"/>
  </si>
  <si>
    <r>
      <t xml:space="preserve">Average Rate </t>
    </r>
    <r>
      <rPr>
        <b/>
        <sz val="12"/>
        <color theme="1"/>
        <rFont val="微软雅黑"/>
        <family val="2"/>
        <charset val="134"/>
      </rPr>
      <t>平均房费</t>
    </r>
    <phoneticPr fontId="7" type="noConversion"/>
  </si>
  <si>
    <r>
      <t xml:space="preserve">RevPAR </t>
    </r>
    <r>
      <rPr>
        <b/>
        <sz val="12"/>
        <color theme="1"/>
        <rFont val="微软雅黑"/>
        <family val="2"/>
        <charset val="134"/>
      </rPr>
      <t>可用房平均房费</t>
    </r>
    <phoneticPr fontId="7" type="noConversion"/>
  </si>
  <si>
    <t>&lt;&lt;5..59999999,&lt;&gt;50021300</t>
    <phoneticPr fontId="7" type="noConversion"/>
  </si>
  <si>
    <t>&lt;ALL&gt;</t>
    <phoneticPr fontId="7" type="noConversion"/>
  </si>
  <si>
    <r>
      <t xml:space="preserve">Labor Cost </t>
    </r>
    <r>
      <rPr>
        <b/>
        <sz val="12"/>
        <rFont val="微软雅黑"/>
        <family val="2"/>
        <charset val="134"/>
      </rPr>
      <t>人工总成本</t>
    </r>
    <phoneticPr fontId="7" type="noConversion"/>
  </si>
  <si>
    <t>&lt;&lt;90030100</t>
    <phoneticPr fontId="7" type="noConversion"/>
  </si>
  <si>
    <t>&lt;ALL&gt;</t>
    <phoneticPr fontId="7" type="noConversion"/>
  </si>
  <si>
    <r>
      <t xml:space="preserve">FTEs </t>
    </r>
    <r>
      <rPr>
        <b/>
        <sz val="12"/>
        <rFont val="微软雅黑"/>
        <family val="2"/>
        <charset val="134"/>
      </rPr>
      <t>全职员工人数</t>
    </r>
    <phoneticPr fontId="7" type="noConversion"/>
  </si>
  <si>
    <t>D31</t>
    <phoneticPr fontId="7" type="noConversion"/>
  </si>
  <si>
    <t>&lt;&lt;50012300</t>
  </si>
  <si>
    <t>&lt;&lt;50012100..50012200</t>
  </si>
  <si>
    <t>&lt;&lt;50021270</t>
  </si>
  <si>
    <t>&lt;&lt;50012400</t>
  </si>
  <si>
    <t>&lt;&lt;50021280</t>
  </si>
  <si>
    <t>&lt;&lt;50013100</t>
  </si>
  <si>
    <t>&lt;&lt;50013200</t>
  </si>
  <si>
    <t>&lt;&lt;50013300</t>
  </si>
  <si>
    <t>&lt;&lt;50013400</t>
  </si>
  <si>
    <t>&lt;&lt;50013500</t>
  </si>
  <si>
    <t>&lt;&lt;50013600</t>
  </si>
  <si>
    <t>&lt;&lt;50013700</t>
  </si>
  <si>
    <t>&lt;&lt;50021120</t>
  </si>
  <si>
    <t>&lt;&lt;50021130</t>
  </si>
  <si>
    <t>&lt;&lt;50021210</t>
  </si>
  <si>
    <t>&lt;&lt;50021110</t>
  </si>
  <si>
    <t>&lt;&lt;50021290</t>
  </si>
  <si>
    <t>&lt;&lt;50032001..50032002</t>
  </si>
  <si>
    <t>&lt;&lt;50031001,50021500</t>
  </si>
  <si>
    <t>&lt;&lt;50031002</t>
  </si>
  <si>
    <t>Staff Canteen Allocation 员工餐分摊</t>
  </si>
  <si>
    <t>&lt;&lt;50032003,50032004</t>
  </si>
  <si>
    <t>&lt;&lt;90030100</t>
  </si>
  <si>
    <t xml:space="preserve"> FTEs                                              </t>
  </si>
  <si>
    <t xml:space="preserve"> Contract Cleaning 清洁合同                            </t>
  </si>
  <si>
    <t xml:space="preserve"> Contract Services 服务合同                            </t>
  </si>
  <si>
    <t>D31</t>
    <phoneticPr fontId="7" type="noConversion"/>
  </si>
  <si>
    <t xml:space="preserve"> Hotel Profit &amp; Loss Budget Report   酒店年度预算报表      </t>
  </si>
  <si>
    <t xml:space="preserve"> MGM Grand Sanya   三亚美高梅度假酒店                       </t>
  </si>
  <si>
    <t xml:space="preserve"> Rooms Summary 房务部损益                               </t>
    <phoneticPr fontId="7" type="noConversion"/>
  </si>
  <si>
    <t>A</t>
    <phoneticPr fontId="7" type="noConversion"/>
  </si>
  <si>
    <t>A</t>
    <phoneticPr fontId="7" type="noConversion"/>
  </si>
  <si>
    <t>B</t>
    <phoneticPr fontId="7" type="noConversion"/>
  </si>
  <si>
    <t>B</t>
    <phoneticPr fontId="7" type="noConversion"/>
  </si>
  <si>
    <t>B</t>
    <phoneticPr fontId="7" type="noConversion"/>
  </si>
  <si>
    <t xml:space="preserve">                                                   </t>
  </si>
  <si>
    <t>Var.</t>
    <phoneticPr fontId="7" type="noConversion"/>
  </si>
  <si>
    <t>Var.%</t>
  </si>
  <si>
    <t>Var.</t>
  </si>
  <si>
    <t xml:space="preserve"> REVENUE 收入                                        </t>
  </si>
  <si>
    <t>&lt;&lt;30100110..30100180</t>
  </si>
  <si>
    <t>&lt;&lt;10100</t>
  </si>
  <si>
    <t>&lt;&lt;LDTA,TFIT,TGDS,TWMM,TDMH,TPKG,OOWN,TIND,TPAR,IFAN,LWMM,ADV,OPKG,LDMW,LINW</t>
  </si>
  <si>
    <t xml:space="preserve"> Transient  散客                                     </t>
  </si>
  <si>
    <t>&lt;&lt;VCOR,TCOR,COA,COB,COC,COS,VASS,VSMF,GOT,VINC,TSMG,LDMA,LINA,LDSE,LISE</t>
  </si>
  <si>
    <t xml:space="preserve"> Group  团队                                         </t>
  </si>
  <si>
    <t>&lt;&lt;LSG</t>
  </si>
  <si>
    <t xml:space="preserve"> Contract 合约                                       </t>
  </si>
  <si>
    <t>z</t>
    <phoneticPr fontId="7" type="noConversion"/>
  </si>
  <si>
    <t xml:space="preserve"> Rooms Revenue 房费收入                                </t>
  </si>
  <si>
    <t>&lt;&lt;38108100</t>
  </si>
  <si>
    <t xml:space="preserve"> Service Charge 服务费                                </t>
  </si>
  <si>
    <t xml:space="preserve"> Other Revenue 其他收入                                </t>
  </si>
  <si>
    <t xml:space="preserve"> Total Rooms Revenue 客房收入合计                        </t>
  </si>
  <si>
    <t>&lt;&lt;5..59999999</t>
  </si>
  <si>
    <t>&lt;&lt;10200,10300,10400,10099</t>
  </si>
  <si>
    <t xml:space="preserve"> Total Labour Costs 人工成本合计                         </t>
  </si>
  <si>
    <t xml:space="preserve"> OPERATING EXPENSES 营运费用                           </t>
  </si>
  <si>
    <t>&lt;&lt;60010011</t>
  </si>
  <si>
    <t xml:space="preserve"> Comm - Travel Agents 佣金 - 旅行社                     </t>
    <phoneticPr fontId="7" type="noConversion"/>
  </si>
  <si>
    <t>&lt;&lt;60010040</t>
  </si>
  <si>
    <t>&lt;&lt;60010050</t>
  </si>
  <si>
    <t>&lt;&lt;60010060</t>
  </si>
  <si>
    <t xml:space="preserve"> Promotion Decoration 推广装饰                         </t>
  </si>
  <si>
    <t>&lt;&lt;60010080</t>
  </si>
  <si>
    <t xml:space="preserve"> Entertainment 招待                                  </t>
  </si>
  <si>
    <t>&lt;&lt;60010093</t>
  </si>
  <si>
    <t xml:space="preserve"> Guest Supplies 客用品 - Magazines&amp;Newspapers 杂志&amp;报纸   </t>
  </si>
  <si>
    <t>&lt;&lt;60010094</t>
  </si>
  <si>
    <t xml:space="preserve"> Guest Supplies 客用品 - Others 其他                    </t>
  </si>
  <si>
    <t>&lt;&lt;60010110</t>
  </si>
  <si>
    <t xml:space="preserve"> Communication/Satellite/Cable 通讯/卫星/有线收视          </t>
  </si>
  <si>
    <t>Z</t>
    <phoneticPr fontId="7" type="noConversion"/>
  </si>
  <si>
    <t xml:space="preserve"> Reservations Fees预订费                              </t>
  </si>
  <si>
    <r>
      <t>&lt;</t>
    </r>
    <r>
      <rPr>
        <sz val="11"/>
        <color theme="1"/>
        <rFont val="等线"/>
        <family val="2"/>
        <charset val="134"/>
        <scheme val="minor"/>
      </rPr>
      <t>&lt;</t>
    </r>
    <r>
      <rPr>
        <sz val="11"/>
        <color theme="1"/>
        <rFont val="等线"/>
        <family val="2"/>
        <charset val="134"/>
        <scheme val="minor"/>
      </rPr>
      <t>60010021</t>
    </r>
    <phoneticPr fontId="7" type="noConversion"/>
  </si>
  <si>
    <t xml:space="preserve"> Complimentaries - Give Away 免费赠送</t>
    <phoneticPr fontId="7" type="noConversion"/>
  </si>
  <si>
    <t>&lt;&lt;60011210</t>
  </si>
  <si>
    <t xml:space="preserve"> Chinaware 瓷器                                      </t>
  </si>
  <si>
    <t>&lt;&lt;60011220</t>
  </si>
  <si>
    <t xml:space="preserve"> Cleaning Supplies&amp;Chemicals 清洁用品&amp;化学药剂             </t>
    <phoneticPr fontId="7" type="noConversion"/>
  </si>
  <si>
    <t>&lt;&lt;60011250</t>
  </si>
  <si>
    <t xml:space="preserve"> Linen 布巾                                          </t>
  </si>
  <si>
    <t>&lt;&lt;60011270</t>
  </si>
  <si>
    <t xml:space="preserve"> Other Operating Supplies 其他运营用品                   </t>
  </si>
  <si>
    <t>&lt;&lt;60011310</t>
  </si>
  <si>
    <t xml:space="preserve"> Uniforms 制服                                       </t>
  </si>
  <si>
    <t>&lt;&lt;60011450</t>
  </si>
  <si>
    <t xml:space="preserve"> Taskforce Expenses 外援费用                           </t>
  </si>
  <si>
    <t>&lt;&lt;60011460</t>
  </si>
  <si>
    <t xml:space="preserve"> Plant Hire 植物租摆                                   </t>
  </si>
  <si>
    <t>&lt;&lt;60012020</t>
  </si>
  <si>
    <t xml:space="preserve"> Postage 邮费                                        </t>
  </si>
  <si>
    <t>&lt;&lt;60012030</t>
  </si>
  <si>
    <t xml:space="preserve"> Printing &amp; Stationery 印刷与文具                       </t>
  </si>
  <si>
    <t>&lt;&lt;60012040</t>
  </si>
  <si>
    <t xml:space="preserve"> Internal Laundry 内部洗衣                             </t>
  </si>
  <si>
    <t>&lt;&lt;60012060</t>
  </si>
  <si>
    <t xml:space="preserve"> Telephone 电话费                                     </t>
  </si>
  <si>
    <t>&lt;&lt;60012080</t>
  </si>
  <si>
    <t xml:space="preserve"> Transportation 交通 - Staff 员工                      </t>
  </si>
  <si>
    <t>&lt;&lt;60012090</t>
  </si>
  <si>
    <t xml:space="preserve"> Travelling Expenses 差旅费                           </t>
  </si>
  <si>
    <t>&lt;&lt;60011490</t>
  </si>
  <si>
    <t xml:space="preserve"> Miscellaneous Expenses 杂项                         </t>
  </si>
  <si>
    <t xml:space="preserve"> Total Operating Expenses 营运费用合计                   </t>
  </si>
  <si>
    <t xml:space="preserve"> Department Profit/(Loss) 部门利润（亏损）                 </t>
  </si>
  <si>
    <t xml:space="preserve"> Department Profit/(Loss)% 部门利润（亏损）率%              </t>
  </si>
  <si>
    <t>&lt;&lt;90010201</t>
  </si>
  <si>
    <t xml:space="preserve"> Total Rooms 总房间数                                  </t>
  </si>
  <si>
    <t>&lt;&lt;90010203</t>
  </si>
  <si>
    <t xml:space="preserve"> Available Rooms 可用房数                              </t>
  </si>
  <si>
    <t>&lt;&lt;90010208</t>
  </si>
  <si>
    <t xml:space="preserve"> Out of Order Rooms 大修房数                           </t>
  </si>
  <si>
    <t>&lt;&lt;90010209</t>
  </si>
  <si>
    <t xml:space="preserve"> Out of Service Rooms 小维修房数                        </t>
  </si>
  <si>
    <t>&lt;&lt;90010205</t>
  </si>
  <si>
    <t xml:space="preserve"> Room Sold 付费房数                                    </t>
  </si>
  <si>
    <t>&lt;&lt;90010206</t>
  </si>
  <si>
    <t xml:space="preserve"> Complimentary Rooms 免费房数                          </t>
  </si>
  <si>
    <t>&lt;&lt;90010207</t>
  </si>
  <si>
    <t xml:space="preserve"> House Use Rooms 自用房数                              </t>
  </si>
  <si>
    <t xml:space="preserve"> Total Occupied Rooms 占用房间合计                       </t>
  </si>
  <si>
    <t xml:space="preserve"> Total Occupancy % 出租率合计                           </t>
  </si>
  <si>
    <t xml:space="preserve"> Paid Occupancy % 付费房出租率                           </t>
  </si>
  <si>
    <t xml:space="preserve"> Average Rate 平均房费                                 </t>
  </si>
  <si>
    <t xml:space="preserve"> RevPAR 每间房平均房费                                    </t>
  </si>
  <si>
    <t xml:space="preserve"> Cost per Occupied Room 每个占用房间成本                   </t>
  </si>
  <si>
    <t xml:space="preserve"> LABOUR COST ANALYSIS 人工成本费用                       </t>
  </si>
  <si>
    <t xml:space="preserve"> Salary &amp; Wages 工资                                 </t>
  </si>
  <si>
    <t>&lt;&lt;50010300,50010400</t>
  </si>
  <si>
    <t>&lt;&lt;10099,10200,10300,10400</t>
  </si>
  <si>
    <t xml:space="preserve"> Managers 经理                                       </t>
  </si>
  <si>
    <t>&lt;&lt;50010100..50010200,50010500..50010700,50012500..50012600</t>
  </si>
  <si>
    <t>&lt;&lt;10099,10200</t>
  </si>
  <si>
    <t xml:space="preserve"> Front Office 前厅                                   </t>
  </si>
  <si>
    <t>&lt;&lt;10300</t>
  </si>
  <si>
    <t xml:space="preserve"> Housekeeping 客房                                   </t>
  </si>
  <si>
    <t>&lt;&lt;10400</t>
  </si>
  <si>
    <t xml:space="preserve"> Reservations 预定                                   </t>
  </si>
  <si>
    <t>Rooms Admin房务行政</t>
    <phoneticPr fontId="7" type="noConversion"/>
  </si>
  <si>
    <t xml:space="preserve"> Total Remuneration 薪酬小计                           </t>
  </si>
  <si>
    <t xml:space="preserve"> Overtime 加班                                       </t>
  </si>
  <si>
    <t xml:space="preserve"> Local staff Bonus 本地员工-年终奖金                       </t>
  </si>
  <si>
    <t xml:space="preserve"> Allowance 津贴                                      </t>
  </si>
  <si>
    <t xml:space="preserve"> Vacation Pay 假期工资                                 </t>
  </si>
  <si>
    <t xml:space="preserve"> Incentive 奖金                                      </t>
  </si>
  <si>
    <t xml:space="preserve"> Total Salary &amp; Wages 工资合计                         </t>
  </si>
  <si>
    <t xml:space="preserve"> PRC - Retirement Insurance 养老保险                   </t>
  </si>
  <si>
    <t xml:space="preserve"> PRC - Basic Medical Insurance 医疗保险                </t>
  </si>
  <si>
    <t xml:space="preserve"> PRC - Unemployement fund 失业保险                     </t>
  </si>
  <si>
    <t xml:space="preserve"> PRC - Employee Liability (Injury) 工伤保险            </t>
  </si>
  <si>
    <t xml:space="preserve"> PRC - Birth Insurance 生育保险                        </t>
  </si>
  <si>
    <t xml:space="preserve"> PRC - Housing Fund 住房公积金                          </t>
  </si>
  <si>
    <t xml:space="preserve"> PRC - Union Fee 工会经费                              </t>
  </si>
  <si>
    <t>Z</t>
    <phoneticPr fontId="7" type="noConversion"/>
  </si>
  <si>
    <t xml:space="preserve"> PRC - Education Fund 教育经费                         </t>
  </si>
  <si>
    <t xml:space="preserve"> Total Social Security  社保合计                       </t>
  </si>
  <si>
    <t xml:space="preserve"> Expats - Insurance 外籍保险                           </t>
  </si>
  <si>
    <t xml:space="preserve"> Expats - Medical Insurance 外籍医疗保险                 </t>
  </si>
  <si>
    <t xml:space="preserve"> Expats - Benefits 外籍福利                            </t>
  </si>
  <si>
    <t xml:space="preserve"> Local - Business Insurance 本地员工商业保险               </t>
  </si>
  <si>
    <t xml:space="preserve"> Other Benefits 其他福利                               </t>
  </si>
  <si>
    <t>&lt;&lt;50032001..50032004</t>
  </si>
  <si>
    <t xml:space="preserve"> Staff Dormitory &amp; Related Expenses 员工宿舍及相关费用      </t>
  </si>
  <si>
    <t xml:space="preserve"> Staff Cateen Allocation &amp; OC 员工餐费                 </t>
  </si>
  <si>
    <t>Z</t>
    <phoneticPr fontId="7" type="noConversion"/>
  </si>
  <si>
    <t>Dormitory &amp; Related Allocation员工宿舍及相关费用分摊</t>
  </si>
  <si>
    <t xml:space="preserve"> Total Benefits 福利合计                               </t>
  </si>
  <si>
    <t xml:space="preserve"> TOTAL LABOUR COST 人工成本合计                          </t>
  </si>
  <si>
    <t xml:space="preserve"> FTEs 员工人数                                         </t>
  </si>
  <si>
    <t xml:space="preserve"> Total Labour Costs                                </t>
  </si>
  <si>
    <t>营业成本-其他成本</t>
    <phoneticPr fontId="7" type="noConversion"/>
  </si>
  <si>
    <t>市场分类</t>
    <phoneticPr fontId="5" type="noConversion"/>
  </si>
  <si>
    <t>服务合同-第三方/其他</t>
  </si>
  <si>
    <t xml:space="preserve">服务合同-员餐费用（自管外包福利分摊）                     </t>
    <phoneticPr fontId="7" type="noConversion"/>
  </si>
  <si>
    <t xml:space="preserve">服务合同-员工宿舍费用（自管外包福利分摊）                     </t>
    <phoneticPr fontId="7" type="noConversion"/>
  </si>
  <si>
    <t>服务合同-合计</t>
    <phoneticPr fontId="7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</si>
  <si>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Front office</t>
    </r>
    <r>
      <rPr>
        <sz val="11"/>
        <color theme="1"/>
        <rFont val="等线"/>
        <family val="2"/>
        <charset val="134"/>
        <scheme val="minor"/>
      </rPr>
      <t xml:space="preserve"> 前厅部损益                               </t>
    </r>
    <phoneticPr fontId="7" type="noConversion"/>
  </si>
  <si>
    <t>&lt;&lt;10200</t>
  </si>
  <si>
    <t>&lt;&lt;LDTA,LDMW,LINW,TFIT,LWMM,ADV,TPKG,OPKG,TGDS,TWMM,TDMH,LSG</t>
    <phoneticPr fontId="7" type="noConversion"/>
  </si>
  <si>
    <t>&lt;&lt;TSMG,LDMA,VCOR,VSMF,VASS,GOT,VINC,LDSE,LISE,LINA,TCOR,COA,COB,COC,COS,OOWN,TIND,TPAR</t>
    <phoneticPr fontId="7" type="noConversion"/>
  </si>
  <si>
    <t>z</t>
    <phoneticPr fontId="7" type="noConversion"/>
  </si>
  <si>
    <t>z</t>
    <phoneticPr fontId="7" type="noConversion"/>
  </si>
  <si>
    <t xml:space="preserve"> Comm - Travel Agents 佣金 - 旅行社                     </t>
  </si>
  <si>
    <r>
      <t>&lt;</t>
    </r>
    <r>
      <rPr>
        <sz val="11"/>
        <color theme="1"/>
        <rFont val="等线"/>
        <family val="2"/>
        <charset val="134"/>
        <scheme val="minor"/>
      </rPr>
      <t>&lt;</t>
    </r>
    <r>
      <rPr>
        <sz val="11"/>
        <color theme="1"/>
        <rFont val="等线"/>
        <family val="2"/>
        <charset val="134"/>
        <scheme val="minor"/>
      </rPr>
      <t>60010021</t>
    </r>
    <phoneticPr fontId="7" type="noConversion"/>
  </si>
  <si>
    <t xml:space="preserve"> Complimentaries - Give Away 免费赠送</t>
    <phoneticPr fontId="7" type="noConversion"/>
  </si>
  <si>
    <t xml:space="preserve"> Cleaning Supplies&amp;Chemicals 清洁用品&amp;化学药剂             </t>
  </si>
  <si>
    <t>&lt;&lt;60012050</t>
  </si>
  <si>
    <t>Z</t>
    <phoneticPr fontId="7" type="noConversion"/>
  </si>
  <si>
    <t>Rooms Admin房务行政</t>
    <phoneticPr fontId="7" type="noConversion"/>
  </si>
  <si>
    <t>Z</t>
    <phoneticPr fontId="7" type="noConversion"/>
  </si>
  <si>
    <t>Z</t>
    <phoneticPr fontId="7" type="noConversion"/>
  </si>
  <si>
    <t>服务合同-第三方/其他</t>
    <phoneticPr fontId="7" type="noConversion"/>
  </si>
  <si>
    <t xml:space="preserve">服务合同-自管外包        </t>
    <phoneticPr fontId="7" type="noConversion"/>
  </si>
  <si>
    <t>服务合同-实习生+临时工</t>
    <phoneticPr fontId="7" type="noConversion"/>
  </si>
  <si>
    <t>D31</t>
    <phoneticPr fontId="7" type="noConversion"/>
  </si>
  <si>
    <t xml:space="preserve"> Housekeeping 客房部损益                               </t>
    <phoneticPr fontId="7" type="noConversion"/>
  </si>
  <si>
    <t>A</t>
    <phoneticPr fontId="7" type="noConversion"/>
  </si>
  <si>
    <t>A</t>
    <phoneticPr fontId="7" type="noConversion"/>
  </si>
  <si>
    <t>A</t>
    <phoneticPr fontId="7" type="noConversion"/>
  </si>
  <si>
    <t>B</t>
    <phoneticPr fontId="7" type="noConversion"/>
  </si>
  <si>
    <t>B</t>
    <phoneticPr fontId="7" type="noConversion"/>
  </si>
  <si>
    <t>A</t>
    <phoneticPr fontId="7" type="noConversion"/>
  </si>
  <si>
    <t>Var.</t>
    <phoneticPr fontId="7" type="noConversion"/>
  </si>
  <si>
    <t>&lt;&lt;LDTA,LDMW,LINW,TFIT,LWMM,ADV,TPKG,OPKG,TGDS,TWMM,TDMH,LSG</t>
    <phoneticPr fontId="7" type="noConversion"/>
  </si>
  <si>
    <t>&lt;&lt;60010021</t>
    <phoneticPr fontId="7" type="noConversion"/>
  </si>
  <si>
    <t xml:space="preserve"> Complimentaries - Give Away 免费赠送</t>
    <phoneticPr fontId="7" type="noConversion"/>
  </si>
  <si>
    <t>z</t>
    <phoneticPr fontId="7" type="noConversion"/>
  </si>
  <si>
    <t>Z</t>
    <phoneticPr fontId="7" type="noConversion"/>
  </si>
  <si>
    <t>Rooms Admin房务行政</t>
    <phoneticPr fontId="7" type="noConversion"/>
  </si>
  <si>
    <t>Z</t>
    <phoneticPr fontId="7" type="noConversion"/>
  </si>
  <si>
    <t>服务合同-第三方/其他</t>
    <phoneticPr fontId="7" type="noConversion"/>
  </si>
  <si>
    <t xml:space="preserve">服务合同-自管外包        </t>
    <phoneticPr fontId="7" type="noConversion"/>
  </si>
  <si>
    <t>服务合同-实习生+临时工</t>
    <phoneticPr fontId="7" type="noConversion"/>
  </si>
  <si>
    <t>D31</t>
    <phoneticPr fontId="7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</si>
  <si>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Reservation</t>
    </r>
    <r>
      <rPr>
        <sz val="11"/>
        <color theme="1"/>
        <rFont val="等线"/>
        <family val="2"/>
        <charset val="134"/>
        <scheme val="minor"/>
      </rPr>
      <t xml:space="preserve"> 预定部损益                               </t>
    </r>
    <phoneticPr fontId="7" type="noConversion"/>
  </si>
  <si>
    <t>A</t>
    <phoneticPr fontId="7" type="noConversion"/>
  </si>
  <si>
    <t>B</t>
    <phoneticPr fontId="7" type="noConversion"/>
  </si>
  <si>
    <t>&lt;&lt;LDTA,LDMW,LINW,TFIT,LWMM,ADV,TPKG,OPKG,TGDS,TWMM,TDMH,LSG</t>
    <phoneticPr fontId="7" type="noConversion"/>
  </si>
  <si>
    <t>&lt;&lt;60010021</t>
    <phoneticPr fontId="7" type="noConversion"/>
  </si>
  <si>
    <t>z</t>
    <phoneticPr fontId="7" type="noConversion"/>
  </si>
  <si>
    <t>Z</t>
    <phoneticPr fontId="7" type="noConversion"/>
  </si>
  <si>
    <t>Rooms Admin房务行政</t>
    <phoneticPr fontId="7" type="noConversion"/>
  </si>
  <si>
    <t>Z</t>
    <phoneticPr fontId="7" type="noConversion"/>
  </si>
  <si>
    <t>Z</t>
    <phoneticPr fontId="7" type="noConversion"/>
  </si>
  <si>
    <t>Z</t>
    <phoneticPr fontId="7" type="noConversion"/>
  </si>
  <si>
    <t>Z</t>
    <phoneticPr fontId="7" type="noConversion"/>
  </si>
  <si>
    <t>服务合同-第三方/其他</t>
    <phoneticPr fontId="7" type="noConversion"/>
  </si>
  <si>
    <t>服务合同-实习生+临时工</t>
    <phoneticPr fontId="7" type="noConversion"/>
  </si>
  <si>
    <t>D31</t>
    <phoneticPr fontId="7" type="noConversion"/>
  </si>
  <si>
    <r>
      <t xml:space="preserve"> Rooms Administration</t>
    </r>
    <r>
      <rPr>
        <sz val="11"/>
        <color theme="1"/>
        <rFont val="等线"/>
        <family val="2"/>
        <charset val="134"/>
        <scheme val="minor"/>
      </rPr>
      <t xml:space="preserve"> 房务部行政损益                               </t>
    </r>
    <phoneticPr fontId="7" type="noConversion"/>
  </si>
  <si>
    <t>A</t>
    <phoneticPr fontId="7" type="noConversion"/>
  </si>
  <si>
    <t>A</t>
    <phoneticPr fontId="7" type="noConversion"/>
  </si>
  <si>
    <t>B</t>
    <phoneticPr fontId="7" type="noConversion"/>
  </si>
  <si>
    <t>A</t>
    <phoneticPr fontId="7" type="noConversion"/>
  </si>
  <si>
    <t>Var.</t>
    <phoneticPr fontId="7" type="noConversion"/>
  </si>
  <si>
    <t>&lt;&lt;10099</t>
  </si>
  <si>
    <t>&lt;&lt;LDTA,LDMW,LINW,TFIT,LWMM,ADV,TPKG,OPKG,TGDS,TWMM,TDMH,LSG</t>
    <phoneticPr fontId="7" type="noConversion"/>
  </si>
  <si>
    <t>&lt;&lt;TSMG,LDMA,VCOR,VSMF,VASS,GOT,VINC,LDSE,LISE,LINA,TCOR,COA,COB,COC,COS,OOWN,TIND,TPAR</t>
    <phoneticPr fontId="7" type="noConversion"/>
  </si>
  <si>
    <t>z</t>
    <phoneticPr fontId="7" type="noConversion"/>
  </si>
  <si>
    <t>Z</t>
    <phoneticPr fontId="7" type="noConversion"/>
  </si>
  <si>
    <t>&lt;&lt;60010021</t>
    <phoneticPr fontId="7" type="noConversion"/>
  </si>
  <si>
    <t xml:space="preserve"> Complimentaries - Give Away 免费赠送</t>
    <phoneticPr fontId="7" type="noConversion"/>
  </si>
  <si>
    <t>z</t>
    <phoneticPr fontId="7" type="noConversion"/>
  </si>
  <si>
    <t>Z</t>
    <phoneticPr fontId="7" type="noConversion"/>
  </si>
  <si>
    <t>Rooms Admin房务行政</t>
    <phoneticPr fontId="7" type="noConversion"/>
  </si>
  <si>
    <t>Z</t>
    <phoneticPr fontId="7" type="noConversion"/>
  </si>
  <si>
    <t xml:space="preserve">服务合同-自管外包        </t>
  </si>
  <si>
    <t>服务合同-实习生+临时工</t>
  </si>
  <si>
    <t xml:space="preserve"> F&amp;B Summary 餐饮部损益                                 </t>
  </si>
  <si>
    <t>Var.</t>
    <phoneticPr fontId="7" type="noConversion"/>
  </si>
  <si>
    <t xml:space="preserve"> FOOD REVENUE 食品收入                                 </t>
  </si>
  <si>
    <t xml:space="preserve"> All Day Dining                                    </t>
  </si>
  <si>
    <t xml:space="preserve"> -   </t>
  </si>
  <si>
    <t xml:space="preserve"> Chinese Restaurant                                </t>
  </si>
  <si>
    <t>&lt;&lt;30200210..30200250,30210210..30210250,30220210..30220250</t>
  </si>
  <si>
    <t>&lt;&lt;20301,20302</t>
  </si>
  <si>
    <t xml:space="preserve"> Hai Tang 海棠                                       </t>
  </si>
  <si>
    <t>&lt;&lt;20401,20402</t>
  </si>
  <si>
    <t xml:space="preserve"> Pin Ju 品聚                                         </t>
  </si>
  <si>
    <t>&lt;&lt;20501,20502</t>
  </si>
  <si>
    <t xml:space="preserve"> Silk 锦汇                                           </t>
  </si>
  <si>
    <t>&lt;&lt;20601,20602</t>
  </si>
  <si>
    <t xml:space="preserve"> Neera 霓湾                                          </t>
  </si>
  <si>
    <t>&lt;&lt;20701,20702</t>
  </si>
  <si>
    <t xml:space="preserve"> Poolside Grill 池边烧烤                               </t>
  </si>
  <si>
    <t>&lt;&lt;20801,20802</t>
  </si>
  <si>
    <t xml:space="preserve"> Cafe to Go 咖啡馆                                    </t>
  </si>
  <si>
    <t>&lt;&lt;20901,20902</t>
  </si>
  <si>
    <t xml:space="preserve"> Wet Republic 成人派对泳池                               </t>
  </si>
  <si>
    <t>&lt;&lt;21101</t>
  </si>
  <si>
    <t xml:space="preserve"> Lobby Lounge                                      </t>
  </si>
  <si>
    <t>&lt;&lt;22101</t>
  </si>
  <si>
    <t xml:space="preserve"> AOC 红酒吧                                           </t>
  </si>
  <si>
    <t>&lt;&lt;22102</t>
  </si>
  <si>
    <t xml:space="preserve"> Corona Beach Bar 科罗娜沙滩吧                                  </t>
    <phoneticPr fontId="7" type="noConversion"/>
  </si>
  <si>
    <t>&lt;&lt;22103</t>
  </si>
  <si>
    <t xml:space="preserve"> Papillon 名碟                                       </t>
  </si>
  <si>
    <t>&lt;&lt;23101,23102</t>
  </si>
  <si>
    <t xml:space="preserve"> Room Service                                      </t>
  </si>
  <si>
    <t>&lt;&lt;24111..24116,24121,24200</t>
  </si>
  <si>
    <r>
      <t xml:space="preserve"> Banquet</t>
    </r>
    <r>
      <rPr>
        <sz val="11"/>
        <color theme="1"/>
        <rFont val="等线"/>
        <family val="2"/>
        <charset val="134"/>
        <scheme val="minor"/>
      </rPr>
      <t xml:space="preserve"> </t>
    </r>
    <r>
      <rPr>
        <sz val="11"/>
        <color theme="1"/>
        <rFont val="等线"/>
        <family val="2"/>
        <charset val="134"/>
        <scheme val="minor"/>
      </rPr>
      <t xml:space="preserve">宴会                                    </t>
    </r>
    <phoneticPr fontId="7" type="noConversion"/>
  </si>
  <si>
    <t xml:space="preserve"> Total Food Revenue 食品收入合计                         </t>
  </si>
  <si>
    <t xml:space="preserve"> BEVERAGE REVENUE 饮品收入                             </t>
  </si>
  <si>
    <t>&lt;&lt;30300310..30300350,30310310..30310350,30320310..30320350</t>
  </si>
  <si>
    <t xml:space="preserve"> Banquet                                           </t>
  </si>
  <si>
    <t xml:space="preserve"> Total Beverage Revenue 饮品收入合计                     </t>
  </si>
  <si>
    <t>&lt;&lt;30400040</t>
  </si>
  <si>
    <t>&lt;&lt;2..29999</t>
  </si>
  <si>
    <t xml:space="preserve"> Meeting Rooms Rental 会议室租赁                        </t>
  </si>
  <si>
    <t>&lt;&lt;30320360..30320380</t>
  </si>
  <si>
    <t xml:space="preserve"> Mini Bar 迷你吧                                      </t>
  </si>
  <si>
    <t>&lt;&lt;30320400..30320402,30320990..30320992,30400050</t>
  </si>
  <si>
    <t xml:space="preserve"> Other Revenue 其他餐饮收入                              </t>
  </si>
  <si>
    <t xml:space="preserve"> Total F&amp;B Revenue 餐饮收入合计                          </t>
  </si>
  <si>
    <t xml:space="preserve"> COST                                              </t>
  </si>
  <si>
    <t>&lt;&lt;40200100</t>
  </si>
  <si>
    <t xml:space="preserve"> Food Cost 食品成本                                    </t>
  </si>
  <si>
    <t>&lt;&lt;40200200</t>
  </si>
  <si>
    <t xml:space="preserve"> Beverage Cost 酒水成本                                </t>
  </si>
  <si>
    <t>&lt;&lt;40200400</t>
  </si>
  <si>
    <t xml:space="preserve"> Mini Bar Cost 迷你吧成本                               </t>
  </si>
  <si>
    <t>&lt;&lt;40200300,40200190</t>
  </si>
  <si>
    <t xml:space="preserve"> Other Cost 其他杂项成本                                 </t>
  </si>
  <si>
    <t xml:space="preserve"> Total Cost of Sales 餐饮成本合计                        </t>
  </si>
  <si>
    <t>&lt;&lt;60010014</t>
  </si>
  <si>
    <t xml:space="preserve"> Comm - Other 佣金 - 其他                              </t>
  </si>
  <si>
    <t xml:space="preserve"> Complimentaries - Give Away 免费赠送                  </t>
  </si>
  <si>
    <t xml:space="preserve"> Complimentary Food&amp;Beverage 免费餐饮                  </t>
  </si>
  <si>
    <t xml:space="preserve"> Competitor Survey竞争对手调研费                          </t>
  </si>
  <si>
    <t>&lt;&lt;60010040</t>
    <phoneticPr fontId="7" type="noConversion"/>
  </si>
  <si>
    <t>&lt;&lt;60010070</t>
  </si>
  <si>
    <t xml:space="preserve"> Dues &amp; Subscriptions 会费/订阅                        </t>
  </si>
  <si>
    <t xml:space="preserve"> Guest Supplies 客用品 - Cleaning 清洁                  </t>
  </si>
  <si>
    <t xml:space="preserve"> Cleaning Supplies&amp;Chemicals 清洁用品&amp;化学药剂             </t>
    <phoneticPr fontId="7" type="noConversion"/>
  </si>
  <si>
    <t>&lt;&lt;60011230</t>
  </si>
  <si>
    <t xml:space="preserve"> Flatware 餐具                                       </t>
  </si>
  <si>
    <t>&lt;&lt;60011240</t>
  </si>
  <si>
    <t xml:space="preserve"> Glassware 玻璃器皿                                    </t>
  </si>
  <si>
    <t>&lt;&lt;60011260</t>
  </si>
  <si>
    <t xml:space="preserve"> Silverware 银器                                     </t>
  </si>
  <si>
    <t>&lt;&lt;60011280</t>
  </si>
  <si>
    <t xml:space="preserve"> Utensils 器具                                       </t>
  </si>
  <si>
    <t>&lt;&lt;60011290</t>
  </si>
  <si>
    <t xml:space="preserve"> Paper Supplies 纸张用品                               </t>
  </si>
  <si>
    <t>&lt;&lt;60011420</t>
  </si>
  <si>
    <t xml:space="preserve"> Menus &amp; Beverage Lists 菜单及饮料单                     </t>
  </si>
  <si>
    <t>&lt;&lt;60011430</t>
  </si>
  <si>
    <t xml:space="preserve"> Food &amp; Beverage Promotions 餐饮促销                   </t>
  </si>
  <si>
    <t xml:space="preserve"> Promotional Gifts 推广礼品                            </t>
  </si>
  <si>
    <t>&lt;&lt;60011470</t>
  </si>
  <si>
    <t xml:space="preserve"> Music/Entertainment 音乐/娱乐                         </t>
  </si>
  <si>
    <t xml:space="preserve"> Banquet Expenses 宴会费用                             </t>
  </si>
  <si>
    <t>&lt;&lt;60011510</t>
  </si>
  <si>
    <t xml:space="preserve"> Kitchen Fuel 厨房燃料                                 </t>
  </si>
  <si>
    <t>&lt;&lt;60011520</t>
  </si>
  <si>
    <t xml:space="preserve"> Hygiene 卫生                                        </t>
  </si>
  <si>
    <t>&lt;&lt;60011540</t>
  </si>
  <si>
    <t xml:space="preserve"> Equipment Rental 设备租金                             </t>
  </si>
  <si>
    <t xml:space="preserve"> Food Testing 食品测试                                 </t>
  </si>
  <si>
    <t xml:space="preserve"> Lost &amp; Damaged 丢失与损坏                              </t>
  </si>
  <si>
    <t xml:space="preserve"> COVERS 消费人数                                       </t>
  </si>
  <si>
    <t>&lt;&lt;90010321..90010325,90010400..90010409</t>
  </si>
  <si>
    <t xml:space="preserve"> Total Covers 消费人数合计                               </t>
  </si>
  <si>
    <t xml:space="preserve"> Average Check 平均消费                                </t>
  </si>
  <si>
    <t xml:space="preserve"> Cost Per Cover 人均成本                               </t>
  </si>
  <si>
    <t xml:space="preserve"> Salary &amp; Wages 工资费用                               </t>
  </si>
  <si>
    <t>&lt;&lt;2..299999</t>
  </si>
  <si>
    <t>&lt;&lt;20001,20101,20201,20301,20401,20501,20601,20701,20801,20901,21101,22101,22102,22103,23101,24111</t>
  </si>
  <si>
    <t xml:space="preserve"> Services 服务                                       </t>
  </si>
  <si>
    <t>&lt;&lt;20002,20102,20202,20302,20402,20502,20602,20702,20802,20902,23102,24200,27101</t>
  </si>
  <si>
    <t xml:space="preserve"> Kitchen 厨房                                        </t>
  </si>
  <si>
    <t xml:space="preserve"> Total Remuneration 薪酬合计                           </t>
  </si>
  <si>
    <t xml:space="preserve"> Staff Canteen Allocation 员工餐分摊</t>
    <phoneticPr fontId="7" type="noConversion"/>
  </si>
  <si>
    <t xml:space="preserve"> Dormitory &amp; Related Allocation员工宿舍及相关费用分摊</t>
    <phoneticPr fontId="7" type="noConversion"/>
  </si>
  <si>
    <t>营业成本-其他成本</t>
    <phoneticPr fontId="7" type="noConversion"/>
  </si>
  <si>
    <t>Cost per cover 人均费用</t>
    <phoneticPr fontId="7" type="noConversion"/>
  </si>
  <si>
    <t>服务合同-合计</t>
    <phoneticPr fontId="7" type="noConversion"/>
  </si>
  <si>
    <t>Variance</t>
  </si>
  <si>
    <t xml:space="preserve"> FOOD REVENUE                                      </t>
  </si>
  <si>
    <t>&lt;&lt;30200210,30210210,30220210</t>
  </si>
  <si>
    <t>&lt;&lt;20301,20302</t>
    <phoneticPr fontId="7" type="noConversion"/>
  </si>
  <si>
    <t xml:space="preserve"> Breakfast 早餐                                      </t>
  </si>
  <si>
    <t>&lt;&lt;30200220,30210220,30220220</t>
  </si>
  <si>
    <t xml:space="preserve"> Lunch 午餐                                          </t>
  </si>
  <si>
    <t>&lt;&lt;30200230,30210230,30220230</t>
  </si>
  <si>
    <t xml:space="preserve"> Dinner 晚餐                                         </t>
  </si>
  <si>
    <t>&lt;&lt;30200240,30210240,30220240</t>
  </si>
  <si>
    <t xml:space="preserve"> Afternoon Tea 下午茶                                 </t>
  </si>
  <si>
    <t>&lt;&lt;30200250,30210250,30220250</t>
  </si>
  <si>
    <t xml:space="preserve"> Late Snack 夜宵                                     </t>
  </si>
  <si>
    <t xml:space="preserve"> Total Food Revenue                                </t>
  </si>
  <si>
    <t xml:space="preserve"> BEVERAGE REVENUE                                  </t>
  </si>
  <si>
    <t>&lt;&lt;30300310</t>
    <phoneticPr fontId="7" type="noConversion"/>
  </si>
  <si>
    <t>&lt;&lt;30300320</t>
    <phoneticPr fontId="7" type="noConversion"/>
  </si>
  <si>
    <t>&lt;&lt;30300330</t>
    <phoneticPr fontId="7" type="noConversion"/>
  </si>
  <si>
    <t>&lt;&lt;30300340</t>
    <phoneticPr fontId="7" type="noConversion"/>
  </si>
  <si>
    <t>&lt;&lt;20301,20302</t>
    <phoneticPr fontId="7" type="noConversion"/>
  </si>
  <si>
    <t>&lt;&lt;30300350</t>
    <phoneticPr fontId="7" type="noConversion"/>
  </si>
  <si>
    <t xml:space="preserve"> Total Beverage Revenue                            </t>
  </si>
  <si>
    <t xml:space="preserve"> Miscellaneous Revenue 餐饮杂项收入                      </t>
  </si>
  <si>
    <t xml:space="preserve"> Total Revenue                                     </t>
  </si>
  <si>
    <t xml:space="preserve"> Total Cost of Sales                               </t>
  </si>
  <si>
    <t xml:space="preserve"> OPERATING EXPENSES                                </t>
  </si>
  <si>
    <t>Z</t>
    <phoneticPr fontId="7" type="noConversion"/>
  </si>
  <si>
    <t>&lt;&lt;60010040</t>
    <phoneticPr fontId="7" type="noConversion"/>
  </si>
  <si>
    <t>&lt;&lt;60990010</t>
  </si>
  <si>
    <t xml:space="preserve"> In-direct Expenses                                </t>
  </si>
  <si>
    <t xml:space="preserve"> Total Operating Expenses                          </t>
  </si>
  <si>
    <t xml:space="preserve"> Department Profit/(Loss)                          </t>
  </si>
  <si>
    <t xml:space="preserve"> Department Profit/(Loss)  %                       </t>
  </si>
  <si>
    <t>&lt;&lt;90010321,90010400,90010401</t>
  </si>
  <si>
    <t>&lt;&lt;90010322,90010402,90010403</t>
  </si>
  <si>
    <t>&lt;&lt;90010323,90010404,90010405</t>
  </si>
  <si>
    <t>&lt;&lt;90010324,90010406,90010407</t>
  </si>
  <si>
    <t>&lt;&lt;90010325,90010408,90010409</t>
  </si>
  <si>
    <t xml:space="preserve"> FOOD AVERAGE CHECK 食品平均消费                         </t>
  </si>
  <si>
    <t xml:space="preserve"> LABOUR COST ANALYSIS                              </t>
  </si>
  <si>
    <t xml:space="preserve"> Salary &amp; Wages                                    </t>
  </si>
  <si>
    <t>&lt;&lt;20301</t>
  </si>
  <si>
    <t>&lt;&lt;20302</t>
  </si>
  <si>
    <t xml:space="preserve"> Total Remuneration                                </t>
  </si>
  <si>
    <t xml:space="preserve"> Total Salary &amp; Wages                              </t>
  </si>
  <si>
    <t xml:space="preserve"> Total Fringe                                      </t>
  </si>
  <si>
    <t xml:space="preserve"> Total Benefits                                    </t>
  </si>
  <si>
    <t xml:space="preserve"> TOTAL LABOUR COST                                 </t>
  </si>
  <si>
    <t>D31</t>
    <phoneticPr fontId="7" type="noConversion"/>
  </si>
  <si>
    <t xml:space="preserve">                    -  </t>
  </si>
  <si>
    <t>&lt;&lt;20501</t>
  </si>
  <si>
    <t>&lt;&lt;20502</t>
  </si>
  <si>
    <t xml:space="preserve"> Pin Ju 品聚                                          </t>
    <phoneticPr fontId="7" type="noConversion"/>
  </si>
  <si>
    <t>&lt;&lt;20401</t>
  </si>
  <si>
    <t>&lt;&lt;20402</t>
  </si>
  <si>
    <t>Z</t>
    <phoneticPr fontId="7" type="noConversion"/>
  </si>
  <si>
    <t>&lt;&lt;20601</t>
  </si>
  <si>
    <t>&lt;&lt;20602</t>
  </si>
  <si>
    <t>&lt;&lt;30300320</t>
    <phoneticPr fontId="7" type="noConversion"/>
  </si>
  <si>
    <t>&lt;&lt;20701</t>
  </si>
  <si>
    <t>&lt;&lt;20702</t>
  </si>
  <si>
    <t>&lt;&lt;30300320</t>
    <phoneticPr fontId="7" type="noConversion"/>
  </si>
  <si>
    <t>Z</t>
    <phoneticPr fontId="7" type="noConversion"/>
  </si>
  <si>
    <t>&lt;&lt;20801</t>
  </si>
  <si>
    <t>&lt;&lt;20802</t>
  </si>
  <si>
    <t xml:space="preserve"> Lobby Lounge 大堂吧                                  </t>
  </si>
  <si>
    <t>&lt;&lt;30300340</t>
    <phoneticPr fontId="7" type="noConversion"/>
  </si>
  <si>
    <t>&lt;&lt;20901</t>
    <phoneticPr fontId="7" type="noConversion"/>
  </si>
  <si>
    <t>&lt;&lt;20902</t>
    <phoneticPr fontId="7" type="noConversion"/>
  </si>
  <si>
    <t>D31</t>
    <phoneticPr fontId="7" type="noConversion"/>
  </si>
  <si>
    <t>&lt;&lt;30300310</t>
    <phoneticPr fontId="7" type="noConversion"/>
  </si>
  <si>
    <t>&lt;&lt;30300350</t>
    <phoneticPr fontId="7" type="noConversion"/>
  </si>
  <si>
    <t>Z</t>
    <phoneticPr fontId="7" type="noConversion"/>
  </si>
  <si>
    <t>&lt;&lt;60010040</t>
    <phoneticPr fontId="7" type="noConversion"/>
  </si>
  <si>
    <t>Z</t>
    <phoneticPr fontId="7" type="noConversion"/>
  </si>
  <si>
    <t xml:space="preserve"> Dormitory &amp; Related Allocation员工宿舍及相关费用分摊</t>
    <phoneticPr fontId="7" type="noConversion"/>
  </si>
  <si>
    <t>Z</t>
    <phoneticPr fontId="7" type="noConversion"/>
  </si>
  <si>
    <t>服务合同-合计</t>
    <phoneticPr fontId="7" type="noConversion"/>
  </si>
  <si>
    <t xml:space="preserve">Corona Beach Bar 科罗娜沙滩吧                                  </t>
    <phoneticPr fontId="7" type="noConversion"/>
  </si>
  <si>
    <t>A</t>
    <phoneticPr fontId="7" type="noConversion"/>
  </si>
  <si>
    <t>A</t>
    <phoneticPr fontId="7" type="noConversion"/>
  </si>
  <si>
    <t>B</t>
    <phoneticPr fontId="7" type="noConversion"/>
  </si>
  <si>
    <t>A</t>
    <phoneticPr fontId="7" type="noConversion"/>
  </si>
  <si>
    <t>A</t>
    <phoneticPr fontId="7" type="noConversion"/>
  </si>
  <si>
    <t>A</t>
    <phoneticPr fontId="7" type="noConversion"/>
  </si>
  <si>
    <t>&lt;&lt;30300310</t>
    <phoneticPr fontId="7" type="noConversion"/>
  </si>
  <si>
    <t>&lt;&lt;30300330</t>
    <phoneticPr fontId="7" type="noConversion"/>
  </si>
  <si>
    <t>&lt;&lt;30300340</t>
    <phoneticPr fontId="7" type="noConversion"/>
  </si>
  <si>
    <t>Z</t>
    <phoneticPr fontId="7" type="noConversion"/>
  </si>
  <si>
    <t>Z</t>
    <phoneticPr fontId="7" type="noConversion"/>
  </si>
  <si>
    <t>Z</t>
    <phoneticPr fontId="7" type="noConversion"/>
  </si>
  <si>
    <t xml:space="preserve"> Staff Canteen Allocation 员工餐分摊</t>
    <phoneticPr fontId="7" type="noConversion"/>
  </si>
  <si>
    <t>服务合同-合计</t>
    <phoneticPr fontId="7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</si>
  <si>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Banquet</t>
    </r>
    <r>
      <rPr>
        <sz val="11"/>
        <color theme="1"/>
        <rFont val="等线"/>
        <family val="2"/>
        <charset val="134"/>
        <scheme val="minor"/>
      </rPr>
      <t xml:space="preserve"> 宴会                                          </t>
    </r>
    <phoneticPr fontId="7" type="noConversion"/>
  </si>
  <si>
    <t>A</t>
    <phoneticPr fontId="7" type="noConversion"/>
  </si>
  <si>
    <t>B</t>
    <phoneticPr fontId="7" type="noConversion"/>
  </si>
  <si>
    <t>B</t>
    <phoneticPr fontId="7" type="noConversion"/>
  </si>
  <si>
    <t>&lt;&lt;24111..24116,24121..24200</t>
  </si>
  <si>
    <t>&lt;&lt;24111,24200</t>
  </si>
  <si>
    <t>&lt;&lt;24111</t>
  </si>
  <si>
    <t>&lt;&lt;24200</t>
  </si>
  <si>
    <t>A</t>
    <phoneticPr fontId="7" type="noConversion"/>
  </si>
  <si>
    <t>B</t>
    <phoneticPr fontId="7" type="noConversion"/>
  </si>
  <si>
    <t>&lt;&lt;30300310</t>
    <phoneticPr fontId="7" type="noConversion"/>
  </si>
  <si>
    <t>&lt;&lt;30300330</t>
    <phoneticPr fontId="7" type="noConversion"/>
  </si>
  <si>
    <t>&lt;&lt;60010040</t>
    <phoneticPr fontId="7" type="noConversion"/>
  </si>
  <si>
    <t xml:space="preserve"> Dormitory &amp; Related Allocation员工宿舍及相关费用分摊</t>
    <phoneticPr fontId="7" type="noConversion"/>
  </si>
  <si>
    <t xml:space="preserve">服务合同（数值）                     </t>
    <phoneticPr fontId="7" type="noConversion"/>
  </si>
  <si>
    <t xml:space="preserve"> Room Service 送餐                                   </t>
  </si>
  <si>
    <t>&lt;&lt;30300330</t>
    <phoneticPr fontId="7" type="noConversion"/>
  </si>
  <si>
    <t>Z</t>
    <phoneticPr fontId="7" type="noConversion"/>
  </si>
  <si>
    <t>Z</t>
    <phoneticPr fontId="7" type="noConversion"/>
  </si>
  <si>
    <t>&lt;&lt;23101</t>
  </si>
  <si>
    <t>&lt;&lt;23102</t>
  </si>
  <si>
    <t>D31</t>
    <phoneticPr fontId="7" type="noConversion"/>
  </si>
  <si>
    <t xml:space="preserve"> F&amp;B Administration 餐饮行政                           </t>
  </si>
  <si>
    <t>B</t>
    <phoneticPr fontId="7" type="noConversion"/>
  </si>
  <si>
    <t>&lt;&lt;20001</t>
  </si>
  <si>
    <t>&lt;&lt;30300320</t>
    <phoneticPr fontId="7" type="noConversion"/>
  </si>
  <si>
    <t>&lt;&lt;30300330</t>
    <phoneticPr fontId="7" type="noConversion"/>
  </si>
  <si>
    <t>&lt;&lt;30300340</t>
    <phoneticPr fontId="7" type="noConversion"/>
  </si>
  <si>
    <t>&lt;&lt;30300350</t>
    <phoneticPr fontId="7" type="noConversion"/>
  </si>
  <si>
    <t xml:space="preserve"> Total Allocation Expenses</t>
  </si>
  <si>
    <t>Food Revenue %</t>
    <phoneticPr fontId="7" type="noConversion"/>
  </si>
  <si>
    <t xml:space="preserve"> Bubble Bar 泡泡吧                                    </t>
  </si>
  <si>
    <t>Allocation</t>
    <phoneticPr fontId="7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</si>
  <si>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Stewarding</t>
    </r>
    <r>
      <rPr>
        <sz val="11"/>
        <color theme="1"/>
        <rFont val="等线"/>
        <family val="2"/>
        <charset val="134"/>
        <scheme val="minor"/>
      </rPr>
      <t xml:space="preserve"> 管事部                                          </t>
    </r>
    <phoneticPr fontId="7" type="noConversion"/>
  </si>
  <si>
    <t>&lt;&lt;27101</t>
  </si>
  <si>
    <t>&lt;&lt;30300310</t>
    <phoneticPr fontId="7" type="noConversion"/>
  </si>
  <si>
    <t>&lt;&lt;30300320</t>
    <phoneticPr fontId="7" type="noConversion"/>
  </si>
  <si>
    <t>&lt;&lt;30300330</t>
    <phoneticPr fontId="7" type="noConversion"/>
  </si>
  <si>
    <t>&lt;&lt;30300340</t>
    <phoneticPr fontId="7" type="noConversion"/>
  </si>
  <si>
    <t>&lt;&lt;30300350</t>
    <phoneticPr fontId="7" type="noConversion"/>
  </si>
  <si>
    <t>Z</t>
    <phoneticPr fontId="7" type="noConversion"/>
  </si>
  <si>
    <t xml:space="preserve"> Staff Canteen Allocation 员工餐分摊</t>
    <phoneticPr fontId="7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</si>
  <si>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Main Kichen</t>
    </r>
    <r>
      <rPr>
        <sz val="11"/>
        <color theme="1"/>
        <rFont val="等线"/>
        <family val="2"/>
        <charset val="134"/>
        <scheme val="minor"/>
      </rPr>
      <t xml:space="preserve"> 主厨房                                          </t>
    </r>
    <phoneticPr fontId="7" type="noConversion"/>
  </si>
  <si>
    <t>A</t>
    <phoneticPr fontId="7" type="noConversion"/>
  </si>
  <si>
    <t>B</t>
    <phoneticPr fontId="7" type="noConversion"/>
  </si>
  <si>
    <t>&lt;&lt;20002</t>
  </si>
  <si>
    <t>&lt;&lt;30300320</t>
    <phoneticPr fontId="7" type="noConversion"/>
  </si>
  <si>
    <t>&lt;&lt;30300340</t>
    <phoneticPr fontId="7" type="noConversion"/>
  </si>
  <si>
    <t>&lt;&lt;30300350</t>
    <phoneticPr fontId="7" type="noConversion"/>
  </si>
  <si>
    <t>Z</t>
    <phoneticPr fontId="7" type="noConversion"/>
  </si>
  <si>
    <t>&lt;&lt;60010040</t>
    <phoneticPr fontId="7" type="noConversion"/>
  </si>
  <si>
    <t>Z</t>
    <phoneticPr fontId="7" type="noConversion"/>
  </si>
  <si>
    <t>Food Revenue %</t>
    <phoneticPr fontId="7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</si>
  <si>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Minbar</t>
    </r>
    <r>
      <rPr>
        <sz val="11"/>
        <color theme="1"/>
        <rFont val="等线"/>
        <family val="2"/>
        <charset val="134"/>
        <scheme val="minor"/>
      </rPr>
      <t xml:space="preserve"> 迷你吧                                          </t>
    </r>
    <phoneticPr fontId="7" type="noConversion"/>
  </si>
  <si>
    <t xml:space="preserve"> REVENUE                                      </t>
    <phoneticPr fontId="7" type="noConversion"/>
  </si>
  <si>
    <t>&lt;&lt;25101</t>
  </si>
  <si>
    <t>Mini Bar Revenue 迷你吧收入</t>
  </si>
  <si>
    <t>Mini Bar Cost 迷你吧成本</t>
  </si>
  <si>
    <t>D31</t>
    <phoneticPr fontId="7" type="noConversion"/>
  </si>
  <si>
    <t xml:space="preserve"> Other Operating Department 其他营运部门                 </t>
  </si>
  <si>
    <t>A</t>
    <phoneticPr fontId="7" type="noConversion"/>
  </si>
  <si>
    <t>A</t>
    <phoneticPr fontId="7" type="noConversion"/>
  </si>
  <si>
    <t xml:space="preserve">      </t>
  </si>
  <si>
    <t xml:space="preserve">     </t>
  </si>
  <si>
    <t>&lt;&lt;36040900,39810200..39810300,38108100</t>
  </si>
  <si>
    <t>&lt;&lt;31099</t>
  </si>
  <si>
    <t xml:space="preserve"> Recreation Center 娱乐中心                            </t>
  </si>
  <si>
    <t>&lt;&lt;36020020,39810200..39810300,38108100</t>
  </si>
  <si>
    <t>&lt;&lt;31201</t>
  </si>
  <si>
    <t xml:space="preserve"> Pool 泳池                                           </t>
  </si>
  <si>
    <t>&lt;&lt;36020040,39810200..39810300,38108100</t>
  </si>
  <si>
    <t>&lt;&lt;31401</t>
  </si>
  <si>
    <t xml:space="preserve"> Kids Center 儿童中心                                  </t>
  </si>
  <si>
    <t>&lt;&lt;36030010,39810200..39810300,38108100</t>
  </si>
  <si>
    <t>&lt;&lt;32101</t>
  </si>
  <si>
    <t xml:space="preserve"> SPA 水疗                                            </t>
  </si>
  <si>
    <t>&lt;&lt;36010011,39810200..39810300,38108100</t>
  </si>
  <si>
    <t>&lt;&lt;34100</t>
  </si>
  <si>
    <t xml:space="preserve"> Telephone 电话                                      </t>
  </si>
  <si>
    <t>&lt;&lt;36040100,39810200..39810300,38108100</t>
  </si>
  <si>
    <t>&lt;&lt;35101</t>
  </si>
  <si>
    <t xml:space="preserve"> Transportation 车队                                 </t>
  </si>
  <si>
    <t>&lt;&lt;36040300,39810200..39810300,38108100</t>
  </si>
  <si>
    <t>&lt;&lt;35102</t>
  </si>
  <si>
    <t xml:space="preserve"> Garage Parking 停车场                                </t>
  </si>
  <si>
    <t>&lt;&lt;36700110,39810200..39810300,38108100</t>
  </si>
  <si>
    <t>&lt;&lt;37100</t>
  </si>
  <si>
    <t xml:space="preserve"> Laundry 洗衣                                        </t>
  </si>
  <si>
    <t>&lt;&lt;36700300,36800200..36800300,36800500..36800600,37011000..37012000,37014000,39810100,39810200..39810300</t>
  </si>
  <si>
    <t>&lt;&lt;39801</t>
  </si>
  <si>
    <t xml:space="preserve"> Other 其他                                          </t>
  </si>
  <si>
    <t xml:space="preserve"> TOTAL OTHER REVENUE 其他收入合计                        </t>
  </si>
  <si>
    <t xml:space="preserve"> EXPENSES 费用                                       </t>
  </si>
  <si>
    <t>&lt;&lt;6..79999999</t>
  </si>
  <si>
    <t xml:space="preserve"> TOTAL OTHER EXPENSES 其他费用合计                       </t>
  </si>
  <si>
    <t xml:space="preserve"> Departmental Profit/(Loss) 部门利润（亏损）               </t>
  </si>
  <si>
    <t xml:space="preserve"> TOTAL DEPARTMENTAL PROFIT/(LOSS) 其他营运部门利润合计       </t>
  </si>
  <si>
    <t>&lt;&lt;3..39999</t>
  </si>
  <si>
    <t xml:space="preserve"> Bonus 年终奖金                                        </t>
  </si>
  <si>
    <t xml:space="preserve">  -    </t>
  </si>
  <si>
    <t>Z</t>
  </si>
  <si>
    <t>COST</t>
  </si>
  <si>
    <t xml:space="preserve">Hydrotherapy </t>
  </si>
  <si>
    <t>Merchandise</t>
  </si>
  <si>
    <t xml:space="preserve"> Local Calls                                       </t>
  </si>
  <si>
    <t xml:space="preserve"> DDD Calls                                         </t>
  </si>
  <si>
    <t>Total Cost of Sales</t>
  </si>
  <si>
    <t xml:space="preserve"> General Supplies-GuestLaundry 一般用品-客衣             </t>
  </si>
  <si>
    <t xml:space="preserve"> License Fee 执照/许可证费                               </t>
  </si>
  <si>
    <t xml:space="preserve"> Vehicles Maintenance 车辆维修                         </t>
  </si>
  <si>
    <t xml:space="preserve"> Hotel Profit &amp; Loss  Budget  Report               </t>
  </si>
  <si>
    <t xml:space="preserve"> MGM Grand Sanya 三亚美高梅度假酒店                         </t>
  </si>
  <si>
    <t xml:space="preserve"> REVENUE                                           </t>
  </si>
  <si>
    <t>36020020</t>
  </si>
  <si>
    <t>D31</t>
    <phoneticPr fontId="7" type="noConversion"/>
  </si>
  <si>
    <t>A</t>
    <phoneticPr fontId="7" type="noConversion"/>
  </si>
  <si>
    <t>B</t>
    <phoneticPr fontId="7" type="noConversion"/>
  </si>
  <si>
    <t>60010050</t>
  </si>
  <si>
    <t>60010080</t>
  </si>
  <si>
    <t>60011270</t>
  </si>
  <si>
    <t>60012020</t>
  </si>
  <si>
    <t xml:space="preserve"> Postage邮费</t>
    <phoneticPr fontId="7" type="noConversion"/>
  </si>
  <si>
    <t>60011310</t>
  </si>
  <si>
    <t>60011470</t>
  </si>
  <si>
    <t>60012030</t>
  </si>
  <si>
    <t>60012040</t>
    <phoneticPr fontId="7" type="noConversion"/>
  </si>
  <si>
    <t>60012060</t>
  </si>
  <si>
    <t>60012080</t>
  </si>
  <si>
    <t>60011490</t>
  </si>
  <si>
    <t>服务合同-合计</t>
    <phoneticPr fontId="7" type="noConversion"/>
  </si>
  <si>
    <t xml:space="preserve"> Pool 泳池</t>
    <phoneticPr fontId="7" type="noConversion"/>
  </si>
  <si>
    <t>2202</t>
  </si>
  <si>
    <t xml:space="preserve"> Retail                                            </t>
  </si>
  <si>
    <t>2207</t>
  </si>
  <si>
    <t xml:space="preserve"> Surfing                                           </t>
  </si>
  <si>
    <t>2299</t>
  </si>
  <si>
    <t xml:space="preserve"> Miscellaneous                                     </t>
  </si>
  <si>
    <t>60011610</t>
  </si>
  <si>
    <r>
      <t xml:space="preserve"> </t>
    </r>
    <r>
      <rPr>
        <sz val="11"/>
        <color theme="1"/>
        <rFont val="等线"/>
        <family val="2"/>
        <charset val="134"/>
        <scheme val="minor"/>
      </rPr>
      <t>Pool Supplies 泳池用品</t>
    </r>
    <phoneticPr fontId="7" type="noConversion"/>
  </si>
  <si>
    <t>60012040</t>
  </si>
  <si>
    <t xml:space="preserve"> Kids Center 儿童中心</t>
    <phoneticPr fontId="7" type="noConversion"/>
  </si>
  <si>
    <t>36020040</t>
  </si>
  <si>
    <t>2499</t>
  </si>
  <si>
    <t>60010060</t>
  </si>
  <si>
    <t xml:space="preserve"> Promotion Decoration 推广装饰</t>
    <phoneticPr fontId="7" type="noConversion"/>
  </si>
  <si>
    <t>60010040</t>
  </si>
  <si>
    <t xml:space="preserve"> Contract Cleaning 清洁合同</t>
    <phoneticPr fontId="7" type="noConversion"/>
  </si>
  <si>
    <t>60011460</t>
  </si>
  <si>
    <t xml:space="preserve"> SPA 水疗</t>
    <phoneticPr fontId="7" type="noConversion"/>
  </si>
  <si>
    <t>36030010</t>
  </si>
  <si>
    <t>2503</t>
  </si>
  <si>
    <t xml:space="preserve">Facial </t>
  </si>
  <si>
    <t>2505</t>
  </si>
  <si>
    <t xml:space="preserve"> Hydrotherapy </t>
  </si>
  <si>
    <t>2506</t>
  </si>
  <si>
    <t>2507</t>
  </si>
  <si>
    <t>Snacks</t>
  </si>
  <si>
    <t>2599</t>
  </si>
  <si>
    <t>Miscellaneous</t>
  </si>
  <si>
    <t>38108100</t>
  </si>
  <si>
    <t>Service Charge</t>
  </si>
  <si>
    <t>40310500</t>
  </si>
  <si>
    <t>60010014</t>
  </si>
  <si>
    <t>60010093</t>
  </si>
  <si>
    <t>60011450</t>
  </si>
  <si>
    <t xml:space="preserve"> Promotions 促销                                     </t>
  </si>
  <si>
    <t xml:space="preserve"> Telephone 电话</t>
    <phoneticPr fontId="7" type="noConversion"/>
  </si>
  <si>
    <t>36010011</t>
  </si>
  <si>
    <t>2701</t>
  </si>
  <si>
    <t>2702</t>
  </si>
  <si>
    <t xml:space="preserve"> Transportation 车队</t>
    <phoneticPr fontId="7" type="noConversion"/>
  </si>
  <si>
    <t>36040100</t>
  </si>
  <si>
    <t>2801</t>
  </si>
  <si>
    <t xml:space="preserve"> Transportation                                    </t>
  </si>
  <si>
    <t>60011562</t>
  </si>
  <si>
    <t xml:space="preserve"> Miscellaneous Expenses 杂项</t>
    <phoneticPr fontId="7" type="noConversion"/>
  </si>
  <si>
    <t>60014102</t>
  </si>
  <si>
    <t xml:space="preserve"> Garage/Car Parking 停车场                            </t>
  </si>
  <si>
    <t>36040300</t>
  </si>
  <si>
    <t>2903</t>
  </si>
  <si>
    <t xml:space="preserve"> Guest Car Parking                                 </t>
  </si>
  <si>
    <t>Miscellaneous Expenses 杂项</t>
  </si>
  <si>
    <t>60010040</t>
    <phoneticPr fontId="7" type="noConversion"/>
  </si>
  <si>
    <t>&lt;&lt;52001</t>
  </si>
  <si>
    <t>60010050</t>
    <phoneticPr fontId="7" type="noConversion"/>
  </si>
  <si>
    <t>60011320</t>
  </si>
  <si>
    <t xml:space="preserve"> Laundry Supplies 洗衣用品</t>
    <phoneticPr fontId="7" type="noConversion"/>
  </si>
  <si>
    <t xml:space="preserve"> Total Allocation Expenses</t>
    <phoneticPr fontId="7" type="noConversion"/>
  </si>
  <si>
    <t>洗涤公斤</t>
    <phoneticPr fontId="7" type="noConversion"/>
  </si>
  <si>
    <t>Average</t>
    <phoneticPr fontId="7" type="noConversion"/>
  </si>
  <si>
    <t>Housekeeping 客房部</t>
  </si>
  <si>
    <t>Front Office 前厅部</t>
  </si>
  <si>
    <t>Transportation 车队</t>
  </si>
  <si>
    <t>Rooms Admin 房务部办公室</t>
  </si>
  <si>
    <t>Hai Tang 海棠西餐厅</t>
  </si>
  <si>
    <t>Cafe  to  Go 咖啡馆</t>
  </si>
  <si>
    <t>Pin Ju 品聚中餐厅</t>
  </si>
  <si>
    <t>Silk 锦汇中餐厅</t>
  </si>
  <si>
    <t>Neera 霓湾海边餐厅</t>
    <phoneticPr fontId="7" type="noConversion"/>
  </si>
  <si>
    <t>Poolside Grill 池畔餐厅（泳池吧）</t>
  </si>
  <si>
    <t>Room Service 送餐部</t>
  </si>
  <si>
    <t>Banquet 宴会部</t>
  </si>
  <si>
    <t>AOC 雪茄、红酒吧</t>
  </si>
  <si>
    <t>Bubble 泡泡吧</t>
  </si>
  <si>
    <t>Lobby Lounge 大堂吧</t>
  </si>
  <si>
    <t>Papillion 名碟夜总会</t>
  </si>
  <si>
    <t>Wet Republic</t>
  </si>
  <si>
    <t>Main Kitchen 主厨房</t>
  </si>
  <si>
    <t>Stewarding  管事部</t>
  </si>
  <si>
    <t>F&amp;B Admin 餐饮部办公室</t>
  </si>
  <si>
    <t>Shop 零售店</t>
  </si>
  <si>
    <t>Pool Retail 泳池零售店</t>
  </si>
  <si>
    <t>Leased Outlet 场地租赁部</t>
  </si>
  <si>
    <t>Retail Admin 零售办公室</t>
  </si>
  <si>
    <t>Spa　水疗中心</t>
  </si>
  <si>
    <t>Fitness 健身房</t>
  </si>
  <si>
    <t>Salon 美容美发中心</t>
  </si>
  <si>
    <t>Pool 泳池</t>
  </si>
  <si>
    <t>Kids Center 儿童中心</t>
  </si>
  <si>
    <t>Laundry 洗衣房</t>
  </si>
  <si>
    <t>Tele communication 总机</t>
  </si>
  <si>
    <t>Parking 停车中心</t>
  </si>
  <si>
    <t>Business Center 商务中心</t>
  </si>
  <si>
    <t>Other Operation Admin 其他部门办公室</t>
  </si>
  <si>
    <t>Executive Office 行政办公室</t>
  </si>
  <si>
    <t>Finance 财务部</t>
  </si>
  <si>
    <t>HR 人力资源部</t>
  </si>
  <si>
    <t>IT 电脑房</t>
  </si>
  <si>
    <t>Security 保安部</t>
  </si>
  <si>
    <t>Reservation 预订部</t>
  </si>
  <si>
    <t>Public Relation公关部</t>
  </si>
  <si>
    <t>Sales 市场销售部</t>
  </si>
  <si>
    <t>Dormitory 员工宿舍</t>
  </si>
  <si>
    <t>Training Department 培训部</t>
  </si>
  <si>
    <t>Engineer Department
工程部</t>
  </si>
  <si>
    <t>TOTAL WEIGHT KG 总计重量（kg)</t>
  </si>
  <si>
    <t>Neera 倪湾海边餐厅</t>
  </si>
  <si>
    <t>差异部分</t>
    <phoneticPr fontId="7" type="noConversion"/>
  </si>
  <si>
    <t xml:space="preserve"> Guest Laundry 客衣收入                                </t>
  </si>
  <si>
    <t>36700110</t>
  </si>
  <si>
    <t>3001</t>
  </si>
  <si>
    <t xml:space="preserve"> Guest Dry Cleaning                                </t>
  </si>
  <si>
    <t xml:space="preserve"> Service Charge                                    </t>
  </si>
  <si>
    <t>60011620</t>
  </si>
  <si>
    <t>D31</t>
    <phoneticPr fontId="7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</si>
  <si>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Other Income</t>
    </r>
    <r>
      <rPr>
        <sz val="11"/>
        <color theme="1"/>
        <rFont val="等线"/>
        <family val="2"/>
        <charset val="134"/>
        <scheme val="minor"/>
      </rPr>
      <t xml:space="preserve"> 其他收入                                </t>
    </r>
    <phoneticPr fontId="7" type="noConversion"/>
  </si>
  <si>
    <t>A</t>
    <phoneticPr fontId="7" type="noConversion"/>
  </si>
  <si>
    <t>B</t>
    <phoneticPr fontId="7" type="noConversion"/>
  </si>
  <si>
    <t>Var.</t>
    <phoneticPr fontId="7" type="noConversion"/>
  </si>
  <si>
    <t>39810100</t>
  </si>
  <si>
    <t xml:space="preserve"> Miscellaneous 杂项                                  </t>
  </si>
  <si>
    <t>&lt;&lt;60014115</t>
  </si>
  <si>
    <t xml:space="preserve"> Supervision Fee 监管费</t>
    <phoneticPr fontId="7" type="noConversion"/>
  </si>
  <si>
    <t xml:space="preserve"> General &amp; Administration 行政管理                     </t>
  </si>
  <si>
    <t>A</t>
    <phoneticPr fontId="7" type="noConversion"/>
  </si>
  <si>
    <t>A</t>
    <phoneticPr fontId="7" type="noConversion"/>
  </si>
  <si>
    <t>A</t>
    <phoneticPr fontId="7" type="noConversion"/>
  </si>
  <si>
    <t>A</t>
    <phoneticPr fontId="7" type="noConversion"/>
  </si>
  <si>
    <t>A</t>
    <phoneticPr fontId="7" type="noConversion"/>
  </si>
  <si>
    <t>Var.</t>
    <phoneticPr fontId="7" type="noConversion"/>
  </si>
  <si>
    <t xml:space="preserve">    </t>
  </si>
  <si>
    <t xml:space="preserve">   </t>
  </si>
  <si>
    <t>&lt;&lt;5..5999999,&lt;&gt;50021300</t>
  </si>
  <si>
    <t>&lt;&lt;41001..41004,42004,43004</t>
  </si>
  <si>
    <t>60010070</t>
  </si>
  <si>
    <t>60011220</t>
  </si>
  <si>
    <t>60012090</t>
  </si>
  <si>
    <t>60014201</t>
  </si>
  <si>
    <t xml:space="preserve"> Foreign Exchange 外币兑换</t>
    <phoneticPr fontId="7" type="noConversion"/>
  </si>
  <si>
    <t>60014108</t>
  </si>
  <si>
    <t>External Audit Fee 外部审计费用</t>
  </si>
  <si>
    <t>60014105</t>
  </si>
  <si>
    <t xml:space="preserve"> Consultants Fees 顾问费                              </t>
  </si>
  <si>
    <t>60014107</t>
  </si>
  <si>
    <t xml:space="preserve"> Legal Fee 法律费用                                    </t>
  </si>
  <si>
    <t xml:space="preserve"> Donations 捐献                                      </t>
  </si>
  <si>
    <t xml:space="preserve"> Bad Debts 坏帐                                      </t>
  </si>
  <si>
    <t>60014112</t>
  </si>
  <si>
    <t xml:space="preserve"> Cash Over/Short 收银员长短款                            </t>
  </si>
  <si>
    <t>60014113</t>
  </si>
  <si>
    <t xml:space="preserve"> Commission 佣金 - Credit Cards 信用卡                  </t>
  </si>
  <si>
    <t>60014202</t>
  </si>
  <si>
    <t xml:space="preserve"> Bank Charges 银行费用                                 </t>
  </si>
  <si>
    <t>&lt;&lt;50021300</t>
  </si>
  <si>
    <t xml:space="preserve"> Employee Relations 员工关系                           </t>
  </si>
  <si>
    <t>60014301</t>
  </si>
  <si>
    <t xml:space="preserve"> Training Expenses 培训费用                            </t>
  </si>
  <si>
    <t>60014303</t>
  </si>
  <si>
    <t xml:space="preserve"> Recruitment Expenses员工招聘费用                        </t>
  </si>
  <si>
    <t>60014304</t>
  </si>
  <si>
    <t xml:space="preserve"> Relocation Expenses 安置费                           </t>
  </si>
  <si>
    <t>60015110</t>
  </si>
  <si>
    <t xml:space="preserve"> Hardware Maintenance 电脑硬件维护                       </t>
  </si>
  <si>
    <t>60015120</t>
  </si>
  <si>
    <t xml:space="preserve"> Software Maintenance 电脑软件维护                       </t>
  </si>
  <si>
    <t>60015130</t>
  </si>
  <si>
    <t xml:space="preserve"> Internet Expenses 网络费用                            </t>
  </si>
  <si>
    <t xml:space="preserve"> Total Operating Expenses 费用合计                     </t>
  </si>
  <si>
    <t xml:space="preserve"> Total Undistributed Expense 不分配费用合计               </t>
  </si>
  <si>
    <t xml:space="preserve"> LABOUR COST ANALYSIS 人工成本                         </t>
  </si>
  <si>
    <t>50012300</t>
  </si>
  <si>
    <t>50021270</t>
  </si>
  <si>
    <t>50012400</t>
  </si>
  <si>
    <t>50021280</t>
  </si>
  <si>
    <t>50013100</t>
  </si>
  <si>
    <t>50013200</t>
  </si>
  <si>
    <t>50013300</t>
  </si>
  <si>
    <t>50013400</t>
  </si>
  <si>
    <t>50013500</t>
  </si>
  <si>
    <t>50013600</t>
  </si>
  <si>
    <t>50013700</t>
  </si>
  <si>
    <t xml:space="preserve"> Staff Canteen Allocation 员工餐分摊</t>
  </si>
  <si>
    <t xml:space="preserve"> Dormitory &amp; Related Allocation员工宿舍及相关费用分摊</t>
  </si>
  <si>
    <t xml:space="preserve"> Total Revenue </t>
  </si>
  <si>
    <r>
      <t xml:space="preserve"> </t>
    </r>
    <r>
      <rPr>
        <sz val="11"/>
        <color theme="1"/>
        <rFont val="等线"/>
        <family val="2"/>
        <charset val="134"/>
        <scheme val="minor"/>
      </rPr>
      <t xml:space="preserve">Executive Office </t>
    </r>
    <r>
      <rPr>
        <sz val="11"/>
        <color theme="1"/>
        <rFont val="等线"/>
        <family val="2"/>
        <charset val="134"/>
        <scheme val="minor"/>
      </rPr>
      <t xml:space="preserve">行政办                     </t>
    </r>
    <phoneticPr fontId="7" type="noConversion"/>
  </si>
  <si>
    <t>&lt;&lt;41001</t>
  </si>
  <si>
    <t>&lt;&lt;41001</t>
    <phoneticPr fontId="7" type="noConversion"/>
  </si>
  <si>
    <t>&lt;&lt;41001</t>
    <phoneticPr fontId="7" type="noConversion"/>
  </si>
  <si>
    <t xml:space="preserve"> Foreign Exchange 外币兑换</t>
    <phoneticPr fontId="7" type="noConversion"/>
  </si>
  <si>
    <t xml:space="preserve"> Finance 财务部                                       </t>
  </si>
  <si>
    <t>&lt;&lt;41002</t>
    <phoneticPr fontId="7" type="noConversion"/>
  </si>
  <si>
    <t>&lt;&lt;41002</t>
    <phoneticPr fontId="7" type="noConversion"/>
  </si>
  <si>
    <t xml:space="preserve"> Professional Services 专业服务                        </t>
  </si>
  <si>
    <t xml:space="preserve"> Human Resources人力资源部                              </t>
  </si>
  <si>
    <t>&lt;&lt;41003</t>
    <phoneticPr fontId="7" type="noConversion"/>
  </si>
  <si>
    <t>&lt;&lt;41003</t>
    <phoneticPr fontId="7" type="noConversion"/>
  </si>
  <si>
    <t xml:space="preserve"> Security 保安部                                      </t>
  </si>
  <si>
    <t>&lt;&lt;41004</t>
    <phoneticPr fontId="7" type="noConversion"/>
  </si>
  <si>
    <t xml:space="preserve"> IT 技术部                                            </t>
  </si>
  <si>
    <t>&lt;&lt;42004</t>
    <phoneticPr fontId="7" type="noConversion"/>
  </si>
  <si>
    <t>&lt;&lt;42004</t>
    <phoneticPr fontId="7" type="noConversion"/>
  </si>
  <si>
    <t>24年调减费用6500</t>
    <phoneticPr fontId="7" type="noConversion"/>
  </si>
  <si>
    <t xml:space="preserve"> Sales &amp; Marketing 市场销售部                           </t>
  </si>
  <si>
    <t>A</t>
    <phoneticPr fontId="7" type="noConversion"/>
  </si>
  <si>
    <t>Actual</t>
    <phoneticPr fontId="7" type="noConversion"/>
  </si>
  <si>
    <t>&lt;&lt;5..5999999</t>
  </si>
  <si>
    <t>&lt;&lt;41071..41073</t>
  </si>
  <si>
    <t>60011440</t>
  </si>
  <si>
    <t>60014751</t>
  </si>
  <si>
    <t xml:space="preserve"> Advertising 广告 - Brand 品牌广告                       </t>
  </si>
  <si>
    <t>60014752</t>
  </si>
  <si>
    <t xml:space="preserve"> Advertising 广告 - Regional 区域广告                    </t>
  </si>
  <si>
    <t>60014753</t>
  </si>
  <si>
    <t xml:space="preserve"> Advertising 广告 - Outdoor 户外广告                     </t>
  </si>
  <si>
    <t>60014754</t>
  </si>
  <si>
    <t xml:space="preserve"> Advertising 广告 - Hotel 酒店广告费                      </t>
  </si>
  <si>
    <t>60014755</t>
  </si>
  <si>
    <t xml:space="preserve"> Media 媒体 - Regional 区域                            </t>
  </si>
  <si>
    <t>60014756</t>
  </si>
  <si>
    <t xml:space="preserve"> Media 媒体 - Hotel 酒店                               </t>
  </si>
  <si>
    <t>60014757</t>
  </si>
  <si>
    <t xml:space="preserve"> Media 媒体- F&amp;B 餐饮                                  </t>
  </si>
  <si>
    <t>60014758</t>
  </si>
  <si>
    <t xml:space="preserve"> Other Advertising 其他广告                            </t>
  </si>
  <si>
    <t>60014760</t>
  </si>
  <si>
    <t xml:space="preserve"> Brochures 宣传册                                     </t>
  </si>
  <si>
    <t>60014780</t>
  </si>
  <si>
    <t xml:space="preserve"> Public Relations Expenses 公共关系费用                  </t>
  </si>
  <si>
    <t>60014790</t>
  </si>
  <si>
    <t xml:space="preserve"> Trade Show 贸易展览                                   </t>
  </si>
  <si>
    <t>60014795</t>
  </si>
  <si>
    <t xml:space="preserve"> Bater Agreement 易货协议                              </t>
  </si>
  <si>
    <t>60014810</t>
  </si>
  <si>
    <t xml:space="preserve"> Marketing Fund 国际市场营销基金                           </t>
  </si>
  <si>
    <t xml:space="preserve">服务合同（数值）                     </t>
    <phoneticPr fontId="7" type="noConversion"/>
  </si>
  <si>
    <t xml:space="preserve">服务合同-员工宿舍费用（自管外包福利分摊）                     </t>
    <phoneticPr fontId="7" type="noConversion"/>
  </si>
  <si>
    <t xml:space="preserve"> Advertising 广告                                    </t>
  </si>
  <si>
    <t>A</t>
    <phoneticPr fontId="7" type="noConversion"/>
  </si>
  <si>
    <t>B</t>
    <phoneticPr fontId="7" type="noConversion"/>
  </si>
  <si>
    <t>B</t>
    <phoneticPr fontId="7" type="noConversion"/>
  </si>
  <si>
    <t>A</t>
    <phoneticPr fontId="7" type="noConversion"/>
  </si>
  <si>
    <t>A</t>
    <phoneticPr fontId="7" type="noConversion"/>
  </si>
  <si>
    <t>A</t>
    <phoneticPr fontId="7" type="noConversion"/>
  </si>
  <si>
    <t>&lt;&lt;41072</t>
  </si>
  <si>
    <t xml:space="preserve"> Public Relations 公共关系                             </t>
  </si>
  <si>
    <t>A</t>
    <phoneticPr fontId="7" type="noConversion"/>
  </si>
  <si>
    <t>&lt;&lt;41071</t>
  </si>
  <si>
    <t xml:space="preserve"> Sales 销售                                          </t>
  </si>
  <si>
    <t>&lt;&lt;41073</t>
  </si>
  <si>
    <t xml:space="preserve"> Repairs &amp; Maintenance 工程部                         </t>
  </si>
  <si>
    <t xml:space="preserve"> </t>
  </si>
  <si>
    <t>&lt;&lt;41006</t>
  </si>
  <si>
    <t>60014104</t>
  </si>
  <si>
    <t>60014601</t>
  </si>
  <si>
    <t xml:space="preserve"> Engineering Tools/Supplies 工程工具/用品                </t>
  </si>
  <si>
    <t>60014602</t>
  </si>
  <si>
    <t xml:space="preserve"> Fire Extinguisher灭火器                              </t>
  </si>
  <si>
    <t>60014603</t>
  </si>
  <si>
    <t xml:space="preserve"> Lighting/Bulbs 灯泡                                 </t>
  </si>
  <si>
    <t>60014604</t>
  </si>
  <si>
    <t xml:space="preserve"> Air Conditioning 空调系统                             </t>
  </si>
  <si>
    <t>60014605</t>
  </si>
  <si>
    <t xml:space="preserve"> Buildings 建筑物                                     </t>
  </si>
  <si>
    <t>60014606</t>
  </si>
  <si>
    <t xml:space="preserve"> Curtains/Drapes/Awning 窗帘                         </t>
  </si>
  <si>
    <t>60014607</t>
  </si>
  <si>
    <t xml:space="preserve"> Doors / Exits 门/安全出口                              </t>
  </si>
  <si>
    <t>60014608</t>
  </si>
  <si>
    <t xml:space="preserve"> Electrical Equipment 电器设备                         </t>
  </si>
  <si>
    <t>60014609</t>
  </si>
  <si>
    <t xml:space="preserve"> Elevators 电梯                                      </t>
  </si>
  <si>
    <t>60014610</t>
  </si>
  <si>
    <t xml:space="preserve"> Fire Equipment 消防设备                               </t>
  </si>
  <si>
    <t>60014611</t>
  </si>
  <si>
    <t xml:space="preserve"> Floor Coverings 地面覆盖物                             </t>
  </si>
  <si>
    <t>60014612</t>
  </si>
  <si>
    <t xml:space="preserve"> Furniture  家具                                     </t>
  </si>
  <si>
    <t>60014613</t>
  </si>
  <si>
    <t xml:space="preserve"> Grounds &amp; Landscaping 户外绿化                        </t>
  </si>
  <si>
    <t>60014614</t>
  </si>
  <si>
    <t xml:space="preserve"> Gym Equipment 健身器材                                </t>
  </si>
  <si>
    <t>60014615</t>
  </si>
  <si>
    <t xml:space="preserve"> Heating 供暖设备                                      </t>
  </si>
  <si>
    <t>60014616</t>
  </si>
  <si>
    <t xml:space="preserve"> WingCard/SafeLock System客房门锁系统                    </t>
  </si>
  <si>
    <t>60014617</t>
  </si>
  <si>
    <t xml:space="preserve"> Kitchen Equipment 厨房设备                            </t>
  </si>
  <si>
    <t>60014618</t>
  </si>
  <si>
    <t xml:space="preserve"> Office Equipment 办公设备                             </t>
  </si>
  <si>
    <t>60014619</t>
  </si>
  <si>
    <t xml:space="preserve"> Painting &amp; Decorating 油漆及装饰                       </t>
  </si>
  <si>
    <t>60014620</t>
  </si>
  <si>
    <t xml:space="preserve"> Plumbing 管道                                       </t>
  </si>
  <si>
    <t>60014621</t>
  </si>
  <si>
    <t xml:space="preserve"> Voice Center 中央广播系统                               </t>
  </si>
  <si>
    <t>60014622</t>
  </si>
  <si>
    <t xml:space="preserve"> Refridgeration 冰箱                                 </t>
  </si>
  <si>
    <t>60014623</t>
  </si>
  <si>
    <t xml:space="preserve"> Signage 标牌                                        </t>
  </si>
  <si>
    <t>60014624</t>
  </si>
  <si>
    <t xml:space="preserve"> Swimming Pool 游泳池                                 </t>
  </si>
  <si>
    <t>60014625</t>
  </si>
  <si>
    <t xml:space="preserve"> Television / Video 电视                             </t>
  </si>
  <si>
    <t>60014626</t>
  </si>
  <si>
    <t xml:space="preserve"> Laundry Equipment 洗衣设备                            </t>
  </si>
  <si>
    <t>60014627</t>
  </si>
  <si>
    <t xml:space="preserve"> Telephone Equipment 电话设备                          </t>
  </si>
  <si>
    <t>60014628</t>
  </si>
  <si>
    <t xml:space="preserve"> Other Repairs 其他维修                                </t>
  </si>
  <si>
    <t>60014629</t>
  </si>
  <si>
    <t xml:space="preserve"> Waste Removal 废物处理                                </t>
  </si>
  <si>
    <t>60014630</t>
  </si>
  <si>
    <t xml:space="preserve"> Water Treatment Costs 水处理成本                       </t>
  </si>
  <si>
    <t>&lt;&lt;60014640</t>
  </si>
  <si>
    <t xml:space="preserve"> Maintenance Contract 维修合同                         </t>
  </si>
  <si>
    <t xml:space="preserve"> FTEs 员工人数                                         </t>
    <phoneticPr fontId="7" type="noConversion"/>
  </si>
  <si>
    <t xml:space="preserve"> Utility 能源                                        </t>
  </si>
  <si>
    <t>60014501</t>
  </si>
  <si>
    <t>&lt;&lt;41005</t>
  </si>
  <si>
    <t xml:space="preserve"> Electricity 电费                                    </t>
  </si>
  <si>
    <t>60014502</t>
  </si>
  <si>
    <t xml:space="preserve"> Gas 天然气                                           </t>
  </si>
  <si>
    <t>60014503</t>
  </si>
  <si>
    <t xml:space="preserve"> Steam 蒸汽/ Heat 取暖                                 </t>
  </si>
  <si>
    <t>60014504</t>
  </si>
  <si>
    <t xml:space="preserve"> Water 水费/ Sewer 排水费                               </t>
  </si>
  <si>
    <t>60014505</t>
  </si>
  <si>
    <t xml:space="preserve"> Fuel 燃料燃油                                         </t>
  </si>
  <si>
    <t xml:space="preserve"> Total Operating Expenses 能源费用合计                   </t>
  </si>
  <si>
    <t xml:space="preserve"> STATISTIC 统计信息:用量                                    </t>
    <phoneticPr fontId="7" type="noConversion"/>
  </si>
  <si>
    <t xml:space="preserve"> Dormitory &amp; Shuttle Bus 员工宿舍&amp;大巴                   </t>
  </si>
  <si>
    <t>&lt;&lt;50001,50002</t>
  </si>
  <si>
    <t>60011930</t>
  </si>
  <si>
    <t xml:space="preserve"> Dormitory Supplies 员工宿舍用品                         </t>
  </si>
  <si>
    <t xml:space="preserve"> Total Allocation Expense                          </t>
  </si>
  <si>
    <t>&lt;&lt;50001</t>
    <phoneticPr fontId="7" type="noConversion"/>
  </si>
  <si>
    <t>Vacation Pay 假期工资</t>
  </si>
  <si>
    <r>
      <t>2</t>
    </r>
    <r>
      <rPr>
        <sz val="11"/>
        <color theme="1"/>
        <rFont val="等线"/>
        <family val="2"/>
        <charset val="134"/>
        <scheme val="minor"/>
      </rPr>
      <t>025年员工住宿人数</t>
    </r>
    <phoneticPr fontId="7" type="noConversion"/>
  </si>
  <si>
    <t>平均/月</t>
    <phoneticPr fontId="7" type="noConversion"/>
  </si>
  <si>
    <t>平均占比</t>
    <phoneticPr fontId="7" type="noConversion"/>
  </si>
  <si>
    <t>转外包人数</t>
    <phoneticPr fontId="7" type="noConversion"/>
  </si>
  <si>
    <t>占比</t>
    <phoneticPr fontId="7" type="noConversion"/>
  </si>
  <si>
    <t>Rooms - Housekeeping Expenses客房</t>
  </si>
  <si>
    <t>Rooms - Front Office Expenses前厅</t>
  </si>
  <si>
    <t>Rooms - Reservation Expenses预订</t>
  </si>
  <si>
    <t>Rooms Admin房务行政</t>
  </si>
  <si>
    <t>Hai Tang 海棠</t>
  </si>
  <si>
    <t>Hai Tang 海棠 - Kitchen 海棠厨房</t>
  </si>
  <si>
    <t>Cafe to Go 咖啡馆</t>
  </si>
  <si>
    <t>Cafe to Go 咖啡馆 - Kitchen咖啡馆厨房</t>
  </si>
  <si>
    <t>Pin Ju 品聚</t>
  </si>
  <si>
    <t>Pin Ju 品聚 - Kitchen品聚厨房</t>
  </si>
  <si>
    <t>Silk 锦汇</t>
  </si>
  <si>
    <t>Silk 锦汇 - Kitchen锦汇厨房</t>
  </si>
  <si>
    <t>Neera 霓湾</t>
  </si>
  <si>
    <t>Neera 霓湾 - Kitchen霓湾厨房</t>
  </si>
  <si>
    <t>Poolside Grill 池边烧烤</t>
  </si>
  <si>
    <t>Poolside Grill 池边烧烤 - Kitchen池畔厨房</t>
  </si>
  <si>
    <t>Room Service送餐</t>
  </si>
  <si>
    <t>Room Service - Kitchen送餐厨房</t>
  </si>
  <si>
    <t>Banquet Dept.宴会（费用）</t>
  </si>
  <si>
    <t>Banquet Kitchen宴会厨房（成本）</t>
  </si>
  <si>
    <t>AOC 红酒吧</t>
  </si>
  <si>
    <t>Bubble Bar 泡泡吧</t>
  </si>
  <si>
    <t>Lobby Lounge大堂吧</t>
  </si>
  <si>
    <t>Papillon 名碟</t>
  </si>
  <si>
    <t>Wet Republic 成人派对泳池</t>
  </si>
  <si>
    <t>Stewarding管事部</t>
  </si>
  <si>
    <t>Main Kitchen中央厨房</t>
  </si>
  <si>
    <t>F&amp;B Office餐饮行政</t>
  </si>
  <si>
    <t>SPA水疗</t>
  </si>
  <si>
    <t>Salon 水疗</t>
  </si>
  <si>
    <t>Pool泳池</t>
  </si>
  <si>
    <t>Kids Center儿童中心</t>
  </si>
  <si>
    <t>Recreation Center康乐行政</t>
  </si>
  <si>
    <t>Telephone电话通讯</t>
  </si>
  <si>
    <t>Garage Parking车库</t>
  </si>
  <si>
    <t>Transportation车队</t>
  </si>
  <si>
    <t>Administrative &amp; General行政办</t>
  </si>
  <si>
    <t>Finance &amp; Accounting财务部</t>
  </si>
  <si>
    <t>Human Resources人力资源</t>
  </si>
  <si>
    <t>Human Resources人力资源-培训</t>
  </si>
  <si>
    <t>Information &amp; Telecom System信息科技部</t>
  </si>
  <si>
    <t>Security安全部</t>
  </si>
  <si>
    <t>Public Relations公共关系</t>
  </si>
  <si>
    <t>Sales销售</t>
  </si>
  <si>
    <t>Repairs &amp; Maintenance工程维护</t>
  </si>
  <si>
    <t>员工宿舍费用分摊（酒店员工福利费）</t>
    <phoneticPr fontId="7" type="noConversion"/>
  </si>
  <si>
    <t>员工宿舍费用分摊</t>
    <phoneticPr fontId="7" type="noConversion"/>
  </si>
  <si>
    <t>外包-员工宿舍费用分摊(自管外包费用）</t>
    <phoneticPr fontId="7" type="noConversion"/>
  </si>
  <si>
    <t xml:space="preserve"> Staff Canteen 员工餐厅                                </t>
  </si>
  <si>
    <t>&lt;&lt;50031</t>
  </si>
  <si>
    <t>60011230</t>
  </si>
  <si>
    <t xml:space="preserve"> Flatware 餐具</t>
    <phoneticPr fontId="7" type="noConversion"/>
  </si>
  <si>
    <t>60011280</t>
  </si>
  <si>
    <t xml:space="preserve"> Utensils 器具</t>
    <phoneticPr fontId="7" type="noConversion"/>
  </si>
  <si>
    <t>60011910</t>
  </si>
  <si>
    <t xml:space="preserve"> Staff Canteen-Food 员工餐厅食品                         </t>
  </si>
  <si>
    <t>50031002</t>
  </si>
  <si>
    <t xml:space="preserve"> Allowance 津贴</t>
    <phoneticPr fontId="7" type="noConversion"/>
  </si>
  <si>
    <t xml:space="preserve"> Vacation Pay 假期工资</t>
    <phoneticPr fontId="7" type="noConversion"/>
  </si>
  <si>
    <t>酒店正式工人数</t>
    <phoneticPr fontId="7" type="noConversion"/>
  </si>
  <si>
    <t>员工餐厅分摊</t>
    <phoneticPr fontId="7" type="noConversion"/>
  </si>
  <si>
    <t>客房</t>
  </si>
  <si>
    <t>前厅</t>
  </si>
  <si>
    <t>预订</t>
  </si>
  <si>
    <t>客房收入</t>
  </si>
  <si>
    <t>房务行政</t>
  </si>
  <si>
    <t>海棠</t>
  </si>
  <si>
    <t>海棠厨房</t>
  </si>
  <si>
    <t>品聚</t>
  </si>
  <si>
    <t>品聚厨房</t>
  </si>
  <si>
    <t>锦汇</t>
  </si>
  <si>
    <t>锦汇厨房</t>
  </si>
  <si>
    <t>霓湾</t>
  </si>
  <si>
    <t>霓湾厨房</t>
  </si>
  <si>
    <t>池边烧烤</t>
  </si>
  <si>
    <t>池畔厨房</t>
  </si>
  <si>
    <t>咖啡馆</t>
  </si>
  <si>
    <t>咖啡馆厨房</t>
  </si>
  <si>
    <t>成人派对泳池</t>
  </si>
  <si>
    <t>成人泳池厨房</t>
  </si>
  <si>
    <t>名碟</t>
  </si>
  <si>
    <t>送餐</t>
  </si>
  <si>
    <t>送餐厨房</t>
  </si>
  <si>
    <t>宴会收入</t>
  </si>
  <si>
    <t>宴会（费用）</t>
  </si>
  <si>
    <t>宴会厨房（成本）</t>
  </si>
  <si>
    <t>红酒吧</t>
  </si>
  <si>
    <t>泡泡吧</t>
  </si>
  <si>
    <t>大堂吧</t>
  </si>
  <si>
    <t>迷你吧</t>
  </si>
  <si>
    <t>中央厨房</t>
  </si>
  <si>
    <t>管事部</t>
  </si>
  <si>
    <t>餐饮行政</t>
  </si>
  <si>
    <t>零售商店</t>
  </si>
  <si>
    <t>水疗</t>
  </si>
  <si>
    <t>健身中心</t>
  </si>
  <si>
    <t>沙龙收入</t>
  </si>
  <si>
    <t>泳池</t>
  </si>
  <si>
    <t>儿童中心</t>
  </si>
  <si>
    <t>康乐行政</t>
  </si>
  <si>
    <t>电话通讯</t>
  </si>
  <si>
    <t>车库</t>
  </si>
  <si>
    <t>商务中心</t>
  </si>
  <si>
    <t>车队</t>
  </si>
  <si>
    <t>行政办</t>
  </si>
  <si>
    <t>财务部</t>
  </si>
  <si>
    <t>人力资源</t>
  </si>
  <si>
    <t>信息科技部</t>
  </si>
  <si>
    <t>安全部</t>
  </si>
  <si>
    <t>公共关系</t>
  </si>
  <si>
    <t>广告</t>
  </si>
  <si>
    <t>销售</t>
  </si>
  <si>
    <t>工程维护</t>
  </si>
  <si>
    <t>员工住宿</t>
  </si>
  <si>
    <t>不分摊</t>
    <phoneticPr fontId="7" type="noConversion"/>
  </si>
  <si>
    <t>洗衣房（费用）</t>
  </si>
  <si>
    <t>员工餐厅</t>
  </si>
  <si>
    <t>员餐费用+人工分摊金额</t>
    <phoneticPr fontId="7" type="noConversion"/>
  </si>
  <si>
    <t>员工工作餐（4级以上工作餐成本）</t>
    <phoneticPr fontId="7" type="noConversion"/>
  </si>
  <si>
    <t>一月</t>
    <phoneticPr fontId="5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</si>
  <si>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</si>
  <si>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</si>
  <si>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</si>
  <si>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</si>
  <si>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</si>
  <si>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</si>
  <si>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</si>
  <si>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</si>
  <si>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</si>
  <si>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</si>
  <si>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</si>
  <si>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预定</t>
  </si>
  <si>
    <t>客房行政</t>
  </si>
  <si>
    <t>厨房-主厨房</t>
  </si>
  <si>
    <t xml:space="preserve">餐饮 - 行政 </t>
  </si>
  <si>
    <t>娱乐行政</t>
    <phoneticPr fontId="5" type="noConversion"/>
  </si>
  <si>
    <t>行政办</t>
    <phoneticPr fontId="5" type="noConversion"/>
  </si>
  <si>
    <t>财务</t>
    <phoneticPr fontId="5" type="noConversion"/>
  </si>
  <si>
    <t>人力资源</t>
    <phoneticPr fontId="5" type="noConversion"/>
  </si>
  <si>
    <t>IT</t>
    <phoneticPr fontId="5" type="noConversion"/>
  </si>
  <si>
    <t>安全</t>
    <phoneticPr fontId="5" type="noConversion"/>
  </si>
  <si>
    <t>公共关系</t>
    <phoneticPr fontId="5" type="noConversion"/>
  </si>
  <si>
    <t>工程</t>
    <phoneticPr fontId="5" type="noConversion"/>
  </si>
  <si>
    <t>OC/员工餐厅分摊合计</t>
    <phoneticPr fontId="7" type="noConversion"/>
  </si>
  <si>
    <t>外包-员工餐厅分摊金额-服务合同费用</t>
    <phoneticPr fontId="7" type="noConversion"/>
  </si>
  <si>
    <r>
      <t>员工宿舍食堂（食品采购金额2</t>
    </r>
    <r>
      <rPr>
        <sz val="11"/>
        <color theme="1"/>
        <rFont val="等线"/>
        <family val="2"/>
        <charset val="134"/>
        <scheme val="minor"/>
      </rPr>
      <t>019年）</t>
    </r>
    <phoneticPr fontId="7" type="noConversion"/>
  </si>
  <si>
    <t>宿舍餐费补助330/人 T-L3 730人</t>
    <phoneticPr fontId="7" type="noConversion"/>
  </si>
  <si>
    <r>
      <t>宿舍员工补助9</t>
    </r>
    <r>
      <rPr>
        <sz val="11"/>
        <color theme="1"/>
        <rFont val="等线"/>
        <family val="2"/>
        <charset val="134"/>
        <scheme val="minor"/>
      </rPr>
      <t>00/人 22人</t>
    </r>
    <phoneticPr fontId="7" type="noConversion"/>
  </si>
  <si>
    <t>管理费用减员餐宿舍工资福利</t>
    <phoneticPr fontId="7" type="noConversion"/>
  </si>
  <si>
    <t>销售费用减员餐宿舍工资福利</t>
    <phoneticPr fontId="7" type="noConversion"/>
  </si>
  <si>
    <t>营业成本减员餐宿舍工资福利</t>
    <phoneticPr fontId="7" type="noConversion"/>
  </si>
  <si>
    <t xml:space="preserve"> Fixed Charge 固定支出                                 </t>
  </si>
  <si>
    <t>A</t>
    <phoneticPr fontId="7" type="noConversion"/>
  </si>
  <si>
    <t>A</t>
    <phoneticPr fontId="7" type="noConversion"/>
  </si>
  <si>
    <t>B</t>
    <phoneticPr fontId="7" type="noConversion"/>
  </si>
  <si>
    <t>A</t>
    <phoneticPr fontId="7" type="noConversion"/>
  </si>
  <si>
    <t xml:space="preserve"> FIXED CHARGE                                      </t>
  </si>
  <si>
    <t>&lt;&lt;70010010</t>
  </si>
  <si>
    <t xml:space="preserve"> Tax and Related Fees 税和相关附加费                      </t>
  </si>
  <si>
    <t>&lt;&lt;70010100</t>
  </si>
  <si>
    <t xml:space="preserve"> Basic Management Fee基本管理费                         </t>
  </si>
  <si>
    <t>&lt;&lt;70010200</t>
  </si>
  <si>
    <t xml:space="preserve"> Incentive Fee奖励管理费                                </t>
  </si>
  <si>
    <t>&lt;&lt;70010300</t>
  </si>
  <si>
    <t xml:space="preserve"> Rental - Hotel Building 酒店建筑租金                    </t>
  </si>
  <si>
    <t>&lt;&lt;70010400</t>
  </si>
  <si>
    <t xml:space="preserve"> Rental - Staff Dormitory 员工宿舍租金                   </t>
  </si>
  <si>
    <t>&lt;&lt;70010500</t>
  </si>
  <si>
    <t xml:space="preserve"> Amortn-Preoperating Exp摊销 - 开办费                   </t>
  </si>
  <si>
    <t>&lt;&lt;70010600</t>
  </si>
  <si>
    <t xml:space="preserve"> Amortn-Others摊销 - 其它                              </t>
  </si>
  <si>
    <t>&lt;&lt;70010700</t>
  </si>
  <si>
    <t xml:space="preserve"> Provn For F,F &amp; E固定资产储备                           </t>
  </si>
  <si>
    <t>&lt;&lt;70010800</t>
  </si>
  <si>
    <t xml:space="preserve"> Insurance-Bldgs/Content保险费 - 建筑物                  </t>
  </si>
  <si>
    <t>&lt;&lt;70010900</t>
  </si>
  <si>
    <t xml:space="preserve"> Insurance-Hotel保险费 - 酒店                           </t>
  </si>
  <si>
    <t>&lt;&lt;70011000</t>
  </si>
  <si>
    <t xml:space="preserve"> Insurance-Others保险费 - 其他                          </t>
  </si>
  <si>
    <t>&lt;&lt;70011100</t>
  </si>
  <si>
    <t xml:space="preserve"> Other Non Operating (Income) Expenses 其他非营运费用     </t>
  </si>
  <si>
    <t xml:space="preserve"> Total Fixed Charge 固定费用支出合计                       </t>
  </si>
  <si>
    <t>&lt;&lt;39810601</t>
  </si>
  <si>
    <t xml:space="preserve"> Interest (Income) 利息收入                            </t>
  </si>
  <si>
    <t>70010020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</si>
</sst>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[$-10804]0.00%"/>
    <numFmt numFmtId="177" formatCode="_(* #,##0.00_);_(* \(#,##0.00\);_(* &quot;-&quot;??_);_(@_)"/>
    <numFmt numFmtId="178" formatCode="_(* #,##0_);_(* \(#,##0\);_(* &quot;-&quot;??_);_(@_)"/>
    <numFmt numFmtId="179" formatCode="0.0%"/>
    <numFmt numFmtId="180" formatCode="_(* #,##0.000_);_(* \(#,##0.000\);_(* &quot;-&quot;??_);_(@_)"/>
    <numFmt numFmtId="181" formatCode="_ * #,##0_ ;_ * \-#,##0_ ;_ * &quot;-&quot;??_ ;_ @_ "/>
    <numFmt numFmtId="182" formatCode="_(* #,##0.0_);_(* \(#,##0.0\);_(* &quot;-&quot;??_);_(@_)"/>
    <numFmt numFmtId="183" formatCode="0.00_);[Red]\(0.00\)"/>
    <numFmt numFmtId="184" formatCode="_ * #,##0.0_ ;_ * \-#,##0.0_ ;_ * &quot;-&quot;??_ ;_ @_ "/>
    <numFmt numFmtId="185" formatCode="#,##0.00_);[Red]\(#,##0.00\)"/>
    <numFmt numFmtId="186" formatCode="0.00000"/>
    <numFmt numFmtId="187" formatCode="0.0000"/>
    <numFmt numFmtId="188" formatCode="0.000%"/>
    <numFmt numFmtId="189" formatCode="_(* #,##0.0000_);_(* \(#,##0.0000\);_(* &quot;-&quot;??_);_(@_)"/>
    <numFmt numFmtId="190" formatCode="0.0000%"/>
    <numFmt numFmtId="191" formatCode="0_);[Red]\(0\)"/>
    <numFmt numFmtId="192" formatCode="_-* #,##0_-;\-* #,##0_-;_-* &quot;-&quot;_-;_-@_-"/>
  </numFmts>
  <fonts count="36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b/>
      <sz val="12"/>
      <name val="Arial"/>
      <family val="2"/>
    </font>
    <font>
      <sz val="9"/>
      <name val="等线"/>
      <family val="3"/>
      <charset val="134"/>
      <scheme val="minor"/>
    </font>
    <font>
      <b/>
      <sz val="14"/>
      <name val="Arial"/>
      <family val="2"/>
    </font>
    <font>
      <b/>
      <sz val="14"/>
      <name val="微软雅黑"/>
      <family val="2"/>
      <charset val="134"/>
    </font>
    <font>
      <sz val="12"/>
      <name val="宋体"/>
      <family val="3"/>
      <charset val="134"/>
    </font>
    <font>
      <sz val="14"/>
      <color theme="1"/>
      <name val="等线"/>
      <family val="2"/>
      <scheme val="minor"/>
    </font>
    <font>
      <b/>
      <u/>
      <sz val="12"/>
      <name val="Arial"/>
      <family val="2"/>
    </font>
    <font>
      <b/>
      <sz val="12"/>
      <name val="宋体"/>
      <family val="3"/>
      <charset val="134"/>
    </font>
    <font>
      <sz val="12"/>
      <name val="微软雅黑"/>
      <family val="2"/>
      <charset val="134"/>
    </font>
    <font>
      <sz val="10"/>
      <name val="Arial"/>
      <family val="2"/>
    </font>
    <font>
      <b/>
      <sz val="12"/>
      <name val="微软雅黑"/>
      <family val="2"/>
      <charset val="134"/>
    </font>
    <font>
      <b/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微软雅黑"/>
      <family val="2"/>
      <charset val="134"/>
    </font>
    <font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9"/>
      <color theme="1"/>
      <name val="等线"/>
      <family val="2"/>
      <charset val="134"/>
      <scheme val="minor"/>
    </font>
    <font>
      <sz val="10"/>
      <color theme="1"/>
      <name val="等线"/>
      <family val="2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b/>
      <sz val="11"/>
      <color rgb="FFFF0000"/>
      <name val="等线"/>
      <family val="2"/>
      <charset val="134"/>
      <scheme val="minor"/>
    </font>
    <font>
      <sz val="11"/>
      <color rgb="FF7030A0"/>
      <name val="等线"/>
      <family val="2"/>
      <scheme val="minor"/>
    </font>
    <font>
      <sz val="10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176" fontId="0" fillId="0" borderId="0"/>
    <xf numFmtId="17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6" fontId="3" fillId="0" borderId="0"/>
    <xf numFmtId="43" fontId="1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/>
    <xf numFmtId="176" fontId="15" fillId="0" borderId="0"/>
    <xf numFmtId="176" fontId="15" fillId="0" borderId="0"/>
    <xf numFmtId="43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92" fontId="15" fillId="0" borderId="0" applyFont="0" applyFill="0" applyBorder="0" applyAlignment="0" applyProtection="0">
      <alignment vertical="center"/>
    </xf>
  </cellStyleXfs>
  <cellXfs count="396">
    <xf numFmtId="176" fontId="0" fillId="0" borderId="0" xfId="0"/>
    <xf numFmtId="176" fontId="4" fillId="0" borderId="0" xfId="3" applyFont="1" applyAlignment="1">
      <alignment horizontal="center" vertical="center"/>
    </xf>
    <xf numFmtId="176" fontId="0" fillId="0" borderId="0" xfId="4" applyNumberFormat="1" applyFo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4" fillId="0" borderId="0" xfId="1" applyNumberFormat="1" applyFont="1" applyFill="1" applyAlignment="1">
      <alignment horizontal="center" vertical="center"/>
    </xf>
    <xf numFmtId="176" fontId="6" fillId="0" borderId="0" xfId="3" applyFont="1" applyAlignment="1">
      <alignment horizontal="center" vertical="center"/>
    </xf>
    <xf numFmtId="177" fontId="4" fillId="0" borderId="0" xfId="1" applyFont="1" applyFill="1" applyAlignment="1">
      <alignment horizontal="center" vertical="center"/>
    </xf>
    <xf numFmtId="178" fontId="0" fillId="0" borderId="0" xfId="4" applyNumberFormat="1" applyFont="1">
      <alignment vertical="center"/>
    </xf>
    <xf numFmtId="176" fontId="6" fillId="0" borderId="0" xfId="0" applyFont="1" applyAlignment="1">
      <alignment horizontal="center" shrinkToFit="1"/>
    </xf>
    <xf numFmtId="176" fontId="8" fillId="0" borderId="0" xfId="0" applyFont="1" applyAlignment="1">
      <alignment horizontal="center" shrinkToFit="1"/>
    </xf>
    <xf numFmtId="176" fontId="4" fillId="0" borderId="0" xfId="0" applyFont="1" applyAlignment="1">
      <alignment horizontal="center"/>
    </xf>
    <xf numFmtId="176" fontId="6" fillId="0" borderId="0" xfId="0" applyFont="1" applyAlignment="1">
      <alignment horizontal="center"/>
    </xf>
    <xf numFmtId="176" fontId="4" fillId="0" borderId="0" xfId="2" applyNumberFormat="1" applyFont="1" applyFill="1" applyAlignment="1">
      <alignment horizontal="center"/>
    </xf>
    <xf numFmtId="176" fontId="4" fillId="0" borderId="0" xfId="0" applyFont="1"/>
    <xf numFmtId="176" fontId="4" fillId="0" borderId="0" xfId="3" applyFont="1"/>
    <xf numFmtId="176" fontId="6" fillId="0" borderId="0" xfId="0" applyFont="1"/>
    <xf numFmtId="176" fontId="4" fillId="0" borderId="0" xfId="1" applyNumberFormat="1" applyFont="1" applyFill="1" applyAlignment="1"/>
    <xf numFmtId="0" fontId="6" fillId="0" borderId="0" xfId="0" applyNumberFormat="1" applyFont="1" applyAlignment="1">
      <alignment horizontal="center" shrinkToFit="1"/>
    </xf>
    <xf numFmtId="0" fontId="8" fillId="0" borderId="0" xfId="0" applyNumberFormat="1" applyFont="1" applyAlignment="1">
      <alignment horizontal="center" shrinkToFit="1"/>
    </xf>
    <xf numFmtId="0" fontId="4" fillId="0" borderId="0" xfId="1" applyNumberFormat="1" applyFont="1" applyFill="1" applyAlignment="1">
      <alignment horizontal="center"/>
    </xf>
    <xf numFmtId="177" fontId="4" fillId="0" borderId="0" xfId="1" applyFont="1" applyFill="1" applyAlignment="1"/>
    <xf numFmtId="0" fontId="4" fillId="0" borderId="0" xfId="0" applyNumberFormat="1" applyFont="1"/>
    <xf numFmtId="0" fontId="4" fillId="0" borderId="0" xfId="1" applyNumberFormat="1" applyFont="1" applyFill="1" applyAlignment="1"/>
    <xf numFmtId="0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5" applyNumberFormat="1" applyFont="1" applyFill="1" applyBorder="1" applyAlignment="1">
      <alignment horizontal="right"/>
    </xf>
    <xf numFmtId="0" fontId="10" fillId="0" borderId="0" xfId="0" applyNumberFormat="1" applyFont="1"/>
    <xf numFmtId="0" fontId="4" fillId="0" borderId="0" xfId="0" applyNumberFormat="1" applyFont="1" applyAlignment="1">
      <alignment horizontal="center" shrinkToFit="1"/>
    </xf>
    <xf numFmtId="0" fontId="4" fillId="0" borderId="0" xfId="0" applyNumberFormat="1" applyFont="1" applyAlignment="1">
      <alignment horizontal="center"/>
    </xf>
    <xf numFmtId="176" fontId="4" fillId="0" borderId="0" xfId="0" applyFont="1" applyAlignment="1">
      <alignment horizontal="center" shrinkToFit="1"/>
    </xf>
    <xf numFmtId="176" fontId="4" fillId="0" borderId="0" xfId="1" applyNumberFormat="1" applyFont="1" applyFill="1" applyAlignment="1">
      <alignment horizontal="center"/>
    </xf>
    <xf numFmtId="176" fontId="6" fillId="0" borderId="0" xfId="1" applyNumberFormat="1" applyFont="1" applyFill="1" applyAlignment="1"/>
    <xf numFmtId="0" fontId="4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176" fontId="11" fillId="0" borderId="0" xfId="4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/>
    </xf>
    <xf numFmtId="176" fontId="4" fillId="0" borderId="0" xfId="0" applyFont="1" applyAlignment="1">
      <alignment horizontal="left" shrinkToFit="1"/>
    </xf>
    <xf numFmtId="176" fontId="12" fillId="0" borderId="0" xfId="5" applyNumberFormat="1" applyFont="1" applyFill="1" applyAlignment="1">
      <alignment horizontal="center" wrapText="1"/>
    </xf>
    <xf numFmtId="176" fontId="12" fillId="0" borderId="0" xfId="5" applyNumberFormat="1" applyFont="1" applyFill="1" applyAlignment="1">
      <alignment horizontal="center"/>
    </xf>
    <xf numFmtId="176" fontId="12" fillId="2" borderId="0" xfId="5" applyNumberFormat="1" applyFont="1" applyFill="1" applyAlignment="1">
      <alignment horizontal="center"/>
    </xf>
    <xf numFmtId="176" fontId="12" fillId="3" borderId="0" xfId="5" applyNumberFormat="1" applyFont="1" applyFill="1" applyAlignment="1">
      <alignment horizontal="center" wrapText="1"/>
    </xf>
    <xf numFmtId="176" fontId="13" fillId="0" borderId="0" xfId="1" applyNumberFormat="1" applyFont="1" applyFill="1" applyAlignment="1"/>
    <xf numFmtId="176" fontId="6" fillId="0" borderId="0" xfId="1" applyNumberFormat="1" applyFont="1" applyFill="1" applyAlignment="1">
      <alignment horizontal="center"/>
    </xf>
    <xf numFmtId="176" fontId="6" fillId="0" borderId="0" xfId="0" applyFont="1" applyAlignment="1">
      <alignment horizontal="left" shrinkToFit="1"/>
    </xf>
    <xf numFmtId="177" fontId="4" fillId="0" borderId="0" xfId="5" applyFont="1" applyFill="1" applyBorder="1" applyAlignment="1">
      <alignment horizontal="right"/>
    </xf>
    <xf numFmtId="177" fontId="6" fillId="0" borderId="0" xfId="5" applyFont="1" applyFill="1" applyBorder="1" applyAlignment="1">
      <alignment horizontal="right"/>
    </xf>
    <xf numFmtId="177" fontId="6" fillId="0" borderId="0" xfId="1" applyFont="1" applyFill="1" applyAlignment="1"/>
    <xf numFmtId="177" fontId="4" fillId="0" borderId="0" xfId="1" applyFont="1" applyFill="1" applyBorder="1" applyAlignment="1"/>
    <xf numFmtId="176" fontId="6" fillId="0" borderId="0" xfId="6" applyFont="1" applyAlignment="1">
      <alignment horizontal="left" shrinkToFit="1"/>
    </xf>
    <xf numFmtId="177" fontId="6" fillId="0" borderId="2" xfId="5" applyFont="1" applyFill="1" applyBorder="1" applyAlignment="1">
      <alignment horizontal="right"/>
    </xf>
    <xf numFmtId="177" fontId="4" fillId="0" borderId="0" xfId="5" applyFont="1" applyFill="1" applyAlignment="1">
      <alignment horizontal="right"/>
    </xf>
    <xf numFmtId="1" fontId="4" fillId="0" borderId="0" xfId="1" applyNumberFormat="1" applyFont="1" applyFill="1"/>
    <xf numFmtId="44" fontId="6" fillId="0" borderId="0" xfId="0" applyNumberFormat="1" applyFont="1"/>
    <xf numFmtId="179" fontId="4" fillId="0" borderId="0" xfId="2" applyNumberFormat="1" applyFont="1" applyFill="1" applyAlignment="1"/>
    <xf numFmtId="177" fontId="4" fillId="0" borderId="0" xfId="1" applyFont="1" applyFill="1" applyBorder="1" applyAlignment="1">
      <alignment horizontal="right"/>
    </xf>
    <xf numFmtId="9" fontId="4" fillId="0" borderId="0" xfId="2" applyFont="1" applyFill="1" applyAlignment="1"/>
    <xf numFmtId="177" fontId="4" fillId="5" borderId="0" xfId="1" applyFont="1" applyFill="1" applyBorder="1" applyAlignment="1">
      <alignment horizontal="right"/>
    </xf>
    <xf numFmtId="177" fontId="6" fillId="0" borderId="2" xfId="1" applyFont="1" applyFill="1" applyBorder="1" applyAlignment="1">
      <alignment horizontal="right"/>
    </xf>
    <xf numFmtId="9" fontId="6" fillId="0" borderId="0" xfId="2" applyFont="1" applyFill="1" applyAlignment="1"/>
    <xf numFmtId="177" fontId="6" fillId="0" borderId="0" xfId="1" applyFont="1" applyFill="1" applyBorder="1" applyAlignment="1">
      <alignment horizontal="right"/>
    </xf>
    <xf numFmtId="180" fontId="4" fillId="0" borderId="0" xfId="1" applyNumberFormat="1" applyFont="1" applyFill="1" applyBorder="1" applyAlignment="1">
      <alignment horizontal="right"/>
    </xf>
    <xf numFmtId="176" fontId="6" fillId="0" borderId="0" xfId="7" applyFont="1" applyAlignment="1">
      <alignment horizontal="left" shrinkToFit="1"/>
    </xf>
    <xf numFmtId="179" fontId="6" fillId="0" borderId="0" xfId="2" applyNumberFormat="1" applyFont="1" applyFill="1" applyBorder="1" applyAlignment="1">
      <alignment horizontal="right"/>
    </xf>
    <xf numFmtId="10" fontId="6" fillId="0" borderId="0" xfId="2" applyNumberFormat="1" applyFont="1" applyFill="1" applyAlignment="1"/>
    <xf numFmtId="179" fontId="6" fillId="0" borderId="0" xfId="2" applyNumberFormat="1" applyFont="1" applyFill="1" applyAlignment="1"/>
    <xf numFmtId="177" fontId="6" fillId="0" borderId="0" xfId="0" applyNumberFormat="1" applyFont="1"/>
    <xf numFmtId="177" fontId="6" fillId="0" borderId="3" xfId="1" applyFont="1" applyFill="1" applyBorder="1" applyAlignment="1">
      <alignment horizontal="right"/>
    </xf>
    <xf numFmtId="43" fontId="4" fillId="0" borderId="0" xfId="5" applyNumberFormat="1" applyFont="1" applyFill="1" applyBorder="1" applyAlignment="1">
      <alignment horizontal="right"/>
    </xf>
    <xf numFmtId="176" fontId="4" fillId="0" borderId="0" xfId="7" applyFont="1" applyAlignment="1">
      <alignment horizontal="left" shrinkToFit="1"/>
    </xf>
    <xf numFmtId="177" fontId="6" fillId="0" borderId="0" xfId="1" applyFont="1" applyFill="1" applyBorder="1" applyAlignment="1"/>
    <xf numFmtId="181" fontId="0" fillId="0" borderId="0" xfId="4" applyNumberFormat="1" applyFont="1">
      <alignment vertical="center"/>
    </xf>
    <xf numFmtId="181" fontId="17" fillId="0" borderId="0" xfId="4" applyNumberFormat="1" applyFont="1">
      <alignment vertical="center"/>
    </xf>
    <xf numFmtId="177" fontId="6" fillId="0" borderId="4" xfId="1" applyFont="1" applyFill="1" applyBorder="1" applyAlignment="1">
      <alignment horizontal="right"/>
    </xf>
    <xf numFmtId="179" fontId="6" fillId="0" borderId="0" xfId="2" applyNumberFormat="1" applyFont="1" applyFill="1" applyBorder="1" applyAlignment="1"/>
    <xf numFmtId="177" fontId="4" fillId="0" borderId="0" xfId="0" applyNumberFormat="1" applyFont="1" applyAlignment="1">
      <alignment horizontal="center"/>
    </xf>
    <xf numFmtId="176" fontId="18" fillId="0" borderId="0" xfId="0" applyFont="1" applyAlignment="1">
      <alignment horizontal="left" shrinkToFit="1"/>
    </xf>
    <xf numFmtId="178" fontId="4" fillId="0" borderId="0" xfId="1" applyNumberFormat="1" applyFont="1" applyFill="1" applyBorder="1" applyAlignment="1">
      <alignment horizontal="right"/>
    </xf>
    <xf numFmtId="178" fontId="4" fillId="0" borderId="0" xfId="5" applyNumberFormat="1" applyFont="1" applyFill="1" applyBorder="1" applyAlignment="1">
      <alignment horizontal="right"/>
    </xf>
    <xf numFmtId="178" fontId="6" fillId="0" borderId="0" xfId="5" applyNumberFormat="1" applyFont="1" applyFill="1" applyBorder="1" applyAlignment="1">
      <alignment horizontal="right"/>
    </xf>
    <xf numFmtId="179" fontId="6" fillId="0" borderId="0" xfId="2" applyNumberFormat="1" applyFont="1" applyFill="1" applyAlignment="1">
      <alignment horizontal="right"/>
    </xf>
    <xf numFmtId="179" fontId="4" fillId="0" borderId="0" xfId="0" applyNumberFormat="1" applyFont="1"/>
    <xf numFmtId="176" fontId="18" fillId="0" borderId="0" xfId="7" applyFont="1" applyAlignment="1">
      <alignment horizontal="left" shrinkToFit="1"/>
    </xf>
    <xf numFmtId="182" fontId="6" fillId="0" borderId="0" xfId="1" applyNumberFormat="1" applyFont="1" applyFill="1" applyBorder="1" applyAlignment="1">
      <alignment horizontal="right"/>
    </xf>
    <xf numFmtId="182" fontId="6" fillId="0" borderId="0" xfId="1" applyNumberFormat="1" applyFont="1" applyFill="1" applyAlignment="1">
      <alignment horizontal="right"/>
    </xf>
    <xf numFmtId="177" fontId="6" fillId="6" borderId="0" xfId="1" applyFont="1" applyFill="1" applyAlignment="1">
      <alignment horizontal="center"/>
    </xf>
    <xf numFmtId="177" fontId="6" fillId="6" borderId="0" xfId="1" applyFont="1" applyFill="1" applyAlignment="1"/>
    <xf numFmtId="177" fontId="6" fillId="6" borderId="0" xfId="1" applyFont="1" applyFill="1" applyBorder="1" applyAlignment="1">
      <alignment horizontal="right"/>
    </xf>
    <xf numFmtId="178" fontId="6" fillId="0" borderId="0" xfId="1" applyNumberFormat="1" applyFont="1" applyFill="1" applyAlignment="1">
      <alignment horizontal="center"/>
    </xf>
    <xf numFmtId="1" fontId="6" fillId="0" borderId="0" xfId="1" applyNumberFormat="1" applyFont="1" applyFill="1" applyAlignment="1"/>
    <xf numFmtId="178" fontId="6" fillId="0" borderId="0" xfId="1" applyNumberFormat="1" applyFont="1" applyFill="1" applyAlignment="1"/>
    <xf numFmtId="178" fontId="4" fillId="0" borderId="0" xfId="2" applyNumberFormat="1" applyFont="1" applyFill="1" applyAlignment="1">
      <alignment horizontal="center"/>
    </xf>
    <xf numFmtId="9" fontId="4" fillId="0" borderId="0" xfId="2" applyFont="1" applyFill="1" applyAlignment="1">
      <alignment horizontal="center"/>
    </xf>
    <xf numFmtId="177" fontId="4" fillId="0" borderId="0" xfId="3" applyNumberFormat="1" applyFont="1"/>
    <xf numFmtId="4" fontId="6" fillId="0" borderId="0" xfId="0" applyNumberFormat="1" applyFont="1"/>
    <xf numFmtId="4" fontId="4" fillId="0" borderId="0" xfId="0" applyNumberFormat="1" applyFont="1"/>
    <xf numFmtId="177" fontId="4" fillId="0" borderId="0" xfId="1" applyFont="1" applyFill="1" applyAlignment="1">
      <alignment horizontal="center"/>
    </xf>
    <xf numFmtId="177" fontId="4" fillId="0" borderId="0" xfId="1" applyFont="1" applyFill="1" applyAlignment="1">
      <alignment horizontal="right"/>
    </xf>
    <xf numFmtId="179" fontId="4" fillId="0" borderId="0" xfId="2" applyNumberFormat="1" applyFont="1" applyFill="1" applyAlignment="1">
      <alignment horizontal="right"/>
    </xf>
    <xf numFmtId="0" fontId="1" fillId="0" borderId="0" xfId="11" applyNumberFormat="1">
      <alignment vertical="center"/>
    </xf>
    <xf numFmtId="0" fontId="0" fillId="0" borderId="0" xfId="4" applyNumberFormat="1" applyFont="1">
      <alignment vertical="center"/>
    </xf>
    <xf numFmtId="0" fontId="23" fillId="0" borderId="0" xfId="4" applyNumberFormat="1" applyFont="1">
      <alignment vertical="center"/>
    </xf>
    <xf numFmtId="0" fontId="23" fillId="0" borderId="0" xfId="11" applyNumberFormat="1" applyFont="1">
      <alignment vertical="center"/>
    </xf>
    <xf numFmtId="0" fontId="1" fillId="0" borderId="0" xfId="1" applyNumberFormat="1" applyFont="1" applyFill="1" applyAlignment="1">
      <alignment vertical="center"/>
    </xf>
    <xf numFmtId="176" fontId="1" fillId="0" borderId="0" xfId="11">
      <alignment vertical="center"/>
    </xf>
    <xf numFmtId="176" fontId="1" fillId="0" borderId="0" xfId="11" applyFont="1">
      <alignment vertical="center"/>
    </xf>
    <xf numFmtId="176" fontId="23" fillId="0" borderId="0" xfId="4" applyNumberFormat="1" applyFont="1">
      <alignment vertical="center"/>
    </xf>
    <xf numFmtId="176" fontId="0" fillId="0" borderId="0" xfId="4" applyNumberFormat="1" applyFont="1" applyAlignment="1">
      <alignment horizontal="center" vertical="center"/>
    </xf>
    <xf numFmtId="176" fontId="23" fillId="0" borderId="0" xfId="11" applyFont="1">
      <alignment vertical="center"/>
    </xf>
    <xf numFmtId="176" fontId="1" fillId="0" borderId="0" xfId="1" applyNumberFormat="1" applyFont="1" applyFill="1" applyAlignment="1">
      <alignment vertical="center"/>
    </xf>
    <xf numFmtId="177" fontId="0" fillId="0" borderId="0" xfId="1" applyFont="1" applyAlignment="1">
      <alignment vertical="center"/>
    </xf>
    <xf numFmtId="0" fontId="0" fillId="0" borderId="0" xfId="4" applyNumberFormat="1" applyFont="1" applyAlignment="1">
      <alignment horizontal="center" vertical="center"/>
    </xf>
    <xf numFmtId="0" fontId="23" fillId="5" borderId="0" xfId="4" applyNumberFormat="1" applyFont="1" applyFill="1" applyAlignment="1">
      <alignment horizontal="center" vertical="center"/>
    </xf>
    <xf numFmtId="0" fontId="0" fillId="3" borderId="0" xfId="4" applyNumberFormat="1" applyFont="1" applyFill="1" applyAlignment="1">
      <alignment horizontal="center" vertical="center"/>
    </xf>
    <xf numFmtId="0" fontId="23" fillId="3" borderId="0" xfId="4" applyNumberFormat="1" applyFont="1" applyFill="1" applyAlignment="1">
      <alignment horizontal="center" vertical="center"/>
    </xf>
    <xf numFmtId="43" fontId="0" fillId="0" borderId="0" xfId="4" applyFont="1">
      <alignment vertical="center"/>
    </xf>
    <xf numFmtId="43" fontId="23" fillId="0" borderId="0" xfId="4" applyFont="1">
      <alignment vertical="center"/>
    </xf>
    <xf numFmtId="43" fontId="0" fillId="3" borderId="0" xfId="4" applyFont="1" applyFill="1" applyAlignment="1">
      <alignment horizontal="center" vertical="center"/>
    </xf>
    <xf numFmtId="43" fontId="23" fillId="3" borderId="0" xfId="4" applyFont="1" applyFill="1" applyAlignment="1">
      <alignment horizontal="center" vertical="center"/>
    </xf>
    <xf numFmtId="176" fontId="1" fillId="3" borderId="0" xfId="11" applyFill="1" applyAlignment="1">
      <alignment horizontal="center" vertical="center"/>
    </xf>
    <xf numFmtId="43" fontId="23" fillId="0" borderId="0" xfId="4" applyFont="1" applyAlignment="1">
      <alignment horizontal="center" vertical="center"/>
    </xf>
    <xf numFmtId="177" fontId="1" fillId="0" borderId="0" xfId="1" applyFont="1" applyFill="1" applyAlignment="1">
      <alignment horizontal="center" vertical="center"/>
    </xf>
    <xf numFmtId="177" fontId="1" fillId="0" borderId="0" xfId="1" applyFont="1" applyFill="1" applyAlignment="1">
      <alignment vertical="center"/>
    </xf>
    <xf numFmtId="177" fontId="1" fillId="0" borderId="0" xfId="1" applyFont="1" applyAlignment="1">
      <alignment vertical="center"/>
    </xf>
    <xf numFmtId="43" fontId="24" fillId="0" borderId="0" xfId="1" applyNumberFormat="1" applyFont="1" applyAlignment="1">
      <alignment vertical="center"/>
    </xf>
    <xf numFmtId="43" fontId="1" fillId="0" borderId="0" xfId="1" applyNumberFormat="1" applyFont="1" applyAlignment="1">
      <alignment vertical="center"/>
    </xf>
    <xf numFmtId="181" fontId="23" fillId="0" borderId="0" xfId="4" applyNumberFormat="1" applyFont="1">
      <alignment vertical="center"/>
    </xf>
    <xf numFmtId="179" fontId="0" fillId="0" borderId="0" xfId="2" applyNumberFormat="1" applyFont="1" applyAlignment="1">
      <alignment vertical="center"/>
    </xf>
    <xf numFmtId="177" fontId="23" fillId="0" borderId="0" xfId="1" applyFont="1" applyAlignment="1">
      <alignment vertical="center"/>
    </xf>
    <xf numFmtId="43" fontId="25" fillId="0" borderId="0" xfId="2" applyNumberFormat="1" applyFont="1" applyAlignment="1">
      <alignment vertical="center"/>
    </xf>
    <xf numFmtId="177" fontId="24" fillId="0" borderId="0" xfId="1" applyFont="1" applyAlignment="1">
      <alignment vertical="center"/>
    </xf>
    <xf numFmtId="179" fontId="23" fillId="0" borderId="0" xfId="2" applyNumberFormat="1" applyFont="1" applyAlignment="1">
      <alignment vertical="center"/>
    </xf>
    <xf numFmtId="177" fontId="23" fillId="0" borderId="0" xfId="1" applyFont="1" applyFill="1" applyAlignment="1">
      <alignment vertical="center"/>
    </xf>
    <xf numFmtId="177" fontId="0" fillId="0" borderId="0" xfId="1" applyFont="1" applyFill="1" applyAlignment="1">
      <alignment vertical="center"/>
    </xf>
    <xf numFmtId="43" fontId="23" fillId="0" borderId="0" xfId="4" applyFont="1" applyFill="1">
      <alignment vertical="center"/>
    </xf>
    <xf numFmtId="181" fontId="0" fillId="0" borderId="0" xfId="4" applyNumberFormat="1" applyFont="1" applyFill="1">
      <alignment vertical="center"/>
    </xf>
    <xf numFmtId="181" fontId="23" fillId="0" borderId="0" xfId="4" applyNumberFormat="1" applyFont="1" applyFill="1">
      <alignment vertical="center"/>
    </xf>
    <xf numFmtId="179" fontId="0" fillId="0" borderId="0" xfId="2" applyNumberFormat="1" applyFont="1" applyFill="1" applyAlignment="1">
      <alignment vertical="center"/>
    </xf>
    <xf numFmtId="179" fontId="23" fillId="0" borderId="0" xfId="2" applyNumberFormat="1" applyFont="1" applyFill="1" applyAlignment="1">
      <alignment vertical="center"/>
    </xf>
    <xf numFmtId="43" fontId="0" fillId="0" borderId="0" xfId="4" applyFont="1" applyFill="1">
      <alignment vertical="center"/>
    </xf>
    <xf numFmtId="178" fontId="1" fillId="0" borderId="0" xfId="1" applyNumberFormat="1" applyFont="1" applyAlignment="1">
      <alignment vertical="center"/>
    </xf>
    <xf numFmtId="178" fontId="23" fillId="0" borderId="0" xfId="1" applyNumberFormat="1" applyFont="1" applyAlignment="1">
      <alignment vertical="center"/>
    </xf>
    <xf numFmtId="178" fontId="0" fillId="0" borderId="0" xfId="1" applyNumberFormat="1" applyFont="1" applyFill="1" applyAlignment="1">
      <alignment vertical="center"/>
    </xf>
    <xf numFmtId="178" fontId="1" fillId="9" borderId="0" xfId="1" applyNumberFormat="1" applyFont="1" applyFill="1" applyAlignment="1">
      <alignment vertical="center"/>
    </xf>
    <xf numFmtId="178" fontId="23" fillId="0" borderId="0" xfId="1" applyNumberFormat="1" applyFont="1" applyFill="1" applyAlignment="1">
      <alignment vertical="center"/>
    </xf>
    <xf numFmtId="177" fontId="26" fillId="9" borderId="0" xfId="1" applyFont="1" applyFill="1"/>
    <xf numFmtId="9" fontId="25" fillId="0" borderId="0" xfId="2" applyFont="1" applyAlignment="1">
      <alignment vertical="center"/>
    </xf>
    <xf numFmtId="184" fontId="0" fillId="0" borderId="0" xfId="4" applyNumberFormat="1" applyFont="1">
      <alignment vertical="center"/>
    </xf>
    <xf numFmtId="176" fontId="1" fillId="0" borderId="0" xfId="11" applyAlignment="1">
      <alignment horizontal="right" vertical="center"/>
    </xf>
    <xf numFmtId="43" fontId="0" fillId="2" borderId="0" xfId="4" applyFont="1" applyFill="1">
      <alignment vertical="center"/>
    </xf>
    <xf numFmtId="176" fontId="27" fillId="0" borderId="0" xfId="11" applyFont="1">
      <alignment vertical="center"/>
    </xf>
    <xf numFmtId="176" fontId="22" fillId="0" borderId="0" xfId="11" applyFont="1">
      <alignment vertical="center"/>
    </xf>
    <xf numFmtId="0" fontId="2" fillId="0" borderId="0" xfId="11" applyNumberFormat="1" applyFont="1">
      <alignment vertical="center"/>
    </xf>
    <xf numFmtId="0" fontId="1" fillId="0" borderId="0" xfId="11" applyNumberFormat="1" applyFont="1">
      <alignment vertical="center"/>
    </xf>
    <xf numFmtId="0" fontId="0" fillId="0" borderId="0" xfId="1" applyNumberFormat="1" applyFont="1" applyAlignment="1">
      <alignment vertical="center"/>
    </xf>
    <xf numFmtId="0" fontId="28" fillId="5" borderId="0" xfId="4" applyNumberFormat="1" applyFont="1" applyFill="1" applyAlignment="1">
      <alignment horizontal="center" vertical="center"/>
    </xf>
    <xf numFmtId="0" fontId="23" fillId="0" borderId="0" xfId="1" applyNumberFormat="1" applyFont="1" applyAlignment="1">
      <alignment horizontal="center" vertical="center"/>
    </xf>
    <xf numFmtId="177" fontId="23" fillId="0" borderId="0" xfId="1" applyFont="1" applyAlignment="1">
      <alignment horizontal="center" vertical="center"/>
    </xf>
    <xf numFmtId="185" fontId="2" fillId="0" borderId="0" xfId="11" applyNumberFormat="1" applyFont="1" applyAlignment="1">
      <alignment horizontal="center" vertical="center"/>
    </xf>
    <xf numFmtId="185" fontId="2" fillId="0" borderId="0" xfId="11" applyNumberFormat="1" applyFont="1">
      <alignment vertical="center"/>
    </xf>
    <xf numFmtId="185" fontId="27" fillId="0" borderId="0" xfId="11" applyNumberFormat="1" applyFont="1">
      <alignment vertical="center"/>
    </xf>
    <xf numFmtId="178" fontId="0" fillId="10" borderId="0" xfId="1" applyNumberFormat="1" applyFont="1" applyFill="1" applyAlignment="1">
      <alignment vertical="center"/>
    </xf>
    <xf numFmtId="177" fontId="2" fillId="0" borderId="0" xfId="1" applyFont="1" applyAlignment="1">
      <alignment vertical="center"/>
    </xf>
    <xf numFmtId="181" fontId="0" fillId="10" borderId="0" xfId="4" applyNumberFormat="1" applyFont="1" applyFill="1">
      <alignment vertical="center"/>
    </xf>
    <xf numFmtId="178" fontId="0" fillId="5" borderId="0" xfId="1" applyNumberFormat="1" applyFont="1" applyFill="1" applyAlignment="1">
      <alignment vertical="center"/>
    </xf>
    <xf numFmtId="186" fontId="0" fillId="0" borderId="0" xfId="4" applyNumberFormat="1" applyFont="1">
      <alignment vertical="center"/>
    </xf>
    <xf numFmtId="10" fontId="2" fillId="0" borderId="0" xfId="2" applyNumberFormat="1" applyFont="1" applyAlignment="1">
      <alignment vertical="center"/>
    </xf>
    <xf numFmtId="181" fontId="23" fillId="0" borderId="0" xfId="11" applyNumberFormat="1" applyFont="1">
      <alignment vertical="center"/>
    </xf>
    <xf numFmtId="177" fontId="29" fillId="0" borderId="0" xfId="1" applyFont="1" applyAlignment="1">
      <alignment vertical="center"/>
    </xf>
    <xf numFmtId="178" fontId="0" fillId="0" borderId="0" xfId="1" applyNumberFormat="1" applyFont="1" applyAlignment="1">
      <alignment vertical="center"/>
    </xf>
    <xf numFmtId="12" fontId="0" fillId="0" borderId="0" xfId="4" applyNumberFormat="1" applyFont="1">
      <alignment vertical="center"/>
    </xf>
    <xf numFmtId="0" fontId="23" fillId="0" borderId="0" xfId="1" applyNumberFormat="1" applyFont="1" applyAlignment="1">
      <alignment vertical="center"/>
    </xf>
    <xf numFmtId="184" fontId="23" fillId="0" borderId="0" xfId="4" applyNumberFormat="1" applyFont="1">
      <alignment vertical="center"/>
    </xf>
    <xf numFmtId="177" fontId="0" fillId="10" borderId="0" xfId="1" applyFont="1" applyFill="1" applyAlignment="1">
      <alignment vertical="center"/>
    </xf>
    <xf numFmtId="176" fontId="30" fillId="0" borderId="0" xfId="11" applyFont="1">
      <alignment vertical="center"/>
    </xf>
    <xf numFmtId="43" fontId="0" fillId="10" borderId="0" xfId="4" applyFont="1" applyFill="1">
      <alignment vertical="center"/>
    </xf>
    <xf numFmtId="0" fontId="23" fillId="0" borderId="0" xfId="2" applyNumberFormat="1" applyFont="1" applyAlignment="1">
      <alignment vertical="center"/>
    </xf>
    <xf numFmtId="0" fontId="0" fillId="0" borderId="0" xfId="2" applyNumberFormat="1" applyFont="1" applyAlignment="1">
      <alignment vertical="center"/>
    </xf>
    <xf numFmtId="10" fontId="0" fillId="0" borderId="0" xfId="2" applyNumberFormat="1" applyFont="1" applyAlignment="1">
      <alignment vertical="center"/>
    </xf>
    <xf numFmtId="181" fontId="3" fillId="0" borderId="0" xfId="4" applyNumberFormat="1" applyFont="1" applyFill="1">
      <alignment vertical="center"/>
    </xf>
    <xf numFmtId="187" fontId="0" fillId="0" borderId="0" xfId="4" applyNumberFormat="1" applyFont="1">
      <alignment vertical="center"/>
    </xf>
    <xf numFmtId="43" fontId="26" fillId="0" borderId="0" xfId="4" applyFont="1">
      <alignment vertical="center"/>
    </xf>
    <xf numFmtId="0" fontId="1" fillId="0" borderId="0" xfId="1" applyNumberFormat="1" applyFont="1" applyAlignment="1">
      <alignment vertical="center"/>
    </xf>
    <xf numFmtId="176" fontId="1" fillId="0" borderId="0" xfId="1" applyNumberFormat="1" applyFont="1" applyAlignment="1">
      <alignment vertical="center"/>
    </xf>
    <xf numFmtId="176" fontId="23" fillId="0" borderId="0" xfId="2" applyNumberFormat="1" applyFont="1" applyAlignment="1">
      <alignment vertical="center"/>
    </xf>
    <xf numFmtId="0" fontId="1" fillId="0" borderId="0" xfId="2" applyNumberFormat="1" applyFont="1" applyAlignment="1">
      <alignment vertical="center"/>
    </xf>
    <xf numFmtId="0" fontId="28" fillId="5" borderId="0" xfId="1" applyNumberFormat="1" applyFont="1" applyFill="1" applyAlignment="1">
      <alignment vertical="center"/>
    </xf>
    <xf numFmtId="0" fontId="0" fillId="3" borderId="0" xfId="1" applyNumberFormat="1" applyFont="1" applyFill="1" applyAlignment="1">
      <alignment horizontal="center" vertical="center"/>
    </xf>
    <xf numFmtId="177" fontId="0" fillId="3" borderId="0" xfId="1" applyFont="1" applyFill="1" applyAlignment="1">
      <alignment horizontal="center" vertical="center"/>
    </xf>
    <xf numFmtId="176" fontId="1" fillId="0" borderId="0" xfId="11" applyAlignment="1">
      <alignment horizontal="center" vertical="center"/>
    </xf>
    <xf numFmtId="176" fontId="23" fillId="0" borderId="0" xfId="11" applyFont="1" applyAlignment="1">
      <alignment horizontal="center" vertical="center"/>
    </xf>
    <xf numFmtId="179" fontId="1" fillId="0" borderId="0" xfId="2" applyNumberFormat="1" applyFont="1" applyAlignment="1">
      <alignment vertical="center"/>
    </xf>
    <xf numFmtId="177" fontId="1" fillId="0" borderId="0" xfId="1" applyFont="1" applyFill="1" applyAlignment="1">
      <alignment horizontal="right" vertical="center"/>
    </xf>
    <xf numFmtId="43" fontId="1" fillId="0" borderId="0" xfId="1" applyNumberFormat="1" applyFont="1" applyFill="1" applyAlignment="1">
      <alignment horizontal="right" vertical="center"/>
    </xf>
    <xf numFmtId="43" fontId="1" fillId="0" borderId="0" xfId="1" applyNumberFormat="1" applyFont="1" applyFill="1" applyAlignment="1">
      <alignment vertical="center"/>
    </xf>
    <xf numFmtId="179" fontId="1" fillId="0" borderId="0" xfId="2" applyNumberFormat="1" applyFont="1" applyFill="1" applyAlignment="1">
      <alignment vertical="center"/>
    </xf>
    <xf numFmtId="9" fontId="23" fillId="0" borderId="0" xfId="2" applyFont="1" applyFill="1" applyAlignment="1">
      <alignment vertical="center"/>
    </xf>
    <xf numFmtId="10" fontId="23" fillId="0" borderId="0" xfId="2" applyNumberFormat="1" applyFont="1" applyFill="1" applyAlignment="1">
      <alignment vertical="center"/>
    </xf>
    <xf numFmtId="177" fontId="4" fillId="0" borderId="0" xfId="1" applyFont="1" applyFill="1"/>
    <xf numFmtId="43" fontId="23" fillId="0" borderId="0" xfId="1" applyNumberFormat="1" applyFont="1" applyFill="1" applyAlignment="1">
      <alignment vertical="center"/>
    </xf>
    <xf numFmtId="177" fontId="30" fillId="0" borderId="0" xfId="1" applyFont="1" applyFill="1" applyAlignment="1">
      <alignment vertical="center"/>
    </xf>
    <xf numFmtId="1" fontId="23" fillId="0" borderId="0" xfId="1" applyNumberFormat="1" applyFont="1" applyAlignment="1">
      <alignment vertical="center"/>
    </xf>
    <xf numFmtId="0" fontId="0" fillId="0" borderId="0" xfId="1" applyNumberFormat="1" applyFont="1" applyFill="1" applyAlignment="1">
      <alignment vertical="center"/>
    </xf>
    <xf numFmtId="0" fontId="28" fillId="5" borderId="0" xfId="4" applyNumberFormat="1" applyFont="1" applyFill="1">
      <alignment vertical="center"/>
    </xf>
    <xf numFmtId="0" fontId="0" fillId="8" borderId="0" xfId="4" applyNumberFormat="1" applyFont="1" applyFill="1" applyAlignment="1">
      <alignment horizontal="center" vertical="center"/>
    </xf>
    <xf numFmtId="0" fontId="23" fillId="8" borderId="0" xfId="4" applyNumberFormat="1" applyFont="1" applyFill="1" applyAlignment="1">
      <alignment horizontal="center" vertical="center"/>
    </xf>
    <xf numFmtId="176" fontId="0" fillId="8" borderId="0" xfId="4" applyNumberFormat="1" applyFont="1" applyFill="1" applyAlignment="1">
      <alignment horizontal="center" vertical="center"/>
    </xf>
    <xf numFmtId="176" fontId="23" fillId="8" borderId="0" xfId="4" applyNumberFormat="1" applyFont="1" applyFill="1" applyAlignment="1">
      <alignment horizontal="center" vertical="center"/>
    </xf>
    <xf numFmtId="176" fontId="23" fillId="0" borderId="0" xfId="1" applyNumberFormat="1" applyFont="1" applyAlignment="1">
      <alignment vertical="center"/>
    </xf>
    <xf numFmtId="181" fontId="0" fillId="6" borderId="0" xfId="4" applyNumberFormat="1" applyFont="1" applyFill="1">
      <alignment vertical="center"/>
    </xf>
    <xf numFmtId="9" fontId="23" fillId="0" borderId="0" xfId="2" applyFont="1" applyAlignment="1">
      <alignment vertical="center"/>
    </xf>
    <xf numFmtId="177" fontId="1" fillId="10" borderId="0" xfId="1" applyFont="1" applyFill="1" applyAlignment="1">
      <alignment vertical="center"/>
    </xf>
    <xf numFmtId="179" fontId="23" fillId="0" borderId="0" xfId="12" applyNumberFormat="1" applyFont="1" applyFill="1">
      <alignment vertical="center"/>
    </xf>
    <xf numFmtId="9" fontId="0" fillId="0" borderId="0" xfId="2" applyFont="1" applyFill="1" applyAlignment="1">
      <alignment vertical="center"/>
    </xf>
    <xf numFmtId="181" fontId="21" fillId="0" borderId="0" xfId="4" applyNumberFormat="1" applyFont="1" applyFill="1">
      <alignment vertical="center"/>
    </xf>
    <xf numFmtId="181" fontId="23" fillId="0" borderId="0" xfId="1" applyNumberFormat="1" applyFont="1" applyFill="1" applyAlignment="1">
      <alignment vertical="center"/>
    </xf>
    <xf numFmtId="177" fontId="0" fillId="11" borderId="0" xfId="1" applyFont="1" applyFill="1" applyAlignment="1">
      <alignment vertical="center"/>
    </xf>
    <xf numFmtId="0" fontId="23" fillId="0" borderId="0" xfId="4" applyNumberFormat="1" applyFont="1" applyAlignment="1">
      <alignment horizontal="center" vertical="center"/>
    </xf>
    <xf numFmtId="176" fontId="23" fillId="0" borderId="0" xfId="4" applyNumberFormat="1" applyFont="1" applyAlignment="1">
      <alignment horizontal="center" vertical="center"/>
    </xf>
    <xf numFmtId="0" fontId="0" fillId="0" borderId="0" xfId="4" applyNumberFormat="1" applyFont="1" applyFill="1">
      <alignment vertical="center"/>
    </xf>
    <xf numFmtId="181" fontId="21" fillId="0" borderId="0" xfId="4" applyNumberFormat="1" applyFont="1">
      <alignment vertical="center"/>
    </xf>
    <xf numFmtId="178" fontId="1" fillId="10" borderId="0" xfId="1" applyNumberFormat="1" applyFont="1" applyFill="1" applyAlignment="1">
      <alignment vertical="center"/>
    </xf>
    <xf numFmtId="178" fontId="0" fillId="10" borderId="0" xfId="4" applyNumberFormat="1" applyFont="1" applyFill="1">
      <alignment vertical="center"/>
    </xf>
    <xf numFmtId="176" fontId="28" fillId="0" borderId="0" xfId="11" applyFont="1">
      <alignment vertical="center"/>
    </xf>
    <xf numFmtId="181" fontId="28" fillId="0" borderId="0" xfId="4" applyNumberFormat="1" applyFont="1" applyFill="1">
      <alignment vertical="center"/>
    </xf>
    <xf numFmtId="179" fontId="28" fillId="0" borderId="0" xfId="2" applyNumberFormat="1" applyFont="1" applyFill="1" applyAlignment="1">
      <alignment vertical="center"/>
    </xf>
    <xf numFmtId="177" fontId="28" fillId="0" borderId="0" xfId="1" applyFont="1" applyFill="1" applyAlignment="1">
      <alignment vertical="center"/>
    </xf>
    <xf numFmtId="177" fontId="28" fillId="0" borderId="0" xfId="1" applyFont="1" applyAlignment="1">
      <alignment vertical="center"/>
    </xf>
    <xf numFmtId="178" fontId="0" fillId="11" borderId="0" xfId="1" applyNumberFormat="1" applyFont="1" applyFill="1" applyAlignment="1">
      <alignment vertical="center"/>
    </xf>
    <xf numFmtId="181" fontId="0" fillId="12" borderId="0" xfId="4" applyNumberFormat="1" applyFont="1" applyFill="1">
      <alignment vertical="center"/>
    </xf>
    <xf numFmtId="178" fontId="1" fillId="0" borderId="0" xfId="1" applyNumberFormat="1" applyFont="1" applyFill="1" applyAlignment="1">
      <alignment vertical="center"/>
    </xf>
    <xf numFmtId="181" fontId="1" fillId="0" borderId="0" xfId="1" applyNumberFormat="1" applyFont="1" applyFill="1" applyAlignment="1">
      <alignment vertical="center"/>
    </xf>
    <xf numFmtId="43" fontId="1" fillId="10" borderId="0" xfId="1" applyNumberFormat="1" applyFont="1" applyFill="1" applyAlignment="1">
      <alignment vertical="center"/>
    </xf>
    <xf numFmtId="10" fontId="0" fillId="0" borderId="0" xfId="2" applyNumberFormat="1" applyFont="1" applyFill="1" applyAlignment="1">
      <alignment vertical="center"/>
    </xf>
    <xf numFmtId="176" fontId="1" fillId="7" borderId="0" xfId="11" applyFill="1">
      <alignment vertical="center"/>
    </xf>
    <xf numFmtId="177" fontId="0" fillId="7" borderId="0" xfId="1" applyFont="1" applyFill="1" applyAlignment="1">
      <alignment vertical="center"/>
    </xf>
    <xf numFmtId="177" fontId="23" fillId="7" borderId="0" xfId="1" applyFont="1" applyFill="1" applyAlignment="1">
      <alignment vertical="center"/>
    </xf>
    <xf numFmtId="0" fontId="23" fillId="0" borderId="0" xfId="4" applyNumberFormat="1" applyFont="1" applyFill="1">
      <alignment vertical="center"/>
    </xf>
    <xf numFmtId="0" fontId="23" fillId="5" borderId="0" xfId="4" applyNumberFormat="1" applyFont="1" applyFill="1">
      <alignment vertical="center"/>
    </xf>
    <xf numFmtId="0" fontId="0" fillId="8" borderId="0" xfId="4" quotePrefix="1" applyNumberFormat="1" applyFont="1" applyFill="1" applyAlignment="1">
      <alignment horizontal="center" vertical="center"/>
    </xf>
    <xf numFmtId="179" fontId="23" fillId="0" borderId="0" xfId="12" applyNumberFormat="1" applyFont="1">
      <alignment vertical="center"/>
    </xf>
    <xf numFmtId="0" fontId="23" fillId="5" borderId="0" xfId="1" applyNumberFormat="1" applyFont="1" applyFill="1" applyAlignment="1">
      <alignment vertical="center"/>
    </xf>
    <xf numFmtId="0" fontId="1" fillId="3" borderId="0" xfId="11" applyNumberFormat="1" applyFill="1">
      <alignment vertical="center"/>
    </xf>
    <xf numFmtId="176" fontId="0" fillId="3" borderId="0" xfId="4" applyNumberFormat="1" applyFont="1" applyFill="1" applyAlignment="1">
      <alignment horizontal="center" vertical="center"/>
    </xf>
    <xf numFmtId="176" fontId="23" fillId="3" borderId="0" xfId="4" applyNumberFormat="1" applyFont="1" applyFill="1" applyAlignment="1">
      <alignment horizontal="center" vertical="center"/>
    </xf>
    <xf numFmtId="176" fontId="1" fillId="3" borderId="0" xfId="11" applyFill="1">
      <alignment vertical="center"/>
    </xf>
    <xf numFmtId="177" fontId="1" fillId="0" borderId="0" xfId="1" applyFont="1" applyAlignment="1">
      <alignment horizontal="right" vertical="center"/>
    </xf>
    <xf numFmtId="177" fontId="23" fillId="0" borderId="0" xfId="1" applyFont="1" applyAlignment="1">
      <alignment horizontal="right" vertical="center"/>
    </xf>
    <xf numFmtId="177" fontId="23" fillId="5" borderId="0" xfId="1" applyFont="1" applyFill="1" applyAlignment="1">
      <alignment vertical="center"/>
    </xf>
    <xf numFmtId="177" fontId="22" fillId="0" borderId="0" xfId="1" applyFont="1" applyAlignment="1">
      <alignment vertical="center"/>
    </xf>
    <xf numFmtId="177" fontId="30" fillId="0" borderId="0" xfId="1" applyFont="1" applyAlignment="1">
      <alignment vertical="center"/>
    </xf>
    <xf numFmtId="176" fontId="23" fillId="0" borderId="0" xfId="4" applyNumberFormat="1" applyFont="1" applyFill="1">
      <alignment vertical="center"/>
    </xf>
    <xf numFmtId="43" fontId="23" fillId="5" borderId="0" xfId="4" applyFont="1" applyFill="1">
      <alignment vertical="center"/>
    </xf>
    <xf numFmtId="176" fontId="1" fillId="0" borderId="0" xfId="11" quotePrefix="1">
      <alignment vertical="center"/>
    </xf>
    <xf numFmtId="183" fontId="1" fillId="0" borderId="0" xfId="11" applyNumberFormat="1">
      <alignment vertical="center"/>
    </xf>
    <xf numFmtId="183" fontId="23" fillId="0" borderId="0" xfId="11" applyNumberFormat="1" applyFont="1">
      <alignment vertical="center"/>
    </xf>
    <xf numFmtId="43" fontId="21" fillId="0" borderId="0" xfId="4" applyFont="1">
      <alignment vertical="center"/>
    </xf>
    <xf numFmtId="10" fontId="23" fillId="0" borderId="0" xfId="2" applyNumberFormat="1" applyFont="1" applyAlignment="1">
      <alignment vertical="center"/>
    </xf>
    <xf numFmtId="181" fontId="0" fillId="3" borderId="0" xfId="1" applyNumberFormat="1" applyFont="1" applyFill="1" applyAlignment="1">
      <alignment horizontal="center" vertical="center"/>
    </xf>
    <xf numFmtId="0" fontId="30" fillId="0" borderId="0" xfId="11" applyNumberFormat="1" applyFont="1">
      <alignment vertical="center"/>
    </xf>
    <xf numFmtId="43" fontId="0" fillId="0" borderId="0" xfId="1" applyNumberFormat="1" applyFont="1"/>
    <xf numFmtId="43" fontId="0" fillId="0" borderId="0" xfId="2" applyNumberFormat="1" applyFont="1" applyAlignment="1">
      <alignment vertical="center"/>
    </xf>
    <xf numFmtId="43" fontId="0" fillId="10" borderId="0" xfId="1" applyNumberFormat="1" applyFont="1" applyFill="1" applyAlignment="1">
      <alignment vertical="center"/>
    </xf>
    <xf numFmtId="9" fontId="0" fillId="0" borderId="0" xfId="2" applyFont="1" applyAlignment="1">
      <alignment vertical="center"/>
    </xf>
    <xf numFmtId="43" fontId="21" fillId="0" borderId="0" xfId="4" applyFont="1" applyFill="1">
      <alignment vertical="center"/>
    </xf>
    <xf numFmtId="43" fontId="30" fillId="0" borderId="0" xfId="11" applyNumberFormat="1" applyFont="1">
      <alignment vertical="center"/>
    </xf>
    <xf numFmtId="176" fontId="1" fillId="0" borderId="0" xfId="11" applyAlignment="1">
      <alignment horizontal="left" vertical="center"/>
    </xf>
    <xf numFmtId="43" fontId="0" fillId="0" borderId="0" xfId="1" applyNumberFormat="1" applyFont="1" applyAlignment="1">
      <alignment vertical="center"/>
    </xf>
    <xf numFmtId="176" fontId="1" fillId="0" borderId="0" xfId="11" quotePrefix="1" applyFont="1">
      <alignment vertical="center"/>
    </xf>
    <xf numFmtId="43" fontId="23" fillId="0" borderId="0" xfId="1" applyNumberFormat="1" applyFont="1" applyAlignment="1">
      <alignment vertical="center"/>
    </xf>
    <xf numFmtId="10" fontId="23" fillId="0" borderId="0" xfId="4" applyNumberFormat="1" applyFont="1">
      <alignment vertical="center"/>
    </xf>
    <xf numFmtId="10" fontId="0" fillId="0" borderId="0" xfId="4" applyNumberFormat="1" applyFont="1">
      <alignment vertical="center"/>
    </xf>
    <xf numFmtId="181" fontId="0" fillId="13" borderId="0" xfId="4" applyNumberFormat="1" applyFont="1" applyFill="1">
      <alignment vertical="center"/>
    </xf>
    <xf numFmtId="177" fontId="31" fillId="0" borderId="0" xfId="1" applyFont="1" applyAlignment="1">
      <alignment vertical="center"/>
    </xf>
    <xf numFmtId="177" fontId="0" fillId="13" borderId="0" xfId="1" applyFont="1" applyFill="1" applyAlignment="1">
      <alignment vertical="center"/>
    </xf>
    <xf numFmtId="177" fontId="0" fillId="14" borderId="0" xfId="1" applyFont="1" applyFill="1" applyAlignment="1">
      <alignment vertical="center"/>
    </xf>
    <xf numFmtId="176" fontId="1" fillId="13" borderId="0" xfId="11" applyFill="1">
      <alignment vertical="center"/>
    </xf>
    <xf numFmtId="43" fontId="0" fillId="4" borderId="0" xfId="4" applyFont="1" applyFill="1">
      <alignment vertical="center"/>
    </xf>
    <xf numFmtId="176" fontId="1" fillId="0" borderId="0" xfId="2" applyNumberFormat="1" applyFont="1" applyAlignment="1">
      <alignment vertical="center"/>
    </xf>
    <xf numFmtId="0" fontId="23" fillId="5" borderId="0" xfId="11" applyNumberFormat="1" applyFont="1" applyFill="1">
      <alignment vertical="center"/>
    </xf>
    <xf numFmtId="4" fontId="23" fillId="0" borderId="0" xfId="11" applyNumberFormat="1" applyFont="1">
      <alignment vertical="center"/>
    </xf>
    <xf numFmtId="3" fontId="23" fillId="0" borderId="0" xfId="11" applyNumberFormat="1" applyFont="1">
      <alignment vertical="center"/>
    </xf>
    <xf numFmtId="4" fontId="1" fillId="0" borderId="0" xfId="11" applyNumberFormat="1">
      <alignment vertical="center"/>
    </xf>
    <xf numFmtId="3" fontId="1" fillId="0" borderId="0" xfId="11" applyNumberFormat="1">
      <alignment vertical="center"/>
    </xf>
    <xf numFmtId="3" fontId="1" fillId="5" borderId="0" xfId="11" applyNumberFormat="1" applyFill="1">
      <alignment vertical="center"/>
    </xf>
    <xf numFmtId="4" fontId="22" fillId="0" borderId="0" xfId="11" applyNumberFormat="1" applyFont="1">
      <alignment vertical="center"/>
    </xf>
    <xf numFmtId="176" fontId="24" fillId="0" borderId="0" xfId="11" applyFont="1">
      <alignment vertical="center"/>
    </xf>
    <xf numFmtId="176" fontId="20" fillId="0" borderId="0" xfId="11" applyFont="1">
      <alignment vertical="center"/>
    </xf>
    <xf numFmtId="49" fontId="1" fillId="0" borderId="0" xfId="11" applyNumberFormat="1" applyAlignment="1">
      <alignment horizontal="left" vertical="center"/>
    </xf>
    <xf numFmtId="43" fontId="1" fillId="0" borderId="0" xfId="11" applyNumberFormat="1">
      <alignment vertical="center"/>
    </xf>
    <xf numFmtId="4" fontId="23" fillId="0" borderId="0" xfId="1" applyNumberFormat="1" applyFont="1" applyFill="1" applyAlignment="1">
      <alignment vertical="center"/>
    </xf>
    <xf numFmtId="43" fontId="23" fillId="0" borderId="0" xfId="4" applyFont="1" applyAlignment="1">
      <alignment vertical="center"/>
    </xf>
    <xf numFmtId="177" fontId="21" fillId="0" borderId="0" xfId="4" applyNumberFormat="1" applyFont="1" applyFill="1">
      <alignment vertical="center"/>
    </xf>
    <xf numFmtId="183" fontId="23" fillId="0" borderId="0" xfId="1" applyNumberFormat="1" applyFont="1" applyAlignment="1">
      <alignment vertical="center"/>
    </xf>
    <xf numFmtId="183" fontId="23" fillId="0" borderId="0" xfId="2" applyNumberFormat="1" applyFont="1" applyAlignment="1">
      <alignment vertical="center"/>
    </xf>
    <xf numFmtId="183" fontId="23" fillId="0" borderId="0" xfId="1" applyNumberFormat="1" applyFont="1" applyFill="1" applyAlignment="1">
      <alignment vertical="center"/>
    </xf>
    <xf numFmtId="0" fontId="28" fillId="0" borderId="0" xfId="11" applyNumberFormat="1" applyFont="1">
      <alignment vertical="center"/>
    </xf>
    <xf numFmtId="0" fontId="28" fillId="0" borderId="0" xfId="1" applyNumberFormat="1" applyFont="1" applyAlignment="1">
      <alignment vertical="center"/>
    </xf>
    <xf numFmtId="176" fontId="0" fillId="0" borderId="0" xfId="0" applyAlignment="1">
      <alignment vertical="center"/>
    </xf>
    <xf numFmtId="176" fontId="28" fillId="0" borderId="0" xfId="1" applyNumberFormat="1" applyFont="1" applyAlignment="1">
      <alignment vertical="center"/>
    </xf>
    <xf numFmtId="0" fontId="28" fillId="5" borderId="0" xfId="11" applyNumberFormat="1" applyFont="1" applyFill="1">
      <alignment vertical="center"/>
    </xf>
    <xf numFmtId="178" fontId="28" fillId="0" borderId="0" xfId="1" applyNumberFormat="1" applyFont="1" applyAlignment="1">
      <alignment vertical="center"/>
    </xf>
    <xf numFmtId="176" fontId="1" fillId="5" borderId="0" xfId="11" applyFill="1">
      <alignment vertical="center"/>
    </xf>
    <xf numFmtId="10" fontId="1" fillId="0" borderId="0" xfId="2" applyNumberFormat="1" applyFont="1" applyAlignment="1">
      <alignment vertical="center"/>
    </xf>
    <xf numFmtId="188" fontId="1" fillId="0" borderId="0" xfId="2" applyNumberFormat="1" applyFont="1" applyAlignment="1">
      <alignment vertical="center"/>
    </xf>
    <xf numFmtId="178" fontId="28" fillId="0" borderId="0" xfId="1" applyNumberFormat="1" applyFont="1" applyFill="1" applyAlignment="1">
      <alignment vertical="center"/>
    </xf>
    <xf numFmtId="189" fontId="1" fillId="0" borderId="0" xfId="1" applyNumberFormat="1" applyFont="1" applyAlignment="1">
      <alignment vertical="center"/>
    </xf>
    <xf numFmtId="183" fontId="28" fillId="0" borderId="0" xfId="1" applyNumberFormat="1" applyFont="1" applyAlignment="1">
      <alignment vertical="center"/>
    </xf>
    <xf numFmtId="3" fontId="28" fillId="0" borderId="0" xfId="11" applyNumberFormat="1" applyFont="1">
      <alignment vertical="center"/>
    </xf>
    <xf numFmtId="190" fontId="1" fillId="0" borderId="0" xfId="2" applyNumberFormat="1" applyFont="1" applyAlignment="1">
      <alignment vertical="center"/>
    </xf>
    <xf numFmtId="176" fontId="28" fillId="0" borderId="0" xfId="2" applyNumberFormat="1" applyFont="1" applyAlignment="1">
      <alignment vertical="center"/>
    </xf>
    <xf numFmtId="0" fontId="28" fillId="0" borderId="0" xfId="2" applyNumberFormat="1" applyFont="1" applyAlignment="1">
      <alignment vertical="center"/>
    </xf>
    <xf numFmtId="186" fontId="1" fillId="0" borderId="0" xfId="1" applyNumberFormat="1" applyFont="1" applyAlignment="1">
      <alignment vertical="center"/>
    </xf>
    <xf numFmtId="181" fontId="0" fillId="3" borderId="0" xfId="4" applyNumberFormat="1" applyFont="1" applyFill="1" applyAlignment="1">
      <alignment horizontal="center" vertical="center"/>
    </xf>
    <xf numFmtId="187" fontId="1" fillId="0" borderId="0" xfId="1" applyNumberFormat="1" applyFont="1" applyAlignment="1">
      <alignment vertical="center"/>
    </xf>
    <xf numFmtId="0" fontId="23" fillId="0" borderId="0" xfId="1" applyNumberFormat="1" applyFont="1" applyFill="1" applyAlignment="1">
      <alignment vertical="center"/>
    </xf>
    <xf numFmtId="176" fontId="23" fillId="0" borderId="0" xfId="1" applyNumberFormat="1" applyFont="1" applyFill="1" applyAlignment="1">
      <alignment vertical="center"/>
    </xf>
    <xf numFmtId="0" fontId="23" fillId="0" borderId="0" xfId="2" applyNumberFormat="1" applyFont="1" applyFill="1" applyAlignment="1">
      <alignment vertical="center"/>
    </xf>
    <xf numFmtId="0" fontId="1" fillId="0" borderId="0" xfId="1" applyNumberFormat="1" applyFont="1" applyAlignment="1">
      <alignment horizontal="center" vertical="center"/>
    </xf>
    <xf numFmtId="0" fontId="23" fillId="5" borderId="0" xfId="1" applyNumberFormat="1" applyFont="1" applyFill="1" applyAlignment="1">
      <alignment horizontal="center" vertical="center"/>
    </xf>
    <xf numFmtId="0" fontId="23" fillId="0" borderId="0" xfId="11" applyNumberFormat="1" applyFont="1" applyAlignment="1">
      <alignment horizontal="center" vertical="center"/>
    </xf>
    <xf numFmtId="178" fontId="23" fillId="5" borderId="0" xfId="1" applyNumberFormat="1" applyFont="1" applyFill="1" applyAlignment="1">
      <alignment vertical="center"/>
    </xf>
    <xf numFmtId="177" fontId="20" fillId="0" borderId="0" xfId="1" applyFont="1" applyAlignment="1">
      <alignment vertical="center"/>
    </xf>
    <xf numFmtId="177" fontId="22" fillId="0" borderId="0" xfId="1" applyFont="1" applyFill="1" applyAlignment="1">
      <alignment vertical="center"/>
    </xf>
    <xf numFmtId="178" fontId="20" fillId="0" borderId="0" xfId="1" applyNumberFormat="1" applyFont="1" applyAlignment="1">
      <alignment vertical="center"/>
    </xf>
    <xf numFmtId="178" fontId="22" fillId="0" borderId="0" xfId="1" applyNumberFormat="1" applyFont="1" applyAlignment="1">
      <alignment vertical="center"/>
    </xf>
    <xf numFmtId="179" fontId="20" fillId="0" borderId="0" xfId="2" applyNumberFormat="1" applyFont="1" applyAlignment="1">
      <alignment vertical="center"/>
    </xf>
    <xf numFmtId="177" fontId="20" fillId="0" borderId="0" xfId="1" applyFont="1" applyFill="1" applyAlignment="1">
      <alignment vertical="center"/>
    </xf>
    <xf numFmtId="178" fontId="20" fillId="0" borderId="0" xfId="1" applyNumberFormat="1" applyFont="1" applyFill="1" applyAlignment="1">
      <alignment vertical="center"/>
    </xf>
    <xf numFmtId="178" fontId="22" fillId="0" borderId="0" xfId="1" applyNumberFormat="1" applyFont="1" applyFill="1" applyAlignment="1">
      <alignment vertical="center"/>
    </xf>
    <xf numFmtId="179" fontId="20" fillId="0" borderId="0" xfId="2" applyNumberFormat="1" applyFont="1" applyFill="1" applyAlignment="1">
      <alignment vertical="center"/>
    </xf>
    <xf numFmtId="178" fontId="23" fillId="0" borderId="0" xfId="11" applyNumberFormat="1" applyFont="1">
      <alignment vertical="center"/>
    </xf>
    <xf numFmtId="177" fontId="21" fillId="5" borderId="0" xfId="4" applyNumberFormat="1" applyFont="1" applyFill="1">
      <alignment vertical="center"/>
    </xf>
    <xf numFmtId="0" fontId="24" fillId="0" borderId="0" xfId="1" applyNumberFormat="1" applyFont="1" applyAlignment="1">
      <alignment vertical="center"/>
    </xf>
    <xf numFmtId="176" fontId="23" fillId="0" borderId="0" xfId="1" applyNumberFormat="1" applyFont="1" applyAlignment="1">
      <alignment horizontal="center" vertical="center"/>
    </xf>
    <xf numFmtId="43" fontId="20" fillId="0" borderId="0" xfId="1" applyNumberFormat="1" applyFont="1" applyAlignment="1">
      <alignment vertical="center"/>
    </xf>
    <xf numFmtId="43" fontId="20" fillId="0" borderId="0" xfId="1" applyNumberFormat="1" applyFont="1" applyFill="1" applyAlignment="1">
      <alignment vertical="center"/>
    </xf>
    <xf numFmtId="43" fontId="24" fillId="10" borderId="0" xfId="1" applyNumberFormat="1" applyFont="1" applyFill="1" applyAlignment="1">
      <alignment vertical="center"/>
    </xf>
    <xf numFmtId="43" fontId="20" fillId="10" borderId="0" xfId="1" applyNumberFormat="1" applyFont="1" applyFill="1" applyAlignment="1">
      <alignment vertical="center"/>
    </xf>
    <xf numFmtId="177" fontId="1" fillId="5" borderId="0" xfId="1" applyFont="1" applyFill="1" applyAlignment="1">
      <alignment vertical="center"/>
    </xf>
    <xf numFmtId="186" fontId="20" fillId="0" borderId="0" xfId="1" applyNumberFormat="1" applyFont="1" applyFill="1" applyAlignment="1">
      <alignment vertical="center"/>
    </xf>
    <xf numFmtId="176" fontId="32" fillId="0" borderId="0" xfId="1" applyNumberFormat="1" applyFont="1" applyAlignment="1">
      <alignment vertical="center"/>
    </xf>
    <xf numFmtId="176" fontId="0" fillId="3" borderId="0" xfId="1" applyNumberFormat="1" applyFont="1" applyFill="1" applyAlignment="1">
      <alignment horizontal="center" vertical="center"/>
    </xf>
    <xf numFmtId="177" fontId="23" fillId="0" borderId="0" xfId="2" applyNumberFormat="1" applyFont="1" applyAlignment="1">
      <alignment vertical="center"/>
    </xf>
    <xf numFmtId="177" fontId="23" fillId="0" borderId="0" xfId="4" applyNumberFormat="1" applyFont="1">
      <alignment vertical="center"/>
    </xf>
    <xf numFmtId="177" fontId="0" fillId="0" borderId="0" xfId="4" applyNumberFormat="1" applyFont="1">
      <alignment vertical="center"/>
    </xf>
    <xf numFmtId="179" fontId="30" fillId="0" borderId="0" xfId="2" applyNumberFormat="1" applyFont="1" applyAlignment="1">
      <alignment vertical="center"/>
    </xf>
    <xf numFmtId="179" fontId="30" fillId="0" borderId="0" xfId="2" applyNumberFormat="1" applyFont="1" applyFill="1" applyAlignment="1">
      <alignment vertical="center"/>
    </xf>
    <xf numFmtId="177" fontId="0" fillId="10" borderId="0" xfId="4" applyNumberFormat="1" applyFont="1" applyFill="1">
      <alignment vertical="center"/>
    </xf>
    <xf numFmtId="178" fontId="1" fillId="5" borderId="0" xfId="1" applyNumberFormat="1" applyFont="1" applyFill="1" applyAlignment="1">
      <alignment vertical="center"/>
    </xf>
    <xf numFmtId="9" fontId="1" fillId="0" borderId="0" xfId="2" applyFont="1" applyAlignment="1">
      <alignment vertical="center"/>
    </xf>
    <xf numFmtId="191" fontId="23" fillId="0" borderId="0" xfId="1" applyNumberFormat="1" applyFont="1" applyAlignment="1">
      <alignment vertical="center"/>
    </xf>
    <xf numFmtId="191" fontId="23" fillId="0" borderId="0" xfId="11" applyNumberFormat="1" applyFont="1">
      <alignment vertical="center"/>
    </xf>
    <xf numFmtId="178" fontId="23" fillId="0" borderId="0" xfId="2" applyNumberFormat="1" applyFont="1" applyAlignment="1">
      <alignment vertical="center"/>
    </xf>
    <xf numFmtId="1" fontId="1" fillId="0" borderId="0" xfId="11" applyNumberFormat="1">
      <alignment vertical="center"/>
    </xf>
    <xf numFmtId="176" fontId="27" fillId="7" borderId="0" xfId="11" applyFont="1" applyFill="1">
      <alignment vertical="center"/>
    </xf>
    <xf numFmtId="176" fontId="23" fillId="7" borderId="0" xfId="11" applyFont="1" applyFill="1">
      <alignment vertical="center"/>
    </xf>
    <xf numFmtId="43" fontId="1" fillId="7" borderId="0" xfId="11" applyNumberFormat="1" applyFill="1">
      <alignment vertical="center"/>
    </xf>
    <xf numFmtId="43" fontId="23" fillId="7" borderId="0" xfId="11" applyNumberFormat="1" applyFont="1" applyFill="1">
      <alignment vertical="center"/>
    </xf>
    <xf numFmtId="43" fontId="23" fillId="0" borderId="0" xfId="11" applyNumberFormat="1" applyFont="1">
      <alignment vertical="center"/>
    </xf>
    <xf numFmtId="176" fontId="2" fillId="0" borderId="0" xfId="11" applyFont="1">
      <alignment vertical="center"/>
    </xf>
    <xf numFmtId="43" fontId="2" fillId="0" borderId="0" xfId="11" applyNumberFormat="1" applyFont="1">
      <alignment vertical="center"/>
    </xf>
    <xf numFmtId="43" fontId="33" fillId="0" borderId="0" xfId="11" applyNumberFormat="1" applyFont="1">
      <alignment vertical="center"/>
    </xf>
    <xf numFmtId="176" fontId="33" fillId="0" borderId="0" xfId="11" applyFont="1">
      <alignment vertical="center"/>
    </xf>
    <xf numFmtId="178" fontId="0" fillId="3" borderId="0" xfId="1" applyNumberFormat="1" applyFont="1" applyFill="1" applyAlignment="1">
      <alignment horizontal="center" vertical="center"/>
    </xf>
    <xf numFmtId="43" fontId="22" fillId="0" borderId="0" xfId="4" applyFont="1">
      <alignment vertical="center"/>
    </xf>
    <xf numFmtId="43" fontId="20" fillId="0" borderId="0" xfId="4" applyFont="1">
      <alignment vertical="center"/>
    </xf>
    <xf numFmtId="181" fontId="34" fillId="0" borderId="0" xfId="4" applyNumberFormat="1" applyFont="1" applyFill="1">
      <alignment vertical="center"/>
    </xf>
    <xf numFmtId="176" fontId="1" fillId="0" borderId="0" xfId="11" applyFont="1" applyAlignment="1">
      <alignment horizontal="center" vertical="center"/>
    </xf>
    <xf numFmtId="176" fontId="1" fillId="0" borderId="0" xfId="1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76" fontId="0" fillId="0" borderId="0" xfId="0" applyAlignment="1">
      <alignment horizontal="center" vertical="center"/>
    </xf>
    <xf numFmtId="176" fontId="23" fillId="0" borderId="0" xfId="0" applyFont="1" applyAlignment="1">
      <alignment horizontal="center" vertical="center"/>
    </xf>
    <xf numFmtId="192" fontId="15" fillId="4" borderId="5" xfId="14" applyFont="1" applyFill="1" applyBorder="1" applyAlignment="1" applyProtection="1">
      <protection locked="0"/>
    </xf>
    <xf numFmtId="177" fontId="31" fillId="5" borderId="0" xfId="1" applyFont="1" applyFill="1" applyAlignment="1">
      <alignment vertical="center"/>
    </xf>
    <xf numFmtId="177" fontId="0" fillId="4" borderId="0" xfId="1" applyFont="1" applyFill="1" applyAlignment="1">
      <alignment vertical="center"/>
    </xf>
    <xf numFmtId="177" fontId="23" fillId="4" borderId="0" xfId="1" applyFont="1" applyFill="1" applyAlignment="1">
      <alignment vertical="center"/>
    </xf>
    <xf numFmtId="176" fontId="0" fillId="4" borderId="0" xfId="0" applyFill="1" applyAlignment="1">
      <alignment vertical="center"/>
    </xf>
    <xf numFmtId="192" fontId="35" fillId="4" borderId="5" xfId="14" applyFont="1" applyFill="1" applyBorder="1" applyAlignment="1" applyProtection="1">
      <protection locked="0"/>
    </xf>
    <xf numFmtId="176" fontId="0" fillId="0" borderId="5" xfId="0" applyBorder="1" applyAlignment="1">
      <alignment vertical="center"/>
    </xf>
    <xf numFmtId="176" fontId="1" fillId="4" borderId="0" xfId="11" applyFill="1">
      <alignment vertical="center"/>
    </xf>
    <xf numFmtId="43" fontId="1" fillId="4" borderId="0" xfId="11" applyNumberFormat="1" applyFill="1">
      <alignment vertical="center"/>
    </xf>
    <xf numFmtId="43" fontId="23" fillId="4" borderId="0" xfId="11" applyNumberFormat="1" applyFont="1" applyFill="1">
      <alignment vertical="center"/>
    </xf>
    <xf numFmtId="177" fontId="1" fillId="4" borderId="0" xfId="1" applyFont="1" applyFill="1" applyAlignment="1">
      <alignment vertical="center"/>
    </xf>
    <xf numFmtId="176" fontId="27" fillId="15" borderId="0" xfId="11" applyFont="1" applyFill="1">
      <alignment vertical="center"/>
    </xf>
    <xf numFmtId="177" fontId="2" fillId="7" borderId="0" xfId="1" applyFont="1" applyFill="1" applyAlignment="1">
      <alignment vertical="center"/>
    </xf>
    <xf numFmtId="43" fontId="33" fillId="7" borderId="0" xfId="11" applyNumberFormat="1" applyFont="1" applyFill="1">
      <alignment vertical="center"/>
    </xf>
    <xf numFmtId="176" fontId="1" fillId="16" borderId="0" xfId="11" applyFont="1" applyFill="1">
      <alignment vertical="center"/>
    </xf>
    <xf numFmtId="177" fontId="23" fillId="16" borderId="0" xfId="1" applyFont="1" applyFill="1" applyAlignment="1">
      <alignment vertical="center"/>
    </xf>
    <xf numFmtId="176" fontId="1" fillId="16" borderId="0" xfId="11" applyFill="1">
      <alignment vertical="center"/>
    </xf>
    <xf numFmtId="176" fontId="1" fillId="5" borderId="0" xfId="11" applyFont="1" applyFill="1">
      <alignment vertical="center"/>
    </xf>
    <xf numFmtId="176" fontId="1" fillId="8" borderId="0" xfId="11" applyFill="1">
      <alignment vertical="center"/>
    </xf>
    <xf numFmtId="176" fontId="1" fillId="11" borderId="0" xfId="11" applyFill="1">
      <alignment vertical="center"/>
    </xf>
    <xf numFmtId="43" fontId="0" fillId="0" borderId="0" xfId="1" applyNumberFormat="1" applyFont="1" applyFill="1" applyAlignment="1">
      <alignment vertical="center"/>
    </xf>
    <xf numFmtId="177" fontId="4" fillId="0" borderId="0" xfId="1" applyFont="1"/>
  </cellXfs>
  <cellStyles count="15">
    <cellStyle name="Comma [0] 2" xfId="14"/>
    <cellStyle name="Comma 3" xfId="4"/>
    <cellStyle name="Comma 3 2" xfId="13"/>
    <cellStyle name="Comma 5" xfId="10"/>
    <cellStyle name="Normal 2" xfId="7"/>
    <cellStyle name="Normal 2 2" xfId="3"/>
    <cellStyle name="Normal 6" xfId="6"/>
    <cellStyle name="Normal 8" xfId="11"/>
    <cellStyle name="Percent 2" xfId="9"/>
    <cellStyle name="Percent 3" xfId="12"/>
    <cellStyle name="百分比" xfId="2" builtinId="5"/>
    <cellStyle name="常规" xfId="0" builtinId="0"/>
    <cellStyle name="千位分隔" xfId="1" builtinId="3"/>
    <cellStyle name="千位分隔 2" xfId="5"/>
    <cellStyle name="千位分隔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50;&#35745;&#37096;Accountant/01&#25253;&#34920;Report/001Budget%20File/2025%20Budget/P&amp;L%20Budget/1.%202025&#24180;&#32463;&#33829;&#39044;&#31639;-0930&#25968;&#205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_XLB_WorkbookFile"/>
      <sheetName val="Ls_AgXLB_WorkbookFile"/>
      <sheetName val="Version"/>
      <sheetName val="现金流2025预算"/>
      <sheetName val="现金流2024实际"/>
      <sheetName val="资产负债表2025预算"/>
      <sheetName val="资产负债表2024实际"/>
      <sheetName val="MGM酒店-附件4"/>
      <sheetName val="成本费用汇总表"/>
      <sheetName val="管理费用2024 新"/>
      <sheetName val="管理费用2025 新"/>
      <sheetName val="销售费用2024 新"/>
      <sheetName val="销售费用2025 新"/>
      <sheetName val="营业成本2024 新"/>
      <sheetName val="营业成本2025 新"/>
      <sheetName val="开发间接费2024"/>
      <sheetName val="研发支出2024"/>
      <sheetName val="持有型项目资本化支出2024"/>
      <sheetName val="成本费用汇总表2023"/>
      <sheetName val="IUFO损益表预算2025"/>
      <sheetName val="IUFO损益表实际2024"/>
      <sheetName val="管理费用2024"/>
      <sheetName val="管理费用2025"/>
      <sheetName val="销售费用2024"/>
      <sheetName val="销售费用2025"/>
      <sheetName val="营业成本2024"/>
      <sheetName val="营业成本2025"/>
      <sheetName val="人工成本2024"/>
      <sheetName val="人工成本2025"/>
      <sheetName val="人工成本校验"/>
      <sheetName val="Parameter"/>
      <sheetName val="2025 FINANCIAL PLAN"/>
      <sheetName val="2025 Summay"/>
      <sheetName val="按季度汇总"/>
      <sheetName val="Salary Summary"/>
      <sheetName val=" Headcount"/>
      <sheetName val="Rooms+Summary"/>
      <sheetName val="Front office"/>
      <sheetName val="HSKP"/>
      <sheetName val="Reservation"/>
      <sheetName val="Rooms Admin"/>
      <sheetName val="F&amp;B+Summary"/>
      <sheetName val="Hai Tang"/>
      <sheetName val="Silk"/>
      <sheetName val="Pin Ju"/>
      <sheetName val="Neera"/>
      <sheetName val="Poolside"/>
      <sheetName val="Cafe to Go"/>
      <sheetName val="Lobby Lounge"/>
      <sheetName val="Wet Republic"/>
      <sheetName val="AOC"/>
      <sheetName val="Bubble Bar"/>
      <sheetName val="Banquet"/>
      <sheetName val="Papillon"/>
      <sheetName val="Room Service"/>
      <sheetName val="F&amp;B Admin"/>
      <sheetName val="Stewarding"/>
      <sheetName val="Main Kichen"/>
      <sheetName val="Minbar"/>
      <sheetName val="OOD "/>
      <sheetName val="OOD (2)"/>
      <sheetName val="Recreation Summary"/>
      <sheetName val="Recreation"/>
      <sheetName val="Pool"/>
      <sheetName val="Kids"/>
      <sheetName val="SPA"/>
      <sheetName val="Telephone"/>
      <sheetName val="Transportation"/>
      <sheetName val="Garage"/>
      <sheetName val="Laundry"/>
      <sheetName val="Guest Laundry"/>
      <sheetName val="Other Income"/>
      <sheetName val="A&amp;G"/>
      <sheetName val="Executive Office"/>
      <sheetName val="Finance"/>
      <sheetName val="Human Resources"/>
      <sheetName val="Security"/>
      <sheetName val="IT"/>
      <sheetName val="S&amp;M"/>
      <sheetName val="Advertising"/>
      <sheetName val="Public"/>
      <sheetName val="Sales"/>
      <sheetName val="R&amp;M"/>
      <sheetName val="Utilities"/>
      <sheetName val="Dormitory+&amp;+Shuttle+Bus"/>
      <sheetName val="Staff+Canteen"/>
      <sheetName val="Fixed+Char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7">
          <cell r="C7">
            <v>2018009</v>
          </cell>
        </row>
      </sheetData>
      <sheetData sheetId="31"/>
      <sheetData sheetId="32">
        <row r="11">
          <cell r="Q11">
            <v>252268372</v>
          </cell>
        </row>
        <row r="12">
          <cell r="Q12">
            <v>80001320</v>
          </cell>
        </row>
        <row r="13">
          <cell r="Q13">
            <v>4106492</v>
          </cell>
        </row>
        <row r="14">
          <cell r="Q14">
            <v>0</v>
          </cell>
        </row>
        <row r="15">
          <cell r="Q15">
            <v>4249760</v>
          </cell>
        </row>
        <row r="16">
          <cell r="Q16">
            <v>340625944</v>
          </cell>
        </row>
        <row r="18">
          <cell r="Q18">
            <v>55229370.089999996</v>
          </cell>
        </row>
        <row r="19">
          <cell r="Q19">
            <v>57069541.710000008</v>
          </cell>
        </row>
        <row r="20">
          <cell r="Q20">
            <v>17016517.520000003</v>
          </cell>
        </row>
        <row r="21">
          <cell r="Q21">
            <v>129315429.32000002</v>
          </cell>
        </row>
        <row r="23">
          <cell r="Q23">
            <v>197039001.91</v>
          </cell>
        </row>
        <row r="24">
          <cell r="Q24">
            <v>22931778.289999999</v>
          </cell>
        </row>
        <row r="25">
          <cell r="Q25">
            <v>-12910025.520000003</v>
          </cell>
        </row>
        <row r="26">
          <cell r="Q26">
            <v>0</v>
          </cell>
        </row>
        <row r="27">
          <cell r="Q27">
            <v>4249760</v>
          </cell>
        </row>
        <row r="28">
          <cell r="Q28">
            <v>211310514.67999998</v>
          </cell>
        </row>
        <row r="30">
          <cell r="Q30">
            <v>18679576.740000002</v>
          </cell>
        </row>
        <row r="31">
          <cell r="Q31">
            <v>8313302.9199999999</v>
          </cell>
        </row>
        <row r="32">
          <cell r="Q32">
            <v>5144096</v>
          </cell>
        </row>
        <row r="33">
          <cell r="Q33">
            <v>17923359.990000002</v>
          </cell>
        </row>
        <row r="34">
          <cell r="Q34">
            <v>21052919</v>
          </cell>
        </row>
        <row r="35">
          <cell r="Q35">
            <v>71113254.650000006</v>
          </cell>
        </row>
        <row r="36">
          <cell r="Q36">
            <v>140197260.02999997</v>
          </cell>
        </row>
        <row r="37">
          <cell r="Q37">
            <v>0.41158714566380761</v>
          </cell>
        </row>
        <row r="39">
          <cell r="Q39">
            <v>7544675</v>
          </cell>
        </row>
        <row r="40">
          <cell r="Q40">
            <v>8003356</v>
          </cell>
        </row>
        <row r="41">
          <cell r="Q41">
            <v>124649229.02999997</v>
          </cell>
        </row>
        <row r="43">
          <cell r="Q43">
            <v>4261583.4000000013</v>
          </cell>
        </row>
        <row r="44">
          <cell r="Q44">
            <v>1773597.4</v>
          </cell>
        </row>
        <row r="45">
          <cell r="Q45">
            <v>902496</v>
          </cell>
        </row>
        <row r="46">
          <cell r="Q46">
            <v>0</v>
          </cell>
        </row>
        <row r="47">
          <cell r="Q47">
            <v>6937676.8000000007</v>
          </cell>
        </row>
        <row r="49">
          <cell r="Q49">
            <v>600000</v>
          </cell>
        </row>
        <row r="50">
          <cell r="Q50">
            <v>234643.48</v>
          </cell>
        </row>
        <row r="51">
          <cell r="Q51">
            <v>0</v>
          </cell>
        </row>
        <row r="52">
          <cell r="Q52">
            <v>0</v>
          </cell>
        </row>
        <row r="53">
          <cell r="Q53">
            <v>0</v>
          </cell>
        </row>
        <row r="54">
          <cell r="Q54">
            <v>7237383</v>
          </cell>
        </row>
        <row r="55">
          <cell r="Q55">
            <v>-6872026.4800000004</v>
          </cell>
        </row>
        <row r="56">
          <cell r="Q56">
            <v>110839525.74999997</v>
          </cell>
        </row>
        <row r="57">
          <cell r="Q57">
            <v>0.32539954076428179</v>
          </cell>
        </row>
        <row r="59">
          <cell r="Q59">
            <v>0</v>
          </cell>
        </row>
        <row r="61">
          <cell r="Q61">
            <v>0</v>
          </cell>
        </row>
        <row r="63">
          <cell r="Q63">
            <v>0</v>
          </cell>
        </row>
        <row r="64">
          <cell r="Q64">
            <v>110839525.74999997</v>
          </cell>
        </row>
        <row r="65">
          <cell r="Q65">
            <v>0.32539954076428179</v>
          </cell>
        </row>
        <row r="67">
          <cell r="Q67">
            <v>0</v>
          </cell>
        </row>
        <row r="68">
          <cell r="Q68">
            <v>110839525.74999997</v>
          </cell>
        </row>
        <row r="69">
          <cell r="Q69">
            <v>0.32539954076428179</v>
          </cell>
        </row>
        <row r="71">
          <cell r="Q71">
            <v>246740</v>
          </cell>
        </row>
        <row r="72">
          <cell r="Q72">
            <v>212199</v>
          </cell>
        </row>
        <row r="73">
          <cell r="Q73">
            <v>0.86001053740779765</v>
          </cell>
        </row>
        <row r="74">
          <cell r="Q74">
            <v>1188.83</v>
          </cell>
        </row>
        <row r="75">
          <cell r="Q75">
            <v>1022</v>
          </cell>
        </row>
        <row r="76">
          <cell r="Q76">
            <v>64610340.86999999</v>
          </cell>
        </row>
        <row r="77">
          <cell r="Q77">
            <v>476</v>
          </cell>
        </row>
        <row r="78">
          <cell r="Q78">
            <v>0.18968120898624208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00B0F0"/>
  </sheetPr>
  <dimension ref="A1:AP96"/>
  <sheetViews>
    <sheetView tabSelected="1" topLeftCell="D4" zoomScale="85" zoomScaleNormal="85" zoomScaleSheetLayoutView="44" workbookViewId="0">
      <pane xSplit="2" ySplit="7" topLeftCell="M11" activePane="bottomRight" state="frozen"/>
      <selection activeCell="AP43" sqref="AP43"/>
      <selection pane="topRight" activeCell="AP43" sqref="AP43"/>
      <selection pane="bottomLeft" activeCell="AP43" sqref="AP43"/>
      <selection pane="bottomRight" activeCell="AP22" sqref="AP22"/>
    </sheetView>
  </sheetViews>
  <sheetFormatPr defaultColWidth="9.125" defaultRowHeight="26.25" customHeight="1" outlineLevelRow="1" outlineLevelCol="2"/>
  <cols>
    <col min="1" max="2" width="15.625" style="29" hidden="1" customWidth="1" outlineLevel="1"/>
    <col min="3" max="3" width="15.875" style="29" hidden="1" customWidth="1" outlineLevel="1"/>
    <col min="4" max="4" width="54.875" style="29" customWidth="1" collapsed="1"/>
    <col min="5" max="5" width="18.125" style="10" customWidth="1" outlineLevel="1"/>
    <col min="6" max="7" width="18.625" style="10" customWidth="1" outlineLevel="1"/>
    <col min="8" max="9" width="18.625" style="93" customWidth="1" outlineLevel="1"/>
    <col min="10" max="11" width="18.625" style="13" customWidth="1" outlineLevel="1"/>
    <col min="12" max="12" width="18.625" style="94" customWidth="1" outlineLevel="1"/>
    <col min="13" max="16" width="18.625" style="13" customWidth="1" outlineLevel="1"/>
    <col min="17" max="17" width="18.625" style="15" customWidth="1"/>
    <col min="18" max="24" width="18.625" style="13" hidden="1" customWidth="1" outlineLevel="1"/>
    <col min="25" max="25" width="18.625" style="13" hidden="1" customWidth="1" outlineLevel="2"/>
    <col min="26" max="29" width="21.875" style="13" hidden="1" customWidth="1" outlineLevel="2"/>
    <col min="30" max="30" width="18.625" style="15" customWidth="1" collapsed="1"/>
    <col min="31" max="31" width="17.625" style="13" customWidth="1"/>
    <col min="32" max="32" width="9.375" style="20" customWidth="1"/>
    <col min="33" max="33" width="19.25" style="15" hidden="1" customWidth="1"/>
    <col min="34" max="34" width="20" style="20" hidden="1" customWidth="1"/>
    <col min="35" max="35" width="19.25" style="15" hidden="1" customWidth="1"/>
    <col min="36" max="36" width="19.625" style="20" hidden="1" customWidth="1"/>
    <col min="37" max="37" width="9.125" style="13" hidden="1" customWidth="1"/>
    <col min="38" max="38" width="20" style="13" hidden="1" customWidth="1"/>
    <col min="39" max="39" width="20.875" style="13" hidden="1" customWidth="1"/>
    <col min="40" max="40" width="0" style="13" hidden="1" customWidth="1"/>
    <col min="41" max="41" width="9.125" style="13"/>
    <col min="42" max="42" width="17.25" style="13" customWidth="1"/>
    <col min="43" max="16384" width="9.125" style="13"/>
  </cols>
  <sheetData>
    <row r="1" spans="1:42" s="1" customFormat="1" ht="15" hidden="1" customHeight="1" outlineLevel="1">
      <c r="E1" s="2">
        <v>2021001</v>
      </c>
      <c r="F1" s="2">
        <v>2021002</v>
      </c>
      <c r="G1" s="2">
        <v>2021003</v>
      </c>
      <c r="H1" s="2">
        <v>2021004</v>
      </c>
      <c r="I1" s="2">
        <v>2021005</v>
      </c>
      <c r="J1" s="2">
        <v>2021006</v>
      </c>
      <c r="K1" s="2">
        <v>2021007</v>
      </c>
      <c r="L1" s="2">
        <v>2021008</v>
      </c>
      <c r="M1" s="2">
        <v>2021009</v>
      </c>
      <c r="N1" s="2">
        <v>2021010</v>
      </c>
      <c r="O1" s="2">
        <v>2021011</v>
      </c>
      <c r="P1" s="2">
        <v>2021012</v>
      </c>
      <c r="Q1" s="3"/>
      <c r="R1" s="4">
        <v>2021001</v>
      </c>
      <c r="S1" s="4">
        <v>2021002</v>
      </c>
      <c r="T1" s="4">
        <v>2021003</v>
      </c>
      <c r="U1" s="4">
        <v>2021004</v>
      </c>
      <c r="V1" s="4">
        <v>2021005</v>
      </c>
      <c r="W1" s="4">
        <v>2021006</v>
      </c>
      <c r="X1" s="4">
        <v>2021007</v>
      </c>
      <c r="Y1" s="4">
        <v>2021008</v>
      </c>
      <c r="Z1" s="4">
        <v>2021009</v>
      </c>
      <c r="AA1" s="4">
        <v>2021010</v>
      </c>
      <c r="AB1" s="4">
        <v>2021011</v>
      </c>
      <c r="AC1" s="4">
        <v>2021012</v>
      </c>
      <c r="AD1" s="3"/>
      <c r="AF1" s="4"/>
      <c r="AG1" s="5"/>
      <c r="AH1" s="4"/>
      <c r="AI1" s="5"/>
      <c r="AJ1" s="4"/>
    </row>
    <row r="2" spans="1:42" s="1" customFormat="1" ht="15" hidden="1" customHeight="1" outlineLevel="1">
      <c r="E2" s="2">
        <f>E1</f>
        <v>2021001</v>
      </c>
      <c r="F2" s="2">
        <f t="shared" ref="F2:P2" si="0">F1</f>
        <v>2021002</v>
      </c>
      <c r="G2" s="2">
        <f t="shared" si="0"/>
        <v>2021003</v>
      </c>
      <c r="H2" s="2">
        <f t="shared" si="0"/>
        <v>2021004</v>
      </c>
      <c r="I2" s="2">
        <f t="shared" si="0"/>
        <v>2021005</v>
      </c>
      <c r="J2" s="2">
        <f t="shared" si="0"/>
        <v>2021006</v>
      </c>
      <c r="K2" s="2">
        <f t="shared" si="0"/>
        <v>2021007</v>
      </c>
      <c r="L2" s="2">
        <f t="shared" si="0"/>
        <v>2021008</v>
      </c>
      <c r="M2" s="2">
        <f t="shared" si="0"/>
        <v>2021009</v>
      </c>
      <c r="N2" s="2">
        <f t="shared" si="0"/>
        <v>2021010</v>
      </c>
      <c r="O2" s="2">
        <f t="shared" si="0"/>
        <v>2021011</v>
      </c>
      <c r="P2" s="2">
        <f t="shared" si="0"/>
        <v>2021012</v>
      </c>
      <c r="Q2" s="3"/>
      <c r="R2" s="4">
        <v>2021001</v>
      </c>
      <c r="S2" s="4">
        <v>2021002</v>
      </c>
      <c r="T2" s="4">
        <v>2021003</v>
      </c>
      <c r="U2" s="4">
        <v>2021004</v>
      </c>
      <c r="V2" s="4">
        <v>2021005</v>
      </c>
      <c r="W2" s="4">
        <v>2021006</v>
      </c>
      <c r="X2" s="4">
        <v>2021007</v>
      </c>
      <c r="Y2" s="4">
        <v>2021008</v>
      </c>
      <c r="Z2" s="4">
        <v>2021009</v>
      </c>
      <c r="AA2" s="4">
        <v>2021010</v>
      </c>
      <c r="AB2" s="4">
        <v>2021011</v>
      </c>
      <c r="AC2" s="4">
        <v>2021012</v>
      </c>
      <c r="AD2" s="3"/>
      <c r="AF2" s="4"/>
      <c r="AG2" s="5"/>
      <c r="AH2" s="4"/>
      <c r="AI2" s="5"/>
      <c r="AJ2" s="4"/>
    </row>
    <row r="3" spans="1:42" s="1" customFormat="1" ht="15" hidden="1" customHeight="1" outlineLevel="1">
      <c r="E3" s="7" t="s">
        <v>0</v>
      </c>
      <c r="F3" s="7" t="s">
        <v>0</v>
      </c>
      <c r="G3" s="7" t="s">
        <v>0</v>
      </c>
      <c r="H3" s="7" t="s">
        <v>0</v>
      </c>
      <c r="I3" s="7" t="s">
        <v>1</v>
      </c>
      <c r="J3" s="7" t="s">
        <v>0</v>
      </c>
      <c r="K3" s="7"/>
      <c r="L3" s="7"/>
      <c r="M3" s="7"/>
      <c r="N3" s="7"/>
      <c r="O3" s="7"/>
      <c r="P3" s="7"/>
      <c r="Q3" s="3"/>
      <c r="R3" s="4" t="s">
        <v>2</v>
      </c>
      <c r="S3" s="4" t="s">
        <v>2</v>
      </c>
      <c r="T3" s="4" t="s">
        <v>2</v>
      </c>
      <c r="U3" s="4" t="s">
        <v>2</v>
      </c>
      <c r="V3" s="4" t="s">
        <v>2</v>
      </c>
      <c r="W3" s="4" t="s">
        <v>2</v>
      </c>
      <c r="X3" s="4" t="s">
        <v>2</v>
      </c>
      <c r="Y3" s="4" t="s">
        <v>2</v>
      </c>
      <c r="Z3" s="4" t="s">
        <v>2</v>
      </c>
      <c r="AA3" s="4" t="s">
        <v>2</v>
      </c>
      <c r="AB3" s="4" t="s">
        <v>2</v>
      </c>
      <c r="AC3" s="4" t="s">
        <v>2</v>
      </c>
      <c r="AD3" s="3" t="s">
        <v>2</v>
      </c>
      <c r="AF3" s="6"/>
      <c r="AG3" s="5"/>
      <c r="AH3" s="6"/>
      <c r="AI3" s="5"/>
      <c r="AJ3" s="6"/>
    </row>
    <row r="4" spans="1:42" ht="24.95" customHeight="1" collapsed="1">
      <c r="A4" s="8"/>
      <c r="B4" s="8"/>
      <c r="C4" s="8"/>
      <c r="D4" s="9" t="s">
        <v>3</v>
      </c>
      <c r="F4" s="11"/>
      <c r="G4" s="11"/>
      <c r="H4" s="12"/>
      <c r="I4" s="12"/>
      <c r="L4" s="14"/>
      <c r="AF4" s="16"/>
      <c r="AH4" s="16"/>
      <c r="AJ4" s="16"/>
    </row>
    <row r="5" spans="1:42" s="21" customFormat="1" ht="24.95" customHeight="1">
      <c r="A5" s="17"/>
      <c r="B5" s="17"/>
      <c r="C5" s="17"/>
      <c r="D5" s="18" t="s">
        <v>4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F5" s="22"/>
      <c r="AG5" s="23"/>
      <c r="AH5" s="22"/>
      <c r="AI5" s="23"/>
      <c r="AJ5" s="22"/>
    </row>
    <row r="6" spans="1:42" s="21" customFormat="1" ht="24.95" customHeight="1">
      <c r="A6" s="17"/>
      <c r="B6" s="17"/>
      <c r="C6" s="17"/>
      <c r="D6" s="18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5"/>
      <c r="AE6" s="26"/>
      <c r="AF6" s="22"/>
      <c r="AG6" s="23"/>
      <c r="AH6" s="22"/>
      <c r="AI6" s="23"/>
      <c r="AJ6" s="22"/>
    </row>
    <row r="7" spans="1:42" s="21" customFormat="1" ht="24.95" customHeight="1">
      <c r="A7" s="27"/>
      <c r="B7" s="27"/>
      <c r="C7" s="27"/>
      <c r="D7" s="18">
        <v>2025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5"/>
      <c r="AE7" s="26"/>
      <c r="AF7" s="22"/>
      <c r="AG7" s="23"/>
      <c r="AH7" s="22"/>
      <c r="AI7" s="23"/>
      <c r="AJ7" s="22"/>
    </row>
    <row r="8" spans="1:42" ht="24.95" customHeight="1"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1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11"/>
      <c r="AF8" s="16"/>
      <c r="AH8" s="16"/>
      <c r="AJ8" s="16"/>
    </row>
    <row r="9" spans="1:42" s="21" customFormat="1" ht="24.95" customHeight="1">
      <c r="A9" s="27"/>
      <c r="B9" s="27"/>
      <c r="C9" s="17"/>
      <c r="D9" s="27"/>
      <c r="E9" s="32">
        <v>1</v>
      </c>
      <c r="F9" s="32">
        <v>2</v>
      </c>
      <c r="G9" s="32">
        <v>3</v>
      </c>
      <c r="H9" s="32">
        <v>4</v>
      </c>
      <c r="I9" s="32">
        <v>5</v>
      </c>
      <c r="J9" s="32">
        <v>6</v>
      </c>
      <c r="K9" s="32">
        <v>7</v>
      </c>
      <c r="L9" s="32">
        <v>8</v>
      </c>
      <c r="M9" s="32">
        <v>9</v>
      </c>
      <c r="N9" s="32">
        <v>10</v>
      </c>
      <c r="O9" s="32">
        <v>11</v>
      </c>
      <c r="P9" s="32">
        <v>12</v>
      </c>
      <c r="Q9" s="33">
        <v>2025</v>
      </c>
      <c r="R9" s="34">
        <v>202401</v>
      </c>
      <c r="S9" s="34">
        <v>202402</v>
      </c>
      <c r="T9" s="34">
        <v>202403</v>
      </c>
      <c r="U9" s="34">
        <v>202404</v>
      </c>
      <c r="V9" s="34">
        <v>202405</v>
      </c>
      <c r="W9" s="34">
        <v>202406</v>
      </c>
      <c r="X9" s="34">
        <v>202407</v>
      </c>
      <c r="Y9" s="34">
        <v>202408</v>
      </c>
      <c r="Z9" s="34">
        <v>202409</v>
      </c>
      <c r="AA9" s="34">
        <v>202410</v>
      </c>
      <c r="AB9" s="34">
        <v>202411</v>
      </c>
      <c r="AC9" s="34">
        <v>202412</v>
      </c>
      <c r="AD9" s="35">
        <v>2024</v>
      </c>
      <c r="AE9" s="36" t="s">
        <v>6</v>
      </c>
      <c r="AF9" s="22"/>
      <c r="AG9" s="37" t="s">
        <v>7</v>
      </c>
      <c r="AH9" s="22"/>
      <c r="AI9" s="37">
        <v>2019</v>
      </c>
      <c r="AJ9" s="22"/>
      <c r="AL9" s="24">
        <v>2023</v>
      </c>
      <c r="AM9" s="36" t="s">
        <v>6</v>
      </c>
    </row>
    <row r="10" spans="1:42" s="15" customFormat="1" ht="39.950000000000003" customHeight="1">
      <c r="A10" s="8" t="s">
        <v>8</v>
      </c>
      <c r="B10" s="8" t="s">
        <v>9</v>
      </c>
      <c r="C10" s="8"/>
      <c r="D10" s="38"/>
      <c r="E10" s="39" t="s">
        <v>10</v>
      </c>
      <c r="F10" s="39" t="s">
        <v>11</v>
      </c>
      <c r="G10" s="39" t="s">
        <v>11</v>
      </c>
      <c r="H10" s="39" t="s">
        <v>11</v>
      </c>
      <c r="I10" s="39" t="s">
        <v>11</v>
      </c>
      <c r="J10" s="39" t="s">
        <v>11</v>
      </c>
      <c r="K10" s="40" t="s">
        <v>11</v>
      </c>
      <c r="L10" s="40" t="s">
        <v>11</v>
      </c>
      <c r="M10" s="40" t="s">
        <v>11</v>
      </c>
      <c r="N10" s="40" t="s">
        <v>11</v>
      </c>
      <c r="O10" s="40" t="s">
        <v>11</v>
      </c>
      <c r="P10" s="40" t="s">
        <v>11</v>
      </c>
      <c r="Q10" s="41" t="s">
        <v>11</v>
      </c>
      <c r="R10" s="42" t="s">
        <v>12</v>
      </c>
      <c r="S10" s="42" t="s">
        <v>12</v>
      </c>
      <c r="T10" s="42" t="s">
        <v>12</v>
      </c>
      <c r="U10" s="42" t="s">
        <v>12</v>
      </c>
      <c r="V10" s="42" t="s">
        <v>12</v>
      </c>
      <c r="W10" s="42" t="s">
        <v>12</v>
      </c>
      <c r="X10" s="42" t="s">
        <v>12</v>
      </c>
      <c r="Y10" s="42" t="s">
        <v>12</v>
      </c>
      <c r="Z10" s="42" t="s">
        <v>13</v>
      </c>
      <c r="AA10" s="42" t="s">
        <v>14</v>
      </c>
      <c r="AB10" s="42" t="s">
        <v>13</v>
      </c>
      <c r="AC10" s="42" t="s">
        <v>13</v>
      </c>
      <c r="AD10" s="42" t="s">
        <v>13</v>
      </c>
      <c r="AE10" s="36"/>
      <c r="AF10" s="43"/>
      <c r="AG10" s="44" t="s">
        <v>12</v>
      </c>
      <c r="AH10" s="31"/>
      <c r="AI10" s="44" t="s">
        <v>15</v>
      </c>
      <c r="AJ10" s="31"/>
      <c r="AL10" s="11" t="s">
        <v>12</v>
      </c>
      <c r="AM10" s="36"/>
    </row>
    <row r="11" spans="1:42" ht="24.95" customHeight="1">
      <c r="A11" s="38" t="s">
        <v>16</v>
      </c>
      <c r="B11" s="38" t="s">
        <v>17</v>
      </c>
      <c r="C11" s="45"/>
      <c r="D11" s="38" t="s">
        <v>18</v>
      </c>
      <c r="E11" s="46">
        <f>'Rooms+Summary'!E15</f>
        <v>29442573</v>
      </c>
      <c r="F11" s="46">
        <f>'Rooms+Summary'!F15</f>
        <v>34339448</v>
      </c>
      <c r="G11" s="46">
        <f>'Rooms+Summary'!G15</f>
        <v>20349212</v>
      </c>
      <c r="H11" s="46">
        <f>'Rooms+Summary'!H15</f>
        <v>18705258</v>
      </c>
      <c r="I11" s="46">
        <f>'Rooms+Summary'!I15</f>
        <v>17427010</v>
      </c>
      <c r="J11" s="46">
        <f>'Rooms+Summary'!J15</f>
        <v>15601860</v>
      </c>
      <c r="K11" s="46">
        <f>'Rooms+Summary'!K15</f>
        <v>23179432</v>
      </c>
      <c r="L11" s="46">
        <f>'Rooms+Summary'!L15</f>
        <v>26831725</v>
      </c>
      <c r="M11" s="46">
        <f>'Rooms+Summary'!M15</f>
        <v>14301456</v>
      </c>
      <c r="N11" s="46">
        <f>'Rooms+Summary'!N15</f>
        <v>17393481</v>
      </c>
      <c r="O11" s="46">
        <f>'Rooms+Summary'!O15</f>
        <v>15149160</v>
      </c>
      <c r="P11" s="46">
        <f>'Rooms+Summary'!P15</f>
        <v>19547757</v>
      </c>
      <c r="Q11" s="47">
        <f>SUM(E11:P11)</f>
        <v>252268372</v>
      </c>
      <c r="R11" s="46">
        <f>'Rooms+Summary'!R15</f>
        <v>33339933.330000002</v>
      </c>
      <c r="S11" s="46">
        <f>'Rooms+Summary'!S15</f>
        <v>52712407.609999999</v>
      </c>
      <c r="T11" s="46">
        <f>'Rooms+Summary'!T15</f>
        <v>22181851.949999999</v>
      </c>
      <c r="U11" s="46">
        <f>'Rooms+Summary'!U15</f>
        <v>18679120.800000001</v>
      </c>
      <c r="V11" s="46">
        <f>'Rooms+Summary'!V15</f>
        <v>17436274.23</v>
      </c>
      <c r="W11" s="46">
        <f>'Rooms+Summary'!W15</f>
        <v>15572622.360000001</v>
      </c>
      <c r="X11" s="46">
        <f>'Rooms+Summary'!X15</f>
        <v>23202309.690000001</v>
      </c>
      <c r="Y11" s="46">
        <f>'Rooms+Summary'!Y15</f>
        <v>27004827.07</v>
      </c>
      <c r="Z11" s="46">
        <f>'Rooms+Summary'!Z15</f>
        <v>13001555</v>
      </c>
      <c r="AA11" s="46">
        <f>'Rooms+Summary'!AA15</f>
        <v>16010575</v>
      </c>
      <c r="AB11" s="46">
        <f>'Rooms+Summary'!AB15</f>
        <v>14455937</v>
      </c>
      <c r="AC11" s="46">
        <f>'Rooms+Summary'!AC15</f>
        <v>17813000</v>
      </c>
      <c r="AD11" s="47">
        <f>SUM(R11:AC11)</f>
        <v>271410414.03999996</v>
      </c>
      <c r="AE11" s="20">
        <f t="shared" ref="AE11:AE57" si="1">Q11-AD11</f>
        <v>-19142042.039999962</v>
      </c>
      <c r="AG11" s="48">
        <v>258660848.09</v>
      </c>
      <c r="AH11" s="20">
        <f t="shared" ref="AH11:AH16" si="2">Q11-AG11</f>
        <v>-6392476.0900000036</v>
      </c>
      <c r="AI11" s="48">
        <v>244201524.02999997</v>
      </c>
      <c r="AJ11" s="20">
        <f t="shared" ref="AJ11:AJ16" si="3">Q11-AI11</f>
        <v>8066847.9700000286</v>
      </c>
      <c r="AL11" s="48">
        <v>328268551.56999999</v>
      </c>
      <c r="AM11" s="20">
        <f>Q11-AL11</f>
        <v>-76000179.569999993</v>
      </c>
      <c r="AP11" s="395">
        <f>Q11-'[1]2025 Summay'!Q11</f>
        <v>0</v>
      </c>
    </row>
    <row r="12" spans="1:42" ht="24.95" customHeight="1">
      <c r="A12" s="38" t="s">
        <v>19</v>
      </c>
      <c r="B12" s="38" t="s">
        <v>20</v>
      </c>
      <c r="C12" s="45"/>
      <c r="D12" s="38" t="s">
        <v>21</v>
      </c>
      <c r="E12" s="46">
        <f>'F&amp;B+Summary'!D48</f>
        <v>9000030</v>
      </c>
      <c r="F12" s="46">
        <f>'F&amp;B+Summary'!E48</f>
        <v>8202468</v>
      </c>
      <c r="G12" s="46">
        <f>'F&amp;B+Summary'!F48</f>
        <v>6009517</v>
      </c>
      <c r="H12" s="46">
        <f>'F&amp;B+Summary'!G48</f>
        <v>5635934</v>
      </c>
      <c r="I12" s="46">
        <f>'F&amp;B+Summary'!H48</f>
        <v>5700473</v>
      </c>
      <c r="J12" s="46">
        <f>'F&amp;B+Summary'!I48</f>
        <v>5135401</v>
      </c>
      <c r="K12" s="46">
        <f>'F&amp;B+Summary'!J48</f>
        <v>7024126</v>
      </c>
      <c r="L12" s="46">
        <f>'F&amp;B+Summary'!K48</f>
        <v>7291081</v>
      </c>
      <c r="M12" s="46">
        <f>'F&amp;B+Summary'!L48</f>
        <v>5162989</v>
      </c>
      <c r="N12" s="46">
        <f>'F&amp;B+Summary'!M48</f>
        <v>7274075</v>
      </c>
      <c r="O12" s="46">
        <f>'F&amp;B+Summary'!N48</f>
        <v>6164369</v>
      </c>
      <c r="P12" s="46">
        <f>'F&amp;B+Summary'!O48</f>
        <v>7400857</v>
      </c>
      <c r="Q12" s="47">
        <f>SUM(E12:P12)</f>
        <v>80001320</v>
      </c>
      <c r="R12" s="46">
        <f>'F&amp;B+Summary'!Q48</f>
        <v>7698134.0100000007</v>
      </c>
      <c r="S12" s="46">
        <f>'F&amp;B+Summary'!R48</f>
        <v>11532450.77</v>
      </c>
      <c r="T12" s="46">
        <f>'F&amp;B+Summary'!S48</f>
        <v>6956777.9600000009</v>
      </c>
      <c r="U12" s="46">
        <f>'F&amp;B+Summary'!T48</f>
        <v>6336497.870000001</v>
      </c>
      <c r="V12" s="46">
        <f>'F&amp;B+Summary'!U48</f>
        <v>5974934.3900000006</v>
      </c>
      <c r="W12" s="46">
        <f>'F&amp;B+Summary'!V48</f>
        <v>5432701.2899999991</v>
      </c>
      <c r="X12" s="46">
        <f>'F&amp;B+Summary'!W48</f>
        <v>7023132.7299999995</v>
      </c>
      <c r="Y12" s="46">
        <f>'F&amp;B+Summary'!X48</f>
        <v>7458428.3299999991</v>
      </c>
      <c r="Z12" s="46">
        <f>'F&amp;B+Summary'!Y48</f>
        <v>5295919</v>
      </c>
      <c r="AA12" s="46">
        <f>'F&amp;B+Summary'!Z48</f>
        <v>5595949</v>
      </c>
      <c r="AB12" s="46">
        <f>'F&amp;B+Summary'!AA48</f>
        <v>5408551</v>
      </c>
      <c r="AC12" s="46">
        <f>'F&amp;B+Summary'!AB48</f>
        <v>6290078</v>
      </c>
      <c r="AD12" s="47">
        <f>SUM(R12:AC12)</f>
        <v>81003554.349999994</v>
      </c>
      <c r="AE12" s="20">
        <f t="shared" si="1"/>
        <v>-1002234.349999994</v>
      </c>
      <c r="AG12" s="48">
        <v>77018567.280000001</v>
      </c>
      <c r="AH12" s="20">
        <f t="shared" si="2"/>
        <v>2982752.7199999988</v>
      </c>
      <c r="AI12" s="48">
        <v>86051217.340000004</v>
      </c>
      <c r="AJ12" s="20">
        <f t="shared" si="3"/>
        <v>-6049897.3400000036</v>
      </c>
      <c r="AL12" s="48">
        <v>86198068.669999987</v>
      </c>
      <c r="AM12" s="20">
        <f>Q12-AL12</f>
        <v>-6196748.6699999869</v>
      </c>
      <c r="AP12" s="395">
        <f>Q12-'[1]2025 Summay'!Q12</f>
        <v>0</v>
      </c>
    </row>
    <row r="13" spans="1:42" ht="24.95" customHeight="1">
      <c r="A13" s="38" t="s">
        <v>22</v>
      </c>
      <c r="B13" s="38" t="s">
        <v>23</v>
      </c>
      <c r="C13" s="45"/>
      <c r="D13" s="13" t="s">
        <v>24</v>
      </c>
      <c r="E13" s="46">
        <f>'OOD '!D18-'OOD '!D17</f>
        <v>436400</v>
      </c>
      <c r="F13" s="46">
        <f>'OOD '!E18-'OOD '!E17</f>
        <v>556360</v>
      </c>
      <c r="G13" s="46">
        <f>'OOD '!F18-'OOD '!F17</f>
        <v>317502</v>
      </c>
      <c r="H13" s="46">
        <f>'OOD '!G18-'OOD '!G17</f>
        <v>331919</v>
      </c>
      <c r="I13" s="46">
        <f>'OOD '!H18-'OOD '!H17</f>
        <v>326011</v>
      </c>
      <c r="J13" s="46">
        <f>'OOD '!I18-'OOD '!I17</f>
        <v>204604</v>
      </c>
      <c r="K13" s="46">
        <f>'OOD '!J18-'OOD '!J17</f>
        <v>348484</v>
      </c>
      <c r="L13" s="46">
        <f>'OOD '!K18-'OOD '!K17</f>
        <v>342337</v>
      </c>
      <c r="M13" s="46">
        <f>'OOD '!L18-'OOD '!L17</f>
        <v>257486</v>
      </c>
      <c r="N13" s="46">
        <f>'OOD '!M18-'OOD '!M17</f>
        <v>359692</v>
      </c>
      <c r="O13" s="46">
        <f>'OOD '!N18-'OOD '!N17</f>
        <v>268915</v>
      </c>
      <c r="P13" s="46">
        <f>'OOD '!O18-'OOD '!O17</f>
        <v>356782</v>
      </c>
      <c r="Q13" s="47">
        <f>SUM(E13:P13)</f>
        <v>4106492</v>
      </c>
      <c r="R13" s="46">
        <f>'OOD '!Q18-R15</f>
        <v>589296.09000000008</v>
      </c>
      <c r="S13" s="46">
        <f>'OOD '!R18-S15</f>
        <v>822237.84999999986</v>
      </c>
      <c r="T13" s="46">
        <f>'OOD '!S18-T15</f>
        <v>439336.51999999996</v>
      </c>
      <c r="U13" s="46">
        <f>'OOD '!T18-U15</f>
        <v>440394.26</v>
      </c>
      <c r="V13" s="46">
        <f>'OOD '!U18-V15</f>
        <v>428925.24999999994</v>
      </c>
      <c r="W13" s="46">
        <f>'OOD '!V18-W15</f>
        <v>292954.07000000007</v>
      </c>
      <c r="X13" s="46">
        <f>'OOD '!W18-X15</f>
        <v>433797.53</v>
      </c>
      <c r="Y13" s="46">
        <f>'OOD '!X18-Y15</f>
        <v>603523.31000000006</v>
      </c>
      <c r="Z13" s="46">
        <f>'OOD '!Y18-Z15</f>
        <v>325225.69999999995</v>
      </c>
      <c r="AA13" s="46">
        <f>'OOD '!Z18-AA15</f>
        <v>479443.30000000005</v>
      </c>
      <c r="AB13" s="46">
        <f>'OOD '!AA18-AB15</f>
        <v>406981.19999999995</v>
      </c>
      <c r="AC13" s="46">
        <f>'OOD '!AB18-AC15</f>
        <v>551644.9</v>
      </c>
      <c r="AD13" s="47">
        <f>SUM(R13:AC13)</f>
        <v>5813759.9800000004</v>
      </c>
      <c r="AE13" s="20">
        <f t="shared" si="1"/>
        <v>-1707267.9800000004</v>
      </c>
      <c r="AG13" s="48">
        <v>5165566.3</v>
      </c>
      <c r="AH13" s="20">
        <f t="shared" si="2"/>
        <v>-1059074.2999999998</v>
      </c>
      <c r="AI13" s="48">
        <v>4752037.58</v>
      </c>
      <c r="AJ13" s="20">
        <f t="shared" si="3"/>
        <v>-645545.58000000007</v>
      </c>
      <c r="AL13" s="48">
        <v>6199978.4500000002</v>
      </c>
      <c r="AM13" s="20">
        <f>Q13-AL13</f>
        <v>-2093486.4500000002</v>
      </c>
      <c r="AP13" s="395">
        <f>Q13-'[1]2025 Summay'!Q13</f>
        <v>0</v>
      </c>
    </row>
    <row r="14" spans="1:42" ht="24.95" customHeight="1">
      <c r="A14" s="38" t="s">
        <v>25</v>
      </c>
      <c r="B14" s="38" t="s">
        <v>26</v>
      </c>
      <c r="C14" s="45"/>
      <c r="D14" s="38" t="s">
        <v>27</v>
      </c>
      <c r="E14" s="46"/>
      <c r="F14" s="46"/>
      <c r="G14" s="46"/>
      <c r="H14" s="46"/>
      <c r="I14" s="49"/>
      <c r="J14" s="49"/>
      <c r="K14" s="49"/>
      <c r="L14" s="49"/>
      <c r="M14" s="46"/>
      <c r="N14" s="46"/>
      <c r="O14" s="46"/>
      <c r="P14" s="46"/>
      <c r="Q14" s="47">
        <f>SUM(E14:P14)</f>
        <v>0</v>
      </c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7">
        <f>SUM(R14:AC14)</f>
        <v>0</v>
      </c>
      <c r="AE14" s="20">
        <f t="shared" si="1"/>
        <v>0</v>
      </c>
      <c r="AG14" s="48">
        <v>0</v>
      </c>
      <c r="AH14" s="20">
        <f t="shared" si="2"/>
        <v>0</v>
      </c>
      <c r="AI14" s="48">
        <v>0</v>
      </c>
      <c r="AJ14" s="20">
        <f t="shared" si="3"/>
        <v>0</v>
      </c>
      <c r="AL14" s="48">
        <v>0</v>
      </c>
      <c r="AM14" s="20">
        <f>Q14-AL14</f>
        <v>0</v>
      </c>
      <c r="AP14" s="395">
        <f>Q14-'[1]2025 Summay'!Q14</f>
        <v>0</v>
      </c>
    </row>
    <row r="15" spans="1:42" ht="24.95" customHeight="1">
      <c r="A15" s="38" t="s">
        <v>28</v>
      </c>
      <c r="B15" s="38" t="s">
        <v>26</v>
      </c>
      <c r="C15" s="45"/>
      <c r="D15" s="38" t="s">
        <v>29</v>
      </c>
      <c r="E15" s="46">
        <f>'OOD '!D17</f>
        <v>354146</v>
      </c>
      <c r="F15" s="46">
        <f>'OOD '!E17</f>
        <v>354146</v>
      </c>
      <c r="G15" s="46">
        <f>'OOD '!F17</f>
        <v>354146</v>
      </c>
      <c r="H15" s="46">
        <f>'OOD '!G17</f>
        <v>354146</v>
      </c>
      <c r="I15" s="46">
        <f>'OOD '!H17</f>
        <v>354146</v>
      </c>
      <c r="J15" s="46">
        <f>'OOD '!I17</f>
        <v>354146</v>
      </c>
      <c r="K15" s="46">
        <f>'OOD '!J17</f>
        <v>354146</v>
      </c>
      <c r="L15" s="46">
        <f>'OOD '!K17</f>
        <v>354146</v>
      </c>
      <c r="M15" s="46">
        <f>'OOD '!L17</f>
        <v>354146</v>
      </c>
      <c r="N15" s="46">
        <f>'OOD '!M17</f>
        <v>354146</v>
      </c>
      <c r="O15" s="46">
        <f>'OOD '!N17</f>
        <v>354146</v>
      </c>
      <c r="P15" s="46">
        <f>'OOD '!O17</f>
        <v>354154</v>
      </c>
      <c r="Q15" s="47">
        <f>SUM(E15:P15)</f>
        <v>4249760</v>
      </c>
      <c r="R15" s="46">
        <f>'OOD '!Q17</f>
        <v>274421.34000000003</v>
      </c>
      <c r="S15" s="46">
        <f>'OOD '!R17</f>
        <v>325261.56</v>
      </c>
      <c r="T15" s="46">
        <f>'OOD '!S17</f>
        <v>368758.67</v>
      </c>
      <c r="U15" s="46">
        <f>'OOD '!T17</f>
        <v>303970.49</v>
      </c>
      <c r="V15" s="46">
        <f>'OOD '!U17</f>
        <v>280657.18</v>
      </c>
      <c r="W15" s="46">
        <f>'OOD '!V17</f>
        <v>276915.02</v>
      </c>
      <c r="X15" s="46">
        <f>'OOD '!W17</f>
        <v>264193.96999999997</v>
      </c>
      <c r="Y15" s="46">
        <f>'OOD '!X17</f>
        <v>312553.67</v>
      </c>
      <c r="Z15" s="46">
        <f>'OOD '!Y17</f>
        <v>278033</v>
      </c>
      <c r="AA15" s="46">
        <f>'OOD '!Z17</f>
        <v>278033</v>
      </c>
      <c r="AB15" s="46">
        <f>'OOD '!AA17</f>
        <v>278033</v>
      </c>
      <c r="AC15" s="46">
        <f>'OOD '!AB17</f>
        <v>278033</v>
      </c>
      <c r="AD15" s="47">
        <f>SUM(R15:AC15)</f>
        <v>3518863.9</v>
      </c>
      <c r="AE15" s="20">
        <f t="shared" si="1"/>
        <v>730896.10000000009</v>
      </c>
      <c r="AG15" s="48">
        <v>4169173.87</v>
      </c>
      <c r="AH15" s="20">
        <f t="shared" si="2"/>
        <v>80586.129999999888</v>
      </c>
      <c r="AI15" s="48">
        <v>4549679.7</v>
      </c>
      <c r="AJ15" s="20">
        <f t="shared" si="3"/>
        <v>-299919.70000000019</v>
      </c>
      <c r="AL15" s="48">
        <v>3561306.8200000003</v>
      </c>
      <c r="AM15" s="20">
        <f>Q15-AL15</f>
        <v>688453.1799999997</v>
      </c>
      <c r="AP15" s="395">
        <f>Q15-'[1]2025 Summay'!Q15</f>
        <v>0</v>
      </c>
    </row>
    <row r="16" spans="1:42" ht="24.95" customHeight="1">
      <c r="A16" s="38"/>
      <c r="B16" s="38"/>
      <c r="C16" s="50"/>
      <c r="D16" s="50" t="s">
        <v>30</v>
      </c>
      <c r="E16" s="51">
        <f t="shared" ref="E16:AD16" si="4">SUBTOTAL(9,E11:E15)</f>
        <v>39233149</v>
      </c>
      <c r="F16" s="51">
        <f t="shared" si="4"/>
        <v>43452422</v>
      </c>
      <c r="G16" s="51">
        <f t="shared" si="4"/>
        <v>27030377</v>
      </c>
      <c r="H16" s="51">
        <f t="shared" si="4"/>
        <v>25027257</v>
      </c>
      <c r="I16" s="51">
        <f t="shared" si="4"/>
        <v>23807640</v>
      </c>
      <c r="J16" s="51">
        <f t="shared" si="4"/>
        <v>21296011</v>
      </c>
      <c r="K16" s="51">
        <f t="shared" si="4"/>
        <v>30906188</v>
      </c>
      <c r="L16" s="51">
        <f t="shared" si="4"/>
        <v>34819289</v>
      </c>
      <c r="M16" s="51">
        <f t="shared" si="4"/>
        <v>20076077</v>
      </c>
      <c r="N16" s="51">
        <f t="shared" si="4"/>
        <v>25381394</v>
      </c>
      <c r="O16" s="51">
        <f t="shared" si="4"/>
        <v>21936590</v>
      </c>
      <c r="P16" s="51">
        <f t="shared" si="4"/>
        <v>27659550</v>
      </c>
      <c r="Q16" s="51">
        <f t="shared" si="4"/>
        <v>340625944</v>
      </c>
      <c r="R16" s="51">
        <f t="shared" si="4"/>
        <v>41901784.770000011</v>
      </c>
      <c r="S16" s="51">
        <f t="shared" si="4"/>
        <v>65392357.789999999</v>
      </c>
      <c r="T16" s="51">
        <f t="shared" si="4"/>
        <v>29946725.100000001</v>
      </c>
      <c r="U16" s="51">
        <f t="shared" si="4"/>
        <v>25759983.420000002</v>
      </c>
      <c r="V16" s="51">
        <f t="shared" si="4"/>
        <v>24120791.050000001</v>
      </c>
      <c r="W16" s="51">
        <f t="shared" si="4"/>
        <v>21575192.739999998</v>
      </c>
      <c r="X16" s="51">
        <f t="shared" si="4"/>
        <v>30923433.920000002</v>
      </c>
      <c r="Y16" s="51">
        <f t="shared" si="4"/>
        <v>35379332.380000003</v>
      </c>
      <c r="Z16" s="51">
        <f t="shared" si="4"/>
        <v>18900732.699999999</v>
      </c>
      <c r="AA16" s="51">
        <f t="shared" si="4"/>
        <v>22364000.300000001</v>
      </c>
      <c r="AB16" s="51">
        <f t="shared" si="4"/>
        <v>20549502.199999999</v>
      </c>
      <c r="AC16" s="51">
        <f t="shared" si="4"/>
        <v>24932755.899999999</v>
      </c>
      <c r="AD16" s="51">
        <f t="shared" si="4"/>
        <v>361746592.26999998</v>
      </c>
      <c r="AE16" s="20">
        <f t="shared" si="1"/>
        <v>-21120648.269999981</v>
      </c>
      <c r="AG16" s="48">
        <v>345014155.54000002</v>
      </c>
      <c r="AH16" s="20">
        <f t="shared" si="2"/>
        <v>-4388211.5400000215</v>
      </c>
      <c r="AI16" s="48">
        <v>339554458.64999998</v>
      </c>
      <c r="AJ16" s="20">
        <f t="shared" si="3"/>
        <v>1071485.3500000238</v>
      </c>
      <c r="AL16" s="48">
        <v>424227905.50999999</v>
      </c>
      <c r="AM16" s="20">
        <f>Q16-AL16</f>
        <v>-83601961.50999999</v>
      </c>
      <c r="AP16" s="395">
        <f>Q16-'[1]2025 Summay'!Q16</f>
        <v>0</v>
      </c>
    </row>
    <row r="17" spans="1:42" ht="24.95" customHeight="1">
      <c r="A17" s="38"/>
      <c r="B17" s="38"/>
      <c r="C17" s="38"/>
      <c r="D17" s="38"/>
      <c r="E17" s="52"/>
      <c r="F17" s="52"/>
      <c r="G17" s="52"/>
      <c r="H17" s="52"/>
      <c r="I17" s="52"/>
      <c r="J17" s="52"/>
      <c r="K17" s="52"/>
      <c r="L17" s="53"/>
      <c r="Q17" s="54"/>
      <c r="AE17" s="55">
        <f>AE16/AD16</f>
        <v>-5.8385203126491314E-2</v>
      </c>
      <c r="AG17" s="48"/>
      <c r="AI17" s="48"/>
      <c r="AL17" s="48"/>
      <c r="AM17" s="20">
        <f>Q17-AL17</f>
        <v>0</v>
      </c>
      <c r="AP17" s="395">
        <f>Q17-'[1]2025 Summay'!Q17</f>
        <v>0</v>
      </c>
    </row>
    <row r="18" spans="1:42" ht="24.95" customHeight="1">
      <c r="A18" s="38" t="s">
        <v>31</v>
      </c>
      <c r="B18" s="38" t="s">
        <v>17</v>
      </c>
      <c r="C18" s="38"/>
      <c r="D18" s="38" t="s">
        <v>32</v>
      </c>
      <c r="E18" s="56">
        <f>'Rooms+Summary'!E44+'Rooms+Summary'!E17</f>
        <v>5706729.6099999994</v>
      </c>
      <c r="F18" s="56">
        <f>'Rooms+Summary'!F44+'Rooms+Summary'!F17</f>
        <v>5322446.42</v>
      </c>
      <c r="G18" s="56">
        <f>'Rooms+Summary'!G44+'Rooms+Summary'!G17</f>
        <v>4403623.88</v>
      </c>
      <c r="H18" s="56">
        <f>'Rooms+Summary'!H44+'Rooms+Summary'!H17</f>
        <v>4361951.5</v>
      </c>
      <c r="I18" s="56">
        <f>'Rooms+Summary'!I44+'Rooms+Summary'!I17</f>
        <v>4337138.28</v>
      </c>
      <c r="J18" s="56">
        <f>'Rooms+Summary'!J44+'Rooms+Summary'!J17</f>
        <v>4070436.0500000003</v>
      </c>
      <c r="K18" s="56">
        <f>'Rooms+Summary'!K44+'Rooms+Summary'!K17</f>
        <v>4753079.3</v>
      </c>
      <c r="L18" s="56">
        <f>'Rooms+Summary'!L44+'Rooms+Summary'!L17</f>
        <v>4985636.43</v>
      </c>
      <c r="M18" s="56">
        <f>'Rooms+Summary'!M44+'Rooms+Summary'!M17</f>
        <v>4026468.03</v>
      </c>
      <c r="N18" s="56">
        <f>'Rooms+Summary'!N44+'Rooms+Summary'!N17</f>
        <v>4620092.79</v>
      </c>
      <c r="O18" s="56">
        <f>'Rooms+Summary'!O44+'Rooms+Summary'!O17</f>
        <v>4129246.5</v>
      </c>
      <c r="P18" s="56">
        <f>'Rooms+Summary'!P44+'Rooms+Summary'!P17</f>
        <v>4512521.3</v>
      </c>
      <c r="Q18" s="48">
        <f>SUM(E18:P18)</f>
        <v>55229370.089999996</v>
      </c>
      <c r="R18" s="56">
        <f>'Rooms+Summary'!R44+'Rooms+Summary'!R17</f>
        <v>6320485.8399999999</v>
      </c>
      <c r="S18" s="56">
        <f>'Rooms+Summary'!S44+'Rooms+Summary'!S17</f>
        <v>8673892.5199999996</v>
      </c>
      <c r="T18" s="56">
        <f>'Rooms+Summary'!T44+'Rooms+Summary'!T17</f>
        <v>5418330.3899999997</v>
      </c>
      <c r="U18" s="56">
        <f>'Rooms+Summary'!U44+'Rooms+Summary'!U17</f>
        <v>4944402.209999999</v>
      </c>
      <c r="V18" s="56">
        <f>'Rooms+Summary'!V44+'Rooms+Summary'!V17</f>
        <v>4974209.3499999996</v>
      </c>
      <c r="W18" s="56">
        <f>'Rooms+Summary'!W44+'Rooms+Summary'!W17</f>
        <v>4344709.3100000005</v>
      </c>
      <c r="X18" s="56">
        <f>'Rooms+Summary'!X44+'Rooms+Summary'!X17</f>
        <v>5121829.18</v>
      </c>
      <c r="Y18" s="56">
        <f>'Rooms+Summary'!Y44+'Rooms+Summary'!Y17</f>
        <v>6400470.0599999996</v>
      </c>
      <c r="Z18" s="56">
        <f>'Rooms+Summary'!Z44+'Rooms+Summary'!Z17</f>
        <v>4277681.96</v>
      </c>
      <c r="AA18" s="56">
        <f>'Rooms+Summary'!AA44+'Rooms+Summary'!AA17</f>
        <v>4862745.96</v>
      </c>
      <c r="AB18" s="56">
        <f>'Rooms+Summary'!AB44+'Rooms+Summary'!AB17</f>
        <v>4397699.96</v>
      </c>
      <c r="AC18" s="56">
        <f>'Rooms+Summary'!AC44+'Rooms+Summary'!AC17</f>
        <v>4883076.96</v>
      </c>
      <c r="AD18" s="47">
        <f>SUM(R18:AC18)</f>
        <v>64619533.70000001</v>
      </c>
      <c r="AE18" s="20">
        <f t="shared" si="1"/>
        <v>-9390163.6100000143</v>
      </c>
      <c r="AF18" s="57">
        <f>AE18/AD18</f>
        <v>-0.14531462968449141</v>
      </c>
      <c r="AG18" s="48">
        <v>50844358.839999989</v>
      </c>
      <c r="AH18" s="20">
        <f>AG18-Q18</f>
        <v>-4385011.2500000075</v>
      </c>
      <c r="AI18" s="48">
        <v>45744344.469999999</v>
      </c>
      <c r="AJ18" s="20">
        <f>AI18-Q18</f>
        <v>-9485025.6199999973</v>
      </c>
      <c r="AL18" s="48">
        <v>72148328.830000013</v>
      </c>
      <c r="AM18" s="20">
        <f>Q18-AL18</f>
        <v>-16918958.740000017</v>
      </c>
      <c r="AP18" s="395">
        <f>Q18-'[1]2025 Summay'!Q18</f>
        <v>0</v>
      </c>
    </row>
    <row r="19" spans="1:42" ht="24.95" customHeight="1">
      <c r="A19" s="38" t="s">
        <v>31</v>
      </c>
      <c r="B19" s="38" t="s">
        <v>33</v>
      </c>
      <c r="C19" s="38"/>
      <c r="D19" s="38" t="s">
        <v>34</v>
      </c>
      <c r="E19" s="56">
        <f>'F&amp;B+Summary'!D55+'F&amp;B+Summary'!D57+'F&amp;B+Summary'!D101</f>
        <v>5815846.2800000003</v>
      </c>
      <c r="F19" s="56">
        <f>'F&amp;B+Summary'!E55+'F&amp;B+Summary'!E57+'F&amp;B+Summary'!E101</f>
        <v>5222186.71</v>
      </c>
      <c r="G19" s="56">
        <f>'F&amp;B+Summary'!F55+'F&amp;B+Summary'!F57+'F&amp;B+Summary'!F101</f>
        <v>4354493.95</v>
      </c>
      <c r="H19" s="56">
        <f>'F&amp;B+Summary'!G55+'F&amp;B+Summary'!G57+'F&amp;B+Summary'!G101</f>
        <v>4304037.4400000004</v>
      </c>
      <c r="I19" s="56">
        <f>'F&amp;B+Summary'!H55+'F&amp;B+Summary'!H57+'F&amp;B+Summary'!H101</f>
        <v>4501502.66</v>
      </c>
      <c r="J19" s="56">
        <f>'F&amp;B+Summary'!I55+'F&amp;B+Summary'!I57+'F&amp;B+Summary'!I101</f>
        <v>4067651.34</v>
      </c>
      <c r="K19" s="56">
        <f>'F&amp;B+Summary'!J55+'F&amp;B+Summary'!J57+'F&amp;B+Summary'!J101</f>
        <v>4834139.96</v>
      </c>
      <c r="L19" s="56">
        <f>'F&amp;B+Summary'!K55+'F&amp;B+Summary'!K57+'F&amp;B+Summary'!K101</f>
        <v>4929107.24</v>
      </c>
      <c r="M19" s="56">
        <f>'F&amp;B+Summary'!L55+'F&amp;B+Summary'!L57+'F&amp;B+Summary'!L101</f>
        <v>4069953.24</v>
      </c>
      <c r="N19" s="56">
        <f>'F&amp;B+Summary'!M55+'F&amp;B+Summary'!M57+'F&amp;B+Summary'!M101</f>
        <v>5715805.7300000004</v>
      </c>
      <c r="O19" s="56">
        <f>'F&amp;B+Summary'!N55+'F&amp;B+Summary'!N57+'F&amp;B+Summary'!N101</f>
        <v>4393825.9399999995</v>
      </c>
      <c r="P19" s="56">
        <f>'F&amp;B+Summary'!O55+'F&amp;B+Summary'!O57+'F&amp;B+Summary'!O101</f>
        <v>4860991.22</v>
      </c>
      <c r="Q19" s="48">
        <f>SUM(E19:P19)</f>
        <v>57069541.710000008</v>
      </c>
      <c r="R19" s="56">
        <f>'F&amp;B+Summary'!Q55+'F&amp;B+Summary'!Q57+'F&amp;B+Summary'!Q101</f>
        <v>5588518.8599999994</v>
      </c>
      <c r="S19" s="56">
        <f>'F&amp;B+Summary'!R55+'F&amp;B+Summary'!R57+'F&amp;B+Summary'!R101</f>
        <v>7513599.0200000005</v>
      </c>
      <c r="T19" s="56">
        <f>'F&amp;B+Summary'!S55+'F&amp;B+Summary'!S57+'F&amp;B+Summary'!S101</f>
        <v>5130471.68</v>
      </c>
      <c r="U19" s="56">
        <f>'F&amp;B+Summary'!T55+'F&amp;B+Summary'!T57+'F&amp;B+Summary'!T101</f>
        <v>4586321.2</v>
      </c>
      <c r="V19" s="56">
        <f>'F&amp;B+Summary'!U55+'F&amp;B+Summary'!U57+'F&amp;B+Summary'!U101</f>
        <v>4311452.3600000003</v>
      </c>
      <c r="W19" s="56">
        <f>'F&amp;B+Summary'!V55+'F&amp;B+Summary'!V57+'F&amp;B+Summary'!V101</f>
        <v>4280408</v>
      </c>
      <c r="X19" s="56">
        <f>'F&amp;B+Summary'!W55+'F&amp;B+Summary'!W57+'F&amp;B+Summary'!W101</f>
        <v>4816194.7299999995</v>
      </c>
      <c r="Y19" s="56">
        <f>'F&amp;B+Summary'!X55+'F&amp;B+Summary'!X57+'F&amp;B+Summary'!X101</f>
        <v>5184942.45</v>
      </c>
      <c r="Z19" s="56">
        <f>'F&amp;B+Summary'!Y55+'F&amp;B+Summary'!Y57+'F&amp;B+Summary'!Y101</f>
        <v>4751141.71</v>
      </c>
      <c r="AA19" s="56">
        <f>'F&amp;B+Summary'!Z55+'F&amp;B+Summary'!Z57+'F&amp;B+Summary'!Z101</f>
        <v>4518075.75</v>
      </c>
      <c r="AB19" s="56">
        <f>'F&amp;B+Summary'!AA55+'F&amp;B+Summary'!AA57+'F&amp;B+Summary'!AA101</f>
        <v>4101113.12</v>
      </c>
      <c r="AC19" s="56">
        <f>'F&amp;B+Summary'!AB55+'F&amp;B+Summary'!AB57+'F&amp;B+Summary'!AB101</f>
        <v>4487700.54</v>
      </c>
      <c r="AD19" s="47">
        <f>SUM(R19:AC19)</f>
        <v>59269939.419999994</v>
      </c>
      <c r="AE19" s="20">
        <f t="shared" si="1"/>
        <v>-2200397.709999986</v>
      </c>
      <c r="AF19" s="57">
        <f>AE19/AD19</f>
        <v>-3.7125020398746787E-2</v>
      </c>
      <c r="AG19" s="48">
        <v>55259749.319999993</v>
      </c>
      <c r="AH19" s="20">
        <f>AG19-Q19</f>
        <v>-1809792.3900000155</v>
      </c>
      <c r="AI19" s="48">
        <v>55404726.840000004</v>
      </c>
      <c r="AJ19" s="20">
        <f>AI19-Q19</f>
        <v>-1664814.8700000048</v>
      </c>
      <c r="AL19" s="48">
        <v>67117097.239999995</v>
      </c>
      <c r="AM19" s="20">
        <f>Q19-AL19</f>
        <v>-10047555.529999986</v>
      </c>
      <c r="AP19" s="395">
        <f>Q19-'[1]2025 Summay'!Q19</f>
        <v>0</v>
      </c>
    </row>
    <row r="20" spans="1:42" ht="24.95" customHeight="1">
      <c r="A20" s="38" t="s">
        <v>31</v>
      </c>
      <c r="B20" s="38" t="s">
        <v>23</v>
      </c>
      <c r="C20" s="38"/>
      <c r="D20" s="13" t="s">
        <v>35</v>
      </c>
      <c r="E20" s="56">
        <f>'OOD '!D30+'OOD '!D77-Laundry!E60</f>
        <v>1612638.49</v>
      </c>
      <c r="F20" s="56">
        <f>'OOD '!E30+'OOD '!E77-Laundry!F60</f>
        <v>1365686.7400000002</v>
      </c>
      <c r="G20" s="56">
        <f>'OOD '!F30+'OOD '!F77-Laundry!G60</f>
        <v>1381732.2800000003</v>
      </c>
      <c r="H20" s="56">
        <f>'OOD '!G30+'OOD '!G77-Laundry!H60</f>
        <v>1364910.47</v>
      </c>
      <c r="I20" s="56">
        <f>'OOD '!H30+'OOD '!H77-Laundry!I60</f>
        <v>1455407.07</v>
      </c>
      <c r="J20" s="56">
        <f>'OOD '!I30+'OOD '!I77-Laundry!J60</f>
        <v>1369717.1</v>
      </c>
      <c r="K20" s="56">
        <f>'OOD '!J30+'OOD '!J77-Laundry!K60</f>
        <v>1390579.3199999998</v>
      </c>
      <c r="L20" s="56">
        <f>'OOD '!K30+'OOD '!K77-Laundry!L60</f>
        <v>1381079.97</v>
      </c>
      <c r="M20" s="56">
        <f>'OOD '!L30+'OOD '!L77-Laundry!M60</f>
        <v>1349516.97</v>
      </c>
      <c r="N20" s="56">
        <f>'OOD '!M30+'OOD '!M77-Laundry!N60</f>
        <v>1602759.18</v>
      </c>
      <c r="O20" s="56">
        <f>'OOD '!N30+'OOD '!N77-Laundry!O60</f>
        <v>1340811.1399999999</v>
      </c>
      <c r="P20" s="56">
        <f>'OOD '!O30+'OOD '!O77-Laundry!P60</f>
        <v>1401678.79</v>
      </c>
      <c r="Q20" s="48">
        <f>SUM(E20:P20)</f>
        <v>17016517.520000003</v>
      </c>
      <c r="R20" s="56">
        <f>'OOD '!Q30+'OOD '!Q77-Laundry!R60</f>
        <v>1940764.8799999997</v>
      </c>
      <c r="S20" s="56">
        <f>'OOD '!R30+'OOD '!R77-Laundry!S60</f>
        <v>2851632.6999999997</v>
      </c>
      <c r="T20" s="56">
        <f>'OOD '!S30+'OOD '!S77-Laundry!T60</f>
        <v>1612156.86</v>
      </c>
      <c r="U20" s="56">
        <f>'OOD '!T30+'OOD '!T77-Laundry!U60</f>
        <v>1516651.59</v>
      </c>
      <c r="V20" s="56">
        <f>'OOD '!U30+'OOD '!U77-Laundry!V60</f>
        <v>621510.6</v>
      </c>
      <c r="W20" s="56">
        <f>'OOD '!V30+'OOD '!V77-Laundry!W60</f>
        <v>1369707.8500000003</v>
      </c>
      <c r="X20" s="56">
        <f>'OOD '!W30+'OOD '!W77-Laundry!X60</f>
        <v>1634469.09</v>
      </c>
      <c r="Y20" s="56">
        <f>'OOD '!X30+'OOD '!X77-Laundry!Y60</f>
        <v>1740847.1400000004</v>
      </c>
      <c r="Z20" s="58">
        <f>'OOD '!Y30+'OOD '!Y77-Laundry!Z60</f>
        <v>1237328.72</v>
      </c>
      <c r="AA20" s="58">
        <f>'OOD '!Z30+'OOD '!Z77-Laundry!AA60</f>
        <v>1641228.72</v>
      </c>
      <c r="AB20" s="58">
        <f>'OOD '!AA30+'OOD '!AA77-Laundry!AB60</f>
        <v>1190785.72</v>
      </c>
      <c r="AC20" s="56">
        <f>'OOD '!AB30+'OOD '!AB77-Laundry!AC60</f>
        <v>1585306.54</v>
      </c>
      <c r="AD20" s="47">
        <f>SUM(R20:AC20)</f>
        <v>18942390.41</v>
      </c>
      <c r="AE20" s="20">
        <f t="shared" si="1"/>
        <v>-1925872.8899999969</v>
      </c>
      <c r="AF20" s="57">
        <f>AE20/AD20</f>
        <v>-0.10167000300993147</v>
      </c>
      <c r="AG20" s="48">
        <v>13175518.6</v>
      </c>
      <c r="AH20" s="20">
        <f>AG20-Q20</f>
        <v>-3840998.9200000037</v>
      </c>
      <c r="AI20" s="48">
        <v>13433051.710000001</v>
      </c>
      <c r="AJ20" s="20">
        <f>AI20-Q20</f>
        <v>-3583465.8100000024</v>
      </c>
      <c r="AL20" s="48">
        <v>25960426.310000002</v>
      </c>
      <c r="AM20" s="20">
        <f>Q20-AL20</f>
        <v>-8943908.7899999991</v>
      </c>
      <c r="AP20" s="395">
        <f>Q20-'[1]2025 Summay'!Q20</f>
        <v>0</v>
      </c>
    </row>
    <row r="21" spans="1:42" ht="24.95" customHeight="1">
      <c r="A21" s="38"/>
      <c r="B21" s="38"/>
      <c r="C21" s="50"/>
      <c r="D21" s="50" t="s">
        <v>36</v>
      </c>
      <c r="E21" s="59">
        <f t="shared" ref="E21:AD21" si="5">SUBTOTAL(9,E18:E20)</f>
        <v>13135214.380000001</v>
      </c>
      <c r="F21" s="59">
        <f t="shared" si="5"/>
        <v>11910319.869999999</v>
      </c>
      <c r="G21" s="59">
        <f t="shared" si="5"/>
        <v>10139850.109999999</v>
      </c>
      <c r="H21" s="59">
        <f t="shared" si="5"/>
        <v>10030899.410000002</v>
      </c>
      <c r="I21" s="59">
        <f t="shared" si="5"/>
        <v>10294048.010000002</v>
      </c>
      <c r="J21" s="59">
        <f t="shared" si="5"/>
        <v>9507804.4900000002</v>
      </c>
      <c r="K21" s="59">
        <f t="shared" si="5"/>
        <v>10977798.58</v>
      </c>
      <c r="L21" s="59">
        <f t="shared" si="5"/>
        <v>11295823.640000001</v>
      </c>
      <c r="M21" s="59">
        <f t="shared" si="5"/>
        <v>9445938.2400000002</v>
      </c>
      <c r="N21" s="59">
        <f t="shared" si="5"/>
        <v>11938657.699999999</v>
      </c>
      <c r="O21" s="59">
        <f t="shared" si="5"/>
        <v>9863883.5800000001</v>
      </c>
      <c r="P21" s="59">
        <f t="shared" si="5"/>
        <v>10775191.309999999</v>
      </c>
      <c r="Q21" s="59">
        <f t="shared" si="5"/>
        <v>129315429.32000002</v>
      </c>
      <c r="R21" s="59">
        <f t="shared" si="5"/>
        <v>13849769.579999998</v>
      </c>
      <c r="S21" s="59">
        <f t="shared" si="5"/>
        <v>19039124.239999998</v>
      </c>
      <c r="T21" s="59">
        <f t="shared" si="5"/>
        <v>12160958.93</v>
      </c>
      <c r="U21" s="59">
        <f t="shared" si="5"/>
        <v>11047375</v>
      </c>
      <c r="V21" s="59">
        <f t="shared" si="5"/>
        <v>9907172.3100000005</v>
      </c>
      <c r="W21" s="59">
        <f t="shared" si="5"/>
        <v>9994825.1600000001</v>
      </c>
      <c r="X21" s="59">
        <f t="shared" si="5"/>
        <v>11572493</v>
      </c>
      <c r="Y21" s="59">
        <f t="shared" si="5"/>
        <v>13326259.65</v>
      </c>
      <c r="Z21" s="59">
        <f t="shared" si="5"/>
        <v>10266152.390000001</v>
      </c>
      <c r="AA21" s="59">
        <f t="shared" si="5"/>
        <v>11022050.430000002</v>
      </c>
      <c r="AB21" s="59">
        <f t="shared" si="5"/>
        <v>9689598.8000000007</v>
      </c>
      <c r="AC21" s="59">
        <f t="shared" si="5"/>
        <v>10956084.039999999</v>
      </c>
      <c r="AD21" s="59">
        <f t="shared" si="5"/>
        <v>142831863.53</v>
      </c>
      <c r="AE21" s="20">
        <f t="shared" si="1"/>
        <v>-13516434.209999979</v>
      </c>
      <c r="AG21" s="48">
        <v>119279626.75999998</v>
      </c>
      <c r="AH21" s="20">
        <f>AG21-Q21</f>
        <v>-10035802.560000047</v>
      </c>
      <c r="AI21" s="48">
        <v>114582123.02000001</v>
      </c>
      <c r="AJ21" s="20">
        <f>AI21-Q21</f>
        <v>-14733306.300000012</v>
      </c>
      <c r="AL21" s="48">
        <v>165225852.38</v>
      </c>
      <c r="AM21" s="20">
        <f>Q21-AL21</f>
        <v>-35910423.059999973</v>
      </c>
      <c r="AP21" s="395">
        <f>Q21-'[1]2025 Summay'!Q21</f>
        <v>0</v>
      </c>
    </row>
    <row r="22" spans="1:42" ht="24.95" customHeight="1">
      <c r="A22" s="38"/>
      <c r="B22" s="38"/>
      <c r="C22" s="50"/>
      <c r="D22" s="50"/>
      <c r="E22" s="47"/>
      <c r="F22" s="47"/>
      <c r="G22" s="47"/>
      <c r="H22" s="47"/>
      <c r="I22" s="47"/>
      <c r="J22" s="47"/>
      <c r="K22" s="47"/>
      <c r="L22" s="53"/>
      <c r="Q22" s="60"/>
      <c r="AB22" s="20"/>
      <c r="AC22" s="20"/>
      <c r="AD22" s="60"/>
      <c r="AG22" s="48"/>
      <c r="AI22" s="48"/>
      <c r="AL22" s="48"/>
      <c r="AM22" s="20">
        <f>Q22-AL22</f>
        <v>0</v>
      </c>
      <c r="AP22" s="395">
        <f>Q22-'[1]2025 Summay'!Q22</f>
        <v>0</v>
      </c>
    </row>
    <row r="23" spans="1:42" ht="24.95" customHeight="1">
      <c r="A23" s="38"/>
      <c r="B23" s="38"/>
      <c r="C23" s="38"/>
      <c r="D23" s="38" t="s">
        <v>37</v>
      </c>
      <c r="E23" s="56">
        <f>E$11-E$18</f>
        <v>23735843.390000001</v>
      </c>
      <c r="F23" s="56">
        <f t="shared" ref="F23:AD23" si="6">F$11-F$18</f>
        <v>29017001.579999998</v>
      </c>
      <c r="G23" s="56">
        <f t="shared" si="6"/>
        <v>15945588.120000001</v>
      </c>
      <c r="H23" s="56">
        <f t="shared" si="6"/>
        <v>14343306.5</v>
      </c>
      <c r="I23" s="56">
        <f t="shared" si="6"/>
        <v>13089871.719999999</v>
      </c>
      <c r="J23" s="56">
        <f t="shared" si="6"/>
        <v>11531423.949999999</v>
      </c>
      <c r="K23" s="56">
        <f t="shared" si="6"/>
        <v>18426352.699999999</v>
      </c>
      <c r="L23" s="56">
        <f t="shared" si="6"/>
        <v>21846088.57</v>
      </c>
      <c r="M23" s="56">
        <f t="shared" si="6"/>
        <v>10274987.970000001</v>
      </c>
      <c r="N23" s="56">
        <f t="shared" si="6"/>
        <v>12773388.210000001</v>
      </c>
      <c r="O23" s="56">
        <f t="shared" si="6"/>
        <v>11019913.5</v>
      </c>
      <c r="P23" s="56">
        <f t="shared" si="6"/>
        <v>15035235.699999999</v>
      </c>
      <c r="Q23" s="48">
        <f>SUM(E23:P23)</f>
        <v>197039001.91</v>
      </c>
      <c r="R23" s="56">
        <f t="shared" si="6"/>
        <v>27019447.490000002</v>
      </c>
      <c r="S23" s="56">
        <f t="shared" si="6"/>
        <v>44038515.090000004</v>
      </c>
      <c r="T23" s="56">
        <f t="shared" si="6"/>
        <v>16763521.559999999</v>
      </c>
      <c r="U23" s="56">
        <f t="shared" si="6"/>
        <v>13734718.590000002</v>
      </c>
      <c r="V23" s="56">
        <f t="shared" si="6"/>
        <v>12462064.880000001</v>
      </c>
      <c r="W23" s="56">
        <f t="shared" si="6"/>
        <v>11227913.050000001</v>
      </c>
      <c r="X23" s="56">
        <f t="shared" si="6"/>
        <v>18080480.510000002</v>
      </c>
      <c r="Y23" s="56">
        <f t="shared" si="6"/>
        <v>20604357.010000002</v>
      </c>
      <c r="Z23" s="56">
        <f t="shared" si="6"/>
        <v>8723873.0399999991</v>
      </c>
      <c r="AA23" s="56">
        <f t="shared" si="6"/>
        <v>11147829.039999999</v>
      </c>
      <c r="AB23" s="56">
        <f t="shared" si="6"/>
        <v>10058237.039999999</v>
      </c>
      <c r="AC23" s="56">
        <f t="shared" si="6"/>
        <v>12929923.039999999</v>
      </c>
      <c r="AD23" s="61">
        <f t="shared" si="6"/>
        <v>206790880.33999994</v>
      </c>
      <c r="AE23" s="20">
        <f t="shared" si="1"/>
        <v>-9751878.4299999475</v>
      </c>
      <c r="AF23" s="55">
        <f>Q23/Q11</f>
        <v>0.78106898755425436</v>
      </c>
      <c r="AG23" s="48">
        <v>207816489.25000006</v>
      </c>
      <c r="AH23" s="20">
        <f t="shared" ref="AH23:AH28" si="7">Q23-AG23</f>
        <v>-10777487.340000063</v>
      </c>
      <c r="AI23" s="48">
        <v>198457179.55999997</v>
      </c>
      <c r="AJ23" s="20">
        <f t="shared" ref="AJ23:AJ28" si="8">Q23-AI23</f>
        <v>-1418177.6499999762</v>
      </c>
      <c r="AL23" s="48">
        <v>256120222.73999998</v>
      </c>
      <c r="AM23" s="20">
        <f>Q23-AL23</f>
        <v>-59081220.829999983</v>
      </c>
      <c r="AP23" s="395">
        <f>Q23-'[1]2025 Summay'!Q23</f>
        <v>0</v>
      </c>
    </row>
    <row r="24" spans="1:42" ht="24.95" customHeight="1">
      <c r="A24" s="38"/>
      <c r="B24" s="38"/>
      <c r="C24" s="38"/>
      <c r="D24" s="38" t="s">
        <v>38</v>
      </c>
      <c r="E24" s="56">
        <f>E$12-E$19</f>
        <v>3184183.7199999997</v>
      </c>
      <c r="F24" s="56">
        <f t="shared" ref="F24:AD24" si="9">F$12-F$19</f>
        <v>2980281.29</v>
      </c>
      <c r="G24" s="56">
        <f t="shared" si="9"/>
        <v>1655023.0499999998</v>
      </c>
      <c r="H24" s="56">
        <f t="shared" si="9"/>
        <v>1331896.5599999996</v>
      </c>
      <c r="I24" s="56">
        <f t="shared" si="9"/>
        <v>1198970.3399999999</v>
      </c>
      <c r="J24" s="56">
        <f t="shared" si="9"/>
        <v>1067749.6600000001</v>
      </c>
      <c r="K24" s="56">
        <f t="shared" si="9"/>
        <v>2189986.04</v>
      </c>
      <c r="L24" s="56">
        <f t="shared" si="9"/>
        <v>2361973.7599999998</v>
      </c>
      <c r="M24" s="56">
        <f t="shared" si="9"/>
        <v>1093035.7599999998</v>
      </c>
      <c r="N24" s="56">
        <f t="shared" si="9"/>
        <v>1558269.2699999996</v>
      </c>
      <c r="O24" s="56">
        <f t="shared" si="9"/>
        <v>1770543.0600000005</v>
      </c>
      <c r="P24" s="56">
        <f t="shared" si="9"/>
        <v>2539865.7800000003</v>
      </c>
      <c r="Q24" s="48">
        <f>SUM(E24:P24)</f>
        <v>22931778.289999999</v>
      </c>
      <c r="R24" s="56">
        <f t="shared" si="9"/>
        <v>2109615.1500000013</v>
      </c>
      <c r="S24" s="56">
        <f t="shared" si="9"/>
        <v>4018851.7499999991</v>
      </c>
      <c r="T24" s="56">
        <f t="shared" si="9"/>
        <v>1826306.2800000012</v>
      </c>
      <c r="U24" s="56">
        <f t="shared" si="9"/>
        <v>1750176.6700000009</v>
      </c>
      <c r="V24" s="56">
        <f t="shared" si="9"/>
        <v>1663482.0300000003</v>
      </c>
      <c r="W24" s="56">
        <f t="shared" si="9"/>
        <v>1152293.2899999991</v>
      </c>
      <c r="X24" s="56">
        <f t="shared" si="9"/>
        <v>2206938</v>
      </c>
      <c r="Y24" s="56">
        <f t="shared" si="9"/>
        <v>2273485.879999999</v>
      </c>
      <c r="Z24" s="56">
        <f t="shared" si="9"/>
        <v>544777.29</v>
      </c>
      <c r="AA24" s="56">
        <f t="shared" si="9"/>
        <v>1077873.25</v>
      </c>
      <c r="AB24" s="56">
        <f t="shared" si="9"/>
        <v>1307437.8799999999</v>
      </c>
      <c r="AC24" s="56">
        <f t="shared" si="9"/>
        <v>1802377.46</v>
      </c>
      <c r="AD24" s="61">
        <f t="shared" si="9"/>
        <v>21733614.93</v>
      </c>
      <c r="AE24" s="20">
        <f t="shared" si="1"/>
        <v>1198163.3599999994</v>
      </c>
      <c r="AF24" s="55">
        <f>Q24/Q12</f>
        <v>0.2866424990237661</v>
      </c>
      <c r="AG24" s="48">
        <v>21758817.959999993</v>
      </c>
      <c r="AH24" s="20">
        <f t="shared" si="7"/>
        <v>1172960.3300000057</v>
      </c>
      <c r="AI24" s="48">
        <v>30646490.5</v>
      </c>
      <c r="AJ24" s="20">
        <f t="shared" si="8"/>
        <v>-7714712.2100000009</v>
      </c>
      <c r="AL24" s="48">
        <v>19080971.429999992</v>
      </c>
      <c r="AM24" s="20">
        <f>Q24-AL24</f>
        <v>3850806.8600000069</v>
      </c>
      <c r="AP24" s="395">
        <f>Q24-'[1]2025 Summay'!Q24</f>
        <v>0</v>
      </c>
    </row>
    <row r="25" spans="1:42" ht="24.95" customHeight="1">
      <c r="A25" s="38"/>
      <c r="B25" s="38"/>
      <c r="C25" s="38"/>
      <c r="D25" s="38" t="s">
        <v>39</v>
      </c>
      <c r="E25" s="56">
        <f>E$13-E$20</f>
        <v>-1176238.49</v>
      </c>
      <c r="F25" s="56">
        <f t="shared" ref="F25:AD25" si="10">F$13-F$20</f>
        <v>-809326.74000000022</v>
      </c>
      <c r="G25" s="56">
        <f t="shared" si="10"/>
        <v>-1064230.2800000003</v>
      </c>
      <c r="H25" s="56">
        <f t="shared" si="10"/>
        <v>-1032991.47</v>
      </c>
      <c r="I25" s="56">
        <f t="shared" si="10"/>
        <v>-1129396.07</v>
      </c>
      <c r="J25" s="56">
        <f t="shared" si="10"/>
        <v>-1165113.1000000001</v>
      </c>
      <c r="K25" s="56">
        <f t="shared" si="10"/>
        <v>-1042095.3199999998</v>
      </c>
      <c r="L25" s="56">
        <f t="shared" si="10"/>
        <v>-1038742.97</v>
      </c>
      <c r="M25" s="56">
        <f t="shared" si="10"/>
        <v>-1092030.97</v>
      </c>
      <c r="N25" s="56">
        <f t="shared" si="10"/>
        <v>-1243067.18</v>
      </c>
      <c r="O25" s="56">
        <f t="shared" si="10"/>
        <v>-1071896.1399999999</v>
      </c>
      <c r="P25" s="56">
        <f t="shared" si="10"/>
        <v>-1044896.79</v>
      </c>
      <c r="Q25" s="48">
        <f>SUM(E25:P25)</f>
        <v>-12910025.520000003</v>
      </c>
      <c r="R25" s="56">
        <f t="shared" si="10"/>
        <v>-1351468.7899999996</v>
      </c>
      <c r="S25" s="56">
        <f t="shared" si="10"/>
        <v>-2029394.8499999999</v>
      </c>
      <c r="T25" s="56">
        <f t="shared" si="10"/>
        <v>-1172820.3400000001</v>
      </c>
      <c r="U25" s="56">
        <f t="shared" si="10"/>
        <v>-1076257.33</v>
      </c>
      <c r="V25" s="56">
        <f t="shared" si="10"/>
        <v>-192585.35000000003</v>
      </c>
      <c r="W25" s="56">
        <f t="shared" si="10"/>
        <v>-1076753.7800000003</v>
      </c>
      <c r="X25" s="56">
        <f t="shared" si="10"/>
        <v>-1200671.56</v>
      </c>
      <c r="Y25" s="56">
        <f t="shared" si="10"/>
        <v>-1137323.8300000003</v>
      </c>
      <c r="Z25" s="56">
        <f t="shared" si="10"/>
        <v>-912103.02</v>
      </c>
      <c r="AA25" s="56">
        <f t="shared" si="10"/>
        <v>-1161785.42</v>
      </c>
      <c r="AB25" s="56">
        <f t="shared" si="10"/>
        <v>-783804.52</v>
      </c>
      <c r="AC25" s="56">
        <f t="shared" si="10"/>
        <v>-1033661.64</v>
      </c>
      <c r="AD25" s="61">
        <f t="shared" si="10"/>
        <v>-13128630.43</v>
      </c>
      <c r="AE25" s="20">
        <f t="shared" si="1"/>
        <v>218604.90999999642</v>
      </c>
      <c r="AF25" s="55">
        <f>Q25/Q13</f>
        <v>-3.1438087593985338</v>
      </c>
      <c r="AG25" s="48">
        <v>-8009952.3000000007</v>
      </c>
      <c r="AH25" s="20">
        <f t="shared" si="7"/>
        <v>-4900073.2200000025</v>
      </c>
      <c r="AI25" s="48">
        <v>-8681014.1300000008</v>
      </c>
      <c r="AJ25" s="20">
        <f t="shared" si="8"/>
        <v>-4229011.3900000025</v>
      </c>
      <c r="AL25" s="48">
        <v>-19760447.860000003</v>
      </c>
      <c r="AM25" s="20">
        <f>Q25-AL25</f>
        <v>6850422.3399999999</v>
      </c>
      <c r="AP25" s="395">
        <f>Q25-'[1]2025 Summay'!Q25</f>
        <v>0</v>
      </c>
    </row>
    <row r="26" spans="1:42" ht="24.95" customHeight="1">
      <c r="A26" s="38"/>
      <c r="B26" s="38"/>
      <c r="C26" s="38"/>
      <c r="D26" s="38" t="s">
        <v>40</v>
      </c>
      <c r="E26" s="56">
        <f>E$14</f>
        <v>0</v>
      </c>
      <c r="F26" s="56">
        <f t="shared" ref="F26:AD26" si="11">F$14</f>
        <v>0</v>
      </c>
      <c r="G26" s="56">
        <f t="shared" si="11"/>
        <v>0</v>
      </c>
      <c r="H26" s="56">
        <f t="shared" si="11"/>
        <v>0</v>
      </c>
      <c r="I26" s="56">
        <f t="shared" si="11"/>
        <v>0</v>
      </c>
      <c r="J26" s="56">
        <f t="shared" si="11"/>
        <v>0</v>
      </c>
      <c r="K26" s="56">
        <f t="shared" si="11"/>
        <v>0</v>
      </c>
      <c r="L26" s="56">
        <f t="shared" si="11"/>
        <v>0</v>
      </c>
      <c r="M26" s="56">
        <f t="shared" si="11"/>
        <v>0</v>
      </c>
      <c r="N26" s="56">
        <f t="shared" si="11"/>
        <v>0</v>
      </c>
      <c r="O26" s="56">
        <f t="shared" si="11"/>
        <v>0</v>
      </c>
      <c r="P26" s="56">
        <f t="shared" si="11"/>
        <v>0</v>
      </c>
      <c r="Q26" s="48">
        <f>SUM(E26:P26)</f>
        <v>0</v>
      </c>
      <c r="R26" s="56">
        <f t="shared" si="11"/>
        <v>0</v>
      </c>
      <c r="S26" s="56">
        <f t="shared" si="11"/>
        <v>0</v>
      </c>
      <c r="T26" s="56">
        <f t="shared" si="11"/>
        <v>0</v>
      </c>
      <c r="U26" s="56">
        <f t="shared" si="11"/>
        <v>0</v>
      </c>
      <c r="V26" s="56">
        <f t="shared" si="11"/>
        <v>0</v>
      </c>
      <c r="W26" s="56">
        <f t="shared" si="11"/>
        <v>0</v>
      </c>
      <c r="X26" s="56">
        <f t="shared" si="11"/>
        <v>0</v>
      </c>
      <c r="Y26" s="56">
        <f t="shared" si="11"/>
        <v>0</v>
      </c>
      <c r="Z26" s="56">
        <f t="shared" si="11"/>
        <v>0</v>
      </c>
      <c r="AA26" s="56">
        <f t="shared" si="11"/>
        <v>0</v>
      </c>
      <c r="AB26" s="56">
        <f t="shared" si="11"/>
        <v>0</v>
      </c>
      <c r="AC26" s="56">
        <f t="shared" si="11"/>
        <v>0</v>
      </c>
      <c r="AD26" s="61">
        <f t="shared" si="11"/>
        <v>0</v>
      </c>
      <c r="AE26" s="20">
        <f t="shared" si="1"/>
        <v>0</v>
      </c>
      <c r="AF26" s="55"/>
      <c r="AG26" s="48">
        <v>0</v>
      </c>
      <c r="AH26" s="20">
        <f t="shared" si="7"/>
        <v>0</v>
      </c>
      <c r="AI26" s="48">
        <v>0</v>
      </c>
      <c r="AJ26" s="20">
        <f t="shared" si="8"/>
        <v>0</v>
      </c>
      <c r="AL26" s="48">
        <v>0</v>
      </c>
      <c r="AM26" s="20">
        <f>Q26-AL26</f>
        <v>0</v>
      </c>
      <c r="AP26" s="395">
        <f>Q26-'[1]2025 Summay'!Q26</f>
        <v>0</v>
      </c>
    </row>
    <row r="27" spans="1:42" ht="24.95" customHeight="1">
      <c r="A27" s="38"/>
      <c r="B27" s="38"/>
      <c r="C27" s="38"/>
      <c r="D27" s="38" t="s">
        <v>41</v>
      </c>
      <c r="E27" s="56">
        <f>E$15</f>
        <v>354146</v>
      </c>
      <c r="F27" s="56">
        <f t="shared" ref="F27:AD27" si="12">F$15</f>
        <v>354146</v>
      </c>
      <c r="G27" s="56">
        <f t="shared" si="12"/>
        <v>354146</v>
      </c>
      <c r="H27" s="56">
        <f t="shared" si="12"/>
        <v>354146</v>
      </c>
      <c r="I27" s="56">
        <f t="shared" si="12"/>
        <v>354146</v>
      </c>
      <c r="J27" s="56">
        <f t="shared" si="12"/>
        <v>354146</v>
      </c>
      <c r="K27" s="56">
        <f t="shared" si="12"/>
        <v>354146</v>
      </c>
      <c r="L27" s="56">
        <f t="shared" si="12"/>
        <v>354146</v>
      </c>
      <c r="M27" s="56">
        <f t="shared" si="12"/>
        <v>354146</v>
      </c>
      <c r="N27" s="56">
        <f t="shared" si="12"/>
        <v>354146</v>
      </c>
      <c r="O27" s="56">
        <f t="shared" si="12"/>
        <v>354146</v>
      </c>
      <c r="P27" s="56">
        <f t="shared" si="12"/>
        <v>354154</v>
      </c>
      <c r="Q27" s="61">
        <f>SUM(E27:P27)</f>
        <v>4249760</v>
      </c>
      <c r="R27" s="56">
        <f t="shared" si="12"/>
        <v>274421.34000000003</v>
      </c>
      <c r="S27" s="56">
        <f t="shared" si="12"/>
        <v>325261.56</v>
      </c>
      <c r="T27" s="56">
        <f t="shared" si="12"/>
        <v>368758.67</v>
      </c>
      <c r="U27" s="56">
        <f t="shared" si="12"/>
        <v>303970.49</v>
      </c>
      <c r="V27" s="56">
        <f t="shared" si="12"/>
        <v>280657.18</v>
      </c>
      <c r="W27" s="56">
        <f t="shared" si="12"/>
        <v>276915.02</v>
      </c>
      <c r="X27" s="56">
        <f t="shared" si="12"/>
        <v>264193.96999999997</v>
      </c>
      <c r="Y27" s="56">
        <f t="shared" si="12"/>
        <v>312553.67</v>
      </c>
      <c r="Z27" s="56">
        <f t="shared" si="12"/>
        <v>278033</v>
      </c>
      <c r="AA27" s="56">
        <f t="shared" si="12"/>
        <v>278033</v>
      </c>
      <c r="AB27" s="56">
        <f t="shared" si="12"/>
        <v>278033</v>
      </c>
      <c r="AC27" s="56">
        <f t="shared" si="12"/>
        <v>278033</v>
      </c>
      <c r="AD27" s="61">
        <f t="shared" si="12"/>
        <v>3518863.9</v>
      </c>
      <c r="AE27" s="20">
        <f t="shared" si="1"/>
        <v>730896.10000000009</v>
      </c>
      <c r="AF27" s="55">
        <f>Q27/Q15</f>
        <v>1</v>
      </c>
      <c r="AG27" s="48">
        <v>4169173.87</v>
      </c>
      <c r="AH27" s="20">
        <f t="shared" si="7"/>
        <v>80586.129999999888</v>
      </c>
      <c r="AI27" s="48">
        <v>4549679.7</v>
      </c>
      <c r="AJ27" s="20">
        <f t="shared" si="8"/>
        <v>-299919.70000000019</v>
      </c>
      <c r="AL27" s="48">
        <v>3561306.8200000003</v>
      </c>
      <c r="AM27" s="20">
        <f>Q27-AL27</f>
        <v>688453.1799999997</v>
      </c>
      <c r="AP27" s="395">
        <f>Q27-'[1]2025 Summay'!Q27</f>
        <v>0</v>
      </c>
    </row>
    <row r="28" spans="1:42" ht="24.95" customHeight="1">
      <c r="A28" s="38"/>
      <c r="B28" s="38"/>
      <c r="C28" s="50"/>
      <c r="D28" s="50" t="s">
        <v>42</v>
      </c>
      <c r="E28" s="59">
        <f t="shared" ref="E28:AD28" si="13">SUBTOTAL(9,E23:E27)</f>
        <v>26097934.620000001</v>
      </c>
      <c r="F28" s="59">
        <f t="shared" si="13"/>
        <v>31542102.129999995</v>
      </c>
      <c r="G28" s="59">
        <f t="shared" si="13"/>
        <v>16890526.890000001</v>
      </c>
      <c r="H28" s="59">
        <f t="shared" si="13"/>
        <v>14996357.589999998</v>
      </c>
      <c r="I28" s="59">
        <f t="shared" si="13"/>
        <v>13513591.989999998</v>
      </c>
      <c r="J28" s="59">
        <f t="shared" si="13"/>
        <v>11788206.51</v>
      </c>
      <c r="K28" s="59">
        <f t="shared" si="13"/>
        <v>19928389.419999998</v>
      </c>
      <c r="L28" s="59">
        <f t="shared" si="13"/>
        <v>23523465.359999999</v>
      </c>
      <c r="M28" s="59">
        <f t="shared" si="13"/>
        <v>10630138.76</v>
      </c>
      <c r="N28" s="59">
        <f t="shared" si="13"/>
        <v>13442736.300000001</v>
      </c>
      <c r="O28" s="59">
        <f t="shared" si="13"/>
        <v>12072706.42</v>
      </c>
      <c r="P28" s="59">
        <f t="shared" si="13"/>
        <v>16884358.690000001</v>
      </c>
      <c r="Q28" s="59">
        <f t="shared" si="13"/>
        <v>211310514.67999998</v>
      </c>
      <c r="R28" s="59">
        <f t="shared" si="13"/>
        <v>28052015.190000005</v>
      </c>
      <c r="S28" s="59">
        <f t="shared" si="13"/>
        <v>46353233.550000004</v>
      </c>
      <c r="T28" s="59">
        <f t="shared" si="13"/>
        <v>17785766.170000002</v>
      </c>
      <c r="U28" s="59">
        <f t="shared" si="13"/>
        <v>14712608.420000002</v>
      </c>
      <c r="V28" s="59">
        <f t="shared" si="13"/>
        <v>14213618.74</v>
      </c>
      <c r="W28" s="59">
        <f t="shared" si="13"/>
        <v>11580367.579999998</v>
      </c>
      <c r="X28" s="59">
        <f t="shared" si="13"/>
        <v>19350940.920000002</v>
      </c>
      <c r="Y28" s="59">
        <f t="shared" si="13"/>
        <v>22053072.73</v>
      </c>
      <c r="Z28" s="59">
        <f t="shared" si="13"/>
        <v>8634580.3099999987</v>
      </c>
      <c r="AA28" s="59">
        <f t="shared" si="13"/>
        <v>11341949.869999999</v>
      </c>
      <c r="AB28" s="59">
        <f t="shared" si="13"/>
        <v>10859903.399999999</v>
      </c>
      <c r="AC28" s="59">
        <f t="shared" si="13"/>
        <v>13976671.859999999</v>
      </c>
      <c r="AD28" s="59">
        <f t="shared" si="13"/>
        <v>218914728.73999995</v>
      </c>
      <c r="AE28" s="20">
        <f t="shared" si="1"/>
        <v>-7604214.0599999726</v>
      </c>
      <c r="AG28" s="48">
        <v>225734528.78000003</v>
      </c>
      <c r="AH28" s="20">
        <f t="shared" si="7"/>
        <v>-14424014.100000054</v>
      </c>
      <c r="AI28" s="48">
        <v>224972335.62999997</v>
      </c>
      <c r="AJ28" s="20">
        <f t="shared" si="8"/>
        <v>-13661820.949999988</v>
      </c>
      <c r="AL28" s="48">
        <v>259002053.12999994</v>
      </c>
      <c r="AM28" s="20">
        <f>Q28-AL28</f>
        <v>-47691538.449999958</v>
      </c>
      <c r="AP28" s="395">
        <f>Q28-'[1]2025 Summay'!Q28</f>
        <v>0</v>
      </c>
    </row>
    <row r="29" spans="1:42" ht="24.95" customHeight="1">
      <c r="A29" s="38"/>
      <c r="B29" s="38"/>
      <c r="C29" s="38"/>
      <c r="D29" s="38"/>
      <c r="E29" s="52"/>
      <c r="F29" s="52"/>
      <c r="G29" s="52"/>
      <c r="H29" s="52"/>
      <c r="I29" s="52"/>
      <c r="J29" s="52"/>
      <c r="K29" s="52"/>
      <c r="L29" s="53"/>
      <c r="AG29" s="48"/>
      <c r="AI29" s="48"/>
      <c r="AL29" s="48"/>
      <c r="AM29" s="20">
        <f>Q29-AL29</f>
        <v>0</v>
      </c>
      <c r="AP29" s="395">
        <f>Q29-'[1]2025 Summay'!Q29</f>
        <v>0</v>
      </c>
    </row>
    <row r="30" spans="1:42" ht="24.95" customHeight="1">
      <c r="A30" s="38" t="s">
        <v>43</v>
      </c>
      <c r="B30" s="38" t="s">
        <v>44</v>
      </c>
      <c r="C30" s="38"/>
      <c r="D30" s="38" t="s">
        <v>45</v>
      </c>
      <c r="E30" s="62">
        <f>'A&amp;G'!D46+'A&amp;G'!D9</f>
        <v>1628017.8199999998</v>
      </c>
      <c r="F30" s="56">
        <f>'A&amp;G'!E46+'A&amp;G'!E9</f>
        <v>1479412.26</v>
      </c>
      <c r="G30" s="56">
        <f>'A&amp;G'!F46+'A&amp;G'!F9</f>
        <v>1557926.56</v>
      </c>
      <c r="H30" s="56">
        <f>'A&amp;G'!G46+'A&amp;G'!G9</f>
        <v>1706277.4700000002</v>
      </c>
      <c r="I30" s="56">
        <f>'A&amp;G'!H46+'A&amp;G'!H9</f>
        <v>1549675.5300000003</v>
      </c>
      <c r="J30" s="56">
        <f>'A&amp;G'!I46+'A&amp;G'!I9</f>
        <v>1527676.15</v>
      </c>
      <c r="K30" s="56">
        <f>'A&amp;G'!J46+'A&amp;G'!J9</f>
        <v>1519016.12</v>
      </c>
      <c r="L30" s="56">
        <f>'A&amp;G'!K46+'A&amp;G'!K9</f>
        <v>1481654.1400000001</v>
      </c>
      <c r="M30" s="56">
        <f>'A&amp;G'!L46+'A&amp;G'!L9</f>
        <v>1495143.1400000001</v>
      </c>
      <c r="N30" s="56">
        <f>'A&amp;G'!M46+'A&amp;G'!M9</f>
        <v>1554299.6</v>
      </c>
      <c r="O30" s="56">
        <f>'A&amp;G'!N46+'A&amp;G'!N9</f>
        <v>1655232.11</v>
      </c>
      <c r="P30" s="56">
        <f>'A&amp;G'!O46+'A&amp;G'!O9</f>
        <v>1525245.84</v>
      </c>
      <c r="Q30" s="48">
        <f>SUM(E30:P30)</f>
        <v>18679576.740000002</v>
      </c>
      <c r="R30" s="56">
        <f>'A&amp;G'!Q46+'A&amp;G'!Q9</f>
        <v>1755518.91</v>
      </c>
      <c r="S30" s="56">
        <f>'A&amp;G'!R46+'A&amp;G'!R9</f>
        <v>2052844.23</v>
      </c>
      <c r="T30" s="56">
        <f>'A&amp;G'!S46+'A&amp;G'!S9</f>
        <v>1729580.42</v>
      </c>
      <c r="U30" s="56">
        <f>'A&amp;G'!T46+'A&amp;G'!T9</f>
        <v>1852833.29</v>
      </c>
      <c r="V30" s="56">
        <f>'A&amp;G'!U46+'A&amp;G'!U9</f>
        <v>1630762.7299999997</v>
      </c>
      <c r="W30" s="56">
        <f>'A&amp;G'!V46+'A&amp;G'!V9</f>
        <v>1591524.4500000002</v>
      </c>
      <c r="X30" s="56">
        <f>'A&amp;G'!W46+'A&amp;G'!W9</f>
        <v>1536246.08</v>
      </c>
      <c r="Y30" s="56">
        <f>'A&amp;G'!X46+'A&amp;G'!X9</f>
        <v>1372190.8600000003</v>
      </c>
      <c r="Z30" s="56">
        <f>'A&amp;G'!Y46+'A&amp;G'!Y9</f>
        <v>1505102.8099999998</v>
      </c>
      <c r="AA30" s="56">
        <f>'A&amp;G'!Z46+'A&amp;G'!Z9</f>
        <v>1597963.8099999998</v>
      </c>
      <c r="AB30" s="56">
        <f>'A&amp;G'!AA46+'A&amp;G'!AA9</f>
        <v>1818564.81</v>
      </c>
      <c r="AC30" s="56">
        <f>'A&amp;G'!AB46+'A&amp;G'!AB9</f>
        <v>1627405.82</v>
      </c>
      <c r="AD30" s="47">
        <f>SUM(R30:AC30)</f>
        <v>20070538.220000003</v>
      </c>
      <c r="AE30" s="20">
        <f t="shared" si="1"/>
        <v>-1390961.4800000004</v>
      </c>
      <c r="AF30" s="55">
        <f>Q30/$Q$16</f>
        <v>5.4838972394891924E-2</v>
      </c>
      <c r="AG30" s="48">
        <v>19944281.619999997</v>
      </c>
      <c r="AH30" s="20">
        <f t="shared" ref="AH30:AH35" si="14">AG30-Q30</f>
        <v>1264704.8799999952</v>
      </c>
      <c r="AI30" s="48">
        <v>19094532.870000001</v>
      </c>
      <c r="AJ30" s="20">
        <f t="shared" ref="AJ30:AJ35" si="15">AI30-Q30</f>
        <v>414956.12999999896</v>
      </c>
      <c r="AL30" s="48">
        <v>23029169.239999998</v>
      </c>
      <c r="AM30" s="20">
        <f>Q30-AL30</f>
        <v>-4349592.4999999963</v>
      </c>
      <c r="AP30" s="395">
        <f>Q30-'[1]2025 Summay'!Q30</f>
        <v>0</v>
      </c>
    </row>
    <row r="31" spans="1:42" ht="24.95" customHeight="1">
      <c r="A31" s="38" t="s">
        <v>46</v>
      </c>
      <c r="B31" s="38" t="s">
        <v>47</v>
      </c>
      <c r="C31" s="38"/>
      <c r="D31" s="38" t="s">
        <v>48</v>
      </c>
      <c r="E31" s="56">
        <f>'S&amp;M'!D42+'S&amp;M'!D9-'S&amp;M'!D40</f>
        <v>708510.01</v>
      </c>
      <c r="F31" s="56">
        <f>'S&amp;M'!E42+'S&amp;M'!E9-'S&amp;M'!E40</f>
        <v>710280.03</v>
      </c>
      <c r="G31" s="56">
        <f>'S&amp;M'!F42+'S&amp;M'!F9-'S&amp;M'!F40</f>
        <v>655305.31000000006</v>
      </c>
      <c r="H31" s="56">
        <f>'S&amp;M'!G42+'S&amp;M'!G9-'S&amp;M'!G40</f>
        <v>662607.87</v>
      </c>
      <c r="I31" s="56">
        <f>'S&amp;M'!H42+'S&amp;M'!H9-'S&amp;M'!H40</f>
        <v>631238.19999999995</v>
      </c>
      <c r="J31" s="56">
        <f>'S&amp;M'!I42+'S&amp;M'!I9-'S&amp;M'!I40</f>
        <v>645567.4</v>
      </c>
      <c r="K31" s="56">
        <f>'S&amp;M'!J42+'S&amp;M'!J9-'S&amp;M'!J40</f>
        <v>690806.2</v>
      </c>
      <c r="L31" s="56">
        <f>'S&amp;M'!K42+'S&amp;M'!K9-'S&amp;M'!K40</f>
        <v>689554.17999999993</v>
      </c>
      <c r="M31" s="56">
        <f>'S&amp;M'!L42+'S&amp;M'!L9-'S&amp;M'!L40</f>
        <v>684635.32000000007</v>
      </c>
      <c r="N31" s="56">
        <f>'S&amp;M'!M42+'S&amp;M'!M9-'S&amp;M'!M40</f>
        <v>713993.73</v>
      </c>
      <c r="O31" s="56">
        <f>'S&amp;M'!N42+'S&amp;M'!N9-'S&amp;M'!N40</f>
        <v>752593.43000000017</v>
      </c>
      <c r="P31" s="56">
        <f>'S&amp;M'!O42+'S&amp;M'!O9-'S&amp;M'!O40</f>
        <v>768211.24</v>
      </c>
      <c r="Q31" s="48">
        <f>SUM(E31:P31)</f>
        <v>8313302.9199999999</v>
      </c>
      <c r="R31" s="56">
        <f>'S&amp;M'!Q42+'S&amp;M'!Q9-'S&amp;M'!Q40</f>
        <v>887673.40999999992</v>
      </c>
      <c r="S31" s="56">
        <f>'S&amp;M'!R42+'S&amp;M'!R9-'S&amp;M'!R40</f>
        <v>1126763.9599999997</v>
      </c>
      <c r="T31" s="56">
        <f>'S&amp;M'!S42+'S&amp;M'!S9-'S&amp;M'!S40</f>
        <v>882780.5299999998</v>
      </c>
      <c r="U31" s="56">
        <f>'S&amp;M'!T42+'S&amp;M'!T9-'S&amp;M'!T40</f>
        <v>770266.01000000013</v>
      </c>
      <c r="V31" s="56">
        <f>'S&amp;M'!U42+'S&amp;M'!U9-'S&amp;M'!U40</f>
        <v>638979.03</v>
      </c>
      <c r="W31" s="56">
        <f>'S&amp;M'!V42+'S&amp;M'!V9-'S&amp;M'!V40</f>
        <v>615243.42999999993</v>
      </c>
      <c r="X31" s="56">
        <f>'S&amp;M'!W42+'S&amp;M'!W9-'S&amp;M'!W40</f>
        <v>662670.75</v>
      </c>
      <c r="Y31" s="56">
        <f>'S&amp;M'!X42+'S&amp;M'!X9-'S&amp;M'!X40</f>
        <v>565151.94000000006</v>
      </c>
      <c r="Z31" s="56">
        <f>'S&amp;M'!Y42+'S&amp;M'!Y9-'S&amp;M'!Y40</f>
        <v>862800.34999999986</v>
      </c>
      <c r="AA31" s="56">
        <f>'S&amp;M'!Z42+'S&amp;M'!Z9-'S&amp;M'!Z40</f>
        <v>876849.34999999986</v>
      </c>
      <c r="AB31" s="56">
        <f>'S&amp;M'!AA42+'S&amp;M'!AA9-'S&amp;M'!AA40</f>
        <v>1050286.3499999999</v>
      </c>
      <c r="AC31" s="56">
        <f>'S&amp;M'!AB42+'S&amp;M'!AB9-'S&amp;M'!AB40</f>
        <v>1531786.35</v>
      </c>
      <c r="AD31" s="47">
        <f>SUM(R31:AC31)</f>
        <v>10471251.459999999</v>
      </c>
      <c r="AE31" s="20">
        <f t="shared" si="1"/>
        <v>-2157948.5399999991</v>
      </c>
      <c r="AF31" s="55">
        <f>Q31/$Q$16</f>
        <v>2.4405959283007522E-2</v>
      </c>
      <c r="AG31" s="48">
        <v>9839888.9800000004</v>
      </c>
      <c r="AH31" s="20">
        <f t="shared" si="14"/>
        <v>1526586.0600000005</v>
      </c>
      <c r="AI31" s="48">
        <v>7134874.0199999986</v>
      </c>
      <c r="AJ31" s="20">
        <f t="shared" si="15"/>
        <v>-1178428.9000000013</v>
      </c>
      <c r="AL31" s="48">
        <v>13158077.949999999</v>
      </c>
      <c r="AM31" s="20">
        <f>Q31-AL31</f>
        <v>-4844775.0299999993</v>
      </c>
      <c r="AP31" s="395">
        <f>Q31-'[1]2025 Summay'!Q31</f>
        <v>0</v>
      </c>
    </row>
    <row r="32" spans="1:42" ht="24.95" customHeight="1">
      <c r="A32" s="38" t="s">
        <v>49</v>
      </c>
      <c r="B32" s="38" t="s">
        <v>47</v>
      </c>
      <c r="C32" s="38"/>
      <c r="D32" s="38" t="s">
        <v>50</v>
      </c>
      <c r="E32" s="56">
        <f>'S&amp;M'!D40</f>
        <v>592495</v>
      </c>
      <c r="F32" s="56">
        <f>'S&amp;M'!E40</f>
        <v>656214</v>
      </c>
      <c r="G32" s="56">
        <f>'S&amp;M'!F40</f>
        <v>408210</v>
      </c>
      <c r="H32" s="56">
        <f>'S&amp;M'!G40</f>
        <v>377959</v>
      </c>
      <c r="I32" s="56">
        <f>'S&amp;M'!H40</f>
        <v>359540</v>
      </c>
      <c r="J32" s="56">
        <f>'S&amp;M'!I40</f>
        <v>321610</v>
      </c>
      <c r="K32" s="56">
        <f>'S&amp;M'!J40</f>
        <v>466742</v>
      </c>
      <c r="L32" s="56">
        <f>'S&amp;M'!K40</f>
        <v>525837</v>
      </c>
      <c r="M32" s="56">
        <f>'S&amp;M'!L40</f>
        <v>303187</v>
      </c>
      <c r="N32" s="56">
        <f>'S&amp;M'!M40</f>
        <v>383307</v>
      </c>
      <c r="O32" s="56">
        <f>'S&amp;M'!N40</f>
        <v>331284</v>
      </c>
      <c r="P32" s="56">
        <f>'S&amp;M'!O40</f>
        <v>417711</v>
      </c>
      <c r="Q32" s="48">
        <f>SUM(E32:P32)</f>
        <v>5144096</v>
      </c>
      <c r="R32" s="56">
        <f>'S&amp;M'!Q40</f>
        <v>632796.01</v>
      </c>
      <c r="S32" s="56">
        <f>'S&amp;M'!R40</f>
        <v>987547.99</v>
      </c>
      <c r="T32" s="56">
        <f>'S&amp;M'!S40</f>
        <v>452252.06</v>
      </c>
      <c r="U32" s="56">
        <f>'S&amp;M'!T40</f>
        <v>389024.35</v>
      </c>
      <c r="V32" s="56">
        <f>'S&amp;M'!U40</f>
        <v>364269.46</v>
      </c>
      <c r="W32" s="56">
        <f>'S&amp;M'!V40</f>
        <v>325826.11</v>
      </c>
      <c r="X32" s="56">
        <f>'S&amp;M'!W40</f>
        <v>467002.2</v>
      </c>
      <c r="Y32" s="56">
        <f>'S&amp;M'!X40</f>
        <v>534294.68000000005</v>
      </c>
      <c r="Z32" s="56">
        <f>'S&amp;M'!Y40</f>
        <v>285437</v>
      </c>
      <c r="AA32" s="56">
        <f>'S&amp;M'!Z40</f>
        <v>337739</v>
      </c>
      <c r="AB32" s="56">
        <f>'S&amp;M'!AA40</f>
        <v>310336</v>
      </c>
      <c r="AC32" s="56">
        <f>'S&amp;M'!AB40</f>
        <v>376532</v>
      </c>
      <c r="AD32" s="47">
        <f>SUM(R32:AC32)</f>
        <v>5463056.8600000003</v>
      </c>
      <c r="AE32" s="20">
        <f t="shared" si="1"/>
        <v>-318960.86000000034</v>
      </c>
      <c r="AF32" s="55">
        <f>Q32/$Q$16</f>
        <v>1.5101891357987693E-2</v>
      </c>
      <c r="AG32" s="48">
        <v>5210364.6899999995</v>
      </c>
      <c r="AH32" s="20">
        <f t="shared" si="14"/>
        <v>66268.689999999478</v>
      </c>
      <c r="AI32" s="48">
        <v>5127912.9899999993</v>
      </c>
      <c r="AJ32" s="20">
        <f t="shared" si="15"/>
        <v>-16183.010000000708</v>
      </c>
      <c r="AL32" s="48">
        <v>6406641.7999999989</v>
      </c>
      <c r="AM32" s="20">
        <f>Q32-AL32</f>
        <v>-1262545.7999999989</v>
      </c>
      <c r="AP32" s="395">
        <f>Q32-'[1]2025 Summay'!Q32</f>
        <v>0</v>
      </c>
    </row>
    <row r="33" spans="1:42" ht="24.95" customHeight="1">
      <c r="A33" s="38" t="s">
        <v>43</v>
      </c>
      <c r="B33" s="38" t="s">
        <v>51</v>
      </c>
      <c r="C33" s="38"/>
      <c r="D33" s="38" t="s">
        <v>52</v>
      </c>
      <c r="E33" s="56">
        <f>'R&amp;M'!D63+'R&amp;M'!D9</f>
        <v>1497039.09</v>
      </c>
      <c r="F33" s="56">
        <f>'R&amp;M'!E63+'R&amp;M'!E9</f>
        <v>1457304.6</v>
      </c>
      <c r="G33" s="56">
        <f>'R&amp;M'!F63+'R&amp;M'!F9</f>
        <v>1466686.1900000002</v>
      </c>
      <c r="H33" s="56">
        <f>'R&amp;M'!G63+'R&amp;M'!G9</f>
        <v>1487870.62</v>
      </c>
      <c r="I33" s="56">
        <f>'R&amp;M'!H63+'R&amp;M'!H9</f>
        <v>1514447.5599999998</v>
      </c>
      <c r="J33" s="56">
        <f>'R&amp;M'!I63+'R&amp;M'!I9</f>
        <v>1490347.1300000001</v>
      </c>
      <c r="K33" s="56">
        <f>'R&amp;M'!J63+'R&amp;M'!J9</f>
        <v>1491912.9400000002</v>
      </c>
      <c r="L33" s="56">
        <f>'R&amp;M'!K63+'R&amp;M'!K9</f>
        <v>1491787.7600000002</v>
      </c>
      <c r="M33" s="56">
        <f>'R&amp;M'!L63+'R&amp;M'!L9</f>
        <v>1495983.7600000002</v>
      </c>
      <c r="N33" s="56">
        <f>'R&amp;M'!M63+'R&amp;M'!M9</f>
        <v>1548202.24</v>
      </c>
      <c r="O33" s="56">
        <f>'R&amp;M'!N63+'R&amp;M'!N9</f>
        <v>1491148.8200000003</v>
      </c>
      <c r="P33" s="56">
        <f>'R&amp;M'!O63+'R&amp;M'!O9</f>
        <v>1490629.2800000003</v>
      </c>
      <c r="Q33" s="48">
        <f>SUM(E33:P33)</f>
        <v>17923359.990000002</v>
      </c>
      <c r="R33" s="56">
        <f>'R&amp;M'!Q63+'R&amp;M'!Q9</f>
        <v>1866651.1199999999</v>
      </c>
      <c r="S33" s="56">
        <f>'R&amp;M'!R63+'R&amp;M'!R9</f>
        <v>1196664.3700000001</v>
      </c>
      <c r="T33" s="56">
        <f>'R&amp;M'!S63+'R&amp;M'!S9</f>
        <v>1434136.4200000002</v>
      </c>
      <c r="U33" s="56">
        <f>'R&amp;M'!T63+'R&amp;M'!T9</f>
        <v>1470058.83</v>
      </c>
      <c r="V33" s="56">
        <f>'R&amp;M'!U63+'R&amp;M'!U9</f>
        <v>1334478.6400000001</v>
      </c>
      <c r="W33" s="56">
        <f>'R&amp;M'!V63+'R&amp;M'!V9</f>
        <v>1345507.27</v>
      </c>
      <c r="X33" s="56">
        <f>'R&amp;M'!W63+'R&amp;M'!W9</f>
        <v>1637089.1500000001</v>
      </c>
      <c r="Y33" s="56">
        <f>'R&amp;M'!X63+'R&amp;M'!X9</f>
        <v>1699213.9699999997</v>
      </c>
      <c r="Z33" s="56">
        <f>'R&amp;M'!Y63+'R&amp;M'!Y9</f>
        <v>1152755.45</v>
      </c>
      <c r="AA33" s="56">
        <f>'R&amp;M'!Z63+'R&amp;M'!Z9</f>
        <v>2530408.4500000002</v>
      </c>
      <c r="AB33" s="56">
        <f>'R&amp;M'!AA63+'R&amp;M'!AA9</f>
        <v>2587098.4500000002</v>
      </c>
      <c r="AC33" s="56">
        <f>'R&amp;M'!AB63+'R&amp;M'!AB9</f>
        <v>2907147.12</v>
      </c>
      <c r="AD33" s="47">
        <f>SUM(R33:AC33)</f>
        <v>21161209.239999998</v>
      </c>
      <c r="AE33" s="20">
        <f t="shared" si="1"/>
        <v>-3237849.2499999963</v>
      </c>
      <c r="AF33" s="55">
        <f>Q33/$Q$16</f>
        <v>5.2618892676008264E-2</v>
      </c>
      <c r="AG33" s="48">
        <v>14899287.760000002</v>
      </c>
      <c r="AH33" s="20">
        <f t="shared" si="14"/>
        <v>-3024072.2300000004</v>
      </c>
      <c r="AI33" s="48">
        <v>16738535.74</v>
      </c>
      <c r="AJ33" s="20">
        <f t="shared" si="15"/>
        <v>-1184824.2500000019</v>
      </c>
      <c r="AL33" s="48">
        <v>32983747.819999997</v>
      </c>
      <c r="AM33" s="20">
        <f>Q33-AL33</f>
        <v>-15060387.829999994</v>
      </c>
      <c r="AP33" s="395">
        <f>Q33-'[1]2025 Summay'!Q33</f>
        <v>0</v>
      </c>
    </row>
    <row r="34" spans="1:42" ht="24.95" customHeight="1">
      <c r="A34" s="38" t="s">
        <v>43</v>
      </c>
      <c r="B34" s="38" t="s">
        <v>53</v>
      </c>
      <c r="C34" s="38"/>
      <c r="D34" s="38" t="s">
        <v>54</v>
      </c>
      <c r="E34" s="56">
        <f>Utilities!D15</f>
        <v>1658118</v>
      </c>
      <c r="F34" s="56">
        <f>Utilities!E15</f>
        <v>1643190</v>
      </c>
      <c r="G34" s="56">
        <f>Utilities!F15</f>
        <v>1640342</v>
      </c>
      <c r="H34" s="56">
        <f>Utilities!G15</f>
        <v>1739397</v>
      </c>
      <c r="I34" s="56">
        <f>Utilities!H15</f>
        <v>1773129</v>
      </c>
      <c r="J34" s="56">
        <f>Utilities!I15</f>
        <v>1865882</v>
      </c>
      <c r="K34" s="56">
        <f>Utilities!J15</f>
        <v>1997768</v>
      </c>
      <c r="L34" s="56">
        <f>Utilities!K15</f>
        <v>2031857</v>
      </c>
      <c r="M34" s="56">
        <f>Utilities!L15</f>
        <v>1786174</v>
      </c>
      <c r="N34" s="56">
        <f>Utilities!M15</f>
        <v>1666543</v>
      </c>
      <c r="O34" s="56">
        <f>Utilities!N15</f>
        <v>1607333</v>
      </c>
      <c r="P34" s="56">
        <f>Utilities!O15</f>
        <v>1643186</v>
      </c>
      <c r="Q34" s="48">
        <f>SUM(E34:P34)</f>
        <v>21052919</v>
      </c>
      <c r="R34" s="56">
        <f>Utilities!Q15</f>
        <v>1525206.3900000001</v>
      </c>
      <c r="S34" s="56">
        <f>Utilities!R15</f>
        <v>1497864.73</v>
      </c>
      <c r="T34" s="56">
        <f>Utilities!S15</f>
        <v>1594174.19</v>
      </c>
      <c r="U34" s="56">
        <f>Utilities!T15</f>
        <v>1758366.55</v>
      </c>
      <c r="V34" s="56">
        <f>Utilities!U15</f>
        <v>1803221.43</v>
      </c>
      <c r="W34" s="56">
        <f>Utilities!V15</f>
        <v>1829495.8900000001</v>
      </c>
      <c r="X34" s="56">
        <f>Utilities!W15</f>
        <v>1892624.71</v>
      </c>
      <c r="Y34" s="56">
        <f>Utilities!X15</f>
        <v>1984155.1</v>
      </c>
      <c r="Z34" s="56">
        <f>Utilities!Y15</f>
        <v>1769053.4200000002</v>
      </c>
      <c r="AA34" s="56">
        <f>Utilities!Z15</f>
        <v>1789727.2899999998</v>
      </c>
      <c r="AB34" s="56">
        <f>Utilities!AA15</f>
        <v>1744886.1</v>
      </c>
      <c r="AC34" s="56">
        <f>Utilities!AB15</f>
        <v>1704948.35</v>
      </c>
      <c r="AD34" s="47">
        <f>SUM(R34:AC34)</f>
        <v>20893724.150000002</v>
      </c>
      <c r="AE34" s="20">
        <f t="shared" si="1"/>
        <v>159194.84999999776</v>
      </c>
      <c r="AF34" s="55">
        <f>Q34/$Q$16</f>
        <v>6.1806563389663588E-2</v>
      </c>
      <c r="AG34" s="48">
        <v>18461671.859999999</v>
      </c>
      <c r="AH34" s="20">
        <f t="shared" si="14"/>
        <v>-2591247.1400000006</v>
      </c>
      <c r="AI34" s="48">
        <v>20248198.280000001</v>
      </c>
      <c r="AJ34" s="20">
        <f t="shared" si="15"/>
        <v>-804720.71999999881</v>
      </c>
      <c r="AL34" s="48">
        <v>20364629.52</v>
      </c>
      <c r="AM34" s="20">
        <f>Q34-AL34</f>
        <v>688289.48000000045</v>
      </c>
      <c r="AP34" s="395">
        <f>Q34-'[1]2025 Summay'!Q34</f>
        <v>0</v>
      </c>
    </row>
    <row r="35" spans="1:42" ht="24.95" customHeight="1">
      <c r="A35" s="38"/>
      <c r="B35" s="38"/>
      <c r="C35" s="50"/>
      <c r="D35" s="50" t="s">
        <v>55</v>
      </c>
      <c r="E35" s="59">
        <f t="shared" ref="E35:AD35" si="16">SUBTOTAL(9,E30:E34)</f>
        <v>6084179.9199999999</v>
      </c>
      <c r="F35" s="59">
        <f t="shared" si="16"/>
        <v>5946400.8900000006</v>
      </c>
      <c r="G35" s="59">
        <f t="shared" si="16"/>
        <v>5728470.0600000005</v>
      </c>
      <c r="H35" s="59">
        <f t="shared" si="16"/>
        <v>5974111.9600000009</v>
      </c>
      <c r="I35" s="59">
        <f t="shared" si="16"/>
        <v>5828030.29</v>
      </c>
      <c r="J35" s="59">
        <f t="shared" si="16"/>
        <v>5851082.6799999997</v>
      </c>
      <c r="K35" s="59">
        <f t="shared" si="16"/>
        <v>6166245.2600000007</v>
      </c>
      <c r="L35" s="59">
        <f t="shared" si="16"/>
        <v>6220690.0800000001</v>
      </c>
      <c r="M35" s="59">
        <f t="shared" si="16"/>
        <v>5765123.2200000007</v>
      </c>
      <c r="N35" s="59">
        <f t="shared" si="16"/>
        <v>5866345.5700000003</v>
      </c>
      <c r="O35" s="59">
        <f t="shared" si="16"/>
        <v>5837591.3600000003</v>
      </c>
      <c r="P35" s="59">
        <f t="shared" si="16"/>
        <v>5844983.3600000003</v>
      </c>
      <c r="Q35" s="59">
        <f t="shared" si="16"/>
        <v>71113254.650000006</v>
      </c>
      <c r="R35" s="59">
        <f t="shared" si="16"/>
        <v>6667845.8399999999</v>
      </c>
      <c r="S35" s="59">
        <f t="shared" si="16"/>
        <v>6861685.2799999993</v>
      </c>
      <c r="T35" s="59">
        <f t="shared" si="16"/>
        <v>6092923.6199999992</v>
      </c>
      <c r="U35" s="59">
        <f t="shared" si="16"/>
        <v>6240549.0300000003</v>
      </c>
      <c r="V35" s="59">
        <f t="shared" si="16"/>
        <v>5771711.29</v>
      </c>
      <c r="W35" s="59">
        <f t="shared" si="16"/>
        <v>5707597.1500000004</v>
      </c>
      <c r="X35" s="59">
        <f t="shared" si="16"/>
        <v>6195632.8900000006</v>
      </c>
      <c r="Y35" s="59">
        <f t="shared" si="16"/>
        <v>6155006.5500000007</v>
      </c>
      <c r="Z35" s="59">
        <f t="shared" si="16"/>
        <v>5575149.0299999993</v>
      </c>
      <c r="AA35" s="59">
        <f t="shared" si="16"/>
        <v>7132687.8999999994</v>
      </c>
      <c r="AB35" s="59">
        <f t="shared" si="16"/>
        <v>7511171.7100000009</v>
      </c>
      <c r="AC35" s="59">
        <f t="shared" si="16"/>
        <v>8147819.6400000006</v>
      </c>
      <c r="AD35" s="59">
        <f t="shared" si="16"/>
        <v>78059779.930000007</v>
      </c>
      <c r="AE35" s="20">
        <f t="shared" si="1"/>
        <v>-6946525.2800000012</v>
      </c>
      <c r="AG35" s="48">
        <v>68355494.909999996</v>
      </c>
      <c r="AH35" s="20">
        <f t="shared" si="14"/>
        <v>-2757759.7400000095</v>
      </c>
      <c r="AI35" s="48">
        <v>68344053.900000006</v>
      </c>
      <c r="AJ35" s="20">
        <f t="shared" si="15"/>
        <v>-2769200.75</v>
      </c>
      <c r="AL35" s="48">
        <v>95942266.329999983</v>
      </c>
      <c r="AM35" s="20">
        <f>Q35-AL35</f>
        <v>-24829011.679999977</v>
      </c>
      <c r="AP35" s="395">
        <f>Q35-'[1]2025 Summay'!Q35</f>
        <v>0</v>
      </c>
    </row>
    <row r="36" spans="1:42" ht="24.95" customHeight="1">
      <c r="A36" s="38"/>
      <c r="B36" s="38"/>
      <c r="C36" s="63"/>
      <c r="D36" s="63" t="s">
        <v>56</v>
      </c>
      <c r="E36" s="59">
        <f t="shared" ref="E36:AD36" si="17">E28-E35</f>
        <v>20013754.700000003</v>
      </c>
      <c r="F36" s="59">
        <f t="shared" si="17"/>
        <v>25595701.239999995</v>
      </c>
      <c r="G36" s="59">
        <f t="shared" si="17"/>
        <v>11162056.83</v>
      </c>
      <c r="H36" s="59">
        <f t="shared" si="17"/>
        <v>9022245.6299999971</v>
      </c>
      <c r="I36" s="59">
        <f t="shared" si="17"/>
        <v>7685561.6999999983</v>
      </c>
      <c r="J36" s="59">
        <f t="shared" si="17"/>
        <v>5937123.8300000001</v>
      </c>
      <c r="K36" s="59">
        <f t="shared" si="17"/>
        <v>13762144.159999996</v>
      </c>
      <c r="L36" s="59">
        <f t="shared" si="17"/>
        <v>17302775.280000001</v>
      </c>
      <c r="M36" s="59">
        <f t="shared" si="17"/>
        <v>4865015.5399999991</v>
      </c>
      <c r="N36" s="59">
        <f t="shared" si="17"/>
        <v>7576390.7300000004</v>
      </c>
      <c r="O36" s="59">
        <f t="shared" si="17"/>
        <v>6235115.0599999996</v>
      </c>
      <c r="P36" s="59">
        <f t="shared" si="17"/>
        <v>11039375.330000002</v>
      </c>
      <c r="Q36" s="59">
        <f t="shared" si="17"/>
        <v>140197260.02999997</v>
      </c>
      <c r="R36" s="59">
        <f t="shared" si="17"/>
        <v>21384169.350000005</v>
      </c>
      <c r="S36" s="59">
        <f t="shared" si="17"/>
        <v>39491548.270000003</v>
      </c>
      <c r="T36" s="59">
        <f t="shared" si="17"/>
        <v>11692842.550000003</v>
      </c>
      <c r="U36" s="59">
        <f t="shared" si="17"/>
        <v>8472059.3900000006</v>
      </c>
      <c r="V36" s="59">
        <f t="shared" si="17"/>
        <v>8441907.4499999993</v>
      </c>
      <c r="W36" s="59">
        <f t="shared" si="17"/>
        <v>5872770.4299999978</v>
      </c>
      <c r="X36" s="59">
        <f t="shared" si="17"/>
        <v>13155308.030000001</v>
      </c>
      <c r="Y36" s="59">
        <f t="shared" si="17"/>
        <v>15898066.18</v>
      </c>
      <c r="Z36" s="59">
        <f t="shared" si="17"/>
        <v>3059431.2799999993</v>
      </c>
      <c r="AA36" s="59">
        <f t="shared" si="17"/>
        <v>4209261.97</v>
      </c>
      <c r="AB36" s="59">
        <f t="shared" si="17"/>
        <v>3348731.6899999976</v>
      </c>
      <c r="AC36" s="59">
        <f t="shared" si="17"/>
        <v>5828852.2199999988</v>
      </c>
      <c r="AD36" s="59">
        <f t="shared" si="17"/>
        <v>140854948.80999994</v>
      </c>
      <c r="AE36" s="20">
        <f t="shared" si="1"/>
        <v>-657688.77999997139</v>
      </c>
      <c r="AG36" s="48">
        <v>157379033.87000003</v>
      </c>
      <c r="AH36" s="20">
        <f>Q36-AG36</f>
        <v>-17181773.840000063</v>
      </c>
      <c r="AI36" s="48">
        <v>156628281.72999996</v>
      </c>
      <c r="AJ36" s="20">
        <f>Q36-AI36</f>
        <v>-16431021.699999988</v>
      </c>
      <c r="AL36" s="48">
        <v>163059786.79999995</v>
      </c>
      <c r="AM36" s="20">
        <f>Q36-AL36</f>
        <v>-22862526.769999981</v>
      </c>
      <c r="AP36" s="395">
        <f>Q36-'[1]2025 Summay'!Q36</f>
        <v>0</v>
      </c>
    </row>
    <row r="37" spans="1:42" ht="24.95" customHeight="1">
      <c r="A37" s="38"/>
      <c r="B37" s="38"/>
      <c r="C37" s="63"/>
      <c r="D37" s="63" t="s">
        <v>57</v>
      </c>
      <c r="E37" s="64">
        <f>+E36/E16</f>
        <v>0.51012358707173877</v>
      </c>
      <c r="F37" s="64">
        <f t="shared" ref="F37:AD37" si="18">+F36/F16</f>
        <v>0.5890511981127311</v>
      </c>
      <c r="G37" s="64">
        <f t="shared" si="18"/>
        <v>0.41294491860028443</v>
      </c>
      <c r="H37" s="64">
        <f>+H36/H16</f>
        <v>0.36049678276768393</v>
      </c>
      <c r="I37" s="64">
        <f>+I36/I16</f>
        <v>0.32281913284979102</v>
      </c>
      <c r="J37" s="64">
        <f>+J36/J16</f>
        <v>0.27879041901321333</v>
      </c>
      <c r="K37" s="64">
        <f>+K36/K16</f>
        <v>0.44528766083995852</v>
      </c>
      <c r="L37" s="64">
        <f t="shared" si="18"/>
        <v>0.49693074663299419</v>
      </c>
      <c r="M37" s="64">
        <f>+M36/M16</f>
        <v>0.24232899385671808</v>
      </c>
      <c r="N37" s="64">
        <f t="shared" si="18"/>
        <v>0.29850175802006779</v>
      </c>
      <c r="O37" s="64">
        <f t="shared" si="18"/>
        <v>0.28423355954594581</v>
      </c>
      <c r="P37" s="64">
        <f t="shared" si="18"/>
        <v>0.39911623037974231</v>
      </c>
      <c r="Q37" s="64">
        <f t="shared" si="18"/>
        <v>0.41158714566380761</v>
      </c>
      <c r="R37" s="64">
        <f t="shared" si="18"/>
        <v>0.51034029856671426</v>
      </c>
      <c r="S37" s="64">
        <f t="shared" si="18"/>
        <v>0.6039168735408279</v>
      </c>
      <c r="T37" s="64">
        <f t="shared" si="18"/>
        <v>0.3904547996802496</v>
      </c>
      <c r="U37" s="64">
        <f t="shared" si="18"/>
        <v>0.32888450477116027</v>
      </c>
      <c r="V37" s="64">
        <f t="shared" si="18"/>
        <v>0.34998468468553806</v>
      </c>
      <c r="W37" s="64">
        <f t="shared" si="18"/>
        <v>0.27220013748067207</v>
      </c>
      <c r="X37" s="64">
        <f t="shared" si="18"/>
        <v>0.42541549764600012</v>
      </c>
      <c r="Y37" s="64">
        <f>+Y36/Y16</f>
        <v>0.44936026517524691</v>
      </c>
      <c r="Z37" s="64">
        <f>+Z36/Z16</f>
        <v>0.16186839571568565</v>
      </c>
      <c r="AA37" s="64">
        <f>+AA36/AA16</f>
        <v>0.18821596823176576</v>
      </c>
      <c r="AB37" s="64">
        <f>+AB36/AB16</f>
        <v>0.16295926088175497</v>
      </c>
      <c r="AC37" s="64">
        <f>+AC36/AC16</f>
        <v>0.23378290965420309</v>
      </c>
      <c r="AD37" s="64">
        <f t="shared" si="18"/>
        <v>0.38937463909782677</v>
      </c>
      <c r="AE37" s="55">
        <f t="shared" si="1"/>
        <v>2.2212506565980839E-2</v>
      </c>
      <c r="AG37" s="65">
        <v>0.45615239648262468</v>
      </c>
      <c r="AI37" s="66">
        <v>0.46127588002443676</v>
      </c>
      <c r="AJ37" s="55">
        <f>Q37-AI37</f>
        <v>-4.968873436062915E-2</v>
      </c>
      <c r="AL37" s="66">
        <v>0.3843683658762902</v>
      </c>
      <c r="AM37" s="55">
        <f>Q37-AL37</f>
        <v>2.7218779787517411E-2</v>
      </c>
      <c r="AP37" s="395">
        <f>Q37-'[1]2025 Summay'!Q37</f>
        <v>0</v>
      </c>
    </row>
    <row r="38" spans="1:42" ht="24.95" customHeight="1">
      <c r="A38" s="38"/>
      <c r="B38" s="38"/>
      <c r="C38" s="63"/>
      <c r="D38" s="63"/>
      <c r="E38" s="46"/>
      <c r="F38" s="46"/>
      <c r="G38" s="46"/>
      <c r="H38" s="46"/>
      <c r="I38" s="46"/>
      <c r="J38" s="46"/>
      <c r="K38" s="46"/>
      <c r="L38" s="53"/>
      <c r="Q38" s="67"/>
      <c r="AB38" s="20"/>
      <c r="AC38" s="20"/>
      <c r="AD38" s="54"/>
      <c r="AG38" s="48"/>
      <c r="AI38" s="48"/>
      <c r="AL38" s="48"/>
      <c r="AM38" s="20">
        <f>Q38-AL38</f>
        <v>0</v>
      </c>
      <c r="AP38" s="395">
        <f>Q38-'[1]2025 Summay'!Q38</f>
        <v>0</v>
      </c>
    </row>
    <row r="39" spans="1:42" ht="24.95" customHeight="1">
      <c r="A39" s="38" t="s">
        <v>58</v>
      </c>
      <c r="B39" s="38" t="s">
        <v>59</v>
      </c>
      <c r="C39" s="63"/>
      <c r="D39" s="38" t="s">
        <v>60</v>
      </c>
      <c r="E39" s="56">
        <v>868992</v>
      </c>
      <c r="F39" s="56">
        <v>962447</v>
      </c>
      <c r="G39" s="56">
        <v>598708</v>
      </c>
      <c r="H39" s="56">
        <v>554340</v>
      </c>
      <c r="I39" s="56">
        <v>527326</v>
      </c>
      <c r="J39" s="56">
        <v>471695</v>
      </c>
      <c r="K39" s="56">
        <v>684555</v>
      </c>
      <c r="L39" s="56">
        <v>771228</v>
      </c>
      <c r="M39" s="56">
        <v>444674</v>
      </c>
      <c r="N39" s="56">
        <v>562184</v>
      </c>
      <c r="O39" s="56">
        <v>485883</v>
      </c>
      <c r="P39" s="56">
        <v>612643</v>
      </c>
      <c r="Q39" s="48">
        <f>SUM(E39:P39)</f>
        <v>7544675</v>
      </c>
      <c r="R39" s="46">
        <f>'Fixed+Charge'!Q11</f>
        <v>928100.81</v>
      </c>
      <c r="S39" s="46">
        <f>'Fixed+Charge'!R11</f>
        <v>1448403.71</v>
      </c>
      <c r="T39" s="46">
        <f>'Fixed+Charge'!S11</f>
        <v>663303.01</v>
      </c>
      <c r="U39" s="46">
        <f>'Fixed+Charge'!T11</f>
        <v>570569.06000000006</v>
      </c>
      <c r="V39" s="46">
        <f>'Fixed+Charge'!U11</f>
        <v>534261.87</v>
      </c>
      <c r="W39" s="46">
        <f>'Fixed+Charge'!V11</f>
        <v>477878.3</v>
      </c>
      <c r="X39" s="46">
        <f>'Fixed+Charge'!W11</f>
        <v>684936.56</v>
      </c>
      <c r="Y39" s="46">
        <f>'Fixed+Charge'!X11</f>
        <v>783632.18</v>
      </c>
      <c r="Z39" s="46">
        <f>'Fixed+Charge'!Y11</f>
        <v>418641</v>
      </c>
      <c r="AA39" s="46">
        <f>'Fixed+Charge'!Z11</f>
        <v>495350</v>
      </c>
      <c r="AB39" s="46">
        <f>'Fixed+Charge'!AA11</f>
        <v>455160</v>
      </c>
      <c r="AC39" s="46">
        <f>'Fixed+Charge'!AB11</f>
        <v>552244</v>
      </c>
      <c r="AD39" s="47">
        <f>SUM(R39:AC39)</f>
        <v>8012480.5</v>
      </c>
      <c r="AE39" s="20">
        <f t="shared" si="1"/>
        <v>-467805.5</v>
      </c>
      <c r="AG39" s="48">
        <v>7641868.0499999998</v>
      </c>
      <c r="AH39" s="20">
        <f>AG39-Q39</f>
        <v>97193.049999999814</v>
      </c>
      <c r="AI39" s="48">
        <v>7520939.0499999989</v>
      </c>
      <c r="AJ39" s="20">
        <f>AI39-Q39</f>
        <v>-23735.950000001118</v>
      </c>
      <c r="AL39" s="48">
        <v>9396407.9800000004</v>
      </c>
      <c r="AM39" s="20">
        <f>Q39-AL39</f>
        <v>-1851732.9800000004</v>
      </c>
      <c r="AP39" s="395">
        <f>Q39-'[1]2025 Summay'!Q39</f>
        <v>0</v>
      </c>
    </row>
    <row r="40" spans="1:42" ht="24.95" customHeight="1">
      <c r="A40" s="38" t="s">
        <v>61</v>
      </c>
      <c r="B40" s="38" t="s">
        <v>59</v>
      </c>
      <c r="C40" s="38"/>
      <c r="D40" s="13" t="s">
        <v>62</v>
      </c>
      <c r="E40" s="56">
        <v>1541019</v>
      </c>
      <c r="F40" s="56">
        <v>1983132</v>
      </c>
      <c r="G40" s="56">
        <v>849696</v>
      </c>
      <c r="H40" s="56">
        <v>680898</v>
      </c>
      <c r="I40" s="56">
        <v>-128370</v>
      </c>
      <c r="J40" s="56">
        <v>384145</v>
      </c>
      <c r="K40" s="56">
        <v>920717</v>
      </c>
      <c r="L40" s="56">
        <v>1164178</v>
      </c>
      <c r="M40" s="56">
        <v>310479</v>
      </c>
      <c r="N40" s="56">
        <v>-677980</v>
      </c>
      <c r="O40" s="56">
        <v>346417</v>
      </c>
      <c r="P40" s="56">
        <v>629025</v>
      </c>
      <c r="Q40" s="48">
        <f>SUM(E40:P40)</f>
        <v>8003356</v>
      </c>
      <c r="R40" s="46">
        <f>'Fixed+Charge'!Q12</f>
        <v>1646653.34</v>
      </c>
      <c r="S40" s="46">
        <f>'Fixed+Charge'!R12</f>
        <v>3063458.91</v>
      </c>
      <c r="T40" s="46">
        <f>'Fixed+Charge'!S12</f>
        <v>887264.78</v>
      </c>
      <c r="U40" s="46">
        <f>'Fixed+Charge'!T12</f>
        <v>635270.69999999995</v>
      </c>
      <c r="V40" s="46">
        <f>'Fixed+Charge'!U12</f>
        <v>635746.73</v>
      </c>
      <c r="W40" s="46">
        <f>'Fixed+Charge'!V12</f>
        <v>-479385.22</v>
      </c>
      <c r="X40" s="46">
        <f>'Fixed+Charge'!W12</f>
        <v>877910.28</v>
      </c>
      <c r="Y40" s="46">
        <f>'Fixed+Charge'!X12</f>
        <v>1064298.76</v>
      </c>
      <c r="Z40" s="46">
        <f>'Fixed+Charge'!Y12</f>
        <v>185039</v>
      </c>
      <c r="AA40" s="46">
        <f>'Fixed+Charge'!Z12</f>
        <v>-993136</v>
      </c>
      <c r="AB40" s="46">
        <f>'Fixed+Charge'!AA12</f>
        <v>173901</v>
      </c>
      <c r="AC40" s="46">
        <f>'Fixed+Charge'!AB12</f>
        <v>317895</v>
      </c>
      <c r="AD40" s="47">
        <f>SUM(R40:AC40)</f>
        <v>8014917.2800000012</v>
      </c>
      <c r="AE40" s="20">
        <f t="shared" si="1"/>
        <v>-11561.280000001192</v>
      </c>
      <c r="AG40" s="48">
        <v>12044875.649999999</v>
      </c>
      <c r="AH40" s="20">
        <f>AG40-Q40</f>
        <v>4041519.6499999985</v>
      </c>
      <c r="AI40" s="48">
        <v>10451323.829999998</v>
      </c>
      <c r="AJ40" s="20">
        <f>AI40-Q40</f>
        <v>2447967.8299999982</v>
      </c>
      <c r="AL40" s="48">
        <v>9273320.9299999978</v>
      </c>
      <c r="AM40" s="20">
        <f>Q40-AL40</f>
        <v>-1269964.9299999978</v>
      </c>
      <c r="AP40" s="395">
        <f>Q40-'[1]2025 Summay'!Q40</f>
        <v>0</v>
      </c>
    </row>
    <row r="41" spans="1:42" ht="24.95" customHeight="1">
      <c r="A41" s="38"/>
      <c r="B41" s="38"/>
      <c r="C41" s="50"/>
      <c r="D41" s="50" t="s">
        <v>63</v>
      </c>
      <c r="E41" s="59">
        <f t="shared" ref="E41:AD41" si="19">E36-E39-E40</f>
        <v>17603743.700000003</v>
      </c>
      <c r="F41" s="59">
        <f t="shared" si="19"/>
        <v>22650122.239999995</v>
      </c>
      <c r="G41" s="59">
        <f t="shared" si="19"/>
        <v>9713652.8300000001</v>
      </c>
      <c r="H41" s="59">
        <f t="shared" si="19"/>
        <v>7787007.6299999971</v>
      </c>
      <c r="I41" s="59">
        <f t="shared" si="19"/>
        <v>7286605.6999999983</v>
      </c>
      <c r="J41" s="59">
        <f t="shared" si="19"/>
        <v>5081283.83</v>
      </c>
      <c r="K41" s="59">
        <f t="shared" si="19"/>
        <v>12156872.159999996</v>
      </c>
      <c r="L41" s="59">
        <f t="shared" si="19"/>
        <v>15367369.280000001</v>
      </c>
      <c r="M41" s="59">
        <f t="shared" si="19"/>
        <v>4109862.5399999991</v>
      </c>
      <c r="N41" s="59">
        <f t="shared" si="19"/>
        <v>7692186.7300000004</v>
      </c>
      <c r="O41" s="59">
        <f t="shared" si="19"/>
        <v>5402815.0599999996</v>
      </c>
      <c r="P41" s="59">
        <f t="shared" si="19"/>
        <v>9797707.3300000019</v>
      </c>
      <c r="Q41" s="59">
        <f t="shared" si="19"/>
        <v>124649229.02999997</v>
      </c>
      <c r="R41" s="59">
        <f t="shared" si="19"/>
        <v>18809415.200000007</v>
      </c>
      <c r="S41" s="59">
        <f t="shared" si="19"/>
        <v>34979685.650000006</v>
      </c>
      <c r="T41" s="59">
        <f t="shared" si="19"/>
        <v>10142274.760000004</v>
      </c>
      <c r="U41" s="59">
        <f t="shared" si="19"/>
        <v>7266219.6299999999</v>
      </c>
      <c r="V41" s="59">
        <f t="shared" si="19"/>
        <v>7271898.8499999996</v>
      </c>
      <c r="W41" s="59">
        <f t="shared" si="19"/>
        <v>5874277.3499999978</v>
      </c>
      <c r="X41" s="59">
        <f t="shared" si="19"/>
        <v>11592461.190000001</v>
      </c>
      <c r="Y41" s="59">
        <f t="shared" si="19"/>
        <v>14050135.24</v>
      </c>
      <c r="Z41" s="59">
        <f t="shared" si="19"/>
        <v>2455751.2799999993</v>
      </c>
      <c r="AA41" s="59">
        <f t="shared" si="19"/>
        <v>4707047.97</v>
      </c>
      <c r="AB41" s="59">
        <f t="shared" si="19"/>
        <v>2719670.6899999976</v>
      </c>
      <c r="AC41" s="59">
        <f t="shared" si="19"/>
        <v>4958713.2199999988</v>
      </c>
      <c r="AD41" s="59">
        <f t="shared" si="19"/>
        <v>124827551.02999994</v>
      </c>
      <c r="AE41" s="20">
        <f t="shared" si="1"/>
        <v>-178321.9999999702</v>
      </c>
      <c r="AG41" s="48">
        <v>137692290.17000002</v>
      </c>
      <c r="AH41" s="20">
        <f>AG41-Q41</f>
        <v>13043061.140000045</v>
      </c>
      <c r="AI41" s="48">
        <v>138656018.84999996</v>
      </c>
      <c r="AJ41" s="20">
        <f>Q41-AI41</f>
        <v>-14006789.819999993</v>
      </c>
      <c r="AL41" s="48">
        <v>144390057.88999996</v>
      </c>
      <c r="AM41" s="20">
        <f>Q41-AL41</f>
        <v>-19740828.859999985</v>
      </c>
      <c r="AP41" s="395">
        <f>Q41-'[1]2025 Summay'!Q41</f>
        <v>0</v>
      </c>
    </row>
    <row r="42" spans="1:42" ht="24.95" customHeight="1">
      <c r="A42" s="38"/>
      <c r="B42" s="38"/>
      <c r="C42" s="38"/>
      <c r="D42" s="38"/>
      <c r="E42" s="52"/>
      <c r="F42" s="52"/>
      <c r="G42" s="52"/>
      <c r="H42" s="52"/>
      <c r="I42" s="52"/>
      <c r="J42" s="52"/>
      <c r="K42" s="52"/>
      <c r="L42" s="53"/>
      <c r="AG42" s="48"/>
      <c r="AI42" s="48"/>
      <c r="AL42" s="48"/>
      <c r="AM42" s="20">
        <f>Q42-AL42</f>
        <v>0</v>
      </c>
      <c r="AP42" s="395">
        <f>Q42-'[1]2025 Summay'!Q42</f>
        <v>0</v>
      </c>
    </row>
    <row r="43" spans="1:42" ht="24.95" customHeight="1">
      <c r="A43" s="38" t="s">
        <v>64</v>
      </c>
      <c r="B43" s="38" t="s">
        <v>65</v>
      </c>
      <c r="C43" s="38"/>
      <c r="D43" s="38" t="s">
        <v>66</v>
      </c>
      <c r="E43" s="56">
        <f>'Fixed+Charge'!D14</f>
        <v>355131.95</v>
      </c>
      <c r="F43" s="56">
        <f>'Fixed+Charge'!E14</f>
        <v>355131.95</v>
      </c>
      <c r="G43" s="56">
        <f>'Fixed+Charge'!F14</f>
        <v>355131.95</v>
      </c>
      <c r="H43" s="56">
        <f>'Fixed+Charge'!G14</f>
        <v>355131.95</v>
      </c>
      <c r="I43" s="56">
        <f>'Fixed+Charge'!H14</f>
        <v>355131.95</v>
      </c>
      <c r="J43" s="56">
        <f>'Fixed+Charge'!I14</f>
        <v>355131.95</v>
      </c>
      <c r="K43" s="56">
        <f>'Fixed+Charge'!J14</f>
        <v>355131.95</v>
      </c>
      <c r="L43" s="56">
        <f>'Fixed+Charge'!K14</f>
        <v>355131.95</v>
      </c>
      <c r="M43" s="56">
        <f>'Fixed+Charge'!L14</f>
        <v>355131.95</v>
      </c>
      <c r="N43" s="56">
        <f>'Fixed+Charge'!M14</f>
        <v>355131.95</v>
      </c>
      <c r="O43" s="56">
        <f>'Fixed+Charge'!N14</f>
        <v>355131.95</v>
      </c>
      <c r="P43" s="56">
        <f>'Fixed+Charge'!O14</f>
        <v>355131.95</v>
      </c>
      <c r="Q43" s="48">
        <f>SUM(E43:P43)</f>
        <v>4261583.4000000013</v>
      </c>
      <c r="R43" s="56">
        <f>'Fixed+Charge'!Q14</f>
        <v>396173.89</v>
      </c>
      <c r="S43" s="56">
        <f>'Fixed+Charge'!R14</f>
        <v>397031.95</v>
      </c>
      <c r="T43" s="56">
        <f>'Fixed+Charge'!S14</f>
        <v>434275.47</v>
      </c>
      <c r="U43" s="56">
        <f>'Fixed+Charge'!T14</f>
        <v>395692.73</v>
      </c>
      <c r="V43" s="56">
        <f>'Fixed+Charge'!U14</f>
        <v>403798.62</v>
      </c>
      <c r="W43" s="56">
        <f>'Fixed+Charge'!V14</f>
        <v>402815.82</v>
      </c>
      <c r="X43" s="56">
        <f>'Fixed+Charge'!W14</f>
        <v>436033.64</v>
      </c>
      <c r="Y43" s="56">
        <f>'Fixed+Charge'!X14</f>
        <v>402352.71</v>
      </c>
      <c r="Z43" s="56">
        <f>'Fixed+Charge'!Y14</f>
        <v>436033.64</v>
      </c>
      <c r="AA43" s="56">
        <f>'Fixed+Charge'!Z14</f>
        <v>406431.95</v>
      </c>
      <c r="AB43" s="56">
        <f>'Fixed+Charge'!AA14</f>
        <v>406431.95</v>
      </c>
      <c r="AC43" s="56">
        <f>'Fixed+Charge'!AB14</f>
        <v>406431.95</v>
      </c>
      <c r="AD43" s="47">
        <f>SUM(R43:AC43)</f>
        <v>4923504.32</v>
      </c>
      <c r="AE43" s="20">
        <f t="shared" si="1"/>
        <v>-661920.91999999899</v>
      </c>
      <c r="AG43" s="48">
        <v>4056344.4499999993</v>
      </c>
      <c r="AH43" s="20">
        <f t="shared" ref="AH43:AH55" si="20">AG43-Q43</f>
        <v>-205238.95000000205</v>
      </c>
      <c r="AI43" s="48">
        <v>5265441.66</v>
      </c>
      <c r="AJ43" s="20">
        <f>AI43-Q43</f>
        <v>1003858.2599999988</v>
      </c>
      <c r="AL43" s="48">
        <v>3990687.0200000005</v>
      </c>
      <c r="AM43" s="20">
        <f>Q43-AL43</f>
        <v>270896.38000000082</v>
      </c>
      <c r="AP43" s="395">
        <f>Q43-'[1]2025 Summay'!Q43</f>
        <v>0</v>
      </c>
    </row>
    <row r="44" spans="1:42" ht="24.95" customHeight="1">
      <c r="A44" s="38" t="s">
        <v>67</v>
      </c>
      <c r="B44" s="38" t="s">
        <v>59</v>
      </c>
      <c r="C44" s="38"/>
      <c r="D44" s="38" t="s">
        <v>68</v>
      </c>
      <c r="E44" s="56">
        <v>192101.14</v>
      </c>
      <c r="F44" s="56">
        <v>209332.14</v>
      </c>
      <c r="G44" s="56">
        <v>142265.14000000001</v>
      </c>
      <c r="H44" s="56">
        <v>134084.14000000001</v>
      </c>
      <c r="I44" s="56">
        <v>129103.14</v>
      </c>
      <c r="J44" s="56">
        <v>118847.14</v>
      </c>
      <c r="K44" s="56">
        <v>158095.14000000001</v>
      </c>
      <c r="L44" s="56">
        <v>174075.14</v>
      </c>
      <c r="M44" s="56">
        <v>113865.14</v>
      </c>
      <c r="N44" s="56">
        <v>135530.14000000001</v>
      </c>
      <c r="O44" s="56">
        <v>121463.14</v>
      </c>
      <c r="P44" s="56">
        <v>144835.85999999999</v>
      </c>
      <c r="Q44" s="48">
        <f>SUM(E44:P44)</f>
        <v>1773597.4</v>
      </c>
      <c r="R44" s="46">
        <f>'Fixed+Charge'!Q10</f>
        <v>116823.58</v>
      </c>
      <c r="S44" s="46">
        <f>'Fixed+Charge'!R10</f>
        <v>396759.02</v>
      </c>
      <c r="T44" s="46">
        <f>'Fixed+Charge'!S10</f>
        <v>102164.66</v>
      </c>
      <c r="U44" s="46">
        <f>'Fixed+Charge'!T10</f>
        <v>59537.49</v>
      </c>
      <c r="V44" s="46">
        <f>'Fixed+Charge'!U10</f>
        <v>48821.36</v>
      </c>
      <c r="W44" s="46">
        <f>'Fixed+Charge'!V10</f>
        <v>56314.65</v>
      </c>
      <c r="X44" s="46">
        <f>'Fixed+Charge'!W10</f>
        <v>112965.36</v>
      </c>
      <c r="Y44" s="46">
        <f>'Fixed+Charge'!X10</f>
        <v>110286.43</v>
      </c>
      <c r="Z44" s="46">
        <f>'Fixed+Charge'!Y10</f>
        <v>104646.6</v>
      </c>
      <c r="AA44" s="46">
        <f>'Fixed+Charge'!Z10</f>
        <v>118445.6</v>
      </c>
      <c r="AB44" s="46">
        <f>'Fixed+Charge'!AA10</f>
        <v>111215.6</v>
      </c>
      <c r="AC44" s="46">
        <f>'Fixed+Charge'!AB10</f>
        <v>128678.6</v>
      </c>
      <c r="AD44" s="47">
        <f>SUM(R44:AC44)</f>
        <v>1466658.9500000004</v>
      </c>
      <c r="AE44" s="20">
        <f t="shared" si="1"/>
        <v>306938.44999999949</v>
      </c>
      <c r="AG44" s="48">
        <v>1349529.98</v>
      </c>
      <c r="AH44" s="20">
        <f t="shared" si="20"/>
        <v>-424067.41999999993</v>
      </c>
      <c r="AI44" s="48">
        <v>1452255.15</v>
      </c>
      <c r="AJ44" s="20">
        <f>AI44-Q44</f>
        <v>-321342.25</v>
      </c>
      <c r="AL44" s="48">
        <v>1725844.74</v>
      </c>
      <c r="AM44" s="20">
        <f>Q44-AL44</f>
        <v>47752.659999999916</v>
      </c>
      <c r="AP44" s="395">
        <f>Q44-'[1]2025 Summay'!Q44</f>
        <v>0</v>
      </c>
    </row>
    <row r="45" spans="1:42" ht="24.95" customHeight="1">
      <c r="A45" s="38" t="s">
        <v>69</v>
      </c>
      <c r="B45" s="38" t="s">
        <v>59</v>
      </c>
      <c r="C45" s="38"/>
      <c r="D45" s="38" t="s">
        <v>70</v>
      </c>
      <c r="E45" s="56">
        <f>'Fixed+Charge'!D19</f>
        <v>75208</v>
      </c>
      <c r="F45" s="56">
        <f>'Fixed+Charge'!E19</f>
        <v>75208</v>
      </c>
      <c r="G45" s="56">
        <f>'Fixed+Charge'!F19</f>
        <v>75208</v>
      </c>
      <c r="H45" s="56">
        <f>'Fixed+Charge'!G19</f>
        <v>75208</v>
      </c>
      <c r="I45" s="56">
        <f>'Fixed+Charge'!H19</f>
        <v>75208</v>
      </c>
      <c r="J45" s="56">
        <f>'Fixed+Charge'!I19</f>
        <v>75208</v>
      </c>
      <c r="K45" s="56">
        <f>'Fixed+Charge'!J19</f>
        <v>75208</v>
      </c>
      <c r="L45" s="56">
        <f>'Fixed+Charge'!K19</f>
        <v>75208</v>
      </c>
      <c r="M45" s="56">
        <f>'Fixed+Charge'!L19</f>
        <v>75208</v>
      </c>
      <c r="N45" s="56">
        <f>'Fixed+Charge'!M19</f>
        <v>75208</v>
      </c>
      <c r="O45" s="56">
        <f>'Fixed+Charge'!N19</f>
        <v>75208</v>
      </c>
      <c r="P45" s="56">
        <f>'Fixed+Charge'!O19</f>
        <v>75208</v>
      </c>
      <c r="Q45" s="48">
        <f>SUM(E45:P45)</f>
        <v>902496</v>
      </c>
      <c r="R45" s="46">
        <f>'Fixed+Charge'!Q19</f>
        <v>81444.990000000005</v>
      </c>
      <c r="S45" s="46">
        <f>'Fixed+Charge'!R19</f>
        <v>75983.95</v>
      </c>
      <c r="T45" s="46">
        <f>'Fixed+Charge'!S19</f>
        <v>76079.69</v>
      </c>
      <c r="U45" s="46">
        <f>'Fixed+Charge'!T19</f>
        <v>76079.710000000006</v>
      </c>
      <c r="V45" s="46">
        <f>'Fixed+Charge'!U19</f>
        <v>76079.73</v>
      </c>
      <c r="W45" s="46">
        <f>'Fixed+Charge'!V19</f>
        <v>76118.759999999995</v>
      </c>
      <c r="X45" s="46">
        <f>'Fixed+Charge'!W19</f>
        <v>76065.53</v>
      </c>
      <c r="Y45" s="46">
        <f>'Fixed+Charge'!X19</f>
        <v>73804.11</v>
      </c>
      <c r="Z45" s="46">
        <f>'Fixed+Charge'!Y19</f>
        <v>76118.759999999995</v>
      </c>
      <c r="AA45" s="46">
        <f>'Fixed+Charge'!Z19</f>
        <v>76118.759999999995</v>
      </c>
      <c r="AB45" s="46">
        <f>'Fixed+Charge'!AA19</f>
        <v>76118.759999999995</v>
      </c>
      <c r="AC45" s="46">
        <f>'Fixed+Charge'!AB19</f>
        <v>76118.759999999995</v>
      </c>
      <c r="AD45" s="47">
        <f>SUM(R45:AC45)</f>
        <v>916131.51</v>
      </c>
      <c r="AE45" s="20">
        <f t="shared" si="1"/>
        <v>-13635.510000000009</v>
      </c>
      <c r="AG45" s="48">
        <v>991154.54</v>
      </c>
      <c r="AH45" s="20">
        <f t="shared" si="20"/>
        <v>88658.540000000037</v>
      </c>
      <c r="AI45" s="48">
        <v>1302074.2699999998</v>
      </c>
      <c r="AJ45" s="20">
        <f>AI45-Q45</f>
        <v>399578.26999999979</v>
      </c>
      <c r="AL45" s="48">
        <v>889955.07000000007</v>
      </c>
      <c r="AM45" s="20">
        <f>Q45-AL45</f>
        <v>12540.929999999935</v>
      </c>
      <c r="AP45" s="395">
        <f>Q45-'[1]2025 Summay'!Q45</f>
        <v>0</v>
      </c>
    </row>
    <row r="46" spans="1:42" ht="24.95" customHeight="1">
      <c r="A46" s="38" t="s">
        <v>71</v>
      </c>
      <c r="B46" s="38" t="s">
        <v>59</v>
      </c>
      <c r="C46" s="38"/>
      <c r="D46" s="13" t="s">
        <v>72</v>
      </c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48">
        <f>SUM(E46:P46)</f>
        <v>0</v>
      </c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7"/>
      <c r="AE46" s="20">
        <f t="shared" si="1"/>
        <v>0</v>
      </c>
      <c r="AG46" s="48">
        <v>0</v>
      </c>
      <c r="AH46" s="20">
        <f t="shared" si="20"/>
        <v>0</v>
      </c>
      <c r="AI46" s="48"/>
      <c r="AJ46" s="20">
        <f>AI46-Q46</f>
        <v>0</v>
      </c>
      <c r="AL46" s="48"/>
      <c r="AM46" s="20">
        <f>Q46-AL46</f>
        <v>0</v>
      </c>
      <c r="AP46" s="395">
        <f>Q46-'[1]2025 Summay'!Q46</f>
        <v>0</v>
      </c>
    </row>
    <row r="47" spans="1:42" ht="24.95" customHeight="1">
      <c r="A47" s="38"/>
      <c r="B47" s="38"/>
      <c r="C47" s="50"/>
      <c r="D47" s="50" t="s">
        <v>73</v>
      </c>
      <c r="E47" s="59">
        <f t="shared" ref="E47:AD47" si="21">SUBTOTAL(9,E43:E46)</f>
        <v>622441.09000000008</v>
      </c>
      <c r="F47" s="59">
        <f t="shared" si="21"/>
        <v>639672.09000000008</v>
      </c>
      <c r="G47" s="59">
        <f t="shared" si="21"/>
        <v>572605.09000000008</v>
      </c>
      <c r="H47" s="59">
        <f t="shared" si="21"/>
        <v>564424.09000000008</v>
      </c>
      <c r="I47" s="59">
        <f t="shared" si="21"/>
        <v>559443.09000000008</v>
      </c>
      <c r="J47" s="59">
        <f t="shared" si="21"/>
        <v>549187.09000000008</v>
      </c>
      <c r="K47" s="59">
        <f t="shared" si="21"/>
        <v>588435.09000000008</v>
      </c>
      <c r="L47" s="59">
        <f t="shared" si="21"/>
        <v>604415.09000000008</v>
      </c>
      <c r="M47" s="59">
        <f t="shared" si="21"/>
        <v>544205.09000000008</v>
      </c>
      <c r="N47" s="59">
        <f t="shared" si="21"/>
        <v>565870.09000000008</v>
      </c>
      <c r="O47" s="59">
        <f t="shared" si="21"/>
        <v>551803.09000000008</v>
      </c>
      <c r="P47" s="59">
        <f t="shared" si="21"/>
        <v>575175.81000000006</v>
      </c>
      <c r="Q47" s="59">
        <f t="shared" si="21"/>
        <v>6937676.8000000007</v>
      </c>
      <c r="R47" s="59">
        <f t="shared" si="21"/>
        <v>594442.46000000008</v>
      </c>
      <c r="S47" s="59">
        <f t="shared" si="21"/>
        <v>869774.91999999993</v>
      </c>
      <c r="T47" s="59">
        <f t="shared" si="21"/>
        <v>612519.82000000007</v>
      </c>
      <c r="U47" s="59">
        <f t="shared" si="21"/>
        <v>531309.92999999993</v>
      </c>
      <c r="V47" s="59">
        <f t="shared" si="21"/>
        <v>528699.71</v>
      </c>
      <c r="W47" s="59">
        <f t="shared" si="21"/>
        <v>535249.23</v>
      </c>
      <c r="X47" s="59">
        <f t="shared" si="21"/>
        <v>625064.53</v>
      </c>
      <c r="Y47" s="59">
        <f t="shared" si="21"/>
        <v>586443.25</v>
      </c>
      <c r="Z47" s="59">
        <f t="shared" si="21"/>
        <v>616799</v>
      </c>
      <c r="AA47" s="59">
        <f t="shared" si="21"/>
        <v>600996.31000000006</v>
      </c>
      <c r="AB47" s="59">
        <f t="shared" si="21"/>
        <v>593766.31000000006</v>
      </c>
      <c r="AC47" s="59">
        <f t="shared" si="21"/>
        <v>611229.31000000006</v>
      </c>
      <c r="AD47" s="59">
        <f t="shared" si="21"/>
        <v>7306294.7800000003</v>
      </c>
      <c r="AE47" s="20">
        <f t="shared" si="1"/>
        <v>-368617.97999999952</v>
      </c>
      <c r="AG47" s="48">
        <v>6397028.9699999997</v>
      </c>
      <c r="AH47" s="20">
        <f t="shared" si="20"/>
        <v>-540647.83000000101</v>
      </c>
      <c r="AI47" s="48">
        <v>8019771.0800000001</v>
      </c>
      <c r="AJ47" s="20">
        <f>AI47-Q47</f>
        <v>1082094.2799999993</v>
      </c>
      <c r="AL47" s="48">
        <v>6606486.830000001</v>
      </c>
      <c r="AM47" s="20">
        <f>Q47-AL47</f>
        <v>331189.96999999974</v>
      </c>
      <c r="AP47" s="395">
        <f>Q47-'[1]2025 Summay'!Q47</f>
        <v>0</v>
      </c>
    </row>
    <row r="48" spans="1:42" ht="24.95" customHeight="1">
      <c r="A48" s="38"/>
      <c r="B48" s="38"/>
      <c r="C48" s="38"/>
      <c r="D48" s="38"/>
      <c r="E48" s="52"/>
      <c r="F48" s="52"/>
      <c r="G48" s="52"/>
      <c r="H48" s="52"/>
      <c r="I48" s="52"/>
      <c r="J48" s="52"/>
      <c r="K48" s="52"/>
      <c r="L48" s="53"/>
      <c r="AG48" s="48"/>
      <c r="AH48" s="20">
        <f t="shared" si="20"/>
        <v>0</v>
      </c>
      <c r="AI48" s="48"/>
      <c r="AL48" s="48"/>
      <c r="AM48" s="20">
        <f>Q48-AL48</f>
        <v>0</v>
      </c>
      <c r="AP48" s="395">
        <f>Q48-'[1]2025 Summay'!Q48</f>
        <v>0</v>
      </c>
    </row>
    <row r="49" spans="1:42" ht="24.95" customHeight="1">
      <c r="A49" s="38" t="s">
        <v>74</v>
      </c>
      <c r="B49" s="38" t="s">
        <v>59</v>
      </c>
      <c r="C49" s="38"/>
      <c r="D49" s="38" t="s">
        <v>75</v>
      </c>
      <c r="E49" s="56">
        <f>'Fixed+Charge'!D24</f>
        <v>0</v>
      </c>
      <c r="F49" s="56">
        <f>'Fixed+Charge'!E24</f>
        <v>0</v>
      </c>
      <c r="G49" s="56">
        <f>'Fixed+Charge'!F24</f>
        <v>150000</v>
      </c>
      <c r="H49" s="56">
        <f>'Fixed+Charge'!G24</f>
        <v>0</v>
      </c>
      <c r="I49" s="56">
        <f>'Fixed+Charge'!H24</f>
        <v>0</v>
      </c>
      <c r="J49" s="56">
        <f>'Fixed+Charge'!I24</f>
        <v>150000</v>
      </c>
      <c r="K49" s="56">
        <f>'Fixed+Charge'!J24</f>
        <v>0</v>
      </c>
      <c r="L49" s="56">
        <f>'Fixed+Charge'!K24</f>
        <v>0</v>
      </c>
      <c r="M49" s="56">
        <f>'Fixed+Charge'!L24</f>
        <v>150000</v>
      </c>
      <c r="N49" s="56">
        <f>'Fixed+Charge'!M24</f>
        <v>0</v>
      </c>
      <c r="O49" s="56">
        <f>'Fixed+Charge'!N24</f>
        <v>0</v>
      </c>
      <c r="P49" s="56">
        <f>'Fixed+Charge'!O24</f>
        <v>150000</v>
      </c>
      <c r="Q49" s="48">
        <f t="shared" ref="Q49:Q54" si="22">SUM(E49:P49)</f>
        <v>600000</v>
      </c>
      <c r="R49" s="46">
        <f>'Fixed+Charge'!Q24</f>
        <v>0</v>
      </c>
      <c r="S49" s="46">
        <f>'Fixed+Charge'!R24</f>
        <v>0</v>
      </c>
      <c r="T49" s="46">
        <f>'Fixed+Charge'!S24</f>
        <v>222792.91</v>
      </c>
      <c r="U49" s="46">
        <f>'Fixed+Charge'!T24</f>
        <v>0</v>
      </c>
      <c r="V49" s="46">
        <f>'Fixed+Charge'!U24</f>
        <v>0</v>
      </c>
      <c r="W49" s="46">
        <f>'Fixed+Charge'!V24</f>
        <v>124780.24</v>
      </c>
      <c r="X49" s="46">
        <f>'Fixed+Charge'!W24</f>
        <v>0</v>
      </c>
      <c r="Y49" s="46">
        <f>'Fixed+Charge'!X24</f>
        <v>0</v>
      </c>
      <c r="Z49" s="46">
        <f>'Fixed+Charge'!Y24</f>
        <v>150000</v>
      </c>
      <c r="AA49" s="46">
        <f>'Fixed+Charge'!Z24</f>
        <v>0</v>
      </c>
      <c r="AB49" s="46">
        <f>'Fixed+Charge'!AA24</f>
        <v>0</v>
      </c>
      <c r="AC49" s="46">
        <f>'Fixed+Charge'!AB24</f>
        <v>150000</v>
      </c>
      <c r="AD49" s="47">
        <f t="shared" ref="AD49:AD54" si="23">SUM(R49:AC49)</f>
        <v>647573.15</v>
      </c>
      <c r="AE49" s="20">
        <f t="shared" si="1"/>
        <v>-47573.150000000023</v>
      </c>
      <c r="AG49" s="48">
        <v>431104.45000000007</v>
      </c>
      <c r="AH49" s="20">
        <f t="shared" si="20"/>
        <v>-168895.54999999993</v>
      </c>
      <c r="AI49" s="48">
        <v>-284642.28999999998</v>
      </c>
      <c r="AJ49" s="20">
        <f>Q49-AI49</f>
        <v>884642.29</v>
      </c>
      <c r="AL49" s="48">
        <v>771856.12999999989</v>
      </c>
      <c r="AM49" s="20">
        <f>Q49-AL49</f>
        <v>-171856.12999999989</v>
      </c>
      <c r="AP49" s="395">
        <f>Q49-'[1]2025 Summay'!Q49</f>
        <v>0</v>
      </c>
    </row>
    <row r="50" spans="1:42" ht="24.95" customHeight="1">
      <c r="A50" s="38" t="s">
        <v>76</v>
      </c>
      <c r="B50" s="38" t="s">
        <v>77</v>
      </c>
      <c r="C50" s="38"/>
      <c r="D50" s="38" t="s">
        <v>78</v>
      </c>
      <c r="E50" s="62">
        <f>'Fixed+Charge'!D25</f>
        <v>26624.29</v>
      </c>
      <c r="F50" s="56">
        <f>'Fixed+Charge'!E25</f>
        <v>24138.66</v>
      </c>
      <c r="G50" s="56">
        <f>'Fixed+Charge'!F25</f>
        <v>26816.19</v>
      </c>
      <c r="H50" s="56">
        <f>'Fixed+Charge'!G25</f>
        <v>26049.26</v>
      </c>
      <c r="I50" s="56">
        <f>'Fixed+Charge'!H25</f>
        <v>27016.04</v>
      </c>
      <c r="J50" s="56">
        <f>'Fixed+Charge'!I25</f>
        <v>24320.57</v>
      </c>
      <c r="K50" s="56">
        <f>'Fixed+Charge'!J25</f>
        <v>13299.14</v>
      </c>
      <c r="L50" s="56">
        <f>'Fixed+Charge'!K25</f>
        <v>13349.41</v>
      </c>
      <c r="M50" s="56">
        <f>'Fixed+Charge'!L25</f>
        <v>12967.62</v>
      </c>
      <c r="N50" s="56">
        <f>'Fixed+Charge'!M25</f>
        <v>13448.9</v>
      </c>
      <c r="O50" s="56">
        <f>'Fixed+Charge'!N25</f>
        <v>13064.27</v>
      </c>
      <c r="P50" s="56">
        <f>'Fixed+Charge'!O25</f>
        <v>13549.13</v>
      </c>
      <c r="Q50" s="48">
        <f t="shared" si="22"/>
        <v>234643.48</v>
      </c>
      <c r="R50" s="46">
        <f>'Fixed+Charge'!Q25</f>
        <v>39077.53</v>
      </c>
      <c r="S50" s="46">
        <f>'Fixed+Charge'!R25</f>
        <v>36694.6</v>
      </c>
      <c r="T50" s="46">
        <f>'Fixed+Charge'!S25</f>
        <v>39363.99</v>
      </c>
      <c r="U50" s="46">
        <f>'Fixed+Charge'!T25</f>
        <v>38238.17</v>
      </c>
      <c r="V50" s="46">
        <f>'Fixed+Charge'!U25</f>
        <v>39657.33</v>
      </c>
      <c r="W50" s="46">
        <f>'Fixed+Charge'!V25</f>
        <v>34617.730000000003</v>
      </c>
      <c r="X50" s="46">
        <f>'Fixed+Charge'!W25</f>
        <v>26034.639999999999</v>
      </c>
      <c r="Y50" s="46">
        <f>'Fixed+Charge'!X25</f>
        <v>26133.06</v>
      </c>
      <c r="Z50" s="46">
        <f>'Fixed+Charge'!Y25</f>
        <v>25385.67</v>
      </c>
      <c r="AA50" s="46">
        <f>'Fixed+Charge'!Z25</f>
        <v>26327.83</v>
      </c>
      <c r="AB50" s="46">
        <f>'Fixed+Charge'!AA25</f>
        <v>25574.85</v>
      </c>
      <c r="AC50" s="46">
        <f>'Fixed+Charge'!AB25</f>
        <v>26524.03</v>
      </c>
      <c r="AD50" s="47">
        <f>SUM(R50:AC50)</f>
        <v>383629.42999999993</v>
      </c>
      <c r="AE50" s="20">
        <f t="shared" si="1"/>
        <v>-148985.94999999992</v>
      </c>
      <c r="AG50" s="48">
        <v>1048131.2200000003</v>
      </c>
      <c r="AH50" s="20">
        <f t="shared" si="20"/>
        <v>813487.74000000034</v>
      </c>
      <c r="AI50" s="48">
        <v>0</v>
      </c>
      <c r="AJ50" s="20">
        <f>AI50-Q50</f>
        <v>-234643.48</v>
      </c>
      <c r="AL50" s="48">
        <v>740581.21</v>
      </c>
      <c r="AM50" s="20">
        <f>Q50-AL50</f>
        <v>-505937.73</v>
      </c>
      <c r="AP50" s="395">
        <f>Q50-'[1]2025 Summay'!Q50</f>
        <v>0</v>
      </c>
    </row>
    <row r="51" spans="1:42" ht="24.95" customHeight="1">
      <c r="A51" s="38" t="s">
        <v>79</v>
      </c>
      <c r="B51" s="38" t="s">
        <v>77</v>
      </c>
      <c r="C51" s="38"/>
      <c r="D51" s="38" t="s">
        <v>80</v>
      </c>
      <c r="E51" s="56">
        <f>'Fixed+Charge'!D26</f>
        <v>0</v>
      </c>
      <c r="F51" s="56">
        <f>'Fixed+Charge'!E26</f>
        <v>0</v>
      </c>
      <c r="G51" s="56">
        <f>'Fixed+Charge'!F26</f>
        <v>0</v>
      </c>
      <c r="H51" s="56">
        <f>'Fixed+Charge'!G26</f>
        <v>0</v>
      </c>
      <c r="I51" s="56">
        <f>'Fixed+Charge'!H26</f>
        <v>0</v>
      </c>
      <c r="J51" s="56">
        <f>'Fixed+Charge'!I26</f>
        <v>0</v>
      </c>
      <c r="K51" s="56">
        <f>'Fixed+Charge'!J26</f>
        <v>0</v>
      </c>
      <c r="L51" s="56">
        <f>'Fixed+Charge'!K26</f>
        <v>0</v>
      </c>
      <c r="M51" s="56">
        <f>'Fixed+Charge'!L26</f>
        <v>0</v>
      </c>
      <c r="N51" s="56">
        <f>'Fixed+Charge'!M26</f>
        <v>0</v>
      </c>
      <c r="O51" s="56">
        <f>'Fixed+Charge'!N26</f>
        <v>0</v>
      </c>
      <c r="P51" s="56">
        <f>'Fixed+Charge'!O26</f>
        <v>0</v>
      </c>
      <c r="Q51" s="48">
        <f t="shared" si="22"/>
        <v>0</v>
      </c>
      <c r="R51" s="46">
        <f>'Fixed+Charge'!Q26</f>
        <v>0</v>
      </c>
      <c r="S51" s="46">
        <f>'Fixed+Charge'!R26</f>
        <v>0</v>
      </c>
      <c r="T51" s="46">
        <f>'Fixed+Charge'!S26</f>
        <v>0</v>
      </c>
      <c r="U51" s="46">
        <f>'Fixed+Charge'!T26</f>
        <v>0</v>
      </c>
      <c r="V51" s="46">
        <f>'Fixed+Charge'!U26</f>
        <v>0</v>
      </c>
      <c r="W51" s="46">
        <f>'Fixed+Charge'!V26</f>
        <v>0</v>
      </c>
      <c r="X51" s="46">
        <f>'Fixed+Charge'!W26</f>
        <v>0</v>
      </c>
      <c r="Y51" s="46">
        <f>'Fixed+Charge'!X26</f>
        <v>0</v>
      </c>
      <c r="Z51" s="46">
        <f>'Fixed+Charge'!Y26</f>
        <v>0</v>
      </c>
      <c r="AA51" s="46">
        <f>'Fixed+Charge'!Z26</f>
        <v>0</v>
      </c>
      <c r="AB51" s="46">
        <f>'Fixed+Charge'!AA26</f>
        <v>0</v>
      </c>
      <c r="AC51" s="46">
        <f>'Fixed+Charge'!AB26</f>
        <v>0</v>
      </c>
      <c r="AD51" s="47">
        <f>SUM(R51:AC51)</f>
        <v>0</v>
      </c>
      <c r="AE51" s="20">
        <f t="shared" si="1"/>
        <v>0</v>
      </c>
      <c r="AG51" s="48">
        <v>1670992.5099999998</v>
      </c>
      <c r="AH51" s="20">
        <f t="shared" si="20"/>
        <v>1670992.5099999998</v>
      </c>
      <c r="AI51" s="48"/>
      <c r="AJ51" s="20">
        <f>Q51-AI51</f>
        <v>0</v>
      </c>
      <c r="AL51" s="48">
        <v>1299157.98</v>
      </c>
      <c r="AM51" s="20">
        <f>Q51-AL51</f>
        <v>-1299157.98</v>
      </c>
      <c r="AP51" s="395">
        <f>Q51-'[1]2025 Summay'!Q51</f>
        <v>0</v>
      </c>
    </row>
    <row r="52" spans="1:42" ht="24.95" customHeight="1">
      <c r="A52" s="38" t="s">
        <v>81</v>
      </c>
      <c r="B52" s="38" t="s">
        <v>77</v>
      </c>
      <c r="C52" s="38"/>
      <c r="D52" s="38" t="s">
        <v>82</v>
      </c>
      <c r="E52" s="56">
        <f>'Fixed+Charge'!D27</f>
        <v>0</v>
      </c>
      <c r="F52" s="56">
        <f>'Fixed+Charge'!E27</f>
        <v>0</v>
      </c>
      <c r="G52" s="56">
        <f>'Fixed+Charge'!F27</f>
        <v>0</v>
      </c>
      <c r="H52" s="56">
        <f>'Fixed+Charge'!G27</f>
        <v>0</v>
      </c>
      <c r="I52" s="56">
        <f>'Fixed+Charge'!H27</f>
        <v>0</v>
      </c>
      <c r="J52" s="56">
        <f>'Fixed+Charge'!I27</f>
        <v>0</v>
      </c>
      <c r="K52" s="56">
        <f>'Fixed+Charge'!J27</f>
        <v>0</v>
      </c>
      <c r="L52" s="56">
        <f>'Fixed+Charge'!K27</f>
        <v>0</v>
      </c>
      <c r="M52" s="56">
        <f>'Fixed+Charge'!L27</f>
        <v>0</v>
      </c>
      <c r="N52" s="56">
        <f>'Fixed+Charge'!M27</f>
        <v>0</v>
      </c>
      <c r="O52" s="56">
        <f>'Fixed+Charge'!N27</f>
        <v>0</v>
      </c>
      <c r="P52" s="56">
        <f>'Fixed+Charge'!O27</f>
        <v>0</v>
      </c>
      <c r="Q52" s="48">
        <f t="shared" si="22"/>
        <v>0</v>
      </c>
      <c r="R52" s="46">
        <f>'Fixed+Charge'!Q27</f>
        <v>43283.96</v>
      </c>
      <c r="S52" s="46">
        <f>'Fixed+Charge'!R27</f>
        <v>0</v>
      </c>
      <c r="T52" s="46">
        <f>'Fixed+Charge'!S27</f>
        <v>72436</v>
      </c>
      <c r="U52" s="46">
        <f>'Fixed+Charge'!T27</f>
        <v>0</v>
      </c>
      <c r="V52" s="46">
        <f>'Fixed+Charge'!U27</f>
        <v>0</v>
      </c>
      <c r="W52" s="46">
        <f>'Fixed+Charge'!V27</f>
        <v>6332</v>
      </c>
      <c r="X52" s="46">
        <f>'Fixed+Charge'!W27</f>
        <v>0</v>
      </c>
      <c r="Y52" s="46">
        <f>'Fixed+Charge'!X27</f>
        <v>0</v>
      </c>
      <c r="Z52" s="46">
        <f>'Fixed+Charge'!Y27</f>
        <v>0</v>
      </c>
      <c r="AA52" s="46">
        <f>'Fixed+Charge'!Z27</f>
        <v>0</v>
      </c>
      <c r="AB52" s="46">
        <f>'Fixed+Charge'!AA27</f>
        <v>0</v>
      </c>
      <c r="AC52" s="46">
        <f>'Fixed+Charge'!AB27</f>
        <v>0</v>
      </c>
      <c r="AD52" s="47">
        <f t="shared" si="23"/>
        <v>122051.95999999999</v>
      </c>
      <c r="AE52" s="20">
        <f t="shared" si="1"/>
        <v>-122051.95999999999</v>
      </c>
      <c r="AG52" s="48">
        <v>1231552.44</v>
      </c>
      <c r="AH52" s="20">
        <f t="shared" si="20"/>
        <v>1231552.44</v>
      </c>
      <c r="AI52" s="48"/>
      <c r="AJ52" s="20">
        <f>Q52-AI52</f>
        <v>0</v>
      </c>
      <c r="AL52" s="48">
        <v>137146.10999999999</v>
      </c>
      <c r="AM52" s="20">
        <f>Q52-AL52</f>
        <v>-137146.10999999999</v>
      </c>
      <c r="AP52" s="395">
        <f>Q52-'[1]2025 Summay'!Q52</f>
        <v>0</v>
      </c>
    </row>
    <row r="53" spans="1:42" ht="24.95" customHeight="1">
      <c r="A53" s="38" t="s">
        <v>83</v>
      </c>
      <c r="B53" s="38" t="s">
        <v>77</v>
      </c>
      <c r="C53" s="38"/>
      <c r="D53" s="38" t="s">
        <v>84</v>
      </c>
      <c r="E53" s="56">
        <f>'Fixed+Charge'!D28</f>
        <v>0</v>
      </c>
      <c r="F53" s="56">
        <f>'Fixed+Charge'!E28</f>
        <v>0</v>
      </c>
      <c r="G53" s="56">
        <f>'Fixed+Charge'!F28</f>
        <v>0</v>
      </c>
      <c r="H53" s="56">
        <f>'Fixed+Charge'!G28</f>
        <v>0</v>
      </c>
      <c r="I53" s="56">
        <f>'Fixed+Charge'!H28</f>
        <v>0</v>
      </c>
      <c r="J53" s="56">
        <f>'Fixed+Charge'!I28</f>
        <v>0</v>
      </c>
      <c r="K53" s="56">
        <f>'Fixed+Charge'!J28</f>
        <v>0</v>
      </c>
      <c r="L53" s="56">
        <f>'Fixed+Charge'!K28</f>
        <v>0</v>
      </c>
      <c r="M53" s="56">
        <f>'Fixed+Charge'!L28</f>
        <v>0</v>
      </c>
      <c r="N53" s="56">
        <f>'Fixed+Charge'!M28</f>
        <v>0</v>
      </c>
      <c r="O53" s="56">
        <f>'Fixed+Charge'!N28</f>
        <v>0</v>
      </c>
      <c r="P53" s="56">
        <f>'Fixed+Charge'!O28</f>
        <v>0</v>
      </c>
      <c r="Q53" s="48">
        <f t="shared" si="22"/>
        <v>0</v>
      </c>
      <c r="R53" s="46">
        <f>'Fixed+Charge'!Q28</f>
        <v>0</v>
      </c>
      <c r="S53" s="46">
        <f>'Fixed+Charge'!R28</f>
        <v>0</v>
      </c>
      <c r="T53" s="46">
        <f>'Fixed+Charge'!S28</f>
        <v>0</v>
      </c>
      <c r="U53" s="46">
        <f>'Fixed+Charge'!T28</f>
        <v>0</v>
      </c>
      <c r="V53" s="46">
        <f>'Fixed+Charge'!U28</f>
        <v>0</v>
      </c>
      <c r="W53" s="46">
        <f>'Fixed+Charge'!V28</f>
        <v>0</v>
      </c>
      <c r="X53" s="46">
        <f>'Fixed+Charge'!W28</f>
        <v>0</v>
      </c>
      <c r="Y53" s="46">
        <f>'Fixed+Charge'!X28</f>
        <v>0</v>
      </c>
      <c r="Z53" s="46">
        <f>'Fixed+Charge'!Y28</f>
        <v>0</v>
      </c>
      <c r="AA53" s="46">
        <f>'Fixed+Charge'!Z28</f>
        <v>0</v>
      </c>
      <c r="AB53" s="46">
        <f>'Fixed+Charge'!AA28</f>
        <v>0</v>
      </c>
      <c r="AC53" s="46">
        <f>'Fixed+Charge'!AB28</f>
        <v>0</v>
      </c>
      <c r="AD53" s="47">
        <f>SUM(R53:AC53)</f>
        <v>0</v>
      </c>
      <c r="AE53" s="20">
        <f t="shared" si="1"/>
        <v>0</v>
      </c>
      <c r="AG53" s="48">
        <v>21167.29</v>
      </c>
      <c r="AH53" s="20">
        <f t="shared" si="20"/>
        <v>21167.29</v>
      </c>
      <c r="AI53" s="48"/>
      <c r="AJ53" s="20">
        <f>AI53-Q53</f>
        <v>0</v>
      </c>
      <c r="AL53" s="48">
        <v>0</v>
      </c>
      <c r="AM53" s="20">
        <f>Q53-AL53</f>
        <v>0</v>
      </c>
      <c r="AP53" s="395">
        <f>Q53-'[1]2025 Summay'!Q53</f>
        <v>0</v>
      </c>
    </row>
    <row r="54" spans="1:42" ht="24.95" customHeight="1">
      <c r="A54" s="38" t="s">
        <v>85</v>
      </c>
      <c r="B54" s="38" t="s">
        <v>86</v>
      </c>
      <c r="C54" s="38"/>
      <c r="D54" s="38" t="s">
        <v>87</v>
      </c>
      <c r="E54" s="56">
        <f>'Fixed+Charge'!D21</f>
        <v>637463</v>
      </c>
      <c r="F54" s="56">
        <f>'Fixed+Charge'!E21</f>
        <v>623371</v>
      </c>
      <c r="G54" s="56">
        <f>'Fixed+Charge'!F21</f>
        <v>626393</v>
      </c>
      <c r="H54" s="56">
        <f>'Fixed+Charge'!G21</f>
        <v>626393</v>
      </c>
      <c r="I54" s="56">
        <f>'Fixed+Charge'!H21</f>
        <v>626393</v>
      </c>
      <c r="J54" s="56">
        <f>'Fixed+Charge'!I21</f>
        <v>625273</v>
      </c>
      <c r="K54" s="56">
        <f>'Fixed+Charge'!J21</f>
        <v>625272</v>
      </c>
      <c r="L54" s="56">
        <f>'Fixed+Charge'!K21</f>
        <v>593234</v>
      </c>
      <c r="M54" s="56">
        <f>'Fixed+Charge'!L21</f>
        <v>584010</v>
      </c>
      <c r="N54" s="56">
        <f>'Fixed+Charge'!M21</f>
        <v>584010</v>
      </c>
      <c r="O54" s="56">
        <f>'Fixed+Charge'!N21</f>
        <v>584010</v>
      </c>
      <c r="P54" s="56">
        <f>'Fixed+Charge'!O21</f>
        <v>501561</v>
      </c>
      <c r="Q54" s="48">
        <f t="shared" si="22"/>
        <v>7237383</v>
      </c>
      <c r="R54" s="46">
        <f>'Fixed+Charge'!Q21</f>
        <v>527350.21</v>
      </c>
      <c r="S54" s="46">
        <f>'Fixed+Charge'!R21</f>
        <v>348415.34</v>
      </c>
      <c r="T54" s="46">
        <f>'Fixed+Charge'!S21</f>
        <v>351437.32</v>
      </c>
      <c r="U54" s="46">
        <f>'Fixed+Charge'!T21</f>
        <v>351437.32</v>
      </c>
      <c r="V54" s="46">
        <f>'Fixed+Charge'!U21</f>
        <v>351437.32</v>
      </c>
      <c r="W54" s="46">
        <f>'Fixed+Charge'!V21</f>
        <v>360196.78</v>
      </c>
      <c r="X54" s="46">
        <f>'Fixed+Charge'!W21</f>
        <v>360196.78</v>
      </c>
      <c r="Y54" s="46">
        <f>'Fixed+Charge'!X21</f>
        <v>360196.78</v>
      </c>
      <c r="Z54" s="46">
        <f>'Fixed+Charge'!Y21</f>
        <v>360196.77999999997</v>
      </c>
      <c r="AA54" s="46">
        <f>'Fixed+Charge'!Z21</f>
        <v>360196.77999999997</v>
      </c>
      <c r="AB54" s="46">
        <f>'Fixed+Charge'!AA21</f>
        <v>360196.69</v>
      </c>
      <c r="AC54" s="46">
        <f>'Fixed+Charge'!AB21</f>
        <v>353137.81</v>
      </c>
      <c r="AD54" s="47">
        <f t="shared" si="23"/>
        <v>4444395.91</v>
      </c>
      <c r="AE54" s="20">
        <f t="shared" si="1"/>
        <v>2792987.09</v>
      </c>
      <c r="AG54" s="48">
        <v>5074966.6000000006</v>
      </c>
      <c r="AH54" s="20">
        <f t="shared" si="20"/>
        <v>-2162416.3999999994</v>
      </c>
      <c r="AI54" s="48">
        <v>4912428.620000001</v>
      </c>
      <c r="AJ54" s="20">
        <f>AI54-Q54</f>
        <v>-2324954.379999999</v>
      </c>
      <c r="AL54" s="48">
        <v>4649316.87</v>
      </c>
      <c r="AM54" s="20">
        <f>Q54-AL54</f>
        <v>2588066.13</v>
      </c>
      <c r="AP54" s="395">
        <f>Q54-'[1]2025 Summay'!Q54</f>
        <v>0</v>
      </c>
    </row>
    <row r="55" spans="1:42" ht="24.95" customHeight="1">
      <c r="A55" s="38"/>
      <c r="B55" s="38"/>
      <c r="C55" s="50"/>
      <c r="D55" s="50" t="s">
        <v>88</v>
      </c>
      <c r="E55" s="68">
        <f t="shared" ref="E55:T55" si="24">E49+E52-E54-E50-E53+E51</f>
        <v>-664087.29</v>
      </c>
      <c r="F55" s="68">
        <f t="shared" si="24"/>
        <v>-647509.66</v>
      </c>
      <c r="G55" s="68">
        <f t="shared" si="24"/>
        <v>-503209.19</v>
      </c>
      <c r="H55" s="68">
        <f t="shared" si="24"/>
        <v>-652442.26</v>
      </c>
      <c r="I55" s="68">
        <f t="shared" si="24"/>
        <v>-653409.04</v>
      </c>
      <c r="J55" s="68">
        <f t="shared" si="24"/>
        <v>-499593.57</v>
      </c>
      <c r="K55" s="68">
        <f t="shared" si="24"/>
        <v>-638571.14</v>
      </c>
      <c r="L55" s="68">
        <f t="shared" si="24"/>
        <v>-606583.41</v>
      </c>
      <c r="M55" s="68">
        <f t="shared" si="24"/>
        <v>-446977.62</v>
      </c>
      <c r="N55" s="68">
        <f t="shared" si="24"/>
        <v>-597458.9</v>
      </c>
      <c r="O55" s="68">
        <f t="shared" si="24"/>
        <v>-597074.27</v>
      </c>
      <c r="P55" s="68">
        <f t="shared" si="24"/>
        <v>-365110.13</v>
      </c>
      <c r="Q55" s="68">
        <f t="shared" si="24"/>
        <v>-6872026.4800000004</v>
      </c>
      <c r="R55" s="68">
        <f>R49+R52-R54-R50-R53+R51</f>
        <v>-523143.77999999991</v>
      </c>
      <c r="S55" s="68">
        <f t="shared" si="24"/>
        <v>-385109.94</v>
      </c>
      <c r="T55" s="68">
        <f t="shared" si="24"/>
        <v>-95572.399999999965</v>
      </c>
      <c r="U55" s="68">
        <f>U49+U52-U54-U50-U53+U51</f>
        <v>-389675.49</v>
      </c>
      <c r="V55" s="68">
        <f t="shared" ref="V55:AD55" si="25">V49+V52-V54-V50-V53+V51</f>
        <v>-391094.65</v>
      </c>
      <c r="W55" s="68">
        <f t="shared" si="25"/>
        <v>-263702.27</v>
      </c>
      <c r="X55" s="68">
        <f t="shared" si="25"/>
        <v>-386231.42000000004</v>
      </c>
      <c r="Y55" s="68">
        <f t="shared" si="25"/>
        <v>-386329.84</v>
      </c>
      <c r="Z55" s="68">
        <f t="shared" si="25"/>
        <v>-235582.44999999995</v>
      </c>
      <c r="AA55" s="68">
        <f t="shared" si="25"/>
        <v>-386524.61</v>
      </c>
      <c r="AB55" s="68">
        <f t="shared" si="25"/>
        <v>-385771.54</v>
      </c>
      <c r="AC55" s="68">
        <f t="shared" si="25"/>
        <v>-229661.84</v>
      </c>
      <c r="AD55" s="68">
        <f t="shared" si="25"/>
        <v>-4058400.2300000004</v>
      </c>
      <c r="AE55" s="20">
        <f t="shared" si="1"/>
        <v>-2813626.25</v>
      </c>
      <c r="AG55" s="48">
        <v>-2810615.7100000009</v>
      </c>
      <c r="AH55" s="20">
        <f t="shared" si="20"/>
        <v>4061410.7699999996</v>
      </c>
      <c r="AI55" s="48">
        <v>-5197070.9100000011</v>
      </c>
      <c r="AJ55" s="20">
        <f>Q55-AI55</f>
        <v>-1674955.5699999994</v>
      </c>
      <c r="AL55" s="48">
        <v>-3181737.86</v>
      </c>
      <c r="AM55" s="20">
        <f>Q55-AL55</f>
        <v>-3690288.6200000006</v>
      </c>
      <c r="AP55" s="395">
        <f>Q55-'[1]2025 Summay'!Q55</f>
        <v>0</v>
      </c>
    </row>
    <row r="56" spans="1:42" ht="24.95" customHeight="1">
      <c r="A56" s="38"/>
      <c r="B56" s="38"/>
      <c r="C56" s="63"/>
      <c r="D56" s="63" t="s">
        <v>89</v>
      </c>
      <c r="E56" s="61">
        <f>E41-E47+E55</f>
        <v>16317215.320000004</v>
      </c>
      <c r="F56" s="61">
        <f t="shared" ref="F56:AD56" si="26">F41-F47+F55</f>
        <v>21362940.489999995</v>
      </c>
      <c r="G56" s="61">
        <f t="shared" si="26"/>
        <v>8637838.5500000007</v>
      </c>
      <c r="H56" s="61">
        <f>H41-H47+H55</f>
        <v>6570141.2799999975</v>
      </c>
      <c r="I56" s="61">
        <f>I41-I47+I55</f>
        <v>6073753.5699999984</v>
      </c>
      <c r="J56" s="61">
        <f>J41-J47+J55</f>
        <v>4032503.1700000004</v>
      </c>
      <c r="K56" s="61">
        <f>K41-K47+K55</f>
        <v>10929865.929999996</v>
      </c>
      <c r="L56" s="61">
        <f t="shared" si="26"/>
        <v>14156370.780000001</v>
      </c>
      <c r="M56" s="61">
        <f>M41-M47+M55</f>
        <v>3118679.8299999991</v>
      </c>
      <c r="N56" s="61">
        <f t="shared" si="26"/>
        <v>6528857.7400000002</v>
      </c>
      <c r="O56" s="61">
        <f t="shared" si="26"/>
        <v>4253937.6999999993</v>
      </c>
      <c r="P56" s="61">
        <f t="shared" si="26"/>
        <v>8857421.3900000006</v>
      </c>
      <c r="Q56" s="61">
        <f t="shared" si="26"/>
        <v>110839525.74999997</v>
      </c>
      <c r="R56" s="61">
        <f t="shared" si="26"/>
        <v>17691828.960000005</v>
      </c>
      <c r="S56" s="61">
        <f t="shared" si="26"/>
        <v>33724800.790000007</v>
      </c>
      <c r="T56" s="61">
        <f t="shared" si="26"/>
        <v>9434182.5400000028</v>
      </c>
      <c r="U56" s="61">
        <f t="shared" si="26"/>
        <v>6345234.21</v>
      </c>
      <c r="V56" s="61">
        <f t="shared" si="26"/>
        <v>6352104.4899999993</v>
      </c>
      <c r="W56" s="61">
        <f t="shared" si="26"/>
        <v>5075325.8499999978</v>
      </c>
      <c r="X56" s="61">
        <f t="shared" si="26"/>
        <v>10581165.240000002</v>
      </c>
      <c r="Y56" s="61">
        <f>Y41-Y47+Y55</f>
        <v>13077362.15</v>
      </c>
      <c r="Z56" s="61">
        <f>Z41-Z47+Z55</f>
        <v>1603369.8299999994</v>
      </c>
      <c r="AA56" s="61">
        <f>AA41-AA47+AA55</f>
        <v>3719527.05</v>
      </c>
      <c r="AB56" s="61">
        <f>AB41-AB47+AB55</f>
        <v>1740132.8399999975</v>
      </c>
      <c r="AC56" s="61">
        <f>AC41-AC47+AC55</f>
        <v>4117822.0699999984</v>
      </c>
      <c r="AD56" s="61">
        <f t="shared" si="26"/>
        <v>113462856.01999994</v>
      </c>
      <c r="AE56" s="20">
        <f t="shared" si="1"/>
        <v>-2623330.269999966</v>
      </c>
      <c r="AG56" s="48">
        <v>128484645.49000001</v>
      </c>
      <c r="AH56" s="20">
        <f>+Q56-AG56</f>
        <v>-17645119.740000039</v>
      </c>
      <c r="AI56" s="48">
        <v>125439176.85999997</v>
      </c>
      <c r="AJ56" s="20">
        <f>Q56-AI56</f>
        <v>-14599651.109999999</v>
      </c>
      <c r="AL56" s="48">
        <v>134601833.19999993</v>
      </c>
      <c r="AM56" s="20">
        <f>Q56-AL56</f>
        <v>-23762307.449999958</v>
      </c>
      <c r="AP56" s="395">
        <f>Q56-'[1]2025 Summay'!Q56</f>
        <v>0</v>
      </c>
    </row>
    <row r="57" spans="1:42" ht="24.95" customHeight="1">
      <c r="A57" s="38"/>
      <c r="B57" s="38"/>
      <c r="C57" s="63"/>
      <c r="D57" s="63" t="s">
        <v>90</v>
      </c>
      <c r="E57" s="64">
        <f>+E56/E16</f>
        <v>0.41590378891075003</v>
      </c>
      <c r="F57" s="64">
        <f t="shared" ref="F57:AD57" si="27">+F56/F16</f>
        <v>0.49163980985916034</v>
      </c>
      <c r="G57" s="64">
        <f t="shared" si="27"/>
        <v>0.31956041715585398</v>
      </c>
      <c r="H57" s="64">
        <f>+H56/H16</f>
        <v>0.26251943151420859</v>
      </c>
      <c r="I57" s="64">
        <f>+I56/I16</f>
        <v>0.25511783486309431</v>
      </c>
      <c r="J57" s="64">
        <f>+J56/J16</f>
        <v>0.1893548594617086</v>
      </c>
      <c r="K57" s="64">
        <f>+K56/K16</f>
        <v>0.35364652314934458</v>
      </c>
      <c r="L57" s="64">
        <f t="shared" si="27"/>
        <v>0.40656691123130062</v>
      </c>
      <c r="M57" s="64">
        <f>+M56/M16</f>
        <v>0.15534308968828917</v>
      </c>
      <c r="N57" s="64">
        <f t="shared" si="27"/>
        <v>0.25723006939650361</v>
      </c>
      <c r="O57" s="64">
        <f t="shared" si="27"/>
        <v>0.19391973410634922</v>
      </c>
      <c r="P57" s="64">
        <f t="shared" si="27"/>
        <v>0.32023013353434893</v>
      </c>
      <c r="Q57" s="64">
        <f t="shared" si="27"/>
        <v>0.32539954076428179</v>
      </c>
      <c r="R57" s="64">
        <f t="shared" si="27"/>
        <v>0.42222136973665714</v>
      </c>
      <c r="S57" s="64">
        <f t="shared" si="27"/>
        <v>0.5157300016357157</v>
      </c>
      <c r="T57" s="64">
        <f t="shared" si="27"/>
        <v>0.3150321949561023</v>
      </c>
      <c r="U57" s="64">
        <f t="shared" si="27"/>
        <v>0.24632136234503832</v>
      </c>
      <c r="V57" s="64">
        <f t="shared" si="27"/>
        <v>0.26334561237368703</v>
      </c>
      <c r="W57" s="64">
        <f t="shared" si="27"/>
        <v>0.23523895759181052</v>
      </c>
      <c r="X57" s="64">
        <f t="shared" si="27"/>
        <v>0.34217303509609714</v>
      </c>
      <c r="Y57" s="64">
        <f>+Y56/Y16</f>
        <v>0.36963281300900569</v>
      </c>
      <c r="Z57" s="64">
        <f>+Z56/Z16</f>
        <v>8.4831093876059069E-2</v>
      </c>
      <c r="AA57" s="64">
        <f>+AA56/AA16</f>
        <v>0.1663176086614522</v>
      </c>
      <c r="AB57" s="64">
        <f>+AB56/AB16</f>
        <v>8.4680048356597051E-2</v>
      </c>
      <c r="AC57" s="64">
        <f>+AC56/AC16</f>
        <v>0.16515711646621459</v>
      </c>
      <c r="AD57" s="64">
        <f t="shared" si="27"/>
        <v>0.31365286762760619</v>
      </c>
      <c r="AE57" s="55">
        <f t="shared" si="1"/>
        <v>1.1746673136675601E-2</v>
      </c>
      <c r="AG57" s="66">
        <v>0.37240398234936722</v>
      </c>
      <c r="AI57" s="66">
        <v>0.36942285299012367</v>
      </c>
      <c r="AJ57" s="20">
        <f>Q57-AI57</f>
        <v>-4.4023312225841882E-2</v>
      </c>
      <c r="AL57" s="66">
        <v>0.31728660809850251</v>
      </c>
      <c r="AM57" s="55">
        <f>Q57-AL57</f>
        <v>8.1129326657792822E-3</v>
      </c>
      <c r="AP57" s="395">
        <f>Q57-'[1]2025 Summay'!Q57</f>
        <v>0</v>
      </c>
    </row>
    <row r="58" spans="1:42" ht="24.95" customHeight="1">
      <c r="A58" s="38"/>
      <c r="B58" s="38"/>
      <c r="C58" s="63"/>
      <c r="D58" s="63"/>
      <c r="E58" s="47"/>
      <c r="F58" s="47"/>
      <c r="G58" s="47"/>
      <c r="H58" s="47"/>
      <c r="I58" s="47"/>
      <c r="J58" s="47"/>
      <c r="K58" s="47"/>
      <c r="L58" s="53"/>
      <c r="AG58" s="48"/>
      <c r="AI58" s="48"/>
      <c r="AL58" s="48"/>
      <c r="AM58" s="20">
        <f>Q58-AL58</f>
        <v>0</v>
      </c>
      <c r="AP58" s="395">
        <f>Q58-'[1]2025 Summay'!Q58</f>
        <v>0</v>
      </c>
    </row>
    <row r="59" spans="1:42" ht="24.95" customHeight="1">
      <c r="A59" s="38" t="s">
        <v>91</v>
      </c>
      <c r="B59" s="38" t="s">
        <v>92</v>
      </c>
      <c r="C59" s="63"/>
      <c r="D59" s="38" t="s">
        <v>93</v>
      </c>
      <c r="E59" s="69"/>
      <c r="F59" s="69"/>
      <c r="G59" s="69"/>
      <c r="H59" s="69"/>
      <c r="I59" s="69"/>
      <c r="J59" s="69"/>
      <c r="K59" s="56"/>
      <c r="L59" s="56"/>
      <c r="M59" s="56"/>
      <c r="N59" s="56"/>
      <c r="O59" s="56"/>
      <c r="P59" s="56"/>
      <c r="Q59" s="48">
        <f>SUM(E59:P59)</f>
        <v>0</v>
      </c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47">
        <f>SUM(R59:AC59)</f>
        <v>0</v>
      </c>
      <c r="AE59" s="20">
        <f>AD59-Q59</f>
        <v>0</v>
      </c>
      <c r="AG59" s="48">
        <v>2500.0000000000018</v>
      </c>
      <c r="AH59" s="20">
        <f>AG59-Q59</f>
        <v>2500.0000000000018</v>
      </c>
      <c r="AI59" s="48">
        <v>41379.730000000003</v>
      </c>
      <c r="AJ59" s="20">
        <f>AI59-Q59</f>
        <v>41379.730000000003</v>
      </c>
      <c r="AL59" s="48">
        <v>0</v>
      </c>
      <c r="AM59" s="20">
        <f>Q59-AL59</f>
        <v>0</v>
      </c>
      <c r="AP59" s="395">
        <f>Q59-'[1]2025 Summay'!Q59</f>
        <v>0</v>
      </c>
    </row>
    <row r="60" spans="1:42" ht="24.95" customHeight="1">
      <c r="A60" s="38"/>
      <c r="B60" s="38"/>
      <c r="C60" s="63"/>
      <c r="D60" s="70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AE60" s="20"/>
      <c r="AG60" s="48"/>
      <c r="AI60" s="48"/>
      <c r="AL60" s="48"/>
      <c r="AM60" s="20">
        <f>Q60-AL60</f>
        <v>0</v>
      </c>
      <c r="AP60" s="395">
        <f>Q60-'[1]2025 Summay'!Q60</f>
        <v>0</v>
      </c>
    </row>
    <row r="61" spans="1:42" ht="24.95" hidden="1" customHeight="1">
      <c r="A61" s="38" t="s">
        <v>94</v>
      </c>
      <c r="B61" s="38" t="s">
        <v>86</v>
      </c>
      <c r="C61" s="45"/>
      <c r="D61" s="38" t="s">
        <v>95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0</v>
      </c>
      <c r="Q61" s="48">
        <f>SUM(E61:P61)</f>
        <v>0</v>
      </c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7"/>
      <c r="AE61" s="20">
        <f>AD61-Q61</f>
        <v>0</v>
      </c>
      <c r="AG61" s="48">
        <v>0</v>
      </c>
      <c r="AI61" s="48"/>
      <c r="AL61" s="48"/>
      <c r="AM61" s="20">
        <f>Q61-AL61</f>
        <v>0</v>
      </c>
      <c r="AP61" s="395">
        <f>Q61-'[1]2025 Summay'!Q61</f>
        <v>0</v>
      </c>
    </row>
    <row r="62" spans="1:42" ht="24.95" hidden="1" customHeight="1">
      <c r="A62" s="38"/>
      <c r="B62" s="38"/>
      <c r="C62" s="38"/>
      <c r="D62" s="38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AE62" s="20"/>
      <c r="AG62" s="48"/>
      <c r="AH62" s="49"/>
      <c r="AI62" s="71"/>
      <c r="AJ62" s="49"/>
      <c r="AL62" s="48"/>
      <c r="AM62" s="20">
        <f>Q62-AL62</f>
        <v>0</v>
      </c>
      <c r="AP62" s="395">
        <f>Q62-'[1]2025 Summay'!Q62</f>
        <v>0</v>
      </c>
    </row>
    <row r="63" spans="1:42" ht="24.95" hidden="1" customHeight="1">
      <c r="A63" s="38" t="s">
        <v>96</v>
      </c>
      <c r="B63" s="38" t="s">
        <v>86</v>
      </c>
      <c r="C63" s="38"/>
      <c r="D63" s="38" t="s">
        <v>97</v>
      </c>
      <c r="E63" s="72">
        <f>'Fixed+Charge'!D17</f>
        <v>0</v>
      </c>
      <c r="F63" s="72">
        <f>'Fixed+Charge'!E17</f>
        <v>0</v>
      </c>
      <c r="G63" s="72">
        <f>'Fixed+Charge'!F17</f>
        <v>0</v>
      </c>
      <c r="H63" s="72">
        <f>'Fixed+Charge'!G17</f>
        <v>0</v>
      </c>
      <c r="I63" s="72">
        <f>'Fixed+Charge'!H17</f>
        <v>0</v>
      </c>
      <c r="J63" s="72">
        <f>'Fixed+Charge'!I17</f>
        <v>0</v>
      </c>
      <c r="K63" s="72">
        <f>'Fixed+Charge'!J17</f>
        <v>0</v>
      </c>
      <c r="L63" s="72">
        <f>'Fixed+Charge'!K17</f>
        <v>0</v>
      </c>
      <c r="M63" s="72">
        <f>'Fixed+Charge'!L17</f>
        <v>0</v>
      </c>
      <c r="N63" s="72">
        <f>'Fixed+Charge'!M17</f>
        <v>0</v>
      </c>
      <c r="O63" s="72">
        <f>'Fixed+Charge'!N17</f>
        <v>0</v>
      </c>
      <c r="P63" s="72">
        <f>'Fixed+Charge'!O17</f>
        <v>0</v>
      </c>
      <c r="Q63" s="48">
        <f>SUM(E63:P63)</f>
        <v>0</v>
      </c>
      <c r="R63" s="72">
        <f>'Fixed+Charge'!U17</f>
        <v>0</v>
      </c>
      <c r="S63" s="72">
        <f>'Fixed+Charge'!V17</f>
        <v>0</v>
      </c>
      <c r="T63" s="72">
        <f>'Fixed+Charge'!W17</f>
        <v>0</v>
      </c>
      <c r="U63" s="72">
        <f>'Fixed+Charge'!X17</f>
        <v>0</v>
      </c>
      <c r="V63" s="72">
        <f>'Fixed+Charge'!Y17</f>
        <v>0</v>
      </c>
      <c r="W63" s="72">
        <f>'Fixed+Charge'!Z17</f>
        <v>0</v>
      </c>
      <c r="X63" s="72">
        <f>'Fixed+Charge'!AA17</f>
        <v>0</v>
      </c>
      <c r="Y63" s="72">
        <f>'Fixed+Charge'!AB17</f>
        <v>0</v>
      </c>
      <c r="Z63" s="72">
        <f>'Fixed+Charge'!AA17</f>
        <v>0</v>
      </c>
      <c r="AA63" s="72">
        <f>'Fixed+Charge'!AB17</f>
        <v>0</v>
      </c>
      <c r="AB63" s="72">
        <f>'Fixed+Charge'!AB17</f>
        <v>0</v>
      </c>
      <c r="AC63" s="72">
        <f>'Fixed+Charge'!AC17</f>
        <v>0</v>
      </c>
      <c r="AD63" s="73">
        <f>'Fixed+Charge'!AC17</f>
        <v>0</v>
      </c>
      <c r="AE63" s="20">
        <f>AD63-Q63</f>
        <v>0</v>
      </c>
      <c r="AG63" s="48">
        <v>0</v>
      </c>
      <c r="AI63" s="48">
        <v>0</v>
      </c>
      <c r="AL63" s="48">
        <v>0</v>
      </c>
      <c r="AM63" s="20">
        <f>Q63-AL63</f>
        <v>0</v>
      </c>
      <c r="AP63" s="395">
        <f>Q63-'[1]2025 Summay'!Q63</f>
        <v>0</v>
      </c>
    </row>
    <row r="64" spans="1:42" ht="24.95" customHeight="1" thickBot="1">
      <c r="A64" s="38"/>
      <c r="B64" s="38"/>
      <c r="C64" s="50"/>
      <c r="D64" s="50" t="s">
        <v>98</v>
      </c>
      <c r="E64" s="74">
        <f t="shared" ref="E64:AD64" si="28">E56-E59-E61-E63</f>
        <v>16317215.320000004</v>
      </c>
      <c r="F64" s="74">
        <f t="shared" si="28"/>
        <v>21362940.489999995</v>
      </c>
      <c r="G64" s="74">
        <f t="shared" si="28"/>
        <v>8637838.5500000007</v>
      </c>
      <c r="H64" s="74">
        <f t="shared" si="28"/>
        <v>6570141.2799999975</v>
      </c>
      <c r="I64" s="74">
        <f t="shared" si="28"/>
        <v>6073753.5699999984</v>
      </c>
      <c r="J64" s="74">
        <f t="shared" si="28"/>
        <v>4032503.1700000004</v>
      </c>
      <c r="K64" s="74">
        <f t="shared" si="28"/>
        <v>10929865.929999996</v>
      </c>
      <c r="L64" s="74">
        <f t="shared" si="28"/>
        <v>14156370.780000001</v>
      </c>
      <c r="M64" s="74">
        <f t="shared" si="28"/>
        <v>3118679.8299999991</v>
      </c>
      <c r="N64" s="74">
        <f t="shared" si="28"/>
        <v>6528857.7400000002</v>
      </c>
      <c r="O64" s="74">
        <f t="shared" si="28"/>
        <v>4253937.6999999993</v>
      </c>
      <c r="P64" s="74">
        <f t="shared" si="28"/>
        <v>8857421.3900000006</v>
      </c>
      <c r="Q64" s="74">
        <f t="shared" si="28"/>
        <v>110839525.74999997</v>
      </c>
      <c r="R64" s="74">
        <f t="shared" si="28"/>
        <v>17691828.960000005</v>
      </c>
      <c r="S64" s="74">
        <f t="shared" si="28"/>
        <v>33724800.790000007</v>
      </c>
      <c r="T64" s="74">
        <f t="shared" si="28"/>
        <v>9434182.5400000028</v>
      </c>
      <c r="U64" s="74">
        <f t="shared" si="28"/>
        <v>6345234.21</v>
      </c>
      <c r="V64" s="74">
        <f t="shared" si="28"/>
        <v>6352104.4899999993</v>
      </c>
      <c r="W64" s="74">
        <f t="shared" si="28"/>
        <v>5075325.8499999978</v>
      </c>
      <c r="X64" s="74">
        <f t="shared" si="28"/>
        <v>10581165.240000002</v>
      </c>
      <c r="Y64" s="74">
        <f t="shared" si="28"/>
        <v>13077362.15</v>
      </c>
      <c r="Z64" s="74">
        <f t="shared" si="28"/>
        <v>1603369.8299999994</v>
      </c>
      <c r="AA64" s="74">
        <f t="shared" si="28"/>
        <v>3719527.05</v>
      </c>
      <c r="AB64" s="74">
        <f t="shared" si="28"/>
        <v>1740132.8399999975</v>
      </c>
      <c r="AC64" s="74">
        <f t="shared" si="28"/>
        <v>4117822.0699999984</v>
      </c>
      <c r="AD64" s="74">
        <f t="shared" si="28"/>
        <v>113462856.01999994</v>
      </c>
      <c r="AE64" s="20">
        <f t="shared" ref="AE64" si="29">Q64-AD64</f>
        <v>-2623330.269999966</v>
      </c>
      <c r="AG64" s="48">
        <v>128482145.49000001</v>
      </c>
      <c r="AH64" s="20">
        <f>+Q64-AG64</f>
        <v>-17642619.740000039</v>
      </c>
      <c r="AI64" s="48">
        <v>125397797.12999997</v>
      </c>
      <c r="AJ64" s="20">
        <f>Q64-AI64</f>
        <v>-14558271.379999995</v>
      </c>
      <c r="AL64" s="48">
        <v>134601833.19999993</v>
      </c>
      <c r="AM64" s="20">
        <f>Q64-AL64</f>
        <v>-23762307.449999958</v>
      </c>
      <c r="AP64" s="395">
        <f>Q64-'[1]2025 Summay'!Q64</f>
        <v>0</v>
      </c>
    </row>
    <row r="65" spans="1:42" ht="24.95" customHeight="1">
      <c r="A65" s="38"/>
      <c r="B65" s="38"/>
      <c r="C65" s="50"/>
      <c r="D65" s="50" t="s">
        <v>99</v>
      </c>
      <c r="E65" s="64">
        <f>+E64/E16</f>
        <v>0.41590378891075003</v>
      </c>
      <c r="F65" s="64">
        <f t="shared" ref="F65:AD65" si="30">+F64/F16</f>
        <v>0.49163980985916034</v>
      </c>
      <c r="G65" s="64">
        <f t="shared" si="30"/>
        <v>0.31956041715585398</v>
      </c>
      <c r="H65" s="64">
        <f>+H64/H16</f>
        <v>0.26251943151420859</v>
      </c>
      <c r="I65" s="64">
        <f>+I64/I16</f>
        <v>0.25511783486309431</v>
      </c>
      <c r="J65" s="64">
        <f>+J64/J16</f>
        <v>0.1893548594617086</v>
      </c>
      <c r="K65" s="64">
        <f>+K64/K16</f>
        <v>0.35364652314934458</v>
      </c>
      <c r="L65" s="64">
        <f t="shared" si="30"/>
        <v>0.40656691123130062</v>
      </c>
      <c r="M65" s="64">
        <f>+M64/M16</f>
        <v>0.15534308968828917</v>
      </c>
      <c r="N65" s="64">
        <f t="shared" si="30"/>
        <v>0.25723006939650361</v>
      </c>
      <c r="O65" s="64">
        <f t="shared" si="30"/>
        <v>0.19391973410634922</v>
      </c>
      <c r="P65" s="64">
        <f t="shared" si="30"/>
        <v>0.32023013353434893</v>
      </c>
      <c r="Q65" s="64">
        <f t="shared" si="30"/>
        <v>0.32539954076428179</v>
      </c>
      <c r="R65" s="64">
        <f t="shared" si="30"/>
        <v>0.42222136973665714</v>
      </c>
      <c r="S65" s="64">
        <f t="shared" si="30"/>
        <v>0.5157300016357157</v>
      </c>
      <c r="T65" s="64">
        <f t="shared" si="30"/>
        <v>0.3150321949561023</v>
      </c>
      <c r="U65" s="64">
        <f t="shared" si="30"/>
        <v>0.24632136234503832</v>
      </c>
      <c r="V65" s="64">
        <f t="shared" si="30"/>
        <v>0.26334561237368703</v>
      </c>
      <c r="W65" s="64">
        <f t="shared" si="30"/>
        <v>0.23523895759181052</v>
      </c>
      <c r="X65" s="64">
        <f t="shared" si="30"/>
        <v>0.34217303509609714</v>
      </c>
      <c r="Y65" s="64">
        <f>+Y64/Y16</f>
        <v>0.36963281300900569</v>
      </c>
      <c r="Z65" s="64">
        <f>+Z64/Z16</f>
        <v>8.4831093876059069E-2</v>
      </c>
      <c r="AA65" s="64">
        <f>+AA64/AA16</f>
        <v>0.1663176086614522</v>
      </c>
      <c r="AB65" s="64">
        <f>+AB64/AB16</f>
        <v>8.4680048356597051E-2</v>
      </c>
      <c r="AC65" s="64">
        <f>+AC64/AC16</f>
        <v>0.16515711646621459</v>
      </c>
      <c r="AD65" s="64">
        <f t="shared" si="30"/>
        <v>0.31365286762760619</v>
      </c>
      <c r="AG65" s="75">
        <v>0.37239673626986625</v>
      </c>
      <c r="AI65" s="66">
        <v>0.36930098820836077</v>
      </c>
      <c r="AJ65" s="20">
        <f>Q65-AI65</f>
        <v>-4.3901447444078978E-2</v>
      </c>
      <c r="AL65" s="66">
        <v>0.31728660809850251</v>
      </c>
      <c r="AM65" s="55">
        <f>Q65-AL65</f>
        <v>8.1129326657792822E-3</v>
      </c>
      <c r="AP65" s="395">
        <f>Q65-'[1]2025 Summay'!Q65</f>
        <v>0</v>
      </c>
    </row>
    <row r="66" spans="1:42" ht="24.95" customHeight="1">
      <c r="A66" s="38"/>
      <c r="B66" s="38"/>
      <c r="C66" s="50"/>
      <c r="D66" s="50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G66" s="75"/>
      <c r="AI66" s="66"/>
      <c r="AL66" s="48"/>
      <c r="AM66" s="20">
        <f>Q66-AL66</f>
        <v>0</v>
      </c>
      <c r="AP66" s="395">
        <f>Q66-'[1]2025 Summay'!Q66</f>
        <v>0</v>
      </c>
    </row>
    <row r="67" spans="1:42" ht="24.95" customHeight="1">
      <c r="A67" s="38" t="s">
        <v>100</v>
      </c>
      <c r="B67" s="38" t="s">
        <v>77</v>
      </c>
      <c r="C67" s="63"/>
      <c r="D67" s="38" t="s">
        <v>101</v>
      </c>
      <c r="E67" s="56">
        <f>'Fixed+Charge'!D29</f>
        <v>0</v>
      </c>
      <c r="F67" s="56">
        <f>'Fixed+Charge'!E29</f>
        <v>0</v>
      </c>
      <c r="G67" s="56">
        <f>'Fixed+Charge'!F29</f>
        <v>0</v>
      </c>
      <c r="H67" s="56">
        <f>'Fixed+Charge'!G29</f>
        <v>0</v>
      </c>
      <c r="I67" s="56">
        <f>'Fixed+Charge'!H29</f>
        <v>0</v>
      </c>
      <c r="J67" s="56">
        <f>'Fixed+Charge'!I29</f>
        <v>0</v>
      </c>
      <c r="K67" s="56">
        <f>'Fixed+Charge'!J29</f>
        <v>0</v>
      </c>
      <c r="L67" s="56">
        <f>'Fixed+Charge'!K29</f>
        <v>0</v>
      </c>
      <c r="M67" s="56">
        <f>'Fixed+Charge'!L29</f>
        <v>0</v>
      </c>
      <c r="N67" s="56">
        <f>'Fixed+Charge'!M29</f>
        <v>0</v>
      </c>
      <c r="O67" s="56">
        <f>'Fixed+Charge'!N29</f>
        <v>0</v>
      </c>
      <c r="P67" s="56">
        <f>'Fixed+Charge'!O29</f>
        <v>0</v>
      </c>
      <c r="Q67" s="48">
        <f>SUM(E67:P67)</f>
        <v>0</v>
      </c>
      <c r="R67" s="69">
        <f>'Fixed+Charge'!Q29</f>
        <v>1631989.76</v>
      </c>
      <c r="S67" s="69">
        <f>'Fixed+Charge'!R29</f>
        <v>4110334.1</v>
      </c>
      <c r="T67" s="69">
        <f>'Fixed+Charge'!S29</f>
        <v>431734.54</v>
      </c>
      <c r="U67" s="69">
        <f>'Fixed+Charge'!T29</f>
        <v>-9253.5</v>
      </c>
      <c r="V67" s="69">
        <f>'Fixed+Charge'!U29</f>
        <v>770323.91</v>
      </c>
      <c r="W67" s="69">
        <f>'Fixed+Charge'!V29</f>
        <v>0</v>
      </c>
      <c r="X67" s="69">
        <f>'Fixed+Charge'!W29</f>
        <v>77429.41</v>
      </c>
      <c r="Y67" s="69">
        <f>'Fixed+Charge'!X29</f>
        <v>1032329.48</v>
      </c>
      <c r="Z67" s="69">
        <f>'Fixed+Charge'!Y29</f>
        <v>0</v>
      </c>
      <c r="AA67" s="69">
        <f>'Fixed+Charge'!Z29</f>
        <v>0</v>
      </c>
      <c r="AB67" s="69">
        <f>'Fixed+Charge'!AA29</f>
        <v>0</v>
      </c>
      <c r="AC67" s="69">
        <f>'Fixed+Charge'!AB29</f>
        <v>0</v>
      </c>
      <c r="AD67" s="47">
        <f>SUM(R67:AC67)</f>
        <v>8044887.7000000011</v>
      </c>
      <c r="AE67" s="20">
        <f t="shared" ref="AE67:AE68" si="31">Q67-AD67</f>
        <v>-8044887.7000000011</v>
      </c>
      <c r="AG67" s="48">
        <v>6099982.4499999993</v>
      </c>
      <c r="AH67" s="20">
        <f>AG67-Q67</f>
        <v>6099982.4499999993</v>
      </c>
      <c r="AI67" s="48"/>
      <c r="AJ67" s="20">
        <f>AI67-Q67</f>
        <v>0</v>
      </c>
      <c r="AL67" s="48">
        <v>14480341.48</v>
      </c>
      <c r="AM67" s="20">
        <f>Q67-AL67</f>
        <v>-14480341.48</v>
      </c>
      <c r="AP67" s="395">
        <f>Q67-'[1]2025 Summay'!Q67</f>
        <v>0</v>
      </c>
    </row>
    <row r="68" spans="1:42" ht="24.95" customHeight="1" thickBot="1">
      <c r="A68" s="38"/>
      <c r="B68" s="38"/>
      <c r="C68" s="50"/>
      <c r="D68" s="50" t="s">
        <v>102</v>
      </c>
      <c r="E68" s="74">
        <f t="shared" ref="E68:AD68" si="32">E64-E67</f>
        <v>16317215.320000004</v>
      </c>
      <c r="F68" s="74">
        <f t="shared" si="32"/>
        <v>21362940.489999995</v>
      </c>
      <c r="G68" s="74">
        <f t="shared" si="32"/>
        <v>8637838.5500000007</v>
      </c>
      <c r="H68" s="74">
        <f t="shared" si="32"/>
        <v>6570141.2799999975</v>
      </c>
      <c r="I68" s="74">
        <f t="shared" si="32"/>
        <v>6073753.5699999984</v>
      </c>
      <c r="J68" s="74">
        <f t="shared" si="32"/>
        <v>4032503.1700000004</v>
      </c>
      <c r="K68" s="74">
        <f t="shared" si="32"/>
        <v>10929865.929999996</v>
      </c>
      <c r="L68" s="74">
        <f t="shared" si="32"/>
        <v>14156370.780000001</v>
      </c>
      <c r="M68" s="74">
        <f t="shared" si="32"/>
        <v>3118679.8299999991</v>
      </c>
      <c r="N68" s="74">
        <f t="shared" si="32"/>
        <v>6528857.7400000002</v>
      </c>
      <c r="O68" s="74">
        <f t="shared" si="32"/>
        <v>4253937.6999999993</v>
      </c>
      <c r="P68" s="74">
        <f t="shared" si="32"/>
        <v>8857421.3900000006</v>
      </c>
      <c r="Q68" s="74">
        <f t="shared" si="32"/>
        <v>110839525.74999997</v>
      </c>
      <c r="R68" s="74">
        <f t="shared" si="32"/>
        <v>16059839.200000005</v>
      </c>
      <c r="S68" s="74">
        <f t="shared" si="32"/>
        <v>29614466.690000005</v>
      </c>
      <c r="T68" s="74">
        <f t="shared" si="32"/>
        <v>9002448.0000000037</v>
      </c>
      <c r="U68" s="74">
        <f t="shared" si="32"/>
        <v>6354487.71</v>
      </c>
      <c r="V68" s="74">
        <f t="shared" si="32"/>
        <v>5581780.5799999991</v>
      </c>
      <c r="W68" s="74">
        <f t="shared" si="32"/>
        <v>5075325.8499999978</v>
      </c>
      <c r="X68" s="74">
        <f t="shared" si="32"/>
        <v>10503735.830000002</v>
      </c>
      <c r="Y68" s="74">
        <f t="shared" si="32"/>
        <v>12045032.67</v>
      </c>
      <c r="Z68" s="74">
        <f t="shared" si="32"/>
        <v>1603369.8299999994</v>
      </c>
      <c r="AA68" s="74">
        <f t="shared" si="32"/>
        <v>3719527.05</v>
      </c>
      <c r="AB68" s="74">
        <f t="shared" si="32"/>
        <v>1740132.8399999975</v>
      </c>
      <c r="AC68" s="74">
        <f t="shared" si="32"/>
        <v>4117822.0699999984</v>
      </c>
      <c r="AD68" s="74">
        <f t="shared" si="32"/>
        <v>105417968.31999993</v>
      </c>
      <c r="AE68" s="20">
        <f t="shared" si="31"/>
        <v>5421557.430000037</v>
      </c>
      <c r="AG68" s="48">
        <v>122382163.04000001</v>
      </c>
      <c r="AH68" s="20">
        <f>+Q68-AG68</f>
        <v>-11542637.290000036</v>
      </c>
      <c r="AI68" s="48">
        <v>125397797.12999997</v>
      </c>
      <c r="AJ68" s="20">
        <f>Q68-AI68</f>
        <v>-14558271.379999995</v>
      </c>
      <c r="AL68" s="48">
        <v>120121491.71999992</v>
      </c>
      <c r="AM68" s="20">
        <f>Q68-AL68</f>
        <v>-9281965.9699999541</v>
      </c>
      <c r="AP68" s="395">
        <f>Q68-'[1]2025 Summay'!Q68</f>
        <v>0</v>
      </c>
    </row>
    <row r="69" spans="1:42" ht="24.95" customHeight="1">
      <c r="A69" s="38"/>
      <c r="B69" s="38"/>
      <c r="C69" s="50"/>
      <c r="D69" s="50" t="s">
        <v>103</v>
      </c>
      <c r="E69" s="64">
        <f>+E68/E16</f>
        <v>0.41590378891075003</v>
      </c>
      <c r="F69" s="64">
        <f t="shared" ref="F69:AD69" si="33">+F68/F16</f>
        <v>0.49163980985916034</v>
      </c>
      <c r="G69" s="64">
        <f t="shared" si="33"/>
        <v>0.31956041715585398</v>
      </c>
      <c r="H69" s="64">
        <f t="shared" si="33"/>
        <v>0.26251943151420859</v>
      </c>
      <c r="I69" s="64">
        <f t="shared" si="33"/>
        <v>0.25511783486309431</v>
      </c>
      <c r="J69" s="64">
        <f t="shared" si="33"/>
        <v>0.1893548594617086</v>
      </c>
      <c r="K69" s="64">
        <f t="shared" si="33"/>
        <v>0.35364652314934458</v>
      </c>
      <c r="L69" s="64">
        <f t="shared" si="33"/>
        <v>0.40656691123130062</v>
      </c>
      <c r="M69" s="64">
        <f t="shared" si="33"/>
        <v>0.15534308968828917</v>
      </c>
      <c r="N69" s="64">
        <f t="shared" si="33"/>
        <v>0.25723006939650361</v>
      </c>
      <c r="O69" s="64">
        <f t="shared" si="33"/>
        <v>0.19391973410634922</v>
      </c>
      <c r="P69" s="64">
        <f t="shared" si="33"/>
        <v>0.32023013353434893</v>
      </c>
      <c r="Q69" s="64">
        <f t="shared" si="33"/>
        <v>0.32539954076428179</v>
      </c>
      <c r="R69" s="64">
        <f t="shared" si="33"/>
        <v>0.38327339248561559</v>
      </c>
      <c r="S69" s="64">
        <f t="shared" si="33"/>
        <v>0.452873511383447</v>
      </c>
      <c r="T69" s="64">
        <f t="shared" si="33"/>
        <v>0.30061544192022532</v>
      </c>
      <c r="U69" s="64">
        <f t="shared" si="33"/>
        <v>0.24668058229674122</v>
      </c>
      <c r="V69" s="64">
        <f t="shared" si="33"/>
        <v>0.23140951589976974</v>
      </c>
      <c r="W69" s="64">
        <f t="shared" si="33"/>
        <v>0.23523895759181052</v>
      </c>
      <c r="X69" s="64">
        <f t="shared" si="33"/>
        <v>0.33966912785861791</v>
      </c>
      <c r="Y69" s="64">
        <f t="shared" si="33"/>
        <v>0.34045392775158972</v>
      </c>
      <c r="Z69" s="64">
        <f t="shared" si="33"/>
        <v>8.4831093876059069E-2</v>
      </c>
      <c r="AA69" s="64">
        <f t="shared" si="33"/>
        <v>0.1663176086614522</v>
      </c>
      <c r="AB69" s="64">
        <f t="shared" si="33"/>
        <v>8.4680048356597051E-2</v>
      </c>
      <c r="AC69" s="64">
        <f t="shared" si="33"/>
        <v>0.16515711646621459</v>
      </c>
      <c r="AD69" s="64">
        <f t="shared" si="33"/>
        <v>0.29141385315751145</v>
      </c>
      <c r="AG69" s="75">
        <v>0.35471635315499783</v>
      </c>
      <c r="AI69" s="66">
        <v>0.36930098820836077</v>
      </c>
      <c r="AJ69" s="20">
        <f>Q69-AI69</f>
        <v>-4.3901447444078978E-2</v>
      </c>
      <c r="AL69" s="66">
        <v>0.28315320647186515</v>
      </c>
      <c r="AM69" s="55">
        <f>Q69-AL69</f>
        <v>4.2246334292416643E-2</v>
      </c>
      <c r="AP69" s="395">
        <f>Q69-'[1]2025 Summay'!Q69</f>
        <v>0</v>
      </c>
    </row>
    <row r="70" spans="1:42" ht="24.95" customHeight="1">
      <c r="A70" s="38"/>
      <c r="B70" s="38"/>
      <c r="C70" s="38"/>
      <c r="E70" s="76"/>
      <c r="H70" s="10"/>
      <c r="I70" s="10"/>
      <c r="J70" s="10"/>
      <c r="K70" s="10"/>
      <c r="L70" s="53"/>
      <c r="Q70" s="67"/>
      <c r="AD70" s="67"/>
      <c r="AG70" s="48"/>
      <c r="AI70" s="48"/>
      <c r="AL70" s="48"/>
      <c r="AM70" s="20">
        <f>Q70-AL70</f>
        <v>0</v>
      </c>
      <c r="AP70" s="395">
        <f>Q70-'[1]2025 Summay'!Q70</f>
        <v>0</v>
      </c>
    </row>
    <row r="71" spans="1:42" ht="24.95" customHeight="1">
      <c r="A71" s="38" t="s">
        <v>104</v>
      </c>
      <c r="B71" s="38" t="s">
        <v>105</v>
      </c>
      <c r="C71" s="38"/>
      <c r="D71" s="77" t="s">
        <v>106</v>
      </c>
      <c r="E71" s="78">
        <f>'Rooms+Summary'!E48</f>
        <v>20956</v>
      </c>
      <c r="F71" s="78">
        <f>'Rooms+Summary'!F48</f>
        <v>18928</v>
      </c>
      <c r="G71" s="78">
        <f>'Rooms+Summary'!G48</f>
        <v>20956</v>
      </c>
      <c r="H71" s="78">
        <f>'Rooms+Summary'!H48</f>
        <v>20280</v>
      </c>
      <c r="I71" s="78">
        <f>'Rooms+Summary'!I48</f>
        <v>20956</v>
      </c>
      <c r="J71" s="78">
        <f>'Rooms+Summary'!J48</f>
        <v>20280</v>
      </c>
      <c r="K71" s="78">
        <f>'Rooms+Summary'!K48</f>
        <v>20956</v>
      </c>
      <c r="L71" s="78">
        <f>'Rooms+Summary'!L48</f>
        <v>20956</v>
      </c>
      <c r="M71" s="78">
        <f>'Rooms+Summary'!M48</f>
        <v>20280</v>
      </c>
      <c r="N71" s="78">
        <f>'Rooms+Summary'!N48</f>
        <v>20956</v>
      </c>
      <c r="O71" s="78">
        <f>'Rooms+Summary'!O48</f>
        <v>20280</v>
      </c>
      <c r="P71" s="78">
        <f>'Rooms+Summary'!P48</f>
        <v>20956</v>
      </c>
      <c r="Q71" s="48">
        <f>SUM(E71:P71)</f>
        <v>246740</v>
      </c>
      <c r="R71" s="79">
        <f>'Rooms+Summary'!R48</f>
        <v>20956</v>
      </c>
      <c r="S71" s="79">
        <f>'Rooms+Summary'!S48</f>
        <v>19604</v>
      </c>
      <c r="T71" s="79">
        <f>'Rooms+Summary'!T48</f>
        <v>20956</v>
      </c>
      <c r="U71" s="79">
        <f>'Rooms+Summary'!U48</f>
        <v>20280</v>
      </c>
      <c r="V71" s="79">
        <f>'Rooms+Summary'!V48</f>
        <v>20956</v>
      </c>
      <c r="W71" s="79">
        <f>'Rooms+Summary'!W48</f>
        <v>20280</v>
      </c>
      <c r="X71" s="79">
        <f>'Rooms+Summary'!X48</f>
        <v>20956</v>
      </c>
      <c r="Y71" s="79">
        <f>'Rooms+Summary'!Y48</f>
        <v>20956</v>
      </c>
      <c r="Z71" s="79">
        <f>'Rooms+Summary'!Z48</f>
        <v>20280</v>
      </c>
      <c r="AA71" s="79">
        <f>'Rooms+Summary'!AA48</f>
        <v>20956</v>
      </c>
      <c r="AB71" s="79">
        <f>'Rooms+Summary'!AB48</f>
        <v>20280</v>
      </c>
      <c r="AC71" s="79">
        <f>'Rooms+Summary'!AC48</f>
        <v>20956</v>
      </c>
      <c r="AD71" s="80">
        <f>SUM(R71:AC71)</f>
        <v>247416</v>
      </c>
      <c r="AE71" s="20">
        <f t="shared" ref="AE71:AE78" si="34">Q71-AD71</f>
        <v>-676</v>
      </c>
      <c r="AG71" s="48">
        <v>246740</v>
      </c>
      <c r="AI71" s="48">
        <v>246740</v>
      </c>
      <c r="AJ71" s="20">
        <f>Q71-AI71</f>
        <v>0</v>
      </c>
      <c r="AL71" s="48">
        <v>246740</v>
      </c>
      <c r="AM71" s="20">
        <f>Q71-AL71</f>
        <v>0</v>
      </c>
      <c r="AP71" s="395">
        <f>Q71-'[1]2025 Summay'!Q71</f>
        <v>0</v>
      </c>
    </row>
    <row r="72" spans="1:42" ht="24.95" customHeight="1">
      <c r="A72" s="38" t="s">
        <v>107</v>
      </c>
      <c r="B72" s="38" t="s">
        <v>105</v>
      </c>
      <c r="C72" s="38"/>
      <c r="D72" s="77" t="s">
        <v>108</v>
      </c>
      <c r="E72" s="78">
        <f>'Rooms+Summary'!E52</f>
        <v>18860</v>
      </c>
      <c r="F72" s="78">
        <f>'Rooms+Summary'!F52</f>
        <v>17035</v>
      </c>
      <c r="G72" s="78">
        <f>'Rooms+Summary'!G52</f>
        <v>17813</v>
      </c>
      <c r="H72" s="78">
        <f>'Rooms+Summary'!H52</f>
        <v>17005</v>
      </c>
      <c r="I72" s="78">
        <f>'Rooms+Summary'!I52</f>
        <v>17603</v>
      </c>
      <c r="J72" s="78">
        <f>'Rooms+Summary'!J52</f>
        <v>16867</v>
      </c>
      <c r="K72" s="78">
        <f>'Rooms+Summary'!K52</f>
        <v>18860</v>
      </c>
      <c r="L72" s="78">
        <f>'Rooms+Summary'!L52</f>
        <v>18860</v>
      </c>
      <c r="M72" s="78">
        <f>'Rooms+Summary'!M52</f>
        <v>16630</v>
      </c>
      <c r="N72" s="78">
        <f>'Rooms+Summary'!N52</f>
        <v>17393</v>
      </c>
      <c r="O72" s="78">
        <f>'Rooms+Summary'!O52</f>
        <v>16832</v>
      </c>
      <c r="P72" s="78">
        <f>'Rooms+Summary'!P52</f>
        <v>18441</v>
      </c>
      <c r="Q72" s="48">
        <f>SUM(E72:P72)</f>
        <v>212199</v>
      </c>
      <c r="R72" s="79">
        <f>'Rooms+Summary'!R52</f>
        <v>19715</v>
      </c>
      <c r="S72" s="79">
        <f>'Rooms+Summary'!S52</f>
        <v>18855</v>
      </c>
      <c r="T72" s="79">
        <f>'Rooms+Summary'!T52</f>
        <v>19772</v>
      </c>
      <c r="U72" s="79">
        <f>'Rooms+Summary'!U52</f>
        <v>18249</v>
      </c>
      <c r="V72" s="79">
        <f>'Rooms+Summary'!V52</f>
        <v>17477</v>
      </c>
      <c r="W72" s="79">
        <f>'Rooms+Summary'!W52</f>
        <v>17897</v>
      </c>
      <c r="X72" s="79">
        <f>'Rooms+Summary'!X52</f>
        <v>19826</v>
      </c>
      <c r="Y72" s="79">
        <f>'Rooms+Summary'!Y52</f>
        <v>19726</v>
      </c>
      <c r="Z72" s="79">
        <f>'Rooms+Summary'!Z52</f>
        <v>16224</v>
      </c>
      <c r="AA72" s="79">
        <f>'Rooms+Summary'!AA52</f>
        <v>16765</v>
      </c>
      <c r="AB72" s="79">
        <f>'Rooms+Summary'!AB52</f>
        <v>16832</v>
      </c>
      <c r="AC72" s="79">
        <f>'Rooms+Summary'!AC52</f>
        <v>17813</v>
      </c>
      <c r="AD72" s="80">
        <f>SUM(R72:AC72)</f>
        <v>219151</v>
      </c>
      <c r="AE72" s="20">
        <f t="shared" si="34"/>
        <v>-6952</v>
      </c>
      <c r="AG72" s="48">
        <v>196570</v>
      </c>
      <c r="AH72" s="20">
        <f>AH74*Q72</f>
        <v>-26957760.959999993</v>
      </c>
      <c r="AI72" s="48">
        <v>213673</v>
      </c>
      <c r="AJ72" s="20">
        <f>Q72-AI72</f>
        <v>-1474</v>
      </c>
      <c r="AL72" s="48">
        <v>204847</v>
      </c>
      <c r="AM72" s="20">
        <f>Q72-AL72</f>
        <v>7352</v>
      </c>
      <c r="AP72" s="395">
        <f>Q72-'[1]2025 Summay'!Q72</f>
        <v>0</v>
      </c>
    </row>
    <row r="73" spans="1:42" ht="24.95" customHeight="1">
      <c r="A73" s="38"/>
      <c r="B73" s="38"/>
      <c r="C73" s="38"/>
      <c r="D73" s="77" t="s">
        <v>109</v>
      </c>
      <c r="E73" s="81">
        <f t="shared" ref="E73:AD73" si="35">IF(E71=0,0,E72/E71)</f>
        <v>0.89998091238786027</v>
      </c>
      <c r="F73" s="81">
        <f t="shared" si="35"/>
        <v>0.89998943364327977</v>
      </c>
      <c r="G73" s="81">
        <f t="shared" si="35"/>
        <v>0.85001908761213973</v>
      </c>
      <c r="H73" s="81">
        <f t="shared" si="35"/>
        <v>0.83851084812623278</v>
      </c>
      <c r="I73" s="81">
        <f t="shared" si="35"/>
        <v>0.83999809123878599</v>
      </c>
      <c r="J73" s="81">
        <f t="shared" si="35"/>
        <v>0.83170611439842212</v>
      </c>
      <c r="K73" s="81">
        <f t="shared" si="35"/>
        <v>0.89998091238786027</v>
      </c>
      <c r="L73" s="81">
        <f t="shared" si="35"/>
        <v>0.89998091238786027</v>
      </c>
      <c r="M73" s="81">
        <f t="shared" si="35"/>
        <v>0.82001972386587774</v>
      </c>
      <c r="N73" s="81">
        <f t="shared" si="35"/>
        <v>0.82997709486543236</v>
      </c>
      <c r="O73" s="81">
        <f t="shared" si="35"/>
        <v>0.82998027613412229</v>
      </c>
      <c r="P73" s="81">
        <f t="shared" si="35"/>
        <v>0.87998663867150217</v>
      </c>
      <c r="Q73" s="81">
        <f t="shared" si="35"/>
        <v>0.86001053740779765</v>
      </c>
      <c r="R73" s="81">
        <f t="shared" si="35"/>
        <v>0.94078068333651466</v>
      </c>
      <c r="S73" s="81">
        <f t="shared" si="35"/>
        <v>0.96179351152825954</v>
      </c>
      <c r="T73" s="81">
        <f t="shared" si="35"/>
        <v>0.94350066806642485</v>
      </c>
      <c r="U73" s="81">
        <f t="shared" si="35"/>
        <v>0.89985207100591713</v>
      </c>
      <c r="V73" s="81">
        <f t="shared" si="35"/>
        <v>0.83398549341477379</v>
      </c>
      <c r="W73" s="81">
        <f t="shared" si="35"/>
        <v>0.88249506903353059</v>
      </c>
      <c r="X73" s="81">
        <f t="shared" si="35"/>
        <v>0.94607749570528732</v>
      </c>
      <c r="Y73" s="81">
        <f t="shared" si="35"/>
        <v>0.94130559267035696</v>
      </c>
      <c r="Z73" s="81">
        <f t="shared" si="35"/>
        <v>0.8</v>
      </c>
      <c r="AA73" s="81">
        <f t="shared" si="35"/>
        <v>0.80000954380606981</v>
      </c>
      <c r="AB73" s="81">
        <f t="shared" si="35"/>
        <v>0.82998027613412229</v>
      </c>
      <c r="AC73" s="81">
        <f t="shared" si="35"/>
        <v>0.85001908761213973</v>
      </c>
      <c r="AD73" s="81">
        <f t="shared" si="35"/>
        <v>0.88575920716526013</v>
      </c>
      <c r="AE73" s="82">
        <f t="shared" si="34"/>
        <v>-2.5748669757462483E-2</v>
      </c>
      <c r="AG73" s="66">
        <v>0.79666855799627134</v>
      </c>
      <c r="AH73" s="55">
        <f>Q73-AG73</f>
        <v>6.3341979411526306E-2</v>
      </c>
      <c r="AI73" s="48">
        <v>0.86598443705925265</v>
      </c>
      <c r="AJ73" s="20">
        <f>Q73-AI73</f>
        <v>-5.9738996514550058E-3</v>
      </c>
      <c r="AL73" s="66">
        <v>0.83021399043527599</v>
      </c>
      <c r="AM73" s="55">
        <f>Q73-AL73</f>
        <v>2.9796546972521654E-2</v>
      </c>
      <c r="AP73" s="395">
        <f>Q73-'[1]2025 Summay'!Q73</f>
        <v>0</v>
      </c>
    </row>
    <row r="74" spans="1:42" s="15" customFormat="1" ht="24.95" customHeight="1">
      <c r="A74" s="38"/>
      <c r="B74" s="38"/>
      <c r="C74" s="70"/>
      <c r="D74" s="83" t="s">
        <v>110</v>
      </c>
      <c r="E74" s="84">
        <f t="shared" ref="E74:AD74" si="36">IF(E72=0,0,ROUND(E11/E72,2))</f>
        <v>1561.11</v>
      </c>
      <c r="F74" s="84">
        <f t="shared" si="36"/>
        <v>2015.82</v>
      </c>
      <c r="G74" s="84">
        <f t="shared" si="36"/>
        <v>1142.3800000000001</v>
      </c>
      <c r="H74" s="84">
        <f t="shared" si="36"/>
        <v>1099.99</v>
      </c>
      <c r="I74" s="84">
        <f t="shared" si="36"/>
        <v>990</v>
      </c>
      <c r="J74" s="84">
        <f t="shared" si="36"/>
        <v>924.99</v>
      </c>
      <c r="K74" s="84">
        <f t="shared" si="36"/>
        <v>1229.03</v>
      </c>
      <c r="L74" s="84">
        <f t="shared" si="36"/>
        <v>1422.68</v>
      </c>
      <c r="M74" s="84">
        <f t="shared" si="36"/>
        <v>859.98</v>
      </c>
      <c r="N74" s="84">
        <f t="shared" si="36"/>
        <v>1000.03</v>
      </c>
      <c r="O74" s="84">
        <f t="shared" si="36"/>
        <v>900.02</v>
      </c>
      <c r="P74" s="84">
        <f t="shared" si="36"/>
        <v>1060.02</v>
      </c>
      <c r="Q74" s="84">
        <f t="shared" si="36"/>
        <v>1188.83</v>
      </c>
      <c r="R74" s="84">
        <f t="shared" si="36"/>
        <v>1691.09</v>
      </c>
      <c r="S74" s="84">
        <f t="shared" si="36"/>
        <v>2795.67</v>
      </c>
      <c r="T74" s="84">
        <f t="shared" si="36"/>
        <v>1121.8800000000001</v>
      </c>
      <c r="U74" s="84">
        <f t="shared" si="36"/>
        <v>1023.57</v>
      </c>
      <c r="V74" s="84">
        <f t="shared" si="36"/>
        <v>997.67</v>
      </c>
      <c r="W74" s="84">
        <f t="shared" si="36"/>
        <v>870.12</v>
      </c>
      <c r="X74" s="84">
        <f t="shared" si="36"/>
        <v>1170.3</v>
      </c>
      <c r="Y74" s="84">
        <f t="shared" si="36"/>
        <v>1369</v>
      </c>
      <c r="Z74" s="84">
        <f t="shared" si="36"/>
        <v>801.38</v>
      </c>
      <c r="AA74" s="84">
        <f t="shared" si="36"/>
        <v>955</v>
      </c>
      <c r="AB74" s="84">
        <f t="shared" si="36"/>
        <v>858.84</v>
      </c>
      <c r="AC74" s="84">
        <f t="shared" si="36"/>
        <v>1000</v>
      </c>
      <c r="AD74" s="84">
        <f t="shared" si="36"/>
        <v>1238.46</v>
      </c>
      <c r="AE74" s="48">
        <f t="shared" si="34"/>
        <v>-49.630000000000109</v>
      </c>
      <c r="AF74" s="20"/>
      <c r="AG74" s="48">
        <v>1315.87</v>
      </c>
      <c r="AH74" s="48">
        <f>Q74-AG74</f>
        <v>-127.03999999999996</v>
      </c>
      <c r="AI74" s="48">
        <v>1142.8699999999999</v>
      </c>
      <c r="AJ74" s="20">
        <f>Q74-AI74</f>
        <v>45.960000000000036</v>
      </c>
      <c r="AL74" s="48">
        <v>1602.51</v>
      </c>
      <c r="AM74" s="20">
        <f>Q74-AL74</f>
        <v>-413.68000000000006</v>
      </c>
      <c r="AP74" s="395">
        <f>Q74-'[1]2025 Summay'!Q74</f>
        <v>0</v>
      </c>
    </row>
    <row r="75" spans="1:42" s="15" customFormat="1" ht="24.95" customHeight="1">
      <c r="A75" s="38"/>
      <c r="B75" s="38"/>
      <c r="C75" s="70"/>
      <c r="D75" s="83" t="s">
        <v>111</v>
      </c>
      <c r="E75" s="85">
        <f t="shared" ref="E75:AD75" si="37">ROUND(E74*E73,0)</f>
        <v>1405</v>
      </c>
      <c r="F75" s="85">
        <f t="shared" si="37"/>
        <v>1814</v>
      </c>
      <c r="G75" s="85">
        <f t="shared" si="37"/>
        <v>971</v>
      </c>
      <c r="H75" s="85">
        <f t="shared" si="37"/>
        <v>922</v>
      </c>
      <c r="I75" s="85">
        <f t="shared" si="37"/>
        <v>832</v>
      </c>
      <c r="J75" s="85">
        <f t="shared" si="37"/>
        <v>769</v>
      </c>
      <c r="K75" s="85">
        <f t="shared" si="37"/>
        <v>1106</v>
      </c>
      <c r="L75" s="85">
        <f t="shared" si="37"/>
        <v>1280</v>
      </c>
      <c r="M75" s="85">
        <f t="shared" si="37"/>
        <v>705</v>
      </c>
      <c r="N75" s="85">
        <f t="shared" si="37"/>
        <v>830</v>
      </c>
      <c r="O75" s="85">
        <f t="shared" si="37"/>
        <v>747</v>
      </c>
      <c r="P75" s="85">
        <f t="shared" si="37"/>
        <v>933</v>
      </c>
      <c r="Q75" s="85">
        <f t="shared" si="37"/>
        <v>1022</v>
      </c>
      <c r="R75" s="85">
        <f t="shared" si="37"/>
        <v>1591</v>
      </c>
      <c r="S75" s="85">
        <f t="shared" si="37"/>
        <v>2689</v>
      </c>
      <c r="T75" s="85">
        <f t="shared" si="37"/>
        <v>1058</v>
      </c>
      <c r="U75" s="85">
        <f t="shared" si="37"/>
        <v>921</v>
      </c>
      <c r="V75" s="85">
        <f t="shared" si="37"/>
        <v>832</v>
      </c>
      <c r="W75" s="85">
        <f t="shared" si="37"/>
        <v>768</v>
      </c>
      <c r="X75" s="85">
        <f t="shared" si="37"/>
        <v>1107</v>
      </c>
      <c r="Y75" s="85">
        <f t="shared" si="37"/>
        <v>1289</v>
      </c>
      <c r="Z75" s="85">
        <f t="shared" si="37"/>
        <v>641</v>
      </c>
      <c r="AA75" s="85">
        <f t="shared" si="37"/>
        <v>764</v>
      </c>
      <c r="AB75" s="85">
        <f t="shared" si="37"/>
        <v>713</v>
      </c>
      <c r="AC75" s="85">
        <f t="shared" si="37"/>
        <v>850</v>
      </c>
      <c r="AD75" s="85">
        <f t="shared" si="37"/>
        <v>1097</v>
      </c>
      <c r="AE75" s="48">
        <f t="shared" si="34"/>
        <v>-75</v>
      </c>
      <c r="AF75" s="20"/>
      <c r="AG75" s="48">
        <v>1048</v>
      </c>
      <c r="AH75" s="48"/>
      <c r="AI75" s="48">
        <v>990</v>
      </c>
      <c r="AJ75" s="20">
        <f>Q75-AI75</f>
        <v>32</v>
      </c>
      <c r="AL75" s="48">
        <v>1330</v>
      </c>
      <c r="AM75" s="20">
        <f>Q75-AL75</f>
        <v>-308</v>
      </c>
      <c r="AP75" s="395">
        <f>Q75-'[1]2025 Summay'!Q75</f>
        <v>0</v>
      </c>
    </row>
    <row r="76" spans="1:42" s="15" customFormat="1" ht="24.95" customHeight="1">
      <c r="A76" s="45" t="s">
        <v>112</v>
      </c>
      <c r="B76" s="45" t="s">
        <v>113</v>
      </c>
      <c r="C76" s="45"/>
      <c r="D76" s="45" t="s">
        <v>114</v>
      </c>
      <c r="E76" s="86">
        <v>5810078.7199999997</v>
      </c>
      <c r="F76" s="86">
        <v>5126937.8</v>
      </c>
      <c r="G76" s="86">
        <v>5140991.3699999992</v>
      </c>
      <c r="H76" s="86">
        <v>5342940.4000000004</v>
      </c>
      <c r="I76" s="86">
        <v>5524280.4399999995</v>
      </c>
      <c r="J76" s="86">
        <v>5221935.4099999992</v>
      </c>
      <c r="K76" s="86">
        <v>5289898.7399999993</v>
      </c>
      <c r="L76" s="86">
        <v>5305802.5999999996</v>
      </c>
      <c r="M76" s="86">
        <v>5277841.6899999995</v>
      </c>
      <c r="N76" s="86">
        <v>5988675.54</v>
      </c>
      <c r="O76" s="86">
        <v>5283532.4799999995</v>
      </c>
      <c r="P76" s="86">
        <v>5297425.68</v>
      </c>
      <c r="Q76" s="87">
        <f>SUM(E76:P76)</f>
        <v>64610340.86999999</v>
      </c>
      <c r="R76" s="88">
        <v>64610340.86999999</v>
      </c>
      <c r="S76" s="88">
        <v>5936948.7500000009</v>
      </c>
      <c r="T76" s="88">
        <v>6388656.3399999999</v>
      </c>
      <c r="U76" s="88">
        <v>5630072.4199999999</v>
      </c>
      <c r="V76" s="88">
        <v>5396934.8800000008</v>
      </c>
      <c r="W76" s="88">
        <v>5239875.59</v>
      </c>
      <c r="X76" s="88">
        <v>5051147.2699999996</v>
      </c>
      <c r="Y76" s="88">
        <v>4893363.6500000004</v>
      </c>
      <c r="Z76" s="88">
        <v>5431359.5300000003</v>
      </c>
      <c r="AA76" s="88">
        <v>6422704.4099999992</v>
      </c>
      <c r="AB76" s="88">
        <v>6973565.1200000001</v>
      </c>
      <c r="AC76" s="88">
        <v>6350728.7899999991</v>
      </c>
      <c r="AD76" s="88">
        <v>6490926.6599999992</v>
      </c>
      <c r="AE76" s="48">
        <f t="shared" si="34"/>
        <v>58119414.209999993</v>
      </c>
      <c r="AF76" s="48"/>
      <c r="AG76" s="48">
        <v>76710282.86999999</v>
      </c>
      <c r="AH76" s="48">
        <f>AG76-Q76</f>
        <v>12099942</v>
      </c>
      <c r="AI76" s="48">
        <v>75193105.260000005</v>
      </c>
      <c r="AJ76" s="48">
        <f>AI76-Q76</f>
        <v>10582764.390000015</v>
      </c>
      <c r="AL76" s="48">
        <v>87860280.450000003</v>
      </c>
      <c r="AM76" s="20">
        <f>Q76-AL76</f>
        <v>-23249939.580000013</v>
      </c>
      <c r="AP76" s="395">
        <f>Q76-'[1]2025 Summay'!Q76</f>
        <v>0</v>
      </c>
    </row>
    <row r="77" spans="1:42" s="15" customFormat="1" ht="24.95" customHeight="1">
      <c r="A77" s="45" t="s">
        <v>115</v>
      </c>
      <c r="B77" s="45" t="s">
        <v>116</v>
      </c>
      <c r="C77" s="8"/>
      <c r="D77" s="45" t="s">
        <v>117</v>
      </c>
      <c r="E77" s="89">
        <v>476</v>
      </c>
      <c r="F77" s="89">
        <v>476</v>
      </c>
      <c r="G77" s="89">
        <v>476</v>
      </c>
      <c r="H77" s="89">
        <v>476</v>
      </c>
      <c r="I77" s="89">
        <v>476</v>
      </c>
      <c r="J77" s="89">
        <v>476</v>
      </c>
      <c r="K77" s="89">
        <v>476</v>
      </c>
      <c r="L77" s="89">
        <v>476</v>
      </c>
      <c r="M77" s="89">
        <v>476</v>
      </c>
      <c r="N77" s="89">
        <v>476</v>
      </c>
      <c r="O77" s="89">
        <v>476</v>
      </c>
      <c r="P77" s="89">
        <v>476</v>
      </c>
      <c r="Q77" s="90">
        <f>SUM(E77:P77)/12</f>
        <v>476</v>
      </c>
      <c r="R77" s="80">
        <v>476</v>
      </c>
      <c r="S77" s="80">
        <v>478</v>
      </c>
      <c r="T77" s="80">
        <v>474</v>
      </c>
      <c r="U77" s="80">
        <v>478</v>
      </c>
      <c r="V77" s="80">
        <v>478</v>
      </c>
      <c r="W77" s="80">
        <v>458</v>
      </c>
      <c r="X77" s="80">
        <v>456</v>
      </c>
      <c r="Y77" s="80">
        <v>451</v>
      </c>
      <c r="Z77" s="80">
        <v>460</v>
      </c>
      <c r="AA77" s="80">
        <v>502</v>
      </c>
      <c r="AB77" s="80">
        <v>502</v>
      </c>
      <c r="AC77" s="80">
        <v>502</v>
      </c>
      <c r="AD77" s="80">
        <v>502</v>
      </c>
      <c r="AE77" s="91">
        <f t="shared" si="34"/>
        <v>-26</v>
      </c>
      <c r="AF77" s="48"/>
      <c r="AG77" s="48">
        <v>706.83333333333337</v>
      </c>
      <c r="AH77" s="48"/>
      <c r="AI77" s="48">
        <v>813.16666666666663</v>
      </c>
      <c r="AJ77" s="48">
        <f>AI77-Q77</f>
        <v>337.16666666666663</v>
      </c>
      <c r="AL77" s="48">
        <v>648.66666666666663</v>
      </c>
      <c r="AM77" s="20">
        <f>Q77-AL77</f>
        <v>-172.66666666666663</v>
      </c>
      <c r="AP77" s="395">
        <f>Q77-'[1]2025 Summay'!Q77</f>
        <v>0</v>
      </c>
    </row>
    <row r="78" spans="1:42" ht="26.25" customHeight="1">
      <c r="E78" s="66">
        <f t="shared" ref="E78:AD78" si="38">E76/E16</f>
        <v>0.14809106248392143</v>
      </c>
      <c r="F78" s="66">
        <f t="shared" si="38"/>
        <v>0.11798968996480794</v>
      </c>
      <c r="G78" s="66">
        <f t="shared" si="38"/>
        <v>0.19019310644464926</v>
      </c>
      <c r="H78" s="66">
        <f t="shared" si="38"/>
        <v>0.21348485772931489</v>
      </c>
      <c r="I78" s="66">
        <f t="shared" si="38"/>
        <v>0.23203813733742612</v>
      </c>
      <c r="J78" s="66">
        <f t="shared" si="38"/>
        <v>0.24520720852369954</v>
      </c>
      <c r="K78" s="66">
        <f t="shared" si="38"/>
        <v>0.17115985769581157</v>
      </c>
      <c r="L78" s="66">
        <f t="shared" si="38"/>
        <v>0.15238112989613314</v>
      </c>
      <c r="M78" s="66">
        <f t="shared" si="38"/>
        <v>0.26289208245216433</v>
      </c>
      <c r="N78" s="66">
        <f t="shared" si="38"/>
        <v>0.23594746372086578</v>
      </c>
      <c r="O78" s="66">
        <f t="shared" si="38"/>
        <v>0.24085477642605344</v>
      </c>
      <c r="P78" s="66">
        <f t="shared" si="38"/>
        <v>0.19152248246988832</v>
      </c>
      <c r="Q78" s="66">
        <f t="shared" si="38"/>
        <v>0.18968120898624208</v>
      </c>
      <c r="R78" s="55">
        <f t="shared" si="38"/>
        <v>1.5419472278960868</v>
      </c>
      <c r="S78" s="55">
        <f t="shared" si="38"/>
        <v>9.0789641949688152E-2</v>
      </c>
      <c r="T78" s="55">
        <f t="shared" si="38"/>
        <v>0.21333405635062244</v>
      </c>
      <c r="U78" s="55">
        <f t="shared" si="38"/>
        <v>0.21855885262832983</v>
      </c>
      <c r="V78" s="55">
        <f t="shared" si="38"/>
        <v>0.22374618099434185</v>
      </c>
      <c r="W78" s="55">
        <f t="shared" si="38"/>
        <v>0.24286576037327212</v>
      </c>
      <c r="X78" s="55">
        <f t="shared" si="38"/>
        <v>0.16334367273270792</v>
      </c>
      <c r="Y78" s="55">
        <f t="shared" si="38"/>
        <v>0.13831136205289807</v>
      </c>
      <c r="Z78" s="55">
        <f t="shared" si="38"/>
        <v>0.28736237987218349</v>
      </c>
      <c r="AA78" s="55">
        <f t="shared" si="38"/>
        <v>0.28718942603484043</v>
      </c>
      <c r="AB78" s="55">
        <f t="shared" si="38"/>
        <v>0.33935445501935324</v>
      </c>
      <c r="AC78" s="55">
        <f t="shared" si="38"/>
        <v>0.25471427288148279</v>
      </c>
      <c r="AD78" s="66">
        <f t="shared" si="38"/>
        <v>1.7943297321112866E-2</v>
      </c>
      <c r="AE78" s="13">
        <f t="shared" si="34"/>
        <v>0.17173791166512922</v>
      </c>
      <c r="AG78" s="66">
        <v>0.222</v>
      </c>
      <c r="AI78" s="66">
        <f>AI76/AI16</f>
        <v>0.22144637876042808</v>
      </c>
      <c r="AL78" s="66">
        <v>0.20710632023222467</v>
      </c>
      <c r="AM78" s="55">
        <f>Q78-AL78</f>
        <v>-1.7425111245982589E-2</v>
      </c>
      <c r="AP78" s="395">
        <f>Q78-'[1]2025 Summay'!Q78</f>
        <v>0</v>
      </c>
    </row>
    <row r="79" spans="1:42" ht="26.25" customHeight="1">
      <c r="H79" s="92"/>
      <c r="Q79" s="95"/>
      <c r="R79" s="96"/>
      <c r="S79" s="96"/>
      <c r="T79" s="96"/>
      <c r="U79" s="96"/>
      <c r="V79" s="96"/>
      <c r="W79" s="96"/>
      <c r="X79" s="96"/>
    </row>
    <row r="80" spans="1:42" ht="26.25" customHeight="1"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/>
    </row>
    <row r="81" spans="2:30" ht="26.25" customHeight="1"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AD81" s="48"/>
    </row>
    <row r="82" spans="2:30" ht="26.25" customHeight="1">
      <c r="B82" s="94"/>
      <c r="C82" s="13"/>
      <c r="D82" s="13"/>
      <c r="E82" s="13"/>
      <c r="F82" s="13"/>
      <c r="G82" s="15"/>
      <c r="H82" s="13"/>
      <c r="I82" s="13"/>
      <c r="L82" s="13"/>
      <c r="Q82" s="13"/>
      <c r="T82" s="48"/>
    </row>
    <row r="83" spans="2:30" ht="26.25" customHeight="1">
      <c r="H83" s="97"/>
      <c r="AD83" s="60"/>
    </row>
    <row r="86" spans="2:30" ht="26.25" customHeight="1">
      <c r="E86" s="98"/>
    </row>
    <row r="87" spans="2:30" ht="26.25" customHeight="1">
      <c r="E87" s="98"/>
    </row>
    <row r="88" spans="2:30" ht="26.25" customHeight="1">
      <c r="E88" s="98"/>
    </row>
    <row r="89" spans="2:30" ht="26.25" customHeight="1">
      <c r="E89" s="98"/>
    </row>
    <row r="90" spans="2:30" ht="26.25" customHeight="1">
      <c r="E90" s="98"/>
    </row>
    <row r="91" spans="2:30" ht="26.25" customHeight="1">
      <c r="E91" s="98"/>
    </row>
    <row r="92" spans="2:30" ht="26.25" customHeight="1">
      <c r="E92" s="98"/>
    </row>
    <row r="93" spans="2:30" ht="26.25" customHeight="1">
      <c r="E93" s="99"/>
    </row>
    <row r="94" spans="2:30" ht="26.25" customHeight="1">
      <c r="E94" s="99"/>
    </row>
    <row r="95" spans="2:30" ht="26.25" customHeight="1">
      <c r="E95" s="98"/>
    </row>
    <row r="96" spans="2:30" ht="26.25" customHeight="1">
      <c r="E96" s="98"/>
    </row>
  </sheetData>
  <mergeCells count="2">
    <mergeCell ref="AE9:AE10"/>
    <mergeCell ref="AM9:AM10"/>
  </mergeCells>
  <phoneticPr fontId="5" type="noConversion"/>
  <dataValidations count="129">
    <dataValidation type="textLength" errorStyle="information" allowBlank="1" showInputMessage="1" showErrorMessage="1" error="XLBVal:6=-16267.93_x000d__x000a_" sqref="Z59">
      <formula1>0</formula1>
      <formula2>300</formula2>
    </dataValidation>
    <dataValidation type="textLength" errorStyle="information" allowBlank="1" showInputMessage="1" showErrorMessage="1" error="XLBVal:6=340.64_x000d__x000a_" sqref="Y59">
      <formula1>0</formula1>
      <formula2>300</formula2>
    </dataValidation>
    <dataValidation type="textLength" errorStyle="information" allowBlank="1" showInputMessage="1" showErrorMessage="1" error="XLBVal:6=2786.27_x000d__x000a_" sqref="J59 W59">
      <formula1>0</formula1>
      <formula2>300</formula2>
    </dataValidation>
    <dataValidation type="textLength" errorStyle="information" allowBlank="1" showInputMessage="1" showErrorMessage="1" error="XLBVal:6=8385.87_x000d__x000a_" sqref="H59 U59">
      <formula1>0</formula1>
      <formula2>300</formula2>
    </dataValidation>
    <dataValidation type="textLength" errorStyle="information" allowBlank="1" showInputMessage="1" showErrorMessage="1" error="XLBVal:6=2366.07_x000d__x000a_" sqref="G59 T59">
      <formula1>0</formula1>
      <formula2>300</formula2>
    </dataValidation>
    <dataValidation type="textLength" errorStyle="information" allowBlank="1" showInputMessage="1" showErrorMessage="1" error="XLBVal:6=597.27_x000d__x000a_" sqref="E59:F59 I59 R59:S59 V59 X59">
      <formula1>0</formula1>
      <formula2>300</formula2>
    </dataValidation>
    <dataValidation type="textLength" errorStyle="information" allowBlank="1" showInputMessage="1" showErrorMessage="1" error="XLBVal:6=1415.36_x000d__x000a_" sqref="R67:AC67">
      <formula1>0</formula1>
      <formula2>300</formula2>
    </dataValidation>
    <dataValidation type="textLength" errorStyle="information" allowBlank="1" showInputMessage="1" showErrorMessage="1" error="XLBVal:6=31830625.91_x000d__x000a_" sqref="D14">
      <formula1>0</formula1>
      <formula2>300</formula2>
    </dataValidation>
    <dataValidation type="textLength" errorStyle="information" allowBlank="1" showInputMessage="1" showErrorMessage="1" error="XLBVal:6=30556641_x000d__x000a_" sqref="F14">
      <formula1>0</formula1>
      <formula2>300</formula2>
    </dataValidation>
    <dataValidation type="textLength" errorStyle="information" allowBlank="1" showInputMessage="1" showErrorMessage="1" error="XLBVal:6=32796902.74_x000d__x000a_" sqref="H14">
      <formula1>0</formula1>
      <formula2>300</formula2>
    </dataValidation>
    <dataValidation type="textLength" errorStyle="information" allowBlank="1" showInputMessage="1" showErrorMessage="1" error="XLBVal:6=266264227.77_x000d__x000a_" sqref="O14">
      <formula1>0</formula1>
      <formula2>300</formula2>
    </dataValidation>
    <dataValidation type="textLength" errorStyle="information" allowBlank="1" showInputMessage="1" showErrorMessage="1" error="XLBVal:6=260430337_x000d__x000a_" sqref="Q14:AC14">
      <formula1>0</formula1>
      <formula2>300</formula2>
    </dataValidation>
    <dataValidation type="textLength" errorStyle="information" allowBlank="1" showInputMessage="1" showErrorMessage="1" error="XLBVal:6=152248.46_x000d__x000a_" sqref="D18">
      <formula1>0</formula1>
      <formula2>300</formula2>
    </dataValidation>
    <dataValidation type="textLength" errorStyle="information" allowBlank="1" showInputMessage="1" showErrorMessage="1" error="XLBVal:6=332254_x000d__x000a_" sqref="F18">
      <formula1>0</formula1>
      <formula2>300</formula2>
    </dataValidation>
    <dataValidation type="textLength" errorStyle="information" allowBlank="1" showInputMessage="1" showErrorMessage="1" error="XLBVal:6=360809.82_x000d__x000a_" sqref="H18">
      <formula1>0</formula1>
      <formula2>300</formula2>
    </dataValidation>
    <dataValidation type="textLength" errorStyle="information" allowBlank="1" showInputMessage="1" showErrorMessage="1" error="XLBVal:6=2102850.54_x000d__x000a_" sqref="O18">
      <formula1>0</formula1>
      <formula2>300</formula2>
    </dataValidation>
    <dataValidation type="textLength" errorStyle="information" allowBlank="1" showInputMessage="1" showErrorMessage="1" error="XLBVal:6=17339.48_x000d__x000a_" sqref="D21">
      <formula1>0</formula1>
      <formula2>300</formula2>
    </dataValidation>
    <dataValidation type="textLength" errorStyle="information" allowBlank="1" showInputMessage="1" showErrorMessage="1" error="XLBVal:6=64158_x000d__x000a_" sqref="D22">
      <formula1>0</formula1>
      <formula2>300</formula2>
    </dataValidation>
    <dataValidation type="textLength" errorStyle="information" allowBlank="1" showInputMessage="1" showErrorMessage="1" error="XLBVal:6=22449.54_x000d__x000a_" sqref="D25">
      <formula1>0</formula1>
      <formula2>300</formula2>
    </dataValidation>
    <dataValidation type="textLength" errorStyle="information" allowBlank="1" showInputMessage="1" showErrorMessage="1" error="XLBVal:6=65576_x000d__x000a_" sqref="F22">
      <formula1>0</formula1>
      <formula2>300</formula2>
    </dataValidation>
    <dataValidation type="textLength" errorStyle="information" allowBlank="1" showInputMessage="1" showErrorMessage="1" error="XLBVal:6=7138_x000d__x000a_" sqref="F24">
      <formula1>0</formula1>
      <formula2>300</formula2>
    </dataValidation>
    <dataValidation type="textLength" errorStyle="information" allowBlank="1" showInputMessage="1" showErrorMessage="1" error="XLBVal:6=34689_x000d__x000a_" sqref="F25">
      <formula1>0</formula1>
      <formula2>300</formula2>
    </dataValidation>
    <dataValidation type="textLength" errorStyle="information" allowBlank="1" showInputMessage="1" showErrorMessage="1" error="XLBVal:6=41529.75_x000d__x000a_" sqref="H21">
      <formula1>0</formula1>
      <formula2>300</formula2>
    </dataValidation>
    <dataValidation type="textLength" errorStyle="information" allowBlank="1" showInputMessage="1" showErrorMessage="1" error="XLBVal:6=74085_x000d__x000a_" sqref="H22">
      <formula1>0</formula1>
      <formula2>300</formula2>
    </dataValidation>
    <dataValidation type="textLength" errorStyle="information" allowBlank="1" showInputMessage="1" showErrorMessage="1" error="XLBVal:6=7403.02_x000d__x000a_" sqref="H24">
      <formula1>0</formula1>
      <formula2>300</formula2>
    </dataValidation>
    <dataValidation type="textLength" errorStyle="information" allowBlank="1" showInputMessage="1" showErrorMessage="1" error="XLBVal:6=20634.17_x000d__x000a_" sqref="H25">
      <formula1>0</formula1>
      <formula2>300</formula2>
    </dataValidation>
    <dataValidation type="textLength" errorStyle="information" allowBlank="1" showInputMessage="1" showErrorMessage="1" error="XLBVal:6=232383.39_x000d__x000a_" sqref="O21">
      <formula1>0</formula1>
      <formula2>300</formula2>
    </dataValidation>
    <dataValidation type="textLength" errorStyle="information" allowBlank="1" showInputMessage="1" showErrorMessage="1" error="XLBVal:6=513264_x000d__x000a_" sqref="O22">
      <formula1>0</formula1>
      <formula2>300</formula2>
    </dataValidation>
    <dataValidation type="textLength" errorStyle="information" allowBlank="1" showInputMessage="1" showErrorMessage="1" error="XLBVal:6=154528_x000d__x000a_" sqref="O23 D23">
      <formula1>0</formula1>
      <formula2>300</formula2>
    </dataValidation>
    <dataValidation type="textLength" errorStyle="information" allowBlank="1" showInputMessage="1" showErrorMessage="1" error="XLBVal:6=260483.2_x000d__x000a_" sqref="O25">
      <formula1>0</formula1>
      <formula2>300</formula2>
    </dataValidation>
    <dataValidation type="textLength" errorStyle="information" allowBlank="1" showInputMessage="1" showErrorMessage="1" error="XLBVal:6=214059_x000d__x000a_" sqref="Q21:AC21">
      <formula1>0</formula1>
      <formula2>300</formula2>
    </dataValidation>
    <dataValidation type="textLength" errorStyle="information" allowBlank="1" showInputMessage="1" showErrorMessage="1" error="XLBVal:6=524608_x000d__x000a_" sqref="Q22:AD22">
      <formula1>0</formula1>
      <formula2>300</formula2>
    </dataValidation>
    <dataValidation type="textLength" errorStyle="information" allowBlank="1" showInputMessage="1" showErrorMessage="1" error="XLBVal:6=-4756_x000d__x000a_" sqref="Q24:AC24">
      <formula1>0</formula1>
      <formula2>300</formula2>
    </dataValidation>
    <dataValidation type="textLength" errorStyle="information" allowBlank="1" showInputMessage="1" showErrorMessage="1" error="XLBVal:6=297327_x000d__x000a_" sqref="Q25:AC25">
      <formula1>0</formula1>
      <formula2>300</formula2>
    </dataValidation>
    <dataValidation type="textLength" errorStyle="information" allowBlank="1" showInputMessage="1" showErrorMessage="1" error="XLBVal:6=592680_x000d__x000a_" sqref="AE22">
      <formula1>0</formula1>
      <formula2>300</formula2>
    </dataValidation>
    <dataValidation type="textLength" errorStyle="information" allowBlank="1" showInputMessage="1" showErrorMessage="1" error="XLBVal:6=56662.11_x000d__x000a_" sqref="D28">
      <formula1>0</formula1>
      <formula2>300</formula2>
    </dataValidation>
    <dataValidation type="textLength" errorStyle="information" allowBlank="1" showInputMessage="1" showErrorMessage="1" error="XLBVal:6=23857.73_x000d__x000a_" sqref="D29">
      <formula1>0</formula1>
      <formula2>300</formula2>
    </dataValidation>
    <dataValidation type="textLength" errorStyle="information" allowBlank="1" showInputMessage="1" showErrorMessage="1" error="XLBVal:6=50.85_x000d__x000a_" sqref="D31">
      <formula1>0</formula1>
      <formula2>300</formula2>
    </dataValidation>
    <dataValidation type="textLength" errorStyle="information" allowBlank="1" showInputMessage="1" showErrorMessage="1" error="XLBVal:6=1491.23_x000d__x000a_" sqref="D32 D30">
      <formula1>0</formula1>
      <formula2>300</formula2>
    </dataValidation>
    <dataValidation type="textLength" errorStyle="information" allowBlank="1" showInputMessage="1" showErrorMessage="1" error="XLBVal:6=13684_x000d__x000a_" sqref="D33">
      <formula1>0</formula1>
      <formula2>300</formula2>
    </dataValidation>
    <dataValidation type="textLength" errorStyle="information" allowBlank="1" showInputMessage="1" showErrorMessage="1" error="XLBVal:6=7164.98_x000d__x000a_" sqref="D34">
      <formula1>0</formula1>
      <formula2>300</formula2>
    </dataValidation>
    <dataValidation type="textLength" errorStyle="information" allowBlank="1" showInputMessage="1" showErrorMessage="1" error="XLBVal:6=62377_x000d__x000a_" sqref="F28">
      <formula1>0</formula1>
      <formula2>300</formula2>
    </dataValidation>
    <dataValidation type="textLength" errorStyle="information" allowBlank="1" showInputMessage="1" showErrorMessage="1" error="XLBVal:6=27276_x000d__x000a_" sqref="F29">
      <formula1>0</formula1>
      <formula2>300</formula2>
    </dataValidation>
    <dataValidation type="textLength" errorStyle="information" allowBlank="1" showInputMessage="1" showErrorMessage="1" error="XLBVal:6=1367_x000d__x000a_" sqref="F31">
      <formula1>0</formula1>
      <formula2>300</formula2>
    </dataValidation>
    <dataValidation type="textLength" errorStyle="information" allowBlank="1" showInputMessage="1" showErrorMessage="1" error="XLBVal:6=1705_x000d__x000a_" sqref="F32">
      <formula1>0</formula1>
      <formula2>300</formula2>
    </dataValidation>
    <dataValidation type="textLength" errorStyle="information" allowBlank="1" showInputMessage="1" showErrorMessage="1" error="XLBVal:6=15780_x000d__x000a_" sqref="F33">
      <formula1>0</formula1>
      <formula2>300</formula2>
    </dataValidation>
    <dataValidation type="textLength" errorStyle="information" allowBlank="1" showInputMessage="1" showErrorMessage="1" error="XLBVal:6=8090_x000d__x000a_" sqref="F34">
      <formula1>0</formula1>
      <formula2>300</formula2>
    </dataValidation>
    <dataValidation type="textLength" errorStyle="information" allowBlank="1" showInputMessage="1" showErrorMessage="1" error="XLBVal:6=79793_x000d__x000a_" sqref="H28">
      <formula1>0</formula1>
      <formula2>300</formula2>
    </dataValidation>
    <dataValidation type="textLength" errorStyle="information" allowBlank="1" showInputMessage="1" showErrorMessage="1" error="XLBVal:6=34888.12_x000d__x000a_" sqref="H29">
      <formula1>0</formula1>
      <formula2>300</formula2>
    </dataValidation>
    <dataValidation type="textLength" errorStyle="information" allowBlank="1" showInputMessage="1" showErrorMessage="1" error="XLBVal:6=1744.17_x000d__x000a_" sqref="H31">
      <formula1>0</formula1>
      <formula2>300</formula2>
    </dataValidation>
    <dataValidation type="textLength" errorStyle="information" allowBlank="1" showInputMessage="1" showErrorMessage="1" error="XLBVal:6=2180.38_x000d__x000a_" sqref="H32">
      <formula1>0</formula1>
      <formula2>300</formula2>
    </dataValidation>
    <dataValidation type="textLength" errorStyle="information" allowBlank="1" showInputMessage="1" showErrorMessage="1" error="XLBVal:6=19570_x000d__x000a_" sqref="H33">
      <formula1>0</formula1>
      <formula2>300</formula2>
    </dataValidation>
    <dataValidation type="textLength" errorStyle="information" allowBlank="1" showInputMessage="1" showErrorMessage="1" error="XLBVal:6=8768.28_x000d__x000a_" sqref="H34">
      <formula1>0</formula1>
      <formula2>300</formula2>
    </dataValidation>
    <dataValidation type="textLength" errorStyle="information" allowBlank="1" showInputMessage="1" showErrorMessage="1" error="XLBVal:6=497928.56_x000d__x000a_" sqref="O28">
      <formula1>0</formula1>
      <formula2>300</formula2>
    </dataValidation>
    <dataValidation type="textLength" errorStyle="information" allowBlank="1" showInputMessage="1" showErrorMessage="1" error="XLBVal:6=209653.66_x000d__x000a_" sqref="O29">
      <formula1>0</formula1>
      <formula2>300</formula2>
    </dataValidation>
    <dataValidation type="textLength" errorStyle="information" allowBlank="1" showInputMessage="1" showErrorMessage="1" error="XLBVal:6=5550.35_x000d__x000a_" sqref="O31">
      <formula1>0</formula1>
      <formula2>300</formula2>
    </dataValidation>
    <dataValidation type="textLength" errorStyle="information" allowBlank="1" showInputMessage="1" showErrorMessage="1" error="XLBVal:6=13103.45_x000d__x000a_" sqref="O32">
      <formula1>0</formula1>
      <formula2>300</formula2>
    </dataValidation>
    <dataValidation type="textLength" errorStyle="information" allowBlank="1" showInputMessage="1" showErrorMessage="1" error="XLBVal:6=122923_x000d__x000a_" sqref="O33">
      <formula1>0</formula1>
      <formula2>300</formula2>
    </dataValidation>
    <dataValidation type="textLength" errorStyle="information" allowBlank="1" showInputMessage="1" showErrorMessage="1" error="XLBVal:6=71456.02_x000d__x000a_" sqref="O34">
      <formula1>0</formula1>
      <formula2>300</formula2>
    </dataValidation>
    <dataValidation type="textLength" errorStyle="information" allowBlank="1" showInputMessage="1" showErrorMessage="1" error="XLBVal:6=505582_x000d__x000a_" sqref="Q28:AC28">
      <formula1>0</formula1>
      <formula2>300</formula2>
    </dataValidation>
    <dataValidation type="textLength" errorStyle="information" allowBlank="1" showInputMessage="1" showErrorMessage="1" error="XLBVal:6=221078_x000d__x000a_" sqref="Q29:AC29">
      <formula1>0</formula1>
      <formula2>300</formula2>
    </dataValidation>
    <dataValidation type="textLength" errorStyle="information" allowBlank="1" showInputMessage="1" showErrorMessage="1" error="XLBVal:6=11080_x000d__x000a_" sqref="Q31:AC31">
      <formula1>0</formula1>
      <formula2>300</formula2>
    </dataValidation>
    <dataValidation type="textLength" errorStyle="information" allowBlank="1" showInputMessage="1" showErrorMessage="1" error="XLBVal:6=291271.69_x000d__x000a_" sqref="AE29">
      <formula1>0</formula1>
      <formula2>300</formula2>
    </dataValidation>
    <dataValidation type="textLength" errorStyle="information" allowBlank="1" showInputMessage="1" showErrorMessage="1" error="XLBVal:6=272_x000d__x000a_" sqref="D41">
      <formula1>0</formula1>
      <formula2>300</formula2>
    </dataValidation>
    <dataValidation type="textLength" errorStyle="information" allowBlank="1" showInputMessage="1" showErrorMessage="1" error="XLBVal:6=2205.62_x000d__x000a_" sqref="D42">
      <formula1>0</formula1>
      <formula2>300</formula2>
    </dataValidation>
    <dataValidation type="textLength" errorStyle="information" allowBlank="1" showInputMessage="1" showErrorMessage="1" error="XLBVal:6=34716.5_x000d__x000a_" sqref="D43">
      <formula1>0</formula1>
      <formula2>300</formula2>
    </dataValidation>
    <dataValidation type="textLength" errorStyle="information" allowBlank="1" showInputMessage="1" showErrorMessage="1" error="XLBVal:6=124219.16_x000d__x000a_" sqref="D44">
      <formula1>0</formula1>
      <formula2>300</formula2>
    </dataValidation>
    <dataValidation type="textLength" errorStyle="information" allowBlank="1" showInputMessage="1" showErrorMessage="1" error="XLBVal:6=9268_x000d__x000a_" sqref="F42">
      <formula1>0</formula1>
      <formula2>300</formula2>
    </dataValidation>
    <dataValidation type="textLength" errorStyle="information" allowBlank="1" showInputMessage="1" showErrorMessage="1" error="XLBVal:6=13282.76_x000d__x000a_" sqref="H42">
      <formula1>0</formula1>
      <formula2>300</formula2>
    </dataValidation>
    <dataValidation type="textLength" errorStyle="information" allowBlank="1" showInputMessage="1" showErrorMessage="1" error="XLBVal:6=-161714.27_x000d__x000a_" sqref="H46">
      <formula1>0</formula1>
      <formula2>300</formula2>
    </dataValidation>
    <dataValidation type="textLength" errorStyle="information" allowBlank="1" showInputMessage="1" showErrorMessage="1" error="XLBVal:6=2128_x000d__x000a_" sqref="O41">
      <formula1>0</formula1>
      <formula2>300</formula2>
    </dataValidation>
    <dataValidation type="textLength" errorStyle="information" allowBlank="1" showInputMessage="1" showErrorMessage="1" error="XLBVal:6=48748.59_x000d__x000a_" sqref="O42">
      <formula1>0</formula1>
      <formula2>300</formula2>
    </dataValidation>
    <dataValidation type="textLength" errorStyle="information" allowBlank="1" showInputMessage="1" showErrorMessage="1" error="XLBVal:6=74144_x000d__x000a_" sqref="Q42:AC42">
      <formula1>0</formula1>
      <formula2>300</formula2>
    </dataValidation>
    <dataValidation type="textLength" errorStyle="information" allowBlank="1" showInputMessage="1" showErrorMessage="1" error="XLBVal:6=280036_x000d__x000a_" sqref="Q43:AC43">
      <formula1>0</formula1>
      <formula2>300</formula2>
    </dataValidation>
    <dataValidation type="textLength" errorStyle="information" allowBlank="1" showInputMessage="1" showErrorMessage="1" error="XLBVal:6=86941.49_x000d__x000a_" sqref="AE42">
      <formula1>0</formula1>
      <formula2>300</formula2>
    </dataValidation>
    <dataValidation type="textLength" errorStyle="information" allowBlank="1" showInputMessage="1" showErrorMessage="1" error="XLBVal:6=99_x000d__x000a_" sqref="D54">
      <formula1>0</formula1>
      <formula2>300</formula2>
    </dataValidation>
    <dataValidation type="textLength" errorStyle="information" allowBlank="1" showInputMessage="1" showErrorMessage="1" error="XLBVal:6=676538.89_x000d__x000a_" sqref="D56">
      <formula1>0</formula1>
      <formula2>300</formula2>
    </dataValidation>
    <dataValidation type="textLength" errorStyle="information" allowBlank="1" showInputMessage="1" showErrorMessage="1" error="XLBVal:6=737254_x000d__x000a_" sqref="F56">
      <formula1>0</formula1>
      <formula2>300</formula2>
    </dataValidation>
    <dataValidation type="textLength" errorStyle="information" allowBlank="1" showInputMessage="1" showErrorMessage="1" error="XLBVal:6=655980.19_x000d__x000a_" sqref="H56">
      <formula1>0</formula1>
      <formula2>300</formula2>
    </dataValidation>
    <dataValidation type="textLength" errorStyle="information" allowBlank="1" showInputMessage="1" showErrorMessage="1" error="XLBVal:6=5475567.29_x000d__x000a_" sqref="O56">
      <formula1>0</formula1>
      <formula2>300</formula2>
    </dataValidation>
    <dataValidation type="textLength" errorStyle="information" allowBlank="1" showInputMessage="1" showErrorMessage="1" error="XLBVal:6=6108360_x000d__x000a_" sqref="Q56:AC56">
      <formula1>0</formula1>
      <formula2>300</formula2>
    </dataValidation>
    <dataValidation type="textLength" errorStyle="information" allowBlank="1" showInputMessage="1" showErrorMessage="1" error="XLBVal:6=1966507.85_x000d__x000a_" sqref="P24 I24:N24 E24 G24 AD24">
      <formula1>0</formula1>
      <formula2>300</formula2>
    </dataValidation>
    <dataValidation type="textLength" errorStyle="information" allowBlank="1" showInputMessage="1" showErrorMessage="1" error="XLBVal:6=24354.83_x000d__x000a_" sqref="E26:AD26">
      <formula1>0</formula1>
      <formula2>300</formula2>
    </dataValidation>
    <dataValidation type="textLength" errorStyle="information" allowBlank="1" showInputMessage="1" showErrorMessage="1" error="XLBVal:6=594952.69_x000d__x000a_" sqref="P23 I23:N23 E23 G23 AD23">
      <formula1>0</formula1>
      <formula2>300</formula2>
    </dataValidation>
    <dataValidation type="textLength" errorStyle="information" allowBlank="1" showInputMessage="1" showErrorMessage="1" error="XLBVal:6=20681.1_x000d__x000a_" sqref="E27:AD27">
      <formula1>0</formula1>
      <formula2>300</formula2>
    </dataValidation>
    <dataValidation type="textLength" errorStyle="information" allowBlank="1" showInputMessage="1" showErrorMessage="1" error="XLBVal:8=Oct 2016_x000d__x000a_" sqref="D7:D8">
      <formula1>0</formula1>
      <formula2>300</formula2>
    </dataValidation>
    <dataValidation type="textLength" errorStyle="information" allowBlank="1" showInputMessage="1" showErrorMessage="1" error="XLBVal:5=0_x000d__x000a_" sqref="E55:AD55">
      <formula1>0</formula1>
      <formula2>300</formula2>
    </dataValidation>
    <dataValidation type="textLength" errorStyle="information" allowBlank="1" showInputMessage="1" showErrorMessage="1" error="XLBVal:5=7234671.58_x000d__x000a_" sqref="E16:AD16">
      <formula1>0</formula1>
      <formula2>300</formula2>
    </dataValidation>
    <dataValidation type="textLength" errorStyle="information" allowBlank="1" showInputMessage="1" showErrorMessage="1" error="XLBVal:5=5327272.97_x000d__x000a_" sqref="AD21 P21 I21:N21 E21 G21">
      <formula1>0</formula1>
      <formula2>300</formula2>
    </dataValidation>
    <dataValidation type="textLength" errorStyle="information" allowBlank="1" showInputMessage="1" showErrorMessage="1" error="XLBVal:5=1907398.61_x000d__x000a_" sqref="AD28 P28 I28:N28 E28 G28">
      <formula1>0</formula1>
      <formula2>300</formula2>
    </dataValidation>
    <dataValidation type="textLength" errorStyle="information" allowBlank="1" showInputMessage="1" showErrorMessage="1" error="XLBVal:5=4580825.67_x000d__x000a_" sqref="AD35 P35 I35:N35 E35 G35">
      <formula1>0</formula1>
      <formula2>300</formula2>
    </dataValidation>
    <dataValidation type="textLength" errorStyle="information" allowBlank="1" showInputMessage="1" showErrorMessage="1" error="XLBVal:5=-2673427.06_x000d__x000a_" sqref="E36:AD37">
      <formula1>0</formula1>
      <formula2>300</formula2>
    </dataValidation>
    <dataValidation type="textLength" errorStyle="information" allowBlank="1" showInputMessage="1" showErrorMessage="1" error="XLBVal:5=-2823307.54_x000d__x000a_" sqref="AD41 P41 I41:N41 E41 G41">
      <formula1>0</formula1>
      <formula2>300</formula2>
    </dataValidation>
    <dataValidation type="textLength" errorStyle="information" allowBlank="1" showInputMessage="1" showErrorMessage="1" error="XLBVal:5=139867.06_x000d__x000a_" sqref="E47:AD47">
      <formula1>0</formula1>
      <formula2>300</formula2>
    </dataValidation>
    <dataValidation type="textLength" errorStyle="information" allowBlank="1" showInputMessage="1" showErrorMessage="1" error="XLBVal:5=-2963174.6_x000d__x000a_" sqref="F57 AD56:AD57 O57 P56:P57 H57 I56:N57 E56:E57 G56:G57 Q57:AC57">
      <formula1>0</formula1>
      <formula2>300</formula2>
    </dataValidation>
    <dataValidation type="textLength" errorStyle="information" allowBlank="1" showInputMessage="1" showErrorMessage="1" error="XLBVal:5=-1598046.96_x000d__x000a_" sqref="E64:AD66 E68:AD69">
      <formula1>0</formula1>
      <formula2>300</formula2>
    </dataValidation>
    <dataValidation type="textLength" errorStyle="information" allowBlank="1" showInputMessage="1" showErrorMessage="1" sqref="E73:AD75">
      <formula1>0</formula1>
      <formula2>300</formula2>
    </dataValidation>
    <dataValidation type="textLength" errorStyle="information" allowBlank="1" showInputMessage="1" showErrorMessage="1" error="XLBVal:6=30571366.97_x000d__x000a_" sqref="E11:P11">
      <formula1>0</formula1>
      <formula2>300</formula2>
    </dataValidation>
    <dataValidation type="textLength" errorStyle="information" allowBlank="1" showInputMessage="1" showErrorMessage="1" error="XLBVal:6=80915624.42_x000d__x000a_" sqref="Q11:AC11">
      <formula1>0</formula1>
      <formula2>300</formula2>
    </dataValidation>
    <dataValidation type="textLength" errorStyle="information" allowBlank="1" showInputMessage="1" showErrorMessage="1" error="XLBVal:6=8831142.43_x000d__x000a_" sqref="E12:P12">
      <formula1>0</formula1>
      <formula2>300</formula2>
    </dataValidation>
    <dataValidation type="textLength" errorStyle="information" allowBlank="1" showInputMessage="1" showErrorMessage="1" error="XLBVal:6=18887597.35_x000d__x000a_" sqref="Q15:AC15 Q12:AC13">
      <formula1>0</formula1>
      <formula2>300</formula2>
    </dataValidation>
    <dataValidation type="textLength" errorStyle="information" allowBlank="1" showInputMessage="1" showErrorMessage="1" error="XLBVal:6=578439.39_x000d__x000a_" sqref="E13:P13">
      <formula1>0</formula1>
      <formula2>300</formula2>
    </dataValidation>
    <dataValidation type="textLength" errorStyle="information" allowBlank="1" showInputMessage="1" showErrorMessage="1" error="XLBVal:6=91983.04_x000d__x000a_" sqref="E15:P15">
      <formula1>0</formula1>
      <formula2>300</formula2>
    </dataValidation>
    <dataValidation type="textLength" errorStyle="information" allowBlank="1" showInputMessage="1" showErrorMessage="1" error="XLBVal:6=4421734.52_x000d__x000a_" sqref="P18 I18:N18 E18 G18">
      <formula1>0</formula1>
      <formula2>300</formula2>
    </dataValidation>
    <dataValidation type="textLength" errorStyle="information" allowBlank="1" showInputMessage="1" showErrorMessage="1" error="XLBVal:6=2693004_x000d__x000a_" sqref="Q18:AC18">
      <formula1>0</formula1>
      <formula2>300</formula2>
    </dataValidation>
    <dataValidation type="textLength" errorStyle="information" allowBlank="1" showInputMessage="1" showErrorMessage="1" error="XLBVal:6=5148865.78_x000d__x000a_" sqref="E19:P19">
      <formula1>0</formula1>
      <formula2>300</formula2>
    </dataValidation>
    <dataValidation type="textLength" errorStyle="information" allowBlank="1" showInputMessage="1" showErrorMessage="1" error="XLBVal:6=6963297.16_x000d__x000a_" sqref="Q19:Q20 R19:AC19">
      <formula1>0</formula1>
      <formula2>300</formula2>
    </dataValidation>
    <dataValidation type="textLength" errorStyle="information" allowBlank="1" showInputMessage="1" showErrorMessage="1" error="XLBVal:6=1300159.91_x000d__x000a_" sqref="E20:P20 R20:AC20">
      <formula1>0</formula1>
      <formula2>300</formula2>
    </dataValidation>
    <dataValidation type="textLength" errorStyle="information" allowBlank="1" showInputMessage="1" showErrorMessage="1" error="XLBVal:6=1874597.9_x000d__x000a_" sqref="P32 E32 I32:N32 E30:P30 G32">
      <formula1>0</formula1>
      <formula2>300</formula2>
    </dataValidation>
    <dataValidation type="textLength" errorStyle="information" allowBlank="1" showInputMessage="1" showErrorMessage="1" error="XLBVal:6=605425.72_x000d__x000a_" sqref="P33:P34 P31 I33:N34 I31:N31 G33:G34 E33:E34 E31 G31">
      <formula1>0</formula1>
      <formula2>300</formula2>
    </dataValidation>
    <dataValidation type="textLength" errorStyle="information" allowBlank="1" showInputMessage="1" showErrorMessage="1" error="XLBVal:6=127900_x000d__x000a_" sqref="Q33:AC33">
      <formula1>0</formula1>
      <formula2>300</formula2>
    </dataValidation>
    <dataValidation type="textLength" errorStyle="information" allowBlank="1" showInputMessage="1" showErrorMessage="1" error="XLBVal:6=887592.75_x000d__x000a_" sqref="E39:P40">
      <formula1>0</formula1>
      <formula2>300</formula2>
    </dataValidation>
    <dataValidation type="textLength" errorStyle="information" allowBlank="1" showInputMessage="1" showErrorMessage="1" error="XLBVal:6=-28424_x000d__x000a_" sqref="Q49:AC49 R50:AC53">
      <formula1>0</formula1>
      <formula2>300</formula2>
    </dataValidation>
    <dataValidation type="textLength" errorStyle="information" allowBlank="1" showInputMessage="1" showErrorMessage="1" error="XLBVal:6=1635.19_x000d__x000a_" sqref="AD63 E67:P67 K59:P63 E60:J63">
      <formula1>0</formula1>
      <formula2>300</formula2>
    </dataValidation>
    <dataValidation type="textLength" errorStyle="information" allowBlank="1" showInputMessage="1" showErrorMessage="1" error="XLBVal:6=22752_x000d__x000a_" sqref="Q59 Q67">
      <formula1>0</formula1>
      <formula2>300</formula2>
    </dataValidation>
    <dataValidation type="textLength" errorStyle="information" allowBlank="1" showInputMessage="1" showErrorMessage="1" error="XLBVal:6=246375_x000d__x000a_" sqref="Q71:AC71 Q76:AC76">
      <formula1>0</formula1>
      <formula2>300</formula2>
    </dataValidation>
    <dataValidation type="textLength" errorStyle="information" allowBlank="1" showInputMessage="1" showErrorMessage="1" error="XLBVal:6=18897_x000d__x000a_" sqref="E72:P72">
      <formula1>0</formula1>
      <formula2>300</formula2>
    </dataValidation>
    <dataValidation type="textLength" errorStyle="information" allowBlank="1" showInputMessage="1" showErrorMessage="1" error="XLBVal:6=35290_x000d__x000a_" sqref="Q72:AC72">
      <formula1>0</formula1>
      <formula2>300</formula2>
    </dataValidation>
    <dataValidation type="textLength" errorStyle="information" allowBlank="1" showInputMessage="1" showErrorMessage="1" error="XLBVal:6=6025910.8_x000d__x000a_" sqref="E76:P77">
      <formula1>0</formula1>
      <formula2>300</formula2>
    </dataValidation>
    <dataValidation type="textLength" errorStyle="information" allowBlank="1" showInputMessage="1" showErrorMessage="1" error="XLBVal:6=11232_x000d__x000a_" sqref="Q77:AC77">
      <formula1>0</formula1>
      <formula2>300</formula2>
    </dataValidation>
    <dataValidation type="textLength" errorStyle="information" allowBlank="1" showInputMessage="1" showErrorMessage="1" error="XLBVal:6=1071234_x000d__x000a_" sqref="Q44:AC44">
      <formula1>0</formula1>
      <formula2>300</formula2>
    </dataValidation>
    <dataValidation type="textLength" errorStyle="information" allowBlank="1" showInputMessage="1" showErrorMessage="1" error="XLBVal:6=16429.32_x000d__x000a_" sqref="E49:P54">
      <formula1>0</formula1>
      <formula2>300</formula2>
    </dataValidation>
    <dataValidation type="textLength" errorStyle="information" allowBlank="1" showInputMessage="1" showErrorMessage="1" error="XLBVal:8=Error 13 Type mismatch: '[string: &quot;MONTH&quot;]' 880/&quot;MONTH&quot;_x000d__x000a_" sqref="Q54:AC54">
      <formula1>0</formula1>
      <formula2>300</formula2>
    </dataValidation>
    <dataValidation type="textLength" errorStyle="information" allowBlank="1" showInputMessage="1" showErrorMessage="1" error="XLBVal:6=13822_x000d__x000a_" sqref="Q30:AC30 Q32:AC32">
      <formula1>0</formula1>
      <formula2>300</formula2>
    </dataValidation>
    <dataValidation type="textLength" errorStyle="information" allowBlank="1" showInputMessage="1" showErrorMessage="1" error="XLBVal:6=65420_x000d__x000a_" sqref="Q34:AC34">
      <formula1>0</formula1>
      <formula2>300</formula2>
    </dataValidation>
    <dataValidation type="textLength" errorStyle="information" allowBlank="1" showInputMessage="1" showErrorMessage="1" error="XLBVal:6=297933.65_x000d__x000a_" sqref="F44:F45 I46:N46 AD43 G44:G46 F43:P43 P44:P46 E43:E46 H44:O45">
      <formula1>0</formula1>
      <formula2>300</formula2>
    </dataValidation>
    <dataValidation type="textLength" errorStyle="information" allowBlank="1" showInputMessage="1" showErrorMessage="1" error="XLBVal:2=0_x000d__x000a_" sqref="D24 AA59:AC59 AE38 Q61:AC61 F46 H41 O38 F41 G14 D45:D46 D38:D40 Q50:Q53 O35 H35 F35 D35 O24 P25 H23 I25:N25 E25 G25 F23 F21 P14 I14:N14 E14 F38 H38 AD25 AE59:AE63 AE76:AE77 AE71:AE72 O46 Q45:AC46 Q23:AC23 Q35:AC35 Q38:AC41 Q63:AC63">
      <formula1>0</formula1>
      <formula2>300</formula2>
    </dataValidation>
    <dataValidation type="textLength" errorStyle="information" allowBlank="1" showInputMessage="1" showErrorMessage="1" error="XLBVal:6=290183494_x000d__x000a_" sqref="AD11:AD15 AD18:AD20 AD76:AD77 AD30:AD34 AD71:AD72 AD39:AD40 AD44:AD46 AD59 AD61 AD49:AD54 AD67 AD6:AD7">
      <formula1>0</formula1>
      <formula2>300</formula2>
    </dataValidation>
    <dataValidation type="textLength" errorStyle="information" allowBlank="1" showInputMessage="1" showErrorMessage="1" error="XLBVal:6=20925_x000d__x000a_" sqref="E71:P71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8" orientation="landscape" r:id="rId1"/>
  <headerFooter>
    <oddFooter>Page &amp;P of &amp;N</oddFooter>
  </headerFooter>
  <rowBreaks count="1" manualBreakCount="1">
    <brk id="54" min="3" max="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D7C3F6"/>
  </sheetPr>
  <dimension ref="A1:AU153"/>
  <sheetViews>
    <sheetView view="pageBreakPreview" zoomScaleNormal="100" zoomScaleSheetLayoutView="100" workbookViewId="0">
      <pane xSplit="5" ySplit="7" topLeftCell="N8" activePane="bottomRight" state="frozen"/>
      <selection activeCell="AP43" sqref="AP43"/>
      <selection pane="topRight" activeCell="AP43" sqref="AP43"/>
      <selection pane="bottomLeft" activeCell="AP43" sqref="AP43"/>
      <selection pane="bottomRight" activeCell="Q19" sqref="Q19"/>
    </sheetView>
  </sheetViews>
  <sheetFormatPr defaultColWidth="9" defaultRowHeight="14.25" outlineLevelCol="2"/>
  <cols>
    <col min="1" max="1" width="10.375" style="105" hidden="1" customWidth="1" outlineLevel="1"/>
    <col min="2" max="3" width="9" style="105" hidden="1" customWidth="1" outlineLevel="1"/>
    <col min="4" max="4" width="43.5" style="105" customWidth="1" collapsed="1"/>
    <col min="5" max="12" width="19.625" style="116" bestFit="1" customWidth="1"/>
    <col min="13" max="13" width="19.5" style="116" bestFit="1" customWidth="1"/>
    <col min="14" max="16" width="19.625" style="116" bestFit="1" customWidth="1"/>
    <col min="17" max="17" width="20.375" style="117" customWidth="1"/>
    <col min="18" max="24" width="20.375" style="116" hidden="1" customWidth="1" outlineLevel="1"/>
    <col min="25" max="29" width="20.375" style="116" hidden="1" customWidth="1" outlineLevel="2"/>
    <col min="30" max="30" width="20.375" style="117" customWidth="1" collapsed="1"/>
    <col min="31" max="31" width="19.5" style="116" bestFit="1" customWidth="1"/>
    <col min="32" max="32" width="9.5" style="116" customWidth="1"/>
    <col min="33" max="33" width="19.5" style="109" hidden="1" customWidth="1"/>
    <col min="34" max="34" width="19.5" style="123" hidden="1" customWidth="1"/>
    <col min="35" max="35" width="19.5" style="123" customWidth="1"/>
    <col min="36" max="36" width="12.25" style="105" bestFit="1" customWidth="1"/>
    <col min="37" max="37" width="17.25" style="105" bestFit="1" customWidth="1"/>
    <col min="38" max="47" width="10.5" style="105" bestFit="1" customWidth="1"/>
    <col min="48" max="16384" width="9" style="105"/>
  </cols>
  <sheetData>
    <row r="1" spans="1:38" s="100" customFormat="1">
      <c r="A1" s="100" t="s">
        <v>145</v>
      </c>
      <c r="D1" s="100" t="s">
        <v>146</v>
      </c>
      <c r="E1" s="101">
        <v>2025001</v>
      </c>
      <c r="F1" s="101">
        <v>2025002</v>
      </c>
      <c r="G1" s="101">
        <v>2025003</v>
      </c>
      <c r="H1" s="101">
        <v>2025004</v>
      </c>
      <c r="I1" s="101">
        <v>2025005</v>
      </c>
      <c r="J1" s="101">
        <v>2025006</v>
      </c>
      <c r="K1" s="101">
        <v>2025007</v>
      </c>
      <c r="L1" s="101">
        <v>2025008</v>
      </c>
      <c r="M1" s="101">
        <v>2025009</v>
      </c>
      <c r="N1" s="101">
        <v>2025010</v>
      </c>
      <c r="O1" s="101">
        <v>2025011</v>
      </c>
      <c r="P1" s="101"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02"/>
      <c r="AE1" s="101"/>
      <c r="AF1" s="101"/>
      <c r="AG1" s="103"/>
      <c r="AH1" s="104"/>
      <c r="AI1" s="104"/>
    </row>
    <row r="2" spans="1:38" s="100" customFormat="1">
      <c r="D2" s="100" t="s">
        <v>147</v>
      </c>
      <c r="E2" s="101">
        <v>2025001</v>
      </c>
      <c r="F2" s="101">
        <v>2025002</v>
      </c>
      <c r="G2" s="101">
        <v>2025003</v>
      </c>
      <c r="H2" s="101">
        <v>2025004</v>
      </c>
      <c r="I2" s="101">
        <v>2025005</v>
      </c>
      <c r="J2" s="101">
        <v>2025006</v>
      </c>
      <c r="K2" s="101">
        <v>2025007</v>
      </c>
      <c r="L2" s="101">
        <v>2025008</v>
      </c>
      <c r="M2" s="101">
        <v>2025009</v>
      </c>
      <c r="N2" s="101">
        <v>2025010</v>
      </c>
      <c r="O2" s="101">
        <v>2025011</v>
      </c>
      <c r="P2" s="101"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02"/>
      <c r="AE2" s="101"/>
      <c r="AF2" s="101"/>
      <c r="AG2" s="103"/>
      <c r="AH2" s="104"/>
      <c r="AI2" s="104"/>
    </row>
    <row r="3" spans="1:38">
      <c r="D3" s="106" t="s">
        <v>148</v>
      </c>
      <c r="E3" s="2" t="s">
        <v>149</v>
      </c>
      <c r="F3" s="2" t="s">
        <v>149</v>
      </c>
      <c r="G3" s="2" t="s">
        <v>150</v>
      </c>
      <c r="H3" s="2" t="s">
        <v>149</v>
      </c>
      <c r="I3" s="2" t="s">
        <v>149</v>
      </c>
      <c r="J3" s="2" t="s">
        <v>0</v>
      </c>
      <c r="K3" s="2" t="s">
        <v>151</v>
      </c>
      <c r="L3" s="2" t="s">
        <v>151</v>
      </c>
      <c r="M3" s="2" t="s">
        <v>152</v>
      </c>
      <c r="N3" s="2" t="s">
        <v>152</v>
      </c>
      <c r="O3" s="2" t="s">
        <v>153</v>
      </c>
      <c r="P3" s="2" t="s">
        <v>152</v>
      </c>
      <c r="Q3" s="107"/>
      <c r="R3" s="108" t="s">
        <v>149</v>
      </c>
      <c r="S3" s="108" t="s">
        <v>150</v>
      </c>
      <c r="T3" s="108" t="s">
        <v>149</v>
      </c>
      <c r="U3" s="108" t="s">
        <v>150</v>
      </c>
      <c r="V3" s="108" t="s">
        <v>149</v>
      </c>
      <c r="W3" s="108" t="s">
        <v>149</v>
      </c>
      <c r="X3" s="108" t="s">
        <v>0</v>
      </c>
      <c r="Y3" s="108" t="s">
        <v>0</v>
      </c>
      <c r="Z3" s="108" t="s">
        <v>150</v>
      </c>
      <c r="AA3" s="108" t="s">
        <v>0</v>
      </c>
      <c r="AB3" s="108" t="s">
        <v>149</v>
      </c>
      <c r="AC3" s="108" t="s">
        <v>0</v>
      </c>
      <c r="AD3" s="107"/>
      <c r="AE3" s="2"/>
      <c r="AF3" s="2"/>
      <c r="AH3" s="110"/>
      <c r="AI3" s="110"/>
    </row>
    <row r="4" spans="1:38" s="100" customFormat="1" ht="18">
      <c r="D4" s="18">
        <f>+'2025 Summay'!$D$7</f>
        <v>2025</v>
      </c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2"/>
      <c r="AE4" s="101"/>
      <c r="AF4" s="101"/>
      <c r="AG4" s="103"/>
      <c r="AH4" s="104"/>
      <c r="AI4" s="104"/>
    </row>
    <row r="5" spans="1:38" s="100" customFormat="1">
      <c r="D5" s="100" t="s">
        <v>154</v>
      </c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2"/>
      <c r="AE5" s="101"/>
      <c r="AF5" s="101"/>
      <c r="AG5" s="103"/>
      <c r="AH5" s="104"/>
      <c r="AI5" s="104"/>
    </row>
    <row r="6" spans="1:38" s="100" customFormat="1">
      <c r="D6" s="100" t="s">
        <v>154</v>
      </c>
      <c r="E6" s="112">
        <f>'2025 Summay'!E9</f>
        <v>1</v>
      </c>
      <c r="F6" s="112">
        <f>'2025 Summay'!F9</f>
        <v>2</v>
      </c>
      <c r="G6" s="112">
        <f>'2025 Summay'!G9</f>
        <v>3</v>
      </c>
      <c r="H6" s="112">
        <f>'2025 Summay'!H9</f>
        <v>4</v>
      </c>
      <c r="I6" s="112">
        <f>'2025 Summay'!I9</f>
        <v>5</v>
      </c>
      <c r="J6" s="112">
        <f>'2025 Summay'!J9</f>
        <v>6</v>
      </c>
      <c r="K6" s="112">
        <f>'2025 Summay'!K9</f>
        <v>7</v>
      </c>
      <c r="L6" s="112">
        <f>'2025 Summay'!L9</f>
        <v>8</v>
      </c>
      <c r="M6" s="112">
        <f>'2025 Summay'!M9</f>
        <v>9</v>
      </c>
      <c r="N6" s="112">
        <f>'2025 Summay'!N9</f>
        <v>10</v>
      </c>
      <c r="O6" s="112">
        <f>'2025 Summay'!O9</f>
        <v>11</v>
      </c>
      <c r="P6" s="112">
        <f>'2025 Summay'!P9</f>
        <v>12</v>
      </c>
      <c r="Q6" s="113">
        <f>'2025 Summay'!Q9</f>
        <v>2025</v>
      </c>
      <c r="R6" s="114">
        <f>'2025 Summay'!R9</f>
        <v>202401</v>
      </c>
      <c r="S6" s="114">
        <f>'2025 Summay'!S9</f>
        <v>202402</v>
      </c>
      <c r="T6" s="114">
        <f>'2025 Summay'!T9</f>
        <v>202403</v>
      </c>
      <c r="U6" s="114">
        <f>'2025 Summay'!U9</f>
        <v>202404</v>
      </c>
      <c r="V6" s="114">
        <f>'2025 Summay'!V9</f>
        <v>202405</v>
      </c>
      <c r="W6" s="114">
        <f>'2025 Summay'!W9</f>
        <v>202406</v>
      </c>
      <c r="X6" s="114">
        <f>'2025 Summay'!X9</f>
        <v>202407</v>
      </c>
      <c r="Y6" s="114">
        <f>'2025 Summay'!Y9</f>
        <v>202408</v>
      </c>
      <c r="Z6" s="114">
        <f>'2025 Summay'!Z9</f>
        <v>202409</v>
      </c>
      <c r="AA6" s="114">
        <f>'2025 Summay'!AA9</f>
        <v>202410</v>
      </c>
      <c r="AB6" s="114">
        <f>'2025 Summay'!AB9</f>
        <v>202411</v>
      </c>
      <c r="AC6" s="114">
        <f>'2025 Summay'!AC9</f>
        <v>202412</v>
      </c>
      <c r="AD6" s="115">
        <f>'2025 Summay'!AD9</f>
        <v>2024</v>
      </c>
      <c r="AE6" s="114"/>
      <c r="AF6" s="114"/>
      <c r="AG6" s="113">
        <v>2019</v>
      </c>
      <c r="AH6" s="104"/>
      <c r="AI6" s="104"/>
    </row>
    <row r="7" spans="1:38">
      <c r="D7" s="105" t="s">
        <v>154</v>
      </c>
      <c r="E7" s="116" t="str">
        <f>'2025 Summay'!E10</f>
        <v>Budget</v>
      </c>
      <c r="F7" s="116" t="str">
        <f>'2025 Summay'!F10</f>
        <v>Budget</v>
      </c>
      <c r="G7" s="116" t="str">
        <f>'2025 Summay'!G10</f>
        <v>Budget</v>
      </c>
      <c r="H7" s="116" t="str">
        <f>'2025 Summay'!H10</f>
        <v>Budget</v>
      </c>
      <c r="I7" s="116" t="str">
        <f>'2025 Summay'!I10</f>
        <v>Budget</v>
      </c>
      <c r="J7" s="116" t="str">
        <f>'2025 Summay'!J10</f>
        <v>Budget</v>
      </c>
      <c r="K7" s="116" t="str">
        <f>'2025 Summay'!K10</f>
        <v>Budget</v>
      </c>
      <c r="L7" s="116" t="str">
        <f>'2025 Summay'!L10</f>
        <v>Budget</v>
      </c>
      <c r="M7" s="116" t="str">
        <f>'2025 Summay'!M10</f>
        <v>Budget</v>
      </c>
      <c r="N7" s="116" t="str">
        <f>'2025 Summay'!N10</f>
        <v>Budget</v>
      </c>
      <c r="O7" s="116" t="str">
        <f>'2025 Summay'!O10</f>
        <v>Budget</v>
      </c>
      <c r="P7" s="116" t="str">
        <f>'2025 Summay'!P10</f>
        <v>Budget</v>
      </c>
      <c r="Q7" s="117" t="str">
        <f>'2025 Summay'!Q10</f>
        <v>Budget</v>
      </c>
      <c r="R7" s="118" t="str">
        <f>'2025 Summay'!R10</f>
        <v>Actual</v>
      </c>
      <c r="S7" s="118" t="str">
        <f>'2025 Summay'!S10</f>
        <v>Actual</v>
      </c>
      <c r="T7" s="118" t="str">
        <f>'2025 Summay'!T10</f>
        <v>Actual</v>
      </c>
      <c r="U7" s="118" t="str">
        <f>'2025 Summay'!U10</f>
        <v>Actual</v>
      </c>
      <c r="V7" s="118" t="str">
        <f>'2025 Summay'!V10</f>
        <v>Actual</v>
      </c>
      <c r="W7" s="118" t="str">
        <f>'2025 Summay'!W10</f>
        <v>Actual</v>
      </c>
      <c r="X7" s="118" t="str">
        <f>'2025 Summay'!X10</f>
        <v>Actual</v>
      </c>
      <c r="Y7" s="118" t="str">
        <f>'2025 Summay'!Y10</f>
        <v>Actual</v>
      </c>
      <c r="Z7" s="118" t="str">
        <f>'2025 Summay'!Z10</f>
        <v>Forecast</v>
      </c>
      <c r="AA7" s="118" t="str">
        <f>'2025 Summay'!AA10</f>
        <v>Forecast</v>
      </c>
      <c r="AB7" s="118" t="str">
        <f>'2025 Summay'!AB10</f>
        <v>Forecast</v>
      </c>
      <c r="AC7" s="118" t="str">
        <f>'2025 Summay'!AC10</f>
        <v>Forecast</v>
      </c>
      <c r="AD7" s="119" t="str">
        <f>'2025 Summay'!AD10</f>
        <v>Forecast</v>
      </c>
      <c r="AE7" s="118" t="s">
        <v>155</v>
      </c>
      <c r="AF7" s="120" t="s">
        <v>156</v>
      </c>
      <c r="AG7" s="121" t="s">
        <v>12</v>
      </c>
      <c r="AH7" s="122" t="s">
        <v>157</v>
      </c>
      <c r="AI7" s="122"/>
    </row>
    <row r="8" spans="1:38">
      <c r="D8" s="105" t="s">
        <v>158</v>
      </c>
      <c r="AK8" s="124"/>
    </row>
    <row r="9" spans="1:38">
      <c r="A9" s="105" t="s">
        <v>159</v>
      </c>
      <c r="B9" s="105" t="s">
        <v>160</v>
      </c>
      <c r="C9" s="105" t="s">
        <v>161</v>
      </c>
      <c r="D9" s="105" t="s">
        <v>162</v>
      </c>
      <c r="E9" s="125">
        <f>+E138</f>
        <v>26765975</v>
      </c>
      <c r="F9" s="125">
        <f t="shared" ref="F9:P9" si="0">+F138</f>
        <v>31217680</v>
      </c>
      <c r="G9" s="125">
        <f t="shared" si="0"/>
        <v>18499284</v>
      </c>
      <c r="H9" s="125">
        <f t="shared" si="0"/>
        <v>17004780</v>
      </c>
      <c r="I9" s="125">
        <f t="shared" si="0"/>
        <v>15842736</v>
      </c>
      <c r="J9" s="125">
        <f t="shared" si="0"/>
        <v>14183509</v>
      </c>
      <c r="K9" s="125">
        <f>+K138</f>
        <v>21072211</v>
      </c>
      <c r="L9" s="125">
        <f t="shared" si="0"/>
        <v>24392477</v>
      </c>
      <c r="M9" s="125">
        <f t="shared" si="0"/>
        <v>13001324</v>
      </c>
      <c r="N9" s="125">
        <f t="shared" si="0"/>
        <v>15812255</v>
      </c>
      <c r="O9" s="125">
        <f>+O138</f>
        <v>13771964</v>
      </c>
      <c r="P9" s="125">
        <f t="shared" si="0"/>
        <v>17770688</v>
      </c>
      <c r="Q9" s="117">
        <f>SUM(E9:P9)</f>
        <v>229334883</v>
      </c>
      <c r="R9" s="126">
        <v>29424040.98</v>
      </c>
      <c r="S9" s="126">
        <v>45512261.259999998</v>
      </c>
      <c r="T9" s="126">
        <v>18951848</v>
      </c>
      <c r="U9" s="126">
        <v>16635442.279999999</v>
      </c>
      <c r="V9" s="126">
        <v>15030943.77</v>
      </c>
      <c r="W9" s="126">
        <v>13675100.220000001</v>
      </c>
      <c r="X9" s="126">
        <v>20625312.27</v>
      </c>
      <c r="Y9" s="126">
        <v>24194896.120000001</v>
      </c>
      <c r="Z9" s="126">
        <v>11819595</v>
      </c>
      <c r="AA9" s="126">
        <v>14555068</v>
      </c>
      <c r="AB9" s="126">
        <v>13141761</v>
      </c>
      <c r="AC9" s="126">
        <v>16193636</v>
      </c>
      <c r="AD9" s="127">
        <f>SUM(R9:AC9)</f>
        <v>239759904.90000001</v>
      </c>
      <c r="AE9" s="72">
        <f>Q9-AD9</f>
        <v>-10425021.900000006</v>
      </c>
      <c r="AF9" s="128">
        <f>AE9/AD9</f>
        <v>-4.3481089568950713E-2</v>
      </c>
      <c r="AG9" s="129">
        <v>206697922.78999999</v>
      </c>
      <c r="AH9" s="123">
        <f t="shared" ref="AH9:AH16" si="1">Q9-AG9</f>
        <v>22636960.210000008</v>
      </c>
      <c r="AJ9" s="130"/>
      <c r="AK9" s="124"/>
      <c r="AL9" s="124"/>
    </row>
    <row r="10" spans="1:38">
      <c r="A10" s="105" t="s">
        <v>159</v>
      </c>
      <c r="B10" s="105" t="s">
        <v>160</v>
      </c>
      <c r="C10" s="105" t="s">
        <v>163</v>
      </c>
      <c r="D10" s="105" t="s">
        <v>164</v>
      </c>
      <c r="E10" s="131">
        <f>+E142</f>
        <v>0</v>
      </c>
      <c r="F10" s="131">
        <f t="shared" ref="F10:P10" si="2">+F142</f>
        <v>0</v>
      </c>
      <c r="G10" s="131">
        <f t="shared" si="2"/>
        <v>0</v>
      </c>
      <c r="H10" s="131">
        <f t="shared" si="2"/>
        <v>0</v>
      </c>
      <c r="I10" s="131">
        <f t="shared" si="2"/>
        <v>0</v>
      </c>
      <c r="J10" s="131">
        <f t="shared" si="2"/>
        <v>0</v>
      </c>
      <c r="K10" s="131">
        <f t="shared" si="2"/>
        <v>0</v>
      </c>
      <c r="L10" s="131">
        <f t="shared" si="2"/>
        <v>0</v>
      </c>
      <c r="M10" s="131">
        <f t="shared" si="2"/>
        <v>0</v>
      </c>
      <c r="N10" s="131">
        <f t="shared" si="2"/>
        <v>0</v>
      </c>
      <c r="O10" s="131">
        <f t="shared" si="2"/>
        <v>0</v>
      </c>
      <c r="P10" s="131">
        <f t="shared" si="2"/>
        <v>0</v>
      </c>
      <c r="Q10" s="117">
        <f>SUM(E10:P10)</f>
        <v>0</v>
      </c>
      <c r="R10" s="126">
        <v>1251296.3899999999</v>
      </c>
      <c r="S10" s="126">
        <v>2004734.78</v>
      </c>
      <c r="T10" s="126">
        <v>1213410.08</v>
      </c>
      <c r="U10" s="126">
        <v>585025.81000000006</v>
      </c>
      <c r="V10" s="126">
        <v>664477.69999999995</v>
      </c>
      <c r="W10" s="126">
        <v>398087.65</v>
      </c>
      <c r="X10" s="126">
        <v>619654.46</v>
      </c>
      <c r="Y10" s="126">
        <v>202968.95</v>
      </c>
      <c r="Z10" s="126">
        <v>0</v>
      </c>
      <c r="AA10" s="126">
        <v>0</v>
      </c>
      <c r="AB10" s="126">
        <v>0</v>
      </c>
      <c r="AC10" s="126">
        <v>0</v>
      </c>
      <c r="AD10" s="127">
        <f>SUM(R10:AC10)</f>
        <v>6939655.8200000012</v>
      </c>
      <c r="AE10" s="72">
        <f t="shared" ref="AE10:AE15" si="3">Q10-AD10</f>
        <v>-6939655.8200000012</v>
      </c>
      <c r="AF10" s="128">
        <f t="shared" ref="AF10:AF46" si="4">AE10/AD10</f>
        <v>-1</v>
      </c>
      <c r="AG10" s="129">
        <v>15303038.09</v>
      </c>
      <c r="AH10" s="123">
        <f t="shared" si="1"/>
        <v>-15303038.09</v>
      </c>
      <c r="AJ10" s="130"/>
      <c r="AK10" s="124"/>
      <c r="AL10" s="124"/>
    </row>
    <row r="11" spans="1:38">
      <c r="A11" s="105" t="s">
        <v>159</v>
      </c>
      <c r="B11" s="105" t="s">
        <v>160</v>
      </c>
      <c r="C11" s="105" t="s">
        <v>165</v>
      </c>
      <c r="D11" s="105" t="s">
        <v>166</v>
      </c>
      <c r="E11" s="131">
        <f>+E146</f>
        <v>0</v>
      </c>
      <c r="F11" s="131">
        <f t="shared" ref="F11:P11" si="5">+F146</f>
        <v>0</v>
      </c>
      <c r="G11" s="131">
        <f t="shared" si="5"/>
        <v>0</v>
      </c>
      <c r="H11" s="131">
        <f t="shared" si="5"/>
        <v>0</v>
      </c>
      <c r="I11" s="131">
        <f t="shared" si="5"/>
        <v>0</v>
      </c>
      <c r="J11" s="131">
        <f t="shared" si="5"/>
        <v>0</v>
      </c>
      <c r="K11" s="131">
        <f t="shared" si="5"/>
        <v>0</v>
      </c>
      <c r="L11" s="131">
        <f t="shared" si="5"/>
        <v>0</v>
      </c>
      <c r="M11" s="131">
        <f t="shared" si="5"/>
        <v>0</v>
      </c>
      <c r="N11" s="131">
        <f t="shared" si="5"/>
        <v>0</v>
      </c>
      <c r="O11" s="131">
        <f t="shared" si="5"/>
        <v>0</v>
      </c>
      <c r="P11" s="131">
        <f t="shared" si="5"/>
        <v>0</v>
      </c>
      <c r="Q11" s="117">
        <f>SUM(E11:P11)</f>
        <v>0</v>
      </c>
      <c r="R11" s="126">
        <v>37101.089999999997</v>
      </c>
      <c r="S11" s="126">
        <v>0</v>
      </c>
      <c r="T11" s="126">
        <v>0</v>
      </c>
      <c r="U11" s="126">
        <v>0</v>
      </c>
      <c r="V11" s="126">
        <v>0</v>
      </c>
      <c r="W11" s="126">
        <v>0</v>
      </c>
      <c r="X11" s="126">
        <v>0</v>
      </c>
      <c r="Y11" s="126">
        <v>0</v>
      </c>
      <c r="Z11" s="126">
        <v>0</v>
      </c>
      <c r="AA11" s="126">
        <v>0</v>
      </c>
      <c r="AB11" s="126">
        <v>0</v>
      </c>
      <c r="AC11" s="126">
        <v>0</v>
      </c>
      <c r="AD11" s="127">
        <f>SUM(R11:AC11)</f>
        <v>37101.089999999997</v>
      </c>
      <c r="AE11" s="72">
        <f t="shared" si="3"/>
        <v>-37101.089999999997</v>
      </c>
      <c r="AF11" s="128"/>
      <c r="AG11" s="129">
        <v>0</v>
      </c>
      <c r="AH11" s="123">
        <f t="shared" si="1"/>
        <v>0</v>
      </c>
      <c r="AJ11" s="130"/>
      <c r="AK11" s="124"/>
      <c r="AL11" s="124"/>
    </row>
    <row r="12" spans="1:38">
      <c r="A12" s="105" t="s">
        <v>167</v>
      </c>
      <c r="D12" s="109" t="s">
        <v>168</v>
      </c>
      <c r="E12" s="129">
        <f t="shared" ref="E12:AD12" si="6">SUM(E9:E11)</f>
        <v>26765975</v>
      </c>
      <c r="F12" s="129">
        <f t="shared" si="6"/>
        <v>31217680</v>
      </c>
      <c r="G12" s="129">
        <f t="shared" si="6"/>
        <v>18499284</v>
      </c>
      <c r="H12" s="129">
        <f t="shared" si="6"/>
        <v>17004780</v>
      </c>
      <c r="I12" s="129">
        <f t="shared" si="6"/>
        <v>15842736</v>
      </c>
      <c r="J12" s="129">
        <f t="shared" si="6"/>
        <v>14183509</v>
      </c>
      <c r="K12" s="129">
        <f t="shared" si="6"/>
        <v>21072211</v>
      </c>
      <c r="L12" s="129">
        <f t="shared" si="6"/>
        <v>24392477</v>
      </c>
      <c r="M12" s="129">
        <f t="shared" si="6"/>
        <v>13001324</v>
      </c>
      <c r="N12" s="129">
        <f t="shared" si="6"/>
        <v>15812255</v>
      </c>
      <c r="O12" s="129">
        <f t="shared" si="6"/>
        <v>13771964</v>
      </c>
      <c r="P12" s="129">
        <f t="shared" si="6"/>
        <v>17770688</v>
      </c>
      <c r="Q12" s="117">
        <f t="shared" si="6"/>
        <v>229334883</v>
      </c>
      <c r="R12" s="127">
        <f t="shared" si="6"/>
        <v>30712438.460000001</v>
      </c>
      <c r="S12" s="127">
        <f t="shared" si="6"/>
        <v>47516996.039999999</v>
      </c>
      <c r="T12" s="127">
        <f t="shared" si="6"/>
        <v>20165258.079999998</v>
      </c>
      <c r="U12" s="127">
        <f t="shared" si="6"/>
        <v>17220468.09</v>
      </c>
      <c r="V12" s="127">
        <f t="shared" si="6"/>
        <v>15695421.469999999</v>
      </c>
      <c r="W12" s="127">
        <f t="shared" si="6"/>
        <v>14073187.870000001</v>
      </c>
      <c r="X12" s="127">
        <f t="shared" si="6"/>
        <v>21244966.73</v>
      </c>
      <c r="Y12" s="127">
        <f t="shared" si="6"/>
        <v>24397865.07</v>
      </c>
      <c r="Z12" s="127">
        <f t="shared" si="6"/>
        <v>11819595</v>
      </c>
      <c r="AA12" s="127">
        <f t="shared" si="6"/>
        <v>14555068</v>
      </c>
      <c r="AB12" s="127">
        <f t="shared" si="6"/>
        <v>13141761</v>
      </c>
      <c r="AC12" s="127">
        <f t="shared" si="6"/>
        <v>16193636</v>
      </c>
      <c r="AD12" s="127">
        <f t="shared" si="6"/>
        <v>246736661.81</v>
      </c>
      <c r="AE12" s="72">
        <f t="shared" si="3"/>
        <v>-17401778.810000002</v>
      </c>
      <c r="AF12" s="128">
        <f t="shared" si="4"/>
        <v>-7.0527738692518549E-2</v>
      </c>
      <c r="AG12" s="129">
        <v>222000960.88</v>
      </c>
      <c r="AH12" s="123">
        <f t="shared" si="1"/>
        <v>7333922.1200000048</v>
      </c>
      <c r="AJ12" s="130"/>
      <c r="AK12" s="124"/>
      <c r="AL12" s="124"/>
    </row>
    <row r="13" spans="1:38">
      <c r="A13" s="105" t="s">
        <v>169</v>
      </c>
      <c r="B13" s="105" t="s">
        <v>160</v>
      </c>
      <c r="D13" s="105" t="s">
        <v>170</v>
      </c>
      <c r="E13" s="111">
        <f t="shared" ref="E13:P13" si="7">ROUND(+E12*0.1,0)</f>
        <v>2676598</v>
      </c>
      <c r="F13" s="111">
        <f t="shared" si="7"/>
        <v>3121768</v>
      </c>
      <c r="G13" s="111">
        <f t="shared" si="7"/>
        <v>1849928</v>
      </c>
      <c r="H13" s="111">
        <f t="shared" si="7"/>
        <v>1700478</v>
      </c>
      <c r="I13" s="111">
        <f t="shared" si="7"/>
        <v>1584274</v>
      </c>
      <c r="J13" s="111">
        <f t="shared" si="7"/>
        <v>1418351</v>
      </c>
      <c r="K13" s="111">
        <f t="shared" si="7"/>
        <v>2107221</v>
      </c>
      <c r="L13" s="111">
        <f t="shared" si="7"/>
        <v>2439248</v>
      </c>
      <c r="M13" s="111">
        <f t="shared" si="7"/>
        <v>1300132</v>
      </c>
      <c r="N13" s="111">
        <f t="shared" si="7"/>
        <v>1581226</v>
      </c>
      <c r="O13" s="111">
        <f>ROUND(+O12*0.1,0)</f>
        <v>1377196</v>
      </c>
      <c r="P13" s="111">
        <f t="shared" si="7"/>
        <v>1777069</v>
      </c>
      <c r="Q13" s="117">
        <f>SUM(E13:P13)</f>
        <v>22933489</v>
      </c>
      <c r="R13" s="126">
        <v>2627494.87</v>
      </c>
      <c r="S13" s="126">
        <v>5195411.57</v>
      </c>
      <c r="T13" s="126">
        <v>2016593.87</v>
      </c>
      <c r="U13" s="126">
        <v>1458652.71</v>
      </c>
      <c r="V13" s="126">
        <v>1740852.76</v>
      </c>
      <c r="W13" s="126">
        <v>1499434.49</v>
      </c>
      <c r="X13" s="126">
        <v>1957342.96</v>
      </c>
      <c r="Y13" s="126">
        <v>2606962</v>
      </c>
      <c r="Z13" s="126">
        <v>1181960</v>
      </c>
      <c r="AA13" s="126">
        <v>1455507</v>
      </c>
      <c r="AB13" s="126">
        <v>1314176</v>
      </c>
      <c r="AC13" s="126">
        <v>1619364</v>
      </c>
      <c r="AD13" s="127">
        <f>SUM(R13:AC13)</f>
        <v>24673752.23</v>
      </c>
      <c r="AE13" s="72">
        <f t="shared" si="3"/>
        <v>-1740263.2300000004</v>
      </c>
      <c r="AF13" s="128">
        <f t="shared" si="4"/>
        <v>-7.053095183002088E-2</v>
      </c>
      <c r="AG13" s="129">
        <v>22200563.149999999</v>
      </c>
      <c r="AH13" s="123">
        <f t="shared" si="1"/>
        <v>732925.85000000149</v>
      </c>
      <c r="AJ13" s="130"/>
      <c r="AK13" s="124"/>
      <c r="AL13" s="124"/>
    </row>
    <row r="14" spans="1:38">
      <c r="A14" s="105" t="s">
        <v>167</v>
      </c>
      <c r="D14" s="105" t="s">
        <v>171</v>
      </c>
      <c r="E14" s="124"/>
      <c r="F14" s="124"/>
      <c r="G14" s="124"/>
      <c r="H14" s="124"/>
      <c r="I14" s="111"/>
      <c r="J14" s="111"/>
      <c r="K14" s="111"/>
      <c r="L14" s="111">
        <v>0</v>
      </c>
      <c r="M14" s="111">
        <v>0</v>
      </c>
      <c r="N14" s="111">
        <v>0</v>
      </c>
      <c r="O14" s="111">
        <v>0</v>
      </c>
      <c r="P14" s="111">
        <v>0</v>
      </c>
      <c r="Q14" s="117">
        <f>SUM(E14:P14)</f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>
        <v>0</v>
      </c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7">
        <f>SUM(R14:AC14)</f>
        <v>0</v>
      </c>
      <c r="AE14" s="72">
        <f t="shared" si="3"/>
        <v>0</v>
      </c>
      <c r="AF14" s="128"/>
      <c r="AG14" s="129">
        <v>0</v>
      </c>
      <c r="AH14" s="123">
        <f t="shared" si="1"/>
        <v>0</v>
      </c>
      <c r="AJ14" s="130"/>
      <c r="AK14" s="124"/>
      <c r="AL14" s="124"/>
    </row>
    <row r="15" spans="1:38">
      <c r="D15" s="109" t="s">
        <v>172</v>
      </c>
      <c r="E15" s="129">
        <f>SUM(E12:E14)</f>
        <v>29442573</v>
      </c>
      <c r="F15" s="129">
        <f t="shared" ref="F15:AD15" si="8">SUM(F12:F14)</f>
        <v>34339448</v>
      </c>
      <c r="G15" s="129">
        <f t="shared" si="8"/>
        <v>20349212</v>
      </c>
      <c r="H15" s="129">
        <f t="shared" si="8"/>
        <v>18705258</v>
      </c>
      <c r="I15" s="129">
        <f>SUM(I12:I14)</f>
        <v>17427010</v>
      </c>
      <c r="J15" s="129">
        <f t="shared" si="8"/>
        <v>15601860</v>
      </c>
      <c r="K15" s="129">
        <f t="shared" si="8"/>
        <v>23179432</v>
      </c>
      <c r="L15" s="129">
        <f t="shared" si="8"/>
        <v>26831725</v>
      </c>
      <c r="M15" s="129">
        <f t="shared" si="8"/>
        <v>14301456</v>
      </c>
      <c r="N15" s="129">
        <f t="shared" si="8"/>
        <v>17393481</v>
      </c>
      <c r="O15" s="129">
        <f t="shared" si="8"/>
        <v>15149160</v>
      </c>
      <c r="P15" s="129">
        <f t="shared" si="8"/>
        <v>19547757</v>
      </c>
      <c r="Q15" s="117">
        <f t="shared" si="8"/>
        <v>252268372</v>
      </c>
      <c r="R15" s="127">
        <f t="shared" si="8"/>
        <v>33339933.330000002</v>
      </c>
      <c r="S15" s="127">
        <f t="shared" si="8"/>
        <v>52712407.609999999</v>
      </c>
      <c r="T15" s="127">
        <f t="shared" si="8"/>
        <v>22181851.949999999</v>
      </c>
      <c r="U15" s="127">
        <f t="shared" si="8"/>
        <v>18679120.800000001</v>
      </c>
      <c r="V15" s="127">
        <f t="shared" si="8"/>
        <v>17436274.23</v>
      </c>
      <c r="W15" s="127">
        <f t="shared" si="8"/>
        <v>15572622.360000001</v>
      </c>
      <c r="X15" s="127">
        <f>SUM(X12:X14)</f>
        <v>23202309.690000001</v>
      </c>
      <c r="Y15" s="127">
        <f t="shared" si="8"/>
        <v>27004827.07</v>
      </c>
      <c r="Z15" s="127">
        <f>SUM(Z12:Z14)</f>
        <v>13001555</v>
      </c>
      <c r="AA15" s="127">
        <f>SUM(AA12:AA14)</f>
        <v>16010575</v>
      </c>
      <c r="AB15" s="127">
        <f>SUM(AB12:AB14)</f>
        <v>14455937</v>
      </c>
      <c r="AC15" s="127">
        <f>SUM(AC12:AC14)</f>
        <v>17813000</v>
      </c>
      <c r="AD15" s="127">
        <f t="shared" si="8"/>
        <v>271410414.04000002</v>
      </c>
      <c r="AE15" s="72">
        <f t="shared" si="3"/>
        <v>-19142042.040000021</v>
      </c>
      <c r="AF15" s="128">
        <f t="shared" si="4"/>
        <v>-7.0528030796854019E-2</v>
      </c>
      <c r="AG15" s="129">
        <v>244201524.03</v>
      </c>
      <c r="AH15" s="123">
        <f t="shared" si="1"/>
        <v>8066847.9699999988</v>
      </c>
      <c r="AJ15" s="130"/>
      <c r="AK15" s="124"/>
      <c r="AL15" s="124"/>
    </row>
    <row r="16" spans="1:38">
      <c r="D16" s="105" t="s">
        <v>154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127"/>
      <c r="AE16" s="72"/>
      <c r="AF16" s="128"/>
      <c r="AG16" s="129"/>
      <c r="AH16" s="123">
        <f t="shared" si="1"/>
        <v>0</v>
      </c>
      <c r="AJ16" s="130"/>
      <c r="AK16" s="124"/>
      <c r="AL16" s="124"/>
    </row>
    <row r="17" spans="1:47" s="109" customFormat="1">
      <c r="A17" s="109" t="s">
        <v>173</v>
      </c>
      <c r="B17" s="109" t="s">
        <v>174</v>
      </c>
      <c r="D17" s="109" t="s">
        <v>175</v>
      </c>
      <c r="E17" s="127">
        <f>E98</f>
        <v>1109792.1399999999</v>
      </c>
      <c r="F17" s="127">
        <f t="shared" ref="F17:AD17" si="9">F98</f>
        <v>991031.22</v>
      </c>
      <c r="G17" s="127">
        <f t="shared" si="9"/>
        <v>977071.01</v>
      </c>
      <c r="H17" s="127">
        <f t="shared" si="9"/>
        <v>1013101.33</v>
      </c>
      <c r="I17" s="127">
        <f t="shared" si="9"/>
        <v>1044135.61</v>
      </c>
      <c r="J17" s="127">
        <f t="shared" si="9"/>
        <v>986136.44000000006</v>
      </c>
      <c r="K17" s="127">
        <f t="shared" si="9"/>
        <v>1004589.9700000001</v>
      </c>
      <c r="L17" s="127">
        <f t="shared" si="9"/>
        <v>1016953.1799999999</v>
      </c>
      <c r="M17" s="127">
        <f t="shared" si="9"/>
        <v>1007844.13</v>
      </c>
      <c r="N17" s="127">
        <f t="shared" si="9"/>
        <v>1137383.72</v>
      </c>
      <c r="O17" s="127">
        <f t="shared" si="9"/>
        <v>1011936.74</v>
      </c>
      <c r="P17" s="127">
        <f t="shared" si="9"/>
        <v>1019581.36</v>
      </c>
      <c r="Q17" s="117">
        <f t="shared" si="9"/>
        <v>12319556.850000001</v>
      </c>
      <c r="R17" s="127">
        <f t="shared" si="9"/>
        <v>1034423.39</v>
      </c>
      <c r="S17" s="127">
        <f t="shared" si="9"/>
        <v>1147623.2799999998</v>
      </c>
      <c r="T17" s="127">
        <f t="shared" si="9"/>
        <v>961883.78</v>
      </c>
      <c r="U17" s="127">
        <f t="shared" si="9"/>
        <v>913959.4</v>
      </c>
      <c r="V17" s="127">
        <f t="shared" si="9"/>
        <v>1036246.87</v>
      </c>
      <c r="W17" s="127">
        <f t="shared" si="9"/>
        <v>833350.21</v>
      </c>
      <c r="X17" s="127">
        <f>X98</f>
        <v>820026.1399999999</v>
      </c>
      <c r="Y17" s="127">
        <f t="shared" si="9"/>
        <v>1156364.3600000001</v>
      </c>
      <c r="Z17" s="127">
        <f t="shared" si="9"/>
        <v>1265441.75</v>
      </c>
      <c r="AA17" s="127">
        <f t="shared" si="9"/>
        <v>1430109.85</v>
      </c>
      <c r="AB17" s="127">
        <f t="shared" si="9"/>
        <v>1293610.05</v>
      </c>
      <c r="AC17" s="127">
        <f t="shared" si="9"/>
        <v>1308437.1399999999</v>
      </c>
      <c r="AD17" s="127">
        <f t="shared" si="9"/>
        <v>13201476.220000001</v>
      </c>
      <c r="AE17" s="127">
        <f>AD17-Q17</f>
        <v>881919.36999999918</v>
      </c>
      <c r="AF17" s="132">
        <f t="shared" si="4"/>
        <v>6.6804602402260674E-2</v>
      </c>
      <c r="AG17" s="129">
        <v>15617450.34</v>
      </c>
      <c r="AH17" s="133">
        <f>AG17-Q17</f>
        <v>3297893.4899999984</v>
      </c>
      <c r="AI17" s="123"/>
      <c r="AJ17" s="130"/>
      <c r="AK17" s="124"/>
      <c r="AL17" s="124"/>
    </row>
    <row r="18" spans="1:47">
      <c r="D18" s="105" t="s">
        <v>154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127"/>
      <c r="AE18" s="72"/>
      <c r="AF18" s="128"/>
      <c r="AG18" s="129"/>
      <c r="AJ18" s="130"/>
      <c r="AK18" s="124"/>
      <c r="AL18" s="124"/>
    </row>
    <row r="19" spans="1:47">
      <c r="D19" s="105" t="s">
        <v>176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129"/>
      <c r="R19" s="72"/>
      <c r="S19" s="72"/>
      <c r="T19" s="72"/>
      <c r="U19" s="72"/>
      <c r="V19" s="72"/>
      <c r="W19" s="128"/>
      <c r="X19" s="128"/>
      <c r="Y19" s="128"/>
      <c r="Z19" s="128"/>
      <c r="AA19" s="128"/>
      <c r="AB19" s="128"/>
      <c r="AC19" s="128"/>
      <c r="AD19" s="132"/>
      <c r="AE19" s="72"/>
      <c r="AF19" s="128"/>
      <c r="AG19" s="129"/>
      <c r="AJ19" s="130"/>
      <c r="AK19" s="124"/>
      <c r="AL19" s="124"/>
    </row>
    <row r="20" spans="1:47">
      <c r="A20" s="105" t="s">
        <v>177</v>
      </c>
      <c r="B20" s="105" t="s">
        <v>174</v>
      </c>
      <c r="D20" s="106" t="s">
        <v>178</v>
      </c>
      <c r="E20" s="111">
        <f>SUM('Front office:Rooms Admin'!E20)</f>
        <v>1707669</v>
      </c>
      <c r="F20" s="111">
        <f>SUM('Front office:Rooms Admin'!F20)</f>
        <v>1991688</v>
      </c>
      <c r="G20" s="111">
        <f>SUM('Front office:Rooms Admin'!G20)</f>
        <v>1180254</v>
      </c>
      <c r="H20" s="111">
        <f>SUM('Front office:Rooms Admin'!H20)</f>
        <v>1084905</v>
      </c>
      <c r="I20" s="111">
        <f>SUM('Front office:Rooms Admin'!I20)</f>
        <v>1010767</v>
      </c>
      <c r="J20" s="111">
        <f>SUM('Front office:Rooms Admin'!J20)</f>
        <v>904908</v>
      </c>
      <c r="K20" s="111">
        <f>SUM('Front office:Rooms Admin'!K20)</f>
        <v>1344407</v>
      </c>
      <c r="L20" s="111">
        <f>SUM('Front office:Rooms Admin'!L20)</f>
        <v>1556240</v>
      </c>
      <c r="M20" s="111">
        <f>SUM('Front office:Rooms Admin'!M20)</f>
        <v>829484</v>
      </c>
      <c r="N20" s="111">
        <f>SUM('Front office:Rooms Admin'!N20)</f>
        <v>1008822</v>
      </c>
      <c r="O20" s="111">
        <f>SUM('Front office:Rooms Admin'!O20)</f>
        <v>878651</v>
      </c>
      <c r="P20" s="111">
        <f>SUM('Front office:Rooms Admin'!P20)</f>
        <v>1133770</v>
      </c>
      <c r="Q20" s="117">
        <f>SUM(E20:P20)</f>
        <v>14631565</v>
      </c>
      <c r="R20" s="72">
        <f>SUM('Front office:Rooms Admin'!R20)</f>
        <v>2262430.46</v>
      </c>
      <c r="S20" s="72">
        <f>SUM('Front office:Rooms Admin'!S20)</f>
        <v>3870829.92</v>
      </c>
      <c r="T20" s="72">
        <f>SUM('Front office:Rooms Admin'!T20)</f>
        <v>1592437.59</v>
      </c>
      <c r="U20" s="72">
        <f>SUM('Front office:Rooms Admin'!U20)</f>
        <v>1534402.64</v>
      </c>
      <c r="V20" s="72">
        <f>SUM('Front office:Rooms Admin'!V20)</f>
        <v>1489908.94</v>
      </c>
      <c r="W20" s="72">
        <f>SUM('Front office:Rooms Admin'!W20)</f>
        <v>1296555.26</v>
      </c>
      <c r="X20" s="72">
        <f>SUM('Front office:Rooms Admin'!X20)</f>
        <v>1906847.8</v>
      </c>
      <c r="Y20" s="72">
        <f>SUM('Front office:Rooms Admin'!Y20)</f>
        <v>2570960.1</v>
      </c>
      <c r="Z20" s="72">
        <f>SUM('Front office:Rooms Admin'!Z20)</f>
        <v>1105132</v>
      </c>
      <c r="AA20" s="72">
        <f>SUM('Front office:Rooms Admin'!AA20)</f>
        <v>1360899</v>
      </c>
      <c r="AB20" s="72">
        <f>SUM('Front office:Rooms Admin'!AB20)</f>
        <v>1084195</v>
      </c>
      <c r="AC20" s="72">
        <f>SUM('Front office:Rooms Admin'!AC20)</f>
        <v>1335975</v>
      </c>
      <c r="AD20" s="127">
        <f t="shared" ref="AD20:AD43" si="10">SUM(R20:AC20)</f>
        <v>21410573.710000001</v>
      </c>
      <c r="AE20" s="72">
        <f>Q20-AD20</f>
        <v>-6779008.7100000009</v>
      </c>
      <c r="AF20" s="128">
        <f t="shared" si="4"/>
        <v>-0.31661966661051233</v>
      </c>
      <c r="AG20" s="129">
        <v>10730360.319999998</v>
      </c>
      <c r="AH20" s="133">
        <f t="shared" ref="AH20:AH44" si="11">AG20-Q20</f>
        <v>-3901204.6800000016</v>
      </c>
      <c r="AJ20" s="130"/>
      <c r="AK20" s="124"/>
      <c r="AL20" s="124"/>
    </row>
    <row r="21" spans="1:47">
      <c r="A21" s="105" t="s">
        <v>179</v>
      </c>
      <c r="B21" s="105" t="s">
        <v>174</v>
      </c>
      <c r="D21" s="105" t="s">
        <v>143</v>
      </c>
      <c r="E21" s="111">
        <f>SUM('Front office:Rooms Admin'!E21)</f>
        <v>853920</v>
      </c>
      <c r="F21" s="111">
        <f>SUM('Front office:Rooms Admin'!F21)</f>
        <v>668889</v>
      </c>
      <c r="G21" s="111">
        <f>SUM('Front office:Rooms Admin'!G21)</f>
        <v>699231</v>
      </c>
      <c r="H21" s="111">
        <f>SUM('Front office:Rooms Admin'!H21)</f>
        <v>667719</v>
      </c>
      <c r="I21" s="111">
        <f>SUM('Front office:Rooms Admin'!I21)</f>
        <v>691041</v>
      </c>
      <c r="J21" s="111">
        <f>SUM('Front office:Rooms Admin'!J21)</f>
        <v>662337</v>
      </c>
      <c r="K21" s="111">
        <f>SUM('Front office:Rooms Admin'!K21)</f>
        <v>740064</v>
      </c>
      <c r="L21" s="111">
        <f>SUM('Front office:Rooms Admin'!L21)</f>
        <v>740064</v>
      </c>
      <c r="M21" s="111">
        <f>SUM('Front office:Rooms Admin'!M21)</f>
        <v>653094</v>
      </c>
      <c r="N21" s="111">
        <f>SUM('Front office:Rooms Admin'!N21)</f>
        <v>682851</v>
      </c>
      <c r="O21" s="111">
        <f>SUM('Front office:Rooms Admin'!O21)</f>
        <v>660972</v>
      </c>
      <c r="P21" s="111">
        <f>SUM('Front office:Rooms Admin'!P21)</f>
        <v>723715</v>
      </c>
      <c r="Q21" s="117">
        <f t="shared" ref="Q21:Q43" si="12">SUM(E21:P21)</f>
        <v>8443897</v>
      </c>
      <c r="R21" s="72">
        <f>SUM('Front office:Rooms Admin'!R21)</f>
        <v>758692.87</v>
      </c>
      <c r="S21" s="72">
        <f>SUM('Front office:Rooms Admin'!S21)</f>
        <v>835794.58</v>
      </c>
      <c r="T21" s="72">
        <f>SUM('Front office:Rooms Admin'!T21)</f>
        <v>760190.19</v>
      </c>
      <c r="U21" s="72">
        <f>SUM('Front office:Rooms Admin'!U21)</f>
        <v>794134.29</v>
      </c>
      <c r="V21" s="72">
        <f>SUM('Front office:Rooms Admin'!V21)</f>
        <v>754914.49</v>
      </c>
      <c r="W21" s="72">
        <f>SUM('Front office:Rooms Admin'!W21)</f>
        <v>754840.44</v>
      </c>
      <c r="X21" s="72">
        <f>SUM('Front office:Rooms Admin'!X21)</f>
        <v>793814.79</v>
      </c>
      <c r="Y21" s="72">
        <f>SUM('Front office:Rooms Admin'!Y21)</f>
        <v>785569.6</v>
      </c>
      <c r="Z21" s="72">
        <f>SUM('Front office:Rooms Admin'!Z21)</f>
        <v>540372.39</v>
      </c>
      <c r="AA21" s="72">
        <f>SUM('Front office:Rooms Admin'!AA21)</f>
        <v>560012.39</v>
      </c>
      <c r="AB21" s="72">
        <f>SUM('Front office:Rooms Admin'!AB21)</f>
        <v>564692.39</v>
      </c>
      <c r="AC21" s="72">
        <f>SUM('Front office:Rooms Admin'!AC21)</f>
        <v>601932.39</v>
      </c>
      <c r="AD21" s="127">
        <f t="shared" si="10"/>
        <v>8504960.8099999987</v>
      </c>
      <c r="AE21" s="72">
        <f t="shared" ref="AE21:AE43" si="13">Q21-AD21</f>
        <v>-61063.809999998659</v>
      </c>
      <c r="AF21" s="128">
        <f t="shared" si="4"/>
        <v>-7.1797873457806879E-3</v>
      </c>
      <c r="AG21" s="129">
        <v>5318127.25</v>
      </c>
      <c r="AH21" s="133">
        <f t="shared" si="11"/>
        <v>-3125769.75</v>
      </c>
      <c r="AJ21" s="130"/>
      <c r="AK21" s="124"/>
      <c r="AL21" s="124"/>
    </row>
    <row r="22" spans="1:47">
      <c r="A22" s="105" t="s">
        <v>180</v>
      </c>
      <c r="B22" s="105" t="s">
        <v>174</v>
      </c>
      <c r="D22" s="105" t="s">
        <v>144</v>
      </c>
      <c r="E22" s="111">
        <f>SUM('Front office:Rooms Admin'!E22)</f>
        <v>335171.43</v>
      </c>
      <c r="F22" s="111">
        <f>SUM('Front office:Rooms Admin'!F22)</f>
        <v>284149.12000000005</v>
      </c>
      <c r="G22" s="111">
        <f>SUM('Front office:Rooms Admin'!G22)</f>
        <v>286663.28999999998</v>
      </c>
      <c r="H22" s="111">
        <f>SUM('Front office:Rooms Admin'!H22)</f>
        <v>302316.64</v>
      </c>
      <c r="I22" s="111">
        <f>SUM('Front office:Rooms Admin'!I22)</f>
        <v>319547.68</v>
      </c>
      <c r="J22" s="111">
        <f>SUM('Front office:Rooms Admin'!J22)</f>
        <v>291990.36000000004</v>
      </c>
      <c r="K22" s="111">
        <f>SUM('Front office:Rooms Admin'!K22)</f>
        <v>293808.41000000003</v>
      </c>
      <c r="L22" s="111">
        <f>SUM('Front office:Rooms Admin'!L22)</f>
        <v>292644.72000000003</v>
      </c>
      <c r="M22" s="111">
        <f>SUM('Front office:Rooms Admin'!M22)</f>
        <v>292985.37000000005</v>
      </c>
      <c r="N22" s="111">
        <f>SUM('Front office:Rooms Admin'!N22)</f>
        <v>348048.39999999997</v>
      </c>
      <c r="O22" s="111">
        <f>SUM('Front office:Rooms Admin'!O22)</f>
        <v>293179.84000000003</v>
      </c>
      <c r="P22" s="111">
        <f>SUM('Front office:Rooms Admin'!P22)</f>
        <v>291503.41000000003</v>
      </c>
      <c r="Q22" s="117">
        <f t="shared" si="12"/>
        <v>3632008.6700000004</v>
      </c>
      <c r="R22" s="72">
        <f>SUM('Front office:Rooms Admin'!R22)</f>
        <v>404490.64999999997</v>
      </c>
      <c r="S22" s="72">
        <f>SUM('Front office:Rooms Admin'!S22)</f>
        <v>487360.27</v>
      </c>
      <c r="T22" s="72">
        <f>SUM('Front office:Rooms Admin'!T22)</f>
        <v>413520.71</v>
      </c>
      <c r="U22" s="72">
        <f>SUM('Front office:Rooms Admin'!U22)</f>
        <v>326580.02999999997</v>
      </c>
      <c r="V22" s="72">
        <f>SUM('Front office:Rooms Admin'!V22)</f>
        <v>281528.08</v>
      </c>
      <c r="W22" s="72">
        <f>SUM('Front office:Rooms Admin'!W22)</f>
        <v>271373.09000000003</v>
      </c>
      <c r="X22" s="72">
        <f>SUM('Front office:Rooms Admin'!X22)</f>
        <v>310536.5</v>
      </c>
      <c r="Y22" s="72">
        <f>SUM('Front office:Rooms Admin'!Y22)</f>
        <v>344896.31</v>
      </c>
      <c r="Z22" s="72">
        <f>SUM('Front office:Rooms Admin'!Z22)</f>
        <v>102179.69000000002</v>
      </c>
      <c r="AA22" s="72">
        <f>SUM('Front office:Rooms Admin'!AA22)</f>
        <v>61049.589999999967</v>
      </c>
      <c r="AB22" s="72">
        <f>SUM('Front office:Rooms Admin'!AB22)</f>
        <v>49509.390000000043</v>
      </c>
      <c r="AC22" s="72">
        <f>SUM('Front office:Rooms Admin'!AC22)</f>
        <v>60035.300000000039</v>
      </c>
      <c r="AD22" s="127">
        <f t="shared" si="10"/>
        <v>3113059.61</v>
      </c>
      <c r="AE22" s="72">
        <f t="shared" si="13"/>
        <v>518949.06000000052</v>
      </c>
      <c r="AF22" s="128">
        <f t="shared" si="4"/>
        <v>0.16670064984717736</v>
      </c>
      <c r="AG22" s="129">
        <v>143870.58000000002</v>
      </c>
      <c r="AH22" s="133">
        <f t="shared" si="11"/>
        <v>-3488138.0900000003</v>
      </c>
      <c r="AJ22" s="130"/>
      <c r="AK22" s="124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</row>
    <row r="23" spans="1:47">
      <c r="A23" s="105" t="s">
        <v>181</v>
      </c>
      <c r="B23" s="105" t="s">
        <v>174</v>
      </c>
      <c r="D23" s="105" t="s">
        <v>182</v>
      </c>
      <c r="E23" s="111">
        <f>SUM('Front office:Rooms Admin'!E23)</f>
        <v>85000</v>
      </c>
      <c r="F23" s="111">
        <f>SUM('Front office:Rooms Admin'!F23)</f>
        <v>0</v>
      </c>
      <c r="G23" s="111">
        <f>SUM('Front office:Rooms Admin'!G23)</f>
        <v>0</v>
      </c>
      <c r="H23" s="111">
        <f>SUM('Front office:Rooms Admin'!H23)</f>
        <v>0</v>
      </c>
      <c r="I23" s="111">
        <f>SUM('Front office:Rooms Admin'!I23)</f>
        <v>0</v>
      </c>
      <c r="J23" s="111">
        <f>SUM('Front office:Rooms Admin'!J23)</f>
        <v>0</v>
      </c>
      <c r="K23" s="111">
        <f>SUM('Front office:Rooms Admin'!K23)</f>
        <v>0</v>
      </c>
      <c r="L23" s="111">
        <f>SUM('Front office:Rooms Admin'!L23)</f>
        <v>0</v>
      </c>
      <c r="M23" s="111">
        <f>SUM('Front office:Rooms Admin'!M23)</f>
        <v>0</v>
      </c>
      <c r="N23" s="111">
        <f>SUM('Front office:Rooms Admin'!N23)</f>
        <v>0</v>
      </c>
      <c r="O23" s="111">
        <f>SUM('Front office:Rooms Admin'!O23)</f>
        <v>0</v>
      </c>
      <c r="P23" s="111">
        <f>SUM('Front office:Rooms Admin'!P23)</f>
        <v>20000</v>
      </c>
      <c r="Q23" s="117">
        <f t="shared" si="12"/>
        <v>105000</v>
      </c>
      <c r="R23" s="72">
        <f>SUM('Front office:Rooms Admin'!R23)</f>
        <v>42862.61</v>
      </c>
      <c r="S23" s="72">
        <f>SUM('Front office:Rooms Admin'!S23)</f>
        <v>84205.42</v>
      </c>
      <c r="T23" s="72">
        <f>SUM('Front office:Rooms Admin'!T23)</f>
        <v>0</v>
      </c>
      <c r="U23" s="72">
        <f>SUM('Front office:Rooms Admin'!U23)</f>
        <v>0</v>
      </c>
      <c r="V23" s="72">
        <f>SUM('Front office:Rooms Admin'!V23)</f>
        <v>0</v>
      </c>
      <c r="W23" s="72">
        <f>SUM('Front office:Rooms Admin'!W23)</f>
        <v>0</v>
      </c>
      <c r="X23" s="72">
        <f>SUM('Front office:Rooms Admin'!X23)</f>
        <v>0</v>
      </c>
      <c r="Y23" s="72">
        <f>SUM('Front office:Rooms Admin'!Y23)</f>
        <v>0</v>
      </c>
      <c r="Z23" s="72">
        <f>SUM('Front office:Rooms Admin'!Z23)</f>
        <v>0</v>
      </c>
      <c r="AA23" s="72">
        <f>SUM('Front office:Rooms Admin'!AA23)</f>
        <v>0</v>
      </c>
      <c r="AB23" s="72">
        <f>SUM('Front office:Rooms Admin'!AB23)</f>
        <v>0</v>
      </c>
      <c r="AC23" s="72">
        <f>SUM('Front office:Rooms Admin'!AC23)</f>
        <v>100000</v>
      </c>
      <c r="AD23" s="127">
        <f t="shared" si="10"/>
        <v>227068.03</v>
      </c>
      <c r="AE23" s="72">
        <f t="shared" si="13"/>
        <v>-122068.03</v>
      </c>
      <c r="AF23" s="128">
        <f t="shared" si="4"/>
        <v>-0.53758351627043222</v>
      </c>
      <c r="AG23" s="129">
        <v>476526.92</v>
      </c>
      <c r="AH23" s="133">
        <f t="shared" si="11"/>
        <v>371526.92</v>
      </c>
      <c r="AJ23" s="130"/>
      <c r="AK23" s="124"/>
      <c r="AL23" s="124"/>
    </row>
    <row r="24" spans="1:47">
      <c r="A24" s="105" t="s">
        <v>183</v>
      </c>
      <c r="B24" s="105" t="s">
        <v>174</v>
      </c>
      <c r="D24" s="105" t="s">
        <v>184</v>
      </c>
      <c r="E24" s="134">
        <f>SUM('Front office:Rooms Admin'!E24)</f>
        <v>0</v>
      </c>
      <c r="F24" s="134">
        <f>SUM('Front office:Rooms Admin'!F24)</f>
        <v>0</v>
      </c>
      <c r="G24" s="134">
        <f>SUM('Front office:Rooms Admin'!G24)</f>
        <v>0</v>
      </c>
      <c r="H24" s="134">
        <f>SUM('Front office:Rooms Admin'!H24)</f>
        <v>0</v>
      </c>
      <c r="I24" s="134">
        <f>SUM('Front office:Rooms Admin'!I24)</f>
        <v>0</v>
      </c>
      <c r="J24" s="134">
        <f>SUM('Front office:Rooms Admin'!J24)</f>
        <v>0</v>
      </c>
      <c r="K24" s="134">
        <f>SUM('Front office:Rooms Admin'!K24)</f>
        <v>0</v>
      </c>
      <c r="L24" s="134">
        <f>SUM('Front office:Rooms Admin'!L24)</f>
        <v>0</v>
      </c>
      <c r="M24" s="134">
        <f>SUM('Front office:Rooms Admin'!M24)</f>
        <v>0</v>
      </c>
      <c r="N24" s="134">
        <f>SUM('Front office:Rooms Admin'!N24)</f>
        <v>0</v>
      </c>
      <c r="O24" s="134">
        <f>SUM('Front office:Rooms Admin'!O24)</f>
        <v>0</v>
      </c>
      <c r="P24" s="134">
        <f>SUM('Front office:Rooms Admin'!P24)</f>
        <v>0</v>
      </c>
      <c r="Q24" s="135">
        <f t="shared" si="12"/>
        <v>0</v>
      </c>
      <c r="R24" s="136">
        <f>SUM('Front office:Rooms Admin'!R24)</f>
        <v>0</v>
      </c>
      <c r="S24" s="136">
        <f>SUM('Front office:Rooms Admin'!S24)</f>
        <v>0</v>
      </c>
      <c r="T24" s="136">
        <f>SUM('Front office:Rooms Admin'!T24)</f>
        <v>0</v>
      </c>
      <c r="U24" s="136">
        <f>SUM('Front office:Rooms Admin'!U24)</f>
        <v>0</v>
      </c>
      <c r="V24" s="136">
        <f>SUM('Front office:Rooms Admin'!V24)</f>
        <v>0</v>
      </c>
      <c r="W24" s="136">
        <f>SUM('Front office:Rooms Admin'!W24)</f>
        <v>0</v>
      </c>
      <c r="X24" s="136">
        <f>SUM('Front office:Rooms Admin'!X24)</f>
        <v>0</v>
      </c>
      <c r="Y24" s="136">
        <f>SUM('Front office:Rooms Admin'!Y24)</f>
        <v>11.27</v>
      </c>
      <c r="Z24" s="136">
        <f>SUM('Front office:Rooms Admin'!Z24)</f>
        <v>0</v>
      </c>
      <c r="AA24" s="136">
        <f>SUM('Front office:Rooms Admin'!AA24)</f>
        <v>0</v>
      </c>
      <c r="AB24" s="136">
        <f>SUM('Front office:Rooms Admin'!AB24)</f>
        <v>0</v>
      </c>
      <c r="AC24" s="136">
        <f>SUM('Front office:Rooms Admin'!AC24)</f>
        <v>0</v>
      </c>
      <c r="AD24" s="137">
        <f t="shared" si="10"/>
        <v>11.27</v>
      </c>
      <c r="AE24" s="136">
        <f t="shared" si="13"/>
        <v>-11.27</v>
      </c>
      <c r="AF24" s="138">
        <f t="shared" si="4"/>
        <v>-1</v>
      </c>
      <c r="AG24" s="133">
        <v>29619.600000000002</v>
      </c>
      <c r="AH24" s="133">
        <f t="shared" si="11"/>
        <v>29619.600000000002</v>
      </c>
      <c r="AJ24" s="130"/>
      <c r="AK24" s="124"/>
      <c r="AL24" s="124"/>
    </row>
    <row r="25" spans="1:47">
      <c r="A25" s="105" t="s">
        <v>185</v>
      </c>
      <c r="B25" s="105" t="s">
        <v>174</v>
      </c>
      <c r="D25" s="105" t="s">
        <v>186</v>
      </c>
      <c r="E25" s="134">
        <f>SUM('Front office:Rooms Admin'!E25)</f>
        <v>1628</v>
      </c>
      <c r="F25" s="134">
        <f>SUM('Front office:Rooms Admin'!F25)</f>
        <v>1628</v>
      </c>
      <c r="G25" s="134">
        <f>SUM('Front office:Rooms Admin'!G25)</f>
        <v>1628</v>
      </c>
      <c r="H25" s="134">
        <f>SUM('Front office:Rooms Admin'!H25)</f>
        <v>1628</v>
      </c>
      <c r="I25" s="134">
        <f>SUM('Front office:Rooms Admin'!I25)</f>
        <v>1628</v>
      </c>
      <c r="J25" s="134">
        <f>SUM('Front office:Rooms Admin'!J25)</f>
        <v>1628</v>
      </c>
      <c r="K25" s="134">
        <f>SUM('Front office:Rooms Admin'!K25)</f>
        <v>1628</v>
      </c>
      <c r="L25" s="134">
        <f>SUM('Front office:Rooms Admin'!L25)</f>
        <v>1628</v>
      </c>
      <c r="M25" s="134">
        <f>SUM('Front office:Rooms Admin'!M25)</f>
        <v>1628</v>
      </c>
      <c r="N25" s="134">
        <f>SUM('Front office:Rooms Admin'!N25)</f>
        <v>1628</v>
      </c>
      <c r="O25" s="134">
        <f>SUM('Front office:Rooms Admin'!O25)</f>
        <v>1628</v>
      </c>
      <c r="P25" s="134">
        <f>SUM('Front office:Rooms Admin'!P25)</f>
        <v>1628</v>
      </c>
      <c r="Q25" s="135">
        <f t="shared" si="12"/>
        <v>19536</v>
      </c>
      <c r="R25" s="136">
        <f>SUM('Front office:Rooms Admin'!R25)</f>
        <v>0</v>
      </c>
      <c r="S25" s="136">
        <f>SUM('Front office:Rooms Admin'!S25)</f>
        <v>3189.64</v>
      </c>
      <c r="T25" s="136">
        <f>SUM('Front office:Rooms Admin'!T25)</f>
        <v>1594.82</v>
      </c>
      <c r="U25" s="136">
        <f>SUM('Front office:Rooms Admin'!U25)</f>
        <v>1594.82</v>
      </c>
      <c r="V25" s="136">
        <f>SUM('Front office:Rooms Admin'!V25)</f>
        <v>1594.82</v>
      </c>
      <c r="W25" s="136">
        <f>SUM('Front office:Rooms Admin'!W25)</f>
        <v>1594.82</v>
      </c>
      <c r="X25" s="136">
        <f>SUM('Front office:Rooms Admin'!X25)</f>
        <v>1594.82</v>
      </c>
      <c r="Y25" s="136">
        <f>SUM('Front office:Rooms Admin'!Y25)</f>
        <v>1594.82</v>
      </c>
      <c r="Z25" s="136">
        <f>SUM('Front office:Rooms Admin'!Z25)</f>
        <v>1815</v>
      </c>
      <c r="AA25" s="136">
        <f>SUM('Front office:Rooms Admin'!AA25)</f>
        <v>1815</v>
      </c>
      <c r="AB25" s="136">
        <f>SUM('Front office:Rooms Admin'!AB25)</f>
        <v>1815</v>
      </c>
      <c r="AC25" s="136">
        <f>SUM('Front office:Rooms Admin'!AC25)</f>
        <v>1815</v>
      </c>
      <c r="AD25" s="137">
        <f t="shared" si="10"/>
        <v>20018.559999999998</v>
      </c>
      <c r="AE25" s="136">
        <f t="shared" si="13"/>
        <v>-482.55999999999767</v>
      </c>
      <c r="AF25" s="138">
        <f t="shared" si="4"/>
        <v>-2.4105629975382733E-2</v>
      </c>
      <c r="AG25" s="133">
        <v>26667.910000000003</v>
      </c>
      <c r="AH25" s="133">
        <f t="shared" si="11"/>
        <v>7131.9100000000035</v>
      </c>
      <c r="AJ25" s="130"/>
      <c r="AK25" s="124"/>
      <c r="AL25" s="124"/>
    </row>
    <row r="26" spans="1:47">
      <c r="A26" s="105" t="s">
        <v>187</v>
      </c>
      <c r="B26" s="105" t="s">
        <v>174</v>
      </c>
      <c r="D26" s="105" t="s">
        <v>188</v>
      </c>
      <c r="E26" s="134">
        <f>SUM('Front office:Rooms Admin'!E26)</f>
        <v>1037809</v>
      </c>
      <c r="F26" s="134">
        <f>SUM('Front office:Rooms Admin'!F26)</f>
        <v>903586</v>
      </c>
      <c r="G26" s="134">
        <f>SUM('Front office:Rooms Admin'!G26)</f>
        <v>771459</v>
      </c>
      <c r="H26" s="134">
        <f>SUM('Front office:Rooms Admin'!H26)</f>
        <v>733064</v>
      </c>
      <c r="I26" s="134">
        <f>SUM('Front office:Rooms Admin'!I26)</f>
        <v>753905</v>
      </c>
      <c r="J26" s="134">
        <f>SUM('Front office:Rooms Admin'!J26)</f>
        <v>722578</v>
      </c>
      <c r="K26" s="134">
        <f>SUM('Front office:Rooms Admin'!K26)</f>
        <v>864982</v>
      </c>
      <c r="L26" s="134">
        <f>SUM('Front office:Rooms Admin'!L26)</f>
        <v>864982</v>
      </c>
      <c r="M26" s="134">
        <f>SUM('Front office:Rooms Admin'!M26)</f>
        <v>710802</v>
      </c>
      <c r="N26" s="134">
        <f>SUM('Front office:Rooms Admin'!N26)</f>
        <v>780358</v>
      </c>
      <c r="O26" s="134">
        <f>SUM('Front office:Rooms Admin'!O26)</f>
        <v>719445</v>
      </c>
      <c r="P26" s="134">
        <f>SUM('Front office:Rooms Admin'!P26)</f>
        <v>827254</v>
      </c>
      <c r="Q26" s="135">
        <f t="shared" si="12"/>
        <v>9690224</v>
      </c>
      <c r="R26" s="136">
        <f>SUM('Front office:Rooms Admin'!R26)</f>
        <v>1193163.29</v>
      </c>
      <c r="S26" s="136">
        <f>SUM('Front office:Rooms Admin'!S26)</f>
        <v>1571423.28</v>
      </c>
      <c r="T26" s="136">
        <f>SUM('Front office:Rooms Admin'!T26)</f>
        <v>1141330.48</v>
      </c>
      <c r="U26" s="136">
        <f>SUM('Front office:Rooms Admin'!U26)</f>
        <v>981948.59</v>
      </c>
      <c r="V26" s="136">
        <f>SUM('Front office:Rooms Admin'!V26)</f>
        <v>1080004.8599999999</v>
      </c>
      <c r="W26" s="136">
        <f>SUM('Front office:Rooms Admin'!W26)</f>
        <v>730633.85</v>
      </c>
      <c r="X26" s="136">
        <f>SUM('Front office:Rooms Admin'!X26)</f>
        <v>883951.61</v>
      </c>
      <c r="Y26" s="136">
        <f>SUM('Front office:Rooms Admin'!Y26)</f>
        <v>1010138.13</v>
      </c>
      <c r="Z26" s="136">
        <f>SUM('Front office:Rooms Admin'!Z26)</f>
        <v>824584</v>
      </c>
      <c r="AA26" s="136">
        <f>SUM('Front office:Rooms Admin'!AA26)</f>
        <v>923467</v>
      </c>
      <c r="AB26" s="136">
        <f>SUM('Front office:Rooms Admin'!AB26)</f>
        <v>925787</v>
      </c>
      <c r="AC26" s="136">
        <f>SUM('Front office:Rooms Admin'!AC26)</f>
        <v>978797</v>
      </c>
      <c r="AD26" s="137">
        <f t="shared" si="10"/>
        <v>12245229.09</v>
      </c>
      <c r="AE26" s="136">
        <f t="shared" si="13"/>
        <v>-2555005.09</v>
      </c>
      <c r="AF26" s="138">
        <f t="shared" si="4"/>
        <v>-0.20865310654633085</v>
      </c>
      <c r="AG26" s="133">
        <v>6680522.7800000003</v>
      </c>
      <c r="AH26" s="133">
        <f t="shared" si="11"/>
        <v>-3009701.2199999997</v>
      </c>
      <c r="AJ26" s="130"/>
      <c r="AK26" s="124"/>
      <c r="AL26" s="124"/>
    </row>
    <row r="27" spans="1:47">
      <c r="A27" s="105" t="s">
        <v>189</v>
      </c>
      <c r="B27" s="105" t="s">
        <v>174</v>
      </c>
      <c r="D27" s="105" t="s">
        <v>190</v>
      </c>
      <c r="E27" s="134">
        <f>SUM('Front office:Rooms Admin'!E27)</f>
        <v>44998</v>
      </c>
      <c r="F27" s="134">
        <f>SUM('Front office:Rooms Admin'!F27)</f>
        <v>44998</v>
      </c>
      <c r="G27" s="134">
        <f>SUM('Front office:Rooms Admin'!G27)</f>
        <v>44998</v>
      </c>
      <c r="H27" s="134">
        <f>SUM('Front office:Rooms Admin'!H27)</f>
        <v>44998</v>
      </c>
      <c r="I27" s="134">
        <f>SUM('Front office:Rooms Admin'!I27)</f>
        <v>44998</v>
      </c>
      <c r="J27" s="134">
        <f>SUM('Front office:Rooms Admin'!J27)</f>
        <v>44998</v>
      </c>
      <c r="K27" s="134">
        <f>SUM('Front office:Rooms Admin'!K27)</f>
        <v>44998</v>
      </c>
      <c r="L27" s="134">
        <f>SUM('Front office:Rooms Admin'!L27)</f>
        <v>44998</v>
      </c>
      <c r="M27" s="134">
        <f>SUM('Front office:Rooms Admin'!M27)</f>
        <v>44998</v>
      </c>
      <c r="N27" s="134">
        <f>SUM('Front office:Rooms Admin'!N27)</f>
        <v>44998</v>
      </c>
      <c r="O27" s="134">
        <f>SUM('Front office:Rooms Admin'!O27)</f>
        <v>44998</v>
      </c>
      <c r="P27" s="134">
        <f>SUM('Front office:Rooms Admin'!P27)</f>
        <v>44998</v>
      </c>
      <c r="Q27" s="135">
        <f t="shared" si="12"/>
        <v>539976</v>
      </c>
      <c r="R27" s="136">
        <f>SUM('Front office:Rooms Admin'!R27)</f>
        <v>43288.87</v>
      </c>
      <c r="S27" s="136">
        <f>SUM('Front office:Rooms Admin'!S27)</f>
        <v>43288.87</v>
      </c>
      <c r="T27" s="136">
        <f>SUM('Front office:Rooms Admin'!T27)</f>
        <v>43288.87</v>
      </c>
      <c r="U27" s="136">
        <f>SUM('Front office:Rooms Admin'!U27)</f>
        <v>14040</v>
      </c>
      <c r="V27" s="136">
        <f>SUM('Front office:Rooms Admin'!V27)</f>
        <v>14040</v>
      </c>
      <c r="W27" s="136">
        <f>SUM('Front office:Rooms Admin'!W27)</f>
        <v>14039.99</v>
      </c>
      <c r="X27" s="136">
        <f>SUM('Front office:Rooms Admin'!X27)</f>
        <v>14040</v>
      </c>
      <c r="Y27" s="136">
        <f>SUM('Front office:Rooms Admin'!Y27)</f>
        <v>14040</v>
      </c>
      <c r="Z27" s="136">
        <f>SUM('Front office:Rooms Admin'!Z27)</f>
        <v>14040</v>
      </c>
      <c r="AA27" s="136">
        <f>SUM('Front office:Rooms Admin'!AA27)</f>
        <v>14040</v>
      </c>
      <c r="AB27" s="136">
        <f>SUM('Front office:Rooms Admin'!AB27)</f>
        <v>14040</v>
      </c>
      <c r="AC27" s="136">
        <f>SUM('Front office:Rooms Admin'!AC27)</f>
        <v>14040</v>
      </c>
      <c r="AD27" s="137">
        <f t="shared" si="10"/>
        <v>256226.6</v>
      </c>
      <c r="AE27" s="136">
        <f t="shared" si="13"/>
        <v>283749.40000000002</v>
      </c>
      <c r="AF27" s="138">
        <f t="shared" si="4"/>
        <v>1.1074158576822235</v>
      </c>
      <c r="AG27" s="133">
        <v>692424.2799999998</v>
      </c>
      <c r="AH27" s="133">
        <f t="shared" si="11"/>
        <v>152448.2799999998</v>
      </c>
      <c r="AJ27" s="130"/>
      <c r="AK27" s="124"/>
      <c r="AL27" s="124"/>
    </row>
    <row r="28" spans="1:47">
      <c r="A28" s="105" t="s">
        <v>191</v>
      </c>
      <c r="D28" s="105" t="s">
        <v>192</v>
      </c>
      <c r="E28" s="134">
        <f>SUM('Front office:Rooms Admin'!E28)</f>
        <v>0</v>
      </c>
      <c r="F28" s="134">
        <f>SUM('Front office:Rooms Admin'!F28)</f>
        <v>0</v>
      </c>
      <c r="G28" s="134">
        <f>SUM('Front office:Rooms Admin'!G28)</f>
        <v>0</v>
      </c>
      <c r="H28" s="134">
        <f>SUM('Front office:Rooms Admin'!H28)</f>
        <v>0</v>
      </c>
      <c r="I28" s="134">
        <f>SUM('Front office:Rooms Admin'!I28)</f>
        <v>0</v>
      </c>
      <c r="J28" s="134">
        <f>SUM('Front office:Rooms Admin'!J28)</f>
        <v>0</v>
      </c>
      <c r="K28" s="134">
        <f>SUM('Front office:Rooms Admin'!K28)</f>
        <v>0</v>
      </c>
      <c r="L28" s="134">
        <f>SUM('Front office:Rooms Admin'!L28)</f>
        <v>0</v>
      </c>
      <c r="M28" s="134">
        <f>SUM('Front office:Rooms Admin'!M28)</f>
        <v>0</v>
      </c>
      <c r="N28" s="134">
        <f>SUM('Front office:Rooms Admin'!N28)</f>
        <v>0</v>
      </c>
      <c r="O28" s="134">
        <f>SUM('Front office:Rooms Admin'!O28)</f>
        <v>0</v>
      </c>
      <c r="P28" s="134">
        <f>SUM('Front office:Rooms Admin'!P28)</f>
        <v>0</v>
      </c>
      <c r="Q28" s="135">
        <f t="shared" si="12"/>
        <v>0</v>
      </c>
      <c r="R28" s="136">
        <f>SUM('Front office:Rooms Admin'!R28)</f>
        <v>0</v>
      </c>
      <c r="S28" s="136">
        <f>SUM('Front office:Rooms Admin'!S28)</f>
        <v>0</v>
      </c>
      <c r="T28" s="136">
        <f>SUM('Front office:Rooms Admin'!T28)</f>
        <v>0</v>
      </c>
      <c r="U28" s="136">
        <f>SUM('Front office:Rooms Admin'!U28)</f>
        <v>0</v>
      </c>
      <c r="V28" s="136">
        <f>SUM('Front office:Rooms Admin'!V28)</f>
        <v>0</v>
      </c>
      <c r="W28" s="136">
        <f>SUM('Front office:Rooms Admin'!W28)</f>
        <v>0</v>
      </c>
      <c r="X28" s="136">
        <f>SUM('Front office:Rooms Admin'!X28)</f>
        <v>0</v>
      </c>
      <c r="Y28" s="136">
        <f>SUM('Front office:Rooms Admin'!Y28)</f>
        <v>0</v>
      </c>
      <c r="Z28" s="136">
        <f>SUM('Front office:Rooms Admin'!Z28)</f>
        <v>0</v>
      </c>
      <c r="AA28" s="136">
        <f>SUM('Front office:Rooms Admin'!AA28)</f>
        <v>0</v>
      </c>
      <c r="AB28" s="136">
        <f>SUM('Front office:Rooms Admin'!AB28)</f>
        <v>0</v>
      </c>
      <c r="AC28" s="136">
        <f>SUM('Front office:Rooms Admin'!AC28)</f>
        <v>0</v>
      </c>
      <c r="AD28" s="137">
        <f t="shared" si="10"/>
        <v>0</v>
      </c>
      <c r="AE28" s="136">
        <f t="shared" si="13"/>
        <v>0</v>
      </c>
      <c r="AF28" s="138" t="e">
        <f t="shared" si="4"/>
        <v>#DIV/0!</v>
      </c>
      <c r="AG28" s="133">
        <v>0</v>
      </c>
      <c r="AH28" s="133">
        <f t="shared" si="11"/>
        <v>0</v>
      </c>
      <c r="AJ28" s="130"/>
      <c r="AK28" s="124"/>
      <c r="AL28" s="124"/>
    </row>
    <row r="29" spans="1:47">
      <c r="A29" s="106" t="s">
        <v>193</v>
      </c>
      <c r="B29" s="105" t="s">
        <v>174</v>
      </c>
      <c r="D29" s="106" t="s">
        <v>194</v>
      </c>
      <c r="E29" s="134">
        <f>SUM('Front office:Rooms Admin'!E29)</f>
        <v>52809</v>
      </c>
      <c r="F29" s="134">
        <f>SUM('Front office:Rooms Admin'!F29)</f>
        <v>27256</v>
      </c>
      <c r="G29" s="134">
        <f>SUM('Front office:Rooms Admin'!G29)</f>
        <v>27662</v>
      </c>
      <c r="H29" s="134">
        <f>SUM('Front office:Rooms Admin'!H29)</f>
        <v>25857</v>
      </c>
      <c r="I29" s="134">
        <f>SUM('Front office:Rooms Admin'!I29)</f>
        <v>22557</v>
      </c>
      <c r="J29" s="134">
        <f>SUM('Front office:Rooms Admin'!J29)</f>
        <v>21618</v>
      </c>
      <c r="K29" s="134">
        <f>SUM('Front office:Rooms Admin'!K29)</f>
        <v>27976</v>
      </c>
      <c r="L29" s="134">
        <f>SUM('Front office:Rooms Admin'!L29)</f>
        <v>27976</v>
      </c>
      <c r="M29" s="134">
        <f>SUM('Front office:Rooms Admin'!M29)</f>
        <v>21091</v>
      </c>
      <c r="N29" s="134">
        <f>SUM('Front office:Rooms Admin'!N29)</f>
        <v>27494</v>
      </c>
      <c r="O29" s="134">
        <f>SUM('Front office:Rooms Admin'!O29)</f>
        <v>24640</v>
      </c>
      <c r="P29" s="134">
        <f>SUM('Front office:Rooms Admin'!P29)</f>
        <v>27348</v>
      </c>
      <c r="Q29" s="135">
        <f t="shared" si="12"/>
        <v>334284</v>
      </c>
      <c r="R29" s="136">
        <f>SUM('Front office:Rooms Admin'!R29)</f>
        <v>28558.83</v>
      </c>
      <c r="S29" s="136">
        <f>SUM('Front office:Rooms Admin'!S29)</f>
        <v>54250.21</v>
      </c>
      <c r="T29" s="136">
        <f>SUM('Front office:Rooms Admin'!T29)</f>
        <v>29105.8</v>
      </c>
      <c r="U29" s="136">
        <f>SUM('Front office:Rooms Admin'!U29)</f>
        <v>25711.51</v>
      </c>
      <c r="V29" s="136">
        <f>SUM('Front office:Rooms Admin'!V29)</f>
        <v>22699.64</v>
      </c>
      <c r="W29" s="136">
        <f>SUM('Front office:Rooms Admin'!W29)</f>
        <v>18575.21</v>
      </c>
      <c r="X29" s="136">
        <f>SUM('Front office:Rooms Admin'!X29)</f>
        <v>21983.05</v>
      </c>
      <c r="Y29" s="136">
        <f>SUM('Front office:Rooms Admin'!Y29)</f>
        <v>20680.54</v>
      </c>
      <c r="Z29" s="136">
        <f>SUM('Front office:Rooms Admin'!Z29)</f>
        <v>21864</v>
      </c>
      <c r="AA29" s="136">
        <f>SUM('Front office:Rooms Admin'!AA29)</f>
        <v>27700</v>
      </c>
      <c r="AB29" s="136">
        <f>SUM('Front office:Rooms Admin'!AB29)</f>
        <v>26202</v>
      </c>
      <c r="AC29" s="136">
        <f>SUM('Front office:Rooms Admin'!AC29)</f>
        <v>28083</v>
      </c>
      <c r="AD29" s="137">
        <f t="shared" si="10"/>
        <v>325413.78999999998</v>
      </c>
      <c r="AE29" s="136">
        <f t="shared" si="13"/>
        <v>8870.210000000021</v>
      </c>
      <c r="AF29" s="138">
        <f t="shared" si="4"/>
        <v>2.7258248643980396E-2</v>
      </c>
      <c r="AG29" s="133">
        <v>0</v>
      </c>
      <c r="AH29" s="133">
        <f t="shared" si="11"/>
        <v>-334284</v>
      </c>
      <c r="AJ29" s="130"/>
      <c r="AK29" s="124"/>
      <c r="AL29" s="124"/>
    </row>
    <row r="30" spans="1:47">
      <c r="A30" s="105" t="s">
        <v>195</v>
      </c>
      <c r="B30" s="105" t="s">
        <v>174</v>
      </c>
      <c r="D30" s="105" t="s">
        <v>196</v>
      </c>
      <c r="E30" s="134">
        <f>SUM('Front office:Rooms Admin'!E30)</f>
        <v>7255</v>
      </c>
      <c r="F30" s="134">
        <f>SUM('Front office:Rooms Admin'!F30)</f>
        <v>6633</v>
      </c>
      <c r="G30" s="134">
        <f>SUM('Front office:Rooms Admin'!G30)</f>
        <v>6920</v>
      </c>
      <c r="H30" s="134">
        <f>SUM('Front office:Rooms Admin'!H30)</f>
        <v>6771</v>
      </c>
      <c r="I30" s="134">
        <f>SUM('Front office:Rooms Admin'!I30)</f>
        <v>6467</v>
      </c>
      <c r="J30" s="134">
        <f>SUM('Front office:Rooms Admin'!J30)</f>
        <v>6793</v>
      </c>
      <c r="K30" s="134">
        <f>SUM('Front office:Rooms Admin'!K30)</f>
        <v>7339</v>
      </c>
      <c r="L30" s="134">
        <f>SUM('Front office:Rooms Admin'!L30)</f>
        <v>7339</v>
      </c>
      <c r="M30" s="134">
        <f>SUM('Front office:Rooms Admin'!M30)</f>
        <v>6698</v>
      </c>
      <c r="N30" s="134">
        <f>SUM('Front office:Rooms Admin'!N30)</f>
        <v>6417</v>
      </c>
      <c r="O30" s="134">
        <f>SUM('Front office:Rooms Admin'!O30)</f>
        <v>6536</v>
      </c>
      <c r="P30" s="134">
        <f>SUM('Front office:Rooms Admin'!P30)</f>
        <v>7339</v>
      </c>
      <c r="Q30" s="135">
        <f t="shared" si="12"/>
        <v>82507</v>
      </c>
      <c r="R30" s="136">
        <f>SUM('Front office:Rooms Admin'!R30)</f>
        <v>11823</v>
      </c>
      <c r="S30" s="136">
        <f>SUM('Front office:Rooms Admin'!S30)</f>
        <v>11191</v>
      </c>
      <c r="T30" s="136">
        <f>SUM('Front office:Rooms Admin'!T30)</f>
        <v>11205</v>
      </c>
      <c r="U30" s="136">
        <f>SUM('Front office:Rooms Admin'!U30)</f>
        <v>0</v>
      </c>
      <c r="V30" s="136">
        <f>SUM('Front office:Rooms Admin'!V30)</f>
        <v>0</v>
      </c>
      <c r="W30" s="136">
        <f>SUM('Front office:Rooms Admin'!W30)</f>
        <v>0</v>
      </c>
      <c r="X30" s="136">
        <f>SUM('Front office:Rooms Admin'!X30)</f>
        <v>0</v>
      </c>
      <c r="Y30" s="136">
        <f>SUM('Front office:Rooms Admin'!Y30)</f>
        <v>0</v>
      </c>
      <c r="Z30" s="136">
        <f>SUM('Front office:Rooms Admin'!Z30)</f>
        <v>0</v>
      </c>
      <c r="AA30" s="136">
        <f>SUM('Front office:Rooms Admin'!AA30)</f>
        <v>0</v>
      </c>
      <c r="AB30" s="136">
        <f>SUM('Front office:Rooms Admin'!AB30)</f>
        <v>0</v>
      </c>
      <c r="AC30" s="136">
        <f>SUM('Front office:Rooms Admin'!AC30)</f>
        <v>0</v>
      </c>
      <c r="AD30" s="137">
        <f t="shared" si="10"/>
        <v>34219</v>
      </c>
      <c r="AE30" s="136">
        <f t="shared" si="13"/>
        <v>48288</v>
      </c>
      <c r="AF30" s="138">
        <f t="shared" si="4"/>
        <v>1.4111458546421578</v>
      </c>
      <c r="AG30" s="133">
        <v>27597</v>
      </c>
      <c r="AH30" s="133">
        <f t="shared" si="11"/>
        <v>-54910</v>
      </c>
      <c r="AJ30" s="130"/>
      <c r="AK30" s="124"/>
      <c r="AL30" s="124"/>
    </row>
    <row r="31" spans="1:47">
      <c r="A31" s="105" t="s">
        <v>197</v>
      </c>
      <c r="B31" s="105" t="s">
        <v>174</v>
      </c>
      <c r="D31" s="106" t="s">
        <v>198</v>
      </c>
      <c r="E31" s="134">
        <f>SUM('Front office:Rooms Admin'!E31)</f>
        <v>84872</v>
      </c>
      <c r="F31" s="134">
        <f>SUM('Front office:Rooms Admin'!F31)</f>
        <v>76658</v>
      </c>
      <c r="G31" s="134">
        <f>SUM('Front office:Rooms Admin'!G31)</f>
        <v>82986</v>
      </c>
      <c r="H31" s="134">
        <f>SUM('Front office:Rooms Admin'!H31)</f>
        <v>77571</v>
      </c>
      <c r="I31" s="134">
        <f>SUM('Front office:Rooms Admin'!I31)</f>
        <v>78082</v>
      </c>
      <c r="J31" s="134">
        <f>SUM('Front office:Rooms Admin'!J31)</f>
        <v>74833</v>
      </c>
      <c r="K31" s="134">
        <f>SUM('Front office:Rooms Admin'!K31)</f>
        <v>83929</v>
      </c>
      <c r="L31" s="134">
        <f>SUM('Front office:Rooms Admin'!L31)</f>
        <v>83929</v>
      </c>
      <c r="M31" s="134">
        <f>SUM('Front office:Rooms Admin'!M31)</f>
        <v>73008</v>
      </c>
      <c r="N31" s="134">
        <f>SUM('Front office:Rooms Admin'!N31)</f>
        <v>77328</v>
      </c>
      <c r="O31" s="134">
        <f>SUM('Front office:Rooms Admin'!O31)</f>
        <v>73921</v>
      </c>
      <c r="P31" s="134">
        <f>SUM('Front office:Rooms Admin'!P31)</f>
        <v>82043</v>
      </c>
      <c r="Q31" s="135">
        <f t="shared" si="12"/>
        <v>949160</v>
      </c>
      <c r="R31" s="136">
        <f>SUM('Front office:Rooms Admin'!R31)</f>
        <v>85680.73</v>
      </c>
      <c r="S31" s="136">
        <f>SUM('Front office:Rooms Admin'!S31)</f>
        <v>55292.73</v>
      </c>
      <c r="T31" s="136">
        <f>SUM('Front office:Rooms Admin'!T31)</f>
        <v>90870.68</v>
      </c>
      <c r="U31" s="136">
        <f>SUM('Front office:Rooms Admin'!U31)</f>
        <v>84802.96</v>
      </c>
      <c r="V31" s="136">
        <f>SUM('Front office:Rooms Admin'!V31)</f>
        <v>43763.24</v>
      </c>
      <c r="W31" s="136">
        <f>SUM('Front office:Rooms Admin'!W31)</f>
        <v>81104.08</v>
      </c>
      <c r="X31" s="136">
        <f>SUM('Front office:Rooms Admin'!X31)</f>
        <v>72387.95</v>
      </c>
      <c r="Y31" s="136">
        <f>SUM('Front office:Rooms Admin'!Y31)</f>
        <v>88169.51</v>
      </c>
      <c r="Z31" s="136">
        <f>SUM('Front office:Rooms Admin'!Z31)</f>
        <v>79314</v>
      </c>
      <c r="AA31" s="136">
        <f>SUM('Front office:Rooms Admin'!AA31)</f>
        <v>101103</v>
      </c>
      <c r="AB31" s="136">
        <f>SUM('Front office:Rooms Admin'!AB31)</f>
        <v>94261</v>
      </c>
      <c r="AC31" s="136">
        <f>SUM('Front office:Rooms Admin'!AC31)</f>
        <v>101215</v>
      </c>
      <c r="AD31" s="137">
        <f t="shared" si="10"/>
        <v>977964.88</v>
      </c>
      <c r="AE31" s="136">
        <f t="shared" si="13"/>
        <v>-28804.880000000005</v>
      </c>
      <c r="AF31" s="138">
        <f t="shared" si="4"/>
        <v>-2.945390022594677E-2</v>
      </c>
      <c r="AG31" s="133">
        <v>911171.85</v>
      </c>
      <c r="AH31" s="133">
        <f t="shared" si="11"/>
        <v>-37988.150000000023</v>
      </c>
      <c r="AJ31" s="130"/>
      <c r="AK31" s="124"/>
      <c r="AL31" s="124"/>
    </row>
    <row r="32" spans="1:47">
      <c r="A32" s="105" t="s">
        <v>199</v>
      </c>
      <c r="B32" s="105" t="s">
        <v>174</v>
      </c>
      <c r="D32" s="105" t="s">
        <v>200</v>
      </c>
      <c r="E32" s="134">
        <f>SUM('Front office:Rooms Admin'!E32)</f>
        <v>21124</v>
      </c>
      <c r="F32" s="134">
        <f>SUM('Front office:Rooms Admin'!F32)</f>
        <v>19931</v>
      </c>
      <c r="G32" s="134">
        <f>SUM('Front office:Rooms Admin'!G32)</f>
        <v>20654</v>
      </c>
      <c r="H32" s="134">
        <f>SUM('Front office:Rooms Admin'!H32)</f>
        <v>94760</v>
      </c>
      <c r="I32" s="134">
        <f>SUM('Front office:Rooms Admin'!I32)</f>
        <v>19434</v>
      </c>
      <c r="J32" s="134">
        <f>SUM('Front office:Rooms Admin'!J32)</f>
        <v>18625</v>
      </c>
      <c r="K32" s="134">
        <f>SUM('Front office:Rooms Admin'!K32)</f>
        <v>20889</v>
      </c>
      <c r="L32" s="134">
        <f>SUM('Front office:Rooms Admin'!L32)</f>
        <v>21821</v>
      </c>
      <c r="M32" s="134">
        <f>SUM('Front office:Rooms Admin'!M32)</f>
        <v>22876</v>
      </c>
      <c r="N32" s="134">
        <f>SUM('Front office:Rooms Admin'!N32)</f>
        <v>115304</v>
      </c>
      <c r="O32" s="134">
        <f>SUM('Front office:Rooms Admin'!O32)</f>
        <v>110224</v>
      </c>
      <c r="P32" s="134">
        <f>SUM('Front office:Rooms Admin'!P32)</f>
        <v>22243</v>
      </c>
      <c r="Q32" s="135">
        <f t="shared" si="12"/>
        <v>507885</v>
      </c>
      <c r="R32" s="136">
        <f>SUM('Front office:Rooms Admin'!R32)</f>
        <v>22198</v>
      </c>
      <c r="S32" s="136">
        <f>SUM('Front office:Rooms Admin'!S32)</f>
        <v>22198</v>
      </c>
      <c r="T32" s="136">
        <f>SUM('Front office:Rooms Admin'!T32)</f>
        <v>22198</v>
      </c>
      <c r="U32" s="136">
        <f>SUM('Front office:Rooms Admin'!U32)</f>
        <v>0</v>
      </c>
      <c r="V32" s="136">
        <f>SUM('Front office:Rooms Admin'!V32)</f>
        <v>0</v>
      </c>
      <c r="W32" s="136">
        <f>SUM('Front office:Rooms Admin'!W32)</f>
        <v>0</v>
      </c>
      <c r="X32" s="136">
        <f>SUM('Front office:Rooms Admin'!X32)</f>
        <v>0</v>
      </c>
      <c r="Y32" s="136">
        <f>SUM('Front office:Rooms Admin'!Y32)</f>
        <v>100000</v>
      </c>
      <c r="Z32" s="136">
        <f>SUM('Front office:Rooms Admin'!Z32)</f>
        <v>0</v>
      </c>
      <c r="AA32" s="136">
        <f>SUM('Front office:Rooms Admin'!AA32)</f>
        <v>0</v>
      </c>
      <c r="AB32" s="136">
        <f>SUM('Front office:Rooms Admin'!AB32)</f>
        <v>0</v>
      </c>
      <c r="AC32" s="136">
        <f>SUM('Front office:Rooms Admin'!AC32)</f>
        <v>0</v>
      </c>
      <c r="AD32" s="137">
        <f t="shared" si="10"/>
        <v>166594</v>
      </c>
      <c r="AE32" s="136">
        <f t="shared" si="13"/>
        <v>341291</v>
      </c>
      <c r="AF32" s="138">
        <f t="shared" si="4"/>
        <v>2.0486392066941188</v>
      </c>
      <c r="AG32" s="133">
        <v>630173</v>
      </c>
      <c r="AH32" s="133">
        <f t="shared" si="11"/>
        <v>122288</v>
      </c>
      <c r="AJ32" s="130"/>
      <c r="AK32" s="124"/>
      <c r="AL32" s="124"/>
    </row>
    <row r="33" spans="1:38">
      <c r="A33" s="105" t="s">
        <v>201</v>
      </c>
      <c r="B33" s="105" t="s">
        <v>174</v>
      </c>
      <c r="D33" s="105" t="s">
        <v>202</v>
      </c>
      <c r="E33" s="134">
        <f>SUM('Front office:Rooms Admin'!E33)</f>
        <v>46448</v>
      </c>
      <c r="F33" s="134">
        <f>SUM('Front office:Rooms Admin'!F33)</f>
        <v>28583</v>
      </c>
      <c r="G33" s="134">
        <f>SUM('Front office:Rooms Admin'!G33)</f>
        <v>29300</v>
      </c>
      <c r="H33" s="134">
        <f>SUM('Front office:Rooms Admin'!H33)</f>
        <v>32928</v>
      </c>
      <c r="I33" s="134">
        <f>SUM('Front office:Rooms Admin'!I33)</f>
        <v>62304</v>
      </c>
      <c r="J33" s="134">
        <f>SUM('Front office:Rooms Admin'!J33)</f>
        <v>62849</v>
      </c>
      <c r="K33" s="134">
        <f>SUM('Front office:Rooms Admin'!K33)</f>
        <v>30248</v>
      </c>
      <c r="L33" s="134">
        <f>SUM('Front office:Rooms Admin'!L33)</f>
        <v>39848</v>
      </c>
      <c r="M33" s="134">
        <f>SUM('Front office:Rooms Admin'!M33)</f>
        <v>89157</v>
      </c>
      <c r="N33" s="134">
        <f>SUM('Front office:Rooms Admin'!N33)</f>
        <v>84089</v>
      </c>
      <c r="O33" s="134">
        <f>SUM('Front office:Rooms Admin'!O33)</f>
        <v>28240</v>
      </c>
      <c r="P33" s="134">
        <f>SUM('Front office:Rooms Admin'!P33)</f>
        <v>30248</v>
      </c>
      <c r="Q33" s="135">
        <f t="shared" si="12"/>
        <v>564242</v>
      </c>
      <c r="R33" s="136">
        <f>SUM('Front office:Rooms Admin'!R33)</f>
        <v>49427.369999999995</v>
      </c>
      <c r="S33" s="136">
        <f>SUM('Front office:Rooms Admin'!S33)</f>
        <v>9568.77</v>
      </c>
      <c r="T33" s="136">
        <f>SUM('Front office:Rooms Admin'!T33)</f>
        <v>14190.12</v>
      </c>
      <c r="U33" s="136">
        <f>SUM('Front office:Rooms Admin'!U33)</f>
        <v>-6990.0999999999995</v>
      </c>
      <c r="V33" s="136">
        <f>SUM('Front office:Rooms Admin'!V33)</f>
        <v>147140.71</v>
      </c>
      <c r="W33" s="136">
        <f>SUM('Front office:Rooms Admin'!W33)</f>
        <v>22607.360000000001</v>
      </c>
      <c r="X33" s="136">
        <f>SUM('Front office:Rooms Admin'!X33)</f>
        <v>6988.73</v>
      </c>
      <c r="Y33" s="136">
        <f>SUM('Front office:Rooms Admin'!Y33)</f>
        <v>41413.06</v>
      </c>
      <c r="Z33" s="136">
        <f>SUM('Front office:Rooms Admin'!Z33)</f>
        <v>18812</v>
      </c>
      <c r="AA33" s="136">
        <f>SUM('Front office:Rooms Admin'!AA33)</f>
        <v>46541</v>
      </c>
      <c r="AB33" s="136">
        <f>SUM('Front office:Rooms Admin'!AB33)</f>
        <v>46322</v>
      </c>
      <c r="AC33" s="136">
        <f>SUM('Front office:Rooms Admin'!AC33)</f>
        <v>48894</v>
      </c>
      <c r="AD33" s="137">
        <f t="shared" si="10"/>
        <v>444915.02</v>
      </c>
      <c r="AE33" s="136">
        <f t="shared" si="13"/>
        <v>119326.97999999998</v>
      </c>
      <c r="AF33" s="138">
        <f t="shared" si="4"/>
        <v>0.26820173434468447</v>
      </c>
      <c r="AG33" s="133">
        <v>960304.20000000007</v>
      </c>
      <c r="AH33" s="133">
        <f t="shared" si="11"/>
        <v>396062.20000000007</v>
      </c>
      <c r="AJ33" s="130"/>
      <c r="AK33" s="124"/>
      <c r="AL33" s="124"/>
    </row>
    <row r="34" spans="1:38">
      <c r="A34" s="105" t="s">
        <v>203</v>
      </c>
      <c r="B34" s="105" t="s">
        <v>174</v>
      </c>
      <c r="D34" s="105" t="s">
        <v>204</v>
      </c>
      <c r="E34" s="134">
        <f>SUM('Front office:Rooms Admin'!E34)</f>
        <v>4279</v>
      </c>
      <c r="F34" s="134">
        <f>SUM('Front office:Rooms Admin'!F34)</f>
        <v>4279</v>
      </c>
      <c r="G34" s="134">
        <f>SUM('Front office:Rooms Admin'!G34)</f>
        <v>4279</v>
      </c>
      <c r="H34" s="134">
        <f>SUM('Front office:Rooms Admin'!H34)</f>
        <v>4279</v>
      </c>
      <c r="I34" s="134">
        <f>SUM('Front office:Rooms Admin'!I34)</f>
        <v>4279</v>
      </c>
      <c r="J34" s="134">
        <f>SUM('Front office:Rooms Admin'!J34)</f>
        <v>4279</v>
      </c>
      <c r="K34" s="134">
        <f>SUM('Front office:Rooms Admin'!K34)</f>
        <v>4279</v>
      </c>
      <c r="L34" s="134">
        <f>SUM('Front office:Rooms Admin'!L34)</f>
        <v>4279</v>
      </c>
      <c r="M34" s="134">
        <f>SUM('Front office:Rooms Admin'!M34)</f>
        <v>4279</v>
      </c>
      <c r="N34" s="134">
        <f>SUM('Front office:Rooms Admin'!N34)</f>
        <v>4279</v>
      </c>
      <c r="O34" s="134">
        <f>SUM('Front office:Rooms Admin'!O34)</f>
        <v>4279</v>
      </c>
      <c r="P34" s="134">
        <f>SUM('Front office:Rooms Admin'!P34)</f>
        <v>4279</v>
      </c>
      <c r="Q34" s="135">
        <f t="shared" si="12"/>
        <v>51348</v>
      </c>
      <c r="R34" s="136">
        <f>SUM('Front office:Rooms Admin'!R34)</f>
        <v>7605</v>
      </c>
      <c r="S34" s="136">
        <f>SUM('Front office:Rooms Admin'!S34)</f>
        <v>7605</v>
      </c>
      <c r="T34" s="136">
        <f>SUM('Front office:Rooms Admin'!T34)</f>
        <v>7441.4</v>
      </c>
      <c r="U34" s="136">
        <f>SUM('Front office:Rooms Admin'!U34)</f>
        <v>-48.599999999999994</v>
      </c>
      <c r="V34" s="136">
        <f>SUM('Front office:Rooms Admin'!V34)</f>
        <v>0</v>
      </c>
      <c r="W34" s="136">
        <f>SUM('Front office:Rooms Admin'!W34)</f>
        <v>-109.2</v>
      </c>
      <c r="X34" s="136">
        <f>SUM('Front office:Rooms Admin'!X34)</f>
        <v>0</v>
      </c>
      <c r="Y34" s="136">
        <f>SUM('Front office:Rooms Admin'!Y34)</f>
        <v>-87.88</v>
      </c>
      <c r="Z34" s="136">
        <f>SUM('Front office:Rooms Admin'!Z34)</f>
        <v>0</v>
      </c>
      <c r="AA34" s="136">
        <f>SUM('Front office:Rooms Admin'!AA34)</f>
        <v>0</v>
      </c>
      <c r="AB34" s="136">
        <f>SUM('Front office:Rooms Admin'!AB34)</f>
        <v>0</v>
      </c>
      <c r="AC34" s="136">
        <f>SUM('Front office:Rooms Admin'!AC34)</f>
        <v>0</v>
      </c>
      <c r="AD34" s="137">
        <f t="shared" si="10"/>
        <v>22405.72</v>
      </c>
      <c r="AE34" s="136">
        <f t="shared" si="13"/>
        <v>28942.28</v>
      </c>
      <c r="AF34" s="138">
        <f t="shared" si="4"/>
        <v>1.2917362173587814</v>
      </c>
      <c r="AG34" s="133">
        <v>254512.88000000003</v>
      </c>
      <c r="AH34" s="133">
        <f t="shared" si="11"/>
        <v>203164.88000000003</v>
      </c>
      <c r="AJ34" s="130"/>
      <c r="AK34" s="124"/>
      <c r="AL34" s="124"/>
    </row>
    <row r="35" spans="1:38">
      <c r="A35" s="105" t="s">
        <v>205</v>
      </c>
      <c r="B35" s="105" t="s">
        <v>174</v>
      </c>
      <c r="D35" s="105" t="s">
        <v>206</v>
      </c>
      <c r="E35" s="134">
        <f>SUM('Front office:Rooms Admin'!E35)</f>
        <v>0</v>
      </c>
      <c r="F35" s="134">
        <f>SUM('Front office:Rooms Admin'!F35)</f>
        <v>0</v>
      </c>
      <c r="G35" s="134">
        <f>SUM('Front office:Rooms Admin'!G35)</f>
        <v>0</v>
      </c>
      <c r="H35" s="134">
        <f>SUM('Front office:Rooms Admin'!H35)</f>
        <v>0</v>
      </c>
      <c r="I35" s="134">
        <f>SUM('Front office:Rooms Admin'!I35)</f>
        <v>0</v>
      </c>
      <c r="J35" s="134">
        <f>SUM('Front office:Rooms Admin'!J35)</f>
        <v>0</v>
      </c>
      <c r="K35" s="134">
        <f>SUM('Front office:Rooms Admin'!K35)</f>
        <v>0</v>
      </c>
      <c r="L35" s="134">
        <f>SUM('Front office:Rooms Admin'!L35)</f>
        <v>0</v>
      </c>
      <c r="M35" s="134">
        <f>SUM('Front office:Rooms Admin'!M35)</f>
        <v>0</v>
      </c>
      <c r="N35" s="134">
        <f>SUM('Front office:Rooms Admin'!N35)</f>
        <v>0</v>
      </c>
      <c r="O35" s="134">
        <f>SUM('Front office:Rooms Admin'!O35)</f>
        <v>0</v>
      </c>
      <c r="P35" s="134">
        <f>SUM('Front office:Rooms Admin'!P35)</f>
        <v>0</v>
      </c>
      <c r="Q35" s="135">
        <f t="shared" si="12"/>
        <v>0</v>
      </c>
      <c r="R35" s="136">
        <f>SUM('Front office:Rooms Admin'!R35)</f>
        <v>0</v>
      </c>
      <c r="S35" s="136">
        <f>SUM('Front office:Rooms Admin'!S35)</f>
        <v>0</v>
      </c>
      <c r="T35" s="136">
        <f>SUM('Front office:Rooms Admin'!T35)</f>
        <v>0</v>
      </c>
      <c r="U35" s="136">
        <f>SUM('Front office:Rooms Admin'!U35)</f>
        <v>0</v>
      </c>
      <c r="V35" s="136">
        <f>SUM('Front office:Rooms Admin'!V35)</f>
        <v>0</v>
      </c>
      <c r="W35" s="136">
        <f>SUM('Front office:Rooms Admin'!W35)</f>
        <v>0</v>
      </c>
      <c r="X35" s="136">
        <f>SUM('Front office:Rooms Admin'!X35)</f>
        <v>0</v>
      </c>
      <c r="Y35" s="136">
        <f>SUM('Front office:Rooms Admin'!Y35)</f>
        <v>0</v>
      </c>
      <c r="Z35" s="136">
        <f>SUM('Front office:Rooms Admin'!Z35)</f>
        <v>0</v>
      </c>
      <c r="AA35" s="136">
        <f>SUM('Front office:Rooms Admin'!AA35)</f>
        <v>0</v>
      </c>
      <c r="AB35" s="136">
        <f>SUM('Front office:Rooms Admin'!AB35)</f>
        <v>0</v>
      </c>
      <c r="AC35" s="136">
        <f>SUM('Front office:Rooms Admin'!AC35)</f>
        <v>0</v>
      </c>
      <c r="AD35" s="137">
        <f t="shared" si="10"/>
        <v>0</v>
      </c>
      <c r="AE35" s="136">
        <f t="shared" si="13"/>
        <v>0</v>
      </c>
      <c r="AF35" s="138" t="e">
        <f t="shared" si="4"/>
        <v>#DIV/0!</v>
      </c>
      <c r="AG35" s="133">
        <v>-20238.400000000001</v>
      </c>
      <c r="AH35" s="133">
        <f t="shared" si="11"/>
        <v>-20238.400000000001</v>
      </c>
      <c r="AJ35" s="130"/>
      <c r="AK35" s="124"/>
      <c r="AL35" s="124"/>
    </row>
    <row r="36" spans="1:38">
      <c r="A36" s="105" t="s">
        <v>207</v>
      </c>
      <c r="B36" s="105" t="s">
        <v>174</v>
      </c>
      <c r="D36" s="105" t="s">
        <v>208</v>
      </c>
      <c r="E36" s="134">
        <f>SUM('Front office:Rooms Admin'!E36)</f>
        <v>65721</v>
      </c>
      <c r="F36" s="134">
        <f>SUM('Front office:Rooms Admin'!F36)</f>
        <v>46739</v>
      </c>
      <c r="G36" s="134">
        <f>SUM('Front office:Rooms Admin'!G36)</f>
        <v>39441</v>
      </c>
      <c r="H36" s="134">
        <f>SUM('Front office:Rooms Admin'!H36)</f>
        <v>38238</v>
      </c>
      <c r="I36" s="134">
        <f>SUM('Front office:Rooms Admin'!I36)</f>
        <v>38352</v>
      </c>
      <c r="J36" s="134">
        <f>SUM('Front office:Rooms Admin'!J36)</f>
        <v>37630</v>
      </c>
      <c r="K36" s="134">
        <f>SUM('Front office:Rooms Admin'!K36)</f>
        <v>37651</v>
      </c>
      <c r="L36" s="134">
        <f>SUM('Front office:Rooms Admin'!L36)</f>
        <v>37651</v>
      </c>
      <c r="M36" s="134">
        <f>SUM('Front office:Rooms Admin'!M36)</f>
        <v>35224</v>
      </c>
      <c r="N36" s="134">
        <f>SUM('Front office:Rooms Admin'!N36)</f>
        <v>37902</v>
      </c>
      <c r="O36" s="134">
        <f>SUM('Front office:Rooms Admin'!O36)</f>
        <v>35427</v>
      </c>
      <c r="P36" s="134">
        <f>SUM('Front office:Rooms Admin'!P36)</f>
        <v>39232</v>
      </c>
      <c r="Q36" s="135">
        <f t="shared" si="12"/>
        <v>489208</v>
      </c>
      <c r="R36" s="136">
        <f>SUM('Front office:Rooms Admin'!R36)</f>
        <v>58401.369999999995</v>
      </c>
      <c r="S36" s="136">
        <f>SUM('Front office:Rooms Admin'!S36)</f>
        <v>79945.87</v>
      </c>
      <c r="T36" s="136">
        <f>SUM('Front office:Rooms Admin'!T36)</f>
        <v>50302.47</v>
      </c>
      <c r="U36" s="136">
        <f>SUM('Front office:Rooms Admin'!U36)</f>
        <v>36421.89</v>
      </c>
      <c r="V36" s="136">
        <f>SUM('Front office:Rooms Admin'!V36)</f>
        <v>33269.369999999995</v>
      </c>
      <c r="W36" s="136">
        <f>SUM('Front office:Rooms Admin'!W36)</f>
        <v>32507.739999999998</v>
      </c>
      <c r="X36" s="136">
        <f>SUM('Front office:Rooms Admin'!X36)</f>
        <v>27460.78</v>
      </c>
      <c r="Y36" s="136">
        <f>SUM('Front office:Rooms Admin'!Y36)</f>
        <v>34443.410000000003</v>
      </c>
      <c r="Z36" s="136">
        <f>SUM('Front office:Rooms Admin'!Z36)</f>
        <v>30839</v>
      </c>
      <c r="AA36" s="136">
        <f>SUM('Front office:Rooms Admin'!AA36)</f>
        <v>35785</v>
      </c>
      <c r="AB36" s="136">
        <f>SUM('Front office:Rooms Admin'!AB36)</f>
        <v>35528</v>
      </c>
      <c r="AC36" s="136">
        <f>SUM('Front office:Rooms Admin'!AC36)</f>
        <v>36497</v>
      </c>
      <c r="AD36" s="137">
        <f t="shared" si="10"/>
        <v>491401.9</v>
      </c>
      <c r="AE36" s="136">
        <f t="shared" si="13"/>
        <v>-2193.9000000000233</v>
      </c>
      <c r="AF36" s="138">
        <f t="shared" si="4"/>
        <v>-4.4645737022995296E-3</v>
      </c>
      <c r="AG36" s="133">
        <v>171641.94000000003</v>
      </c>
      <c r="AH36" s="133">
        <f t="shared" si="11"/>
        <v>-317566.05999999994</v>
      </c>
      <c r="AJ36" s="130"/>
      <c r="AK36" s="124"/>
      <c r="AL36" s="124"/>
    </row>
    <row r="37" spans="1:38">
      <c r="A37" s="105" t="s">
        <v>209</v>
      </c>
      <c r="B37" s="105" t="s">
        <v>174</v>
      </c>
      <c r="D37" s="105" t="s">
        <v>210</v>
      </c>
      <c r="E37" s="134">
        <f>SUM('Front office:Rooms Admin'!E37)</f>
        <v>1500</v>
      </c>
      <c r="F37" s="134">
        <f>SUM('Front office:Rooms Admin'!F37)</f>
        <v>1500</v>
      </c>
      <c r="G37" s="134">
        <f>SUM('Front office:Rooms Admin'!G37)</f>
        <v>1500</v>
      </c>
      <c r="H37" s="134">
        <f>SUM('Front office:Rooms Admin'!H37)</f>
        <v>1000</v>
      </c>
      <c r="I37" s="134">
        <f>SUM('Front office:Rooms Admin'!I37)</f>
        <v>1000</v>
      </c>
      <c r="J37" s="134">
        <f>SUM('Front office:Rooms Admin'!J37)</f>
        <v>1000</v>
      </c>
      <c r="K37" s="134">
        <f>SUM('Front office:Rooms Admin'!K37)</f>
        <v>1500</v>
      </c>
      <c r="L37" s="134">
        <f>SUM('Front office:Rooms Admin'!L37)</f>
        <v>1500</v>
      </c>
      <c r="M37" s="134">
        <f>SUM('Front office:Rooms Admin'!M37)</f>
        <v>1000</v>
      </c>
      <c r="N37" s="134">
        <f>SUM('Front office:Rooms Admin'!N37)</f>
        <v>1500</v>
      </c>
      <c r="O37" s="134">
        <f>SUM('Front office:Rooms Admin'!O37)</f>
        <v>1500</v>
      </c>
      <c r="P37" s="134">
        <f>SUM('Front office:Rooms Admin'!P37)</f>
        <v>1500</v>
      </c>
      <c r="Q37" s="135">
        <f t="shared" si="12"/>
        <v>16000</v>
      </c>
      <c r="R37" s="136">
        <f>SUM('Front office:Rooms Admin'!R37)</f>
        <v>493.39</v>
      </c>
      <c r="S37" s="136">
        <f>SUM('Front office:Rooms Admin'!S37)</f>
        <v>2500</v>
      </c>
      <c r="T37" s="136">
        <f>SUM('Front office:Rooms Admin'!T37)</f>
        <v>1135.8499999999999</v>
      </c>
      <c r="U37" s="136">
        <f>SUM('Front office:Rooms Admin'!U37)</f>
        <v>-2148.1200000000003</v>
      </c>
      <c r="V37" s="136">
        <f>SUM('Front office:Rooms Admin'!V37)</f>
        <v>2500</v>
      </c>
      <c r="W37" s="136">
        <f>SUM('Front office:Rooms Admin'!W37)</f>
        <v>-563.01</v>
      </c>
      <c r="X37" s="136">
        <f>SUM('Front office:Rooms Admin'!X37)</f>
        <v>-91.51</v>
      </c>
      <c r="Y37" s="136">
        <f>SUM('Front office:Rooms Admin'!Y37)</f>
        <v>6000</v>
      </c>
      <c r="Z37" s="136">
        <f>SUM('Front office:Rooms Admin'!Z37)</f>
        <v>500</v>
      </c>
      <c r="AA37" s="136">
        <f>SUM('Front office:Rooms Admin'!AA37)</f>
        <v>1000</v>
      </c>
      <c r="AB37" s="136">
        <f>SUM('Front office:Rooms Admin'!AB37)</f>
        <v>1000</v>
      </c>
      <c r="AC37" s="136">
        <f>SUM('Front office:Rooms Admin'!AC37)</f>
        <v>1000</v>
      </c>
      <c r="AD37" s="137">
        <f t="shared" si="10"/>
        <v>13326.599999999999</v>
      </c>
      <c r="AE37" s="136">
        <f t="shared" si="13"/>
        <v>2673.4000000000015</v>
      </c>
      <c r="AF37" s="138">
        <f t="shared" si="4"/>
        <v>0.20060630618462336</v>
      </c>
      <c r="AG37" s="133">
        <v>11087.27</v>
      </c>
      <c r="AH37" s="133">
        <f t="shared" si="11"/>
        <v>-4912.7299999999996</v>
      </c>
      <c r="AJ37" s="130"/>
      <c r="AK37" s="124"/>
      <c r="AL37" s="124"/>
    </row>
    <row r="38" spans="1:38">
      <c r="A38" s="105" t="s">
        <v>211</v>
      </c>
      <c r="B38" s="105" t="s">
        <v>174</v>
      </c>
      <c r="D38" s="105" t="s">
        <v>212</v>
      </c>
      <c r="E38" s="134">
        <f>SUM('Front office:Rooms Admin'!E38)</f>
        <v>9430</v>
      </c>
      <c r="F38" s="134">
        <f>SUM('Front office:Rooms Admin'!F38)</f>
        <v>8517</v>
      </c>
      <c r="G38" s="134">
        <f>SUM('Front office:Rooms Admin'!G38)</f>
        <v>9220</v>
      </c>
      <c r="H38" s="134">
        <f>SUM('Front office:Rooms Admin'!H38)</f>
        <v>8619</v>
      </c>
      <c r="I38" s="134">
        <f>SUM('Front office:Rooms Admin'!I38)</f>
        <v>8676</v>
      </c>
      <c r="J38" s="134">
        <f>SUM('Front office:Rooms Admin'!J38)</f>
        <v>8314</v>
      </c>
      <c r="K38" s="134">
        <f>SUM('Front office:Rooms Admin'!K38)</f>
        <v>9325</v>
      </c>
      <c r="L38" s="134">
        <f>SUM('Front office:Rooms Admin'!L38)</f>
        <v>9325</v>
      </c>
      <c r="M38" s="134">
        <f>SUM('Front office:Rooms Admin'!M38)</f>
        <v>8112</v>
      </c>
      <c r="N38" s="134">
        <f>SUM('Front office:Rooms Admin'!N38)</f>
        <v>8592</v>
      </c>
      <c r="O38" s="134">
        <f>SUM('Front office:Rooms Admin'!O38)</f>
        <v>8214</v>
      </c>
      <c r="P38" s="134">
        <f>SUM('Front office:Rooms Admin'!P38)</f>
        <v>9116</v>
      </c>
      <c r="Q38" s="135">
        <f t="shared" si="12"/>
        <v>105460</v>
      </c>
      <c r="R38" s="136">
        <f>SUM('Front office:Rooms Admin'!R38)</f>
        <v>10179.049999999999</v>
      </c>
      <c r="S38" s="136">
        <f>SUM('Front office:Rooms Admin'!S38)</f>
        <v>9406.1</v>
      </c>
      <c r="T38" s="136">
        <f>SUM('Front office:Rooms Admin'!T38)</f>
        <v>9154.7100000000009</v>
      </c>
      <c r="U38" s="136">
        <f>SUM('Front office:Rooms Admin'!U38)</f>
        <v>6331.17</v>
      </c>
      <c r="V38" s="136">
        <f>SUM('Front office:Rooms Admin'!V38)</f>
        <v>9615.92</v>
      </c>
      <c r="W38" s="136">
        <f>SUM('Front office:Rooms Admin'!W38)</f>
        <v>7897.7</v>
      </c>
      <c r="X38" s="136">
        <f>SUM('Front office:Rooms Admin'!X38)</f>
        <v>9174.4699999999993</v>
      </c>
      <c r="Y38" s="136">
        <f>SUM('Front office:Rooms Admin'!Y38)</f>
        <v>7998.58</v>
      </c>
      <c r="Z38" s="136">
        <f>SUM('Front office:Rooms Admin'!Z38)</f>
        <v>8094</v>
      </c>
      <c r="AA38" s="136">
        <f>SUM('Front office:Rooms Admin'!AA38)</f>
        <v>8784</v>
      </c>
      <c r="AB38" s="136">
        <f>SUM('Front office:Rooms Admin'!AB38)</f>
        <v>8597</v>
      </c>
      <c r="AC38" s="136">
        <f>SUM('Front office:Rooms Admin'!AC38)</f>
        <v>9304</v>
      </c>
      <c r="AD38" s="137">
        <f t="shared" si="10"/>
        <v>104536.7</v>
      </c>
      <c r="AE38" s="136">
        <f t="shared" si="13"/>
        <v>923.30000000000291</v>
      </c>
      <c r="AF38" s="138">
        <f t="shared" si="4"/>
        <v>8.8323048269172734E-3</v>
      </c>
      <c r="AG38" s="133">
        <v>128283.97</v>
      </c>
      <c r="AH38" s="133">
        <f t="shared" si="11"/>
        <v>22823.97</v>
      </c>
      <c r="AJ38" s="130"/>
      <c r="AK38" s="124"/>
      <c r="AL38" s="124"/>
    </row>
    <row r="39" spans="1:38">
      <c r="A39" s="105" t="s">
        <v>213</v>
      </c>
      <c r="B39" s="105" t="s">
        <v>174</v>
      </c>
      <c r="D39" s="105" t="s">
        <v>214</v>
      </c>
      <c r="E39" s="134">
        <f>SUM('Front office:Rooms Admin'!E39)</f>
        <v>210854.04</v>
      </c>
      <c r="F39" s="134">
        <f>SUM('Front office:Rooms Admin'!F39)</f>
        <v>192212.08</v>
      </c>
      <c r="G39" s="134">
        <f>SUM('Front office:Rooms Admin'!G39)</f>
        <v>194431.58</v>
      </c>
      <c r="H39" s="134">
        <f>SUM('Front office:Rooms Admin'!H39)</f>
        <v>199773.53</v>
      </c>
      <c r="I39" s="134">
        <f>SUM('Front office:Rooms Admin'!I39)</f>
        <v>205400.99</v>
      </c>
      <c r="J39" s="134">
        <f>SUM('Front office:Rooms Admin'!J39)</f>
        <v>196257.25</v>
      </c>
      <c r="K39" s="134">
        <f>SUM('Front office:Rooms Admin'!K39)</f>
        <v>209277.92</v>
      </c>
      <c r="L39" s="134">
        <f>SUM('Front office:Rooms Admin'!L39)</f>
        <v>208270.53</v>
      </c>
      <c r="M39" s="134">
        <f>SUM('Front office:Rooms Admin'!M39)</f>
        <v>201032.53</v>
      </c>
      <c r="N39" s="134">
        <f>SUM('Front office:Rooms Admin'!N39)</f>
        <v>228743.67</v>
      </c>
      <c r="O39" s="134">
        <f>SUM('Front office:Rooms Admin'!O39)</f>
        <v>202046.92</v>
      </c>
      <c r="P39" s="134">
        <f>SUM('Front office:Rooms Admin'!P39)</f>
        <v>201059.53</v>
      </c>
      <c r="Q39" s="135">
        <f t="shared" si="12"/>
        <v>2449360.5699999998</v>
      </c>
      <c r="R39" s="136">
        <f>SUM('Front office:Rooms Admin'!R39)</f>
        <v>259523.4</v>
      </c>
      <c r="S39" s="136">
        <f>SUM('Front office:Rooms Admin'!S39)</f>
        <v>293650.51</v>
      </c>
      <c r="T39" s="136">
        <f>SUM('Front office:Rooms Admin'!T39)</f>
        <v>204074.43000000002</v>
      </c>
      <c r="U39" s="136">
        <f>SUM('Front office:Rooms Admin'!U39)</f>
        <v>191280.36</v>
      </c>
      <c r="V39" s="136">
        <f>SUM('Front office:Rooms Admin'!V39)</f>
        <v>72517.039999999994</v>
      </c>
      <c r="W39" s="136">
        <f>SUM('Front office:Rooms Admin'!W39)</f>
        <v>216386.44</v>
      </c>
      <c r="X39" s="136">
        <f>SUM('Front office:Rooms Admin'!X39)</f>
        <v>196773.3</v>
      </c>
      <c r="Y39" s="136">
        <f>SUM('Front office:Rooms Admin'!Y39)</f>
        <v>158589.96</v>
      </c>
      <c r="Z39" s="136">
        <f>SUM('Front office:Rooms Admin'!Z39)</f>
        <v>213768</v>
      </c>
      <c r="AA39" s="136">
        <f>SUM('Front office:Rooms Admin'!AA39)</f>
        <v>239124</v>
      </c>
      <c r="AB39" s="136">
        <f>SUM('Front office:Rooms Admin'!AB39)</f>
        <v>200931</v>
      </c>
      <c r="AC39" s="136">
        <f>SUM('Front office:Rooms Admin'!AC39)</f>
        <v>205443</v>
      </c>
      <c r="AD39" s="137">
        <f t="shared" si="10"/>
        <v>2452061.4400000004</v>
      </c>
      <c r="AE39" s="136">
        <f t="shared" si="13"/>
        <v>-2700.8700000005774</v>
      </c>
      <c r="AF39" s="138">
        <f t="shared" si="4"/>
        <v>-1.1014691377392962E-3</v>
      </c>
      <c r="AG39" s="133">
        <v>2210661.59</v>
      </c>
      <c r="AH39" s="133">
        <f t="shared" si="11"/>
        <v>-238698.97999999998</v>
      </c>
      <c r="AJ39" s="130"/>
      <c r="AK39" s="124"/>
      <c r="AL39" s="124"/>
    </row>
    <row r="40" spans="1:38">
      <c r="A40" s="105" t="s">
        <v>215</v>
      </c>
      <c r="B40" s="105" t="s">
        <v>174</v>
      </c>
      <c r="D40" s="105" t="s">
        <v>216</v>
      </c>
      <c r="E40" s="134">
        <f>SUM('Front office:Rooms Admin'!E40)</f>
        <v>20428</v>
      </c>
      <c r="F40" s="134">
        <f>SUM('Front office:Rooms Admin'!F40)</f>
        <v>18512</v>
      </c>
      <c r="G40" s="134">
        <f>SUM('Front office:Rooms Admin'!G40)</f>
        <v>19988</v>
      </c>
      <c r="H40" s="134">
        <f>SUM('Front office:Rooms Admin'!H40)</f>
        <v>18725</v>
      </c>
      <c r="I40" s="134">
        <f>SUM('Front office:Rooms Admin'!I40)</f>
        <v>18844</v>
      </c>
      <c r="J40" s="134">
        <f>SUM('Front office:Rooms Admin'!J40)</f>
        <v>18086</v>
      </c>
      <c r="K40" s="134">
        <f>SUM('Front office:Rooms Admin'!K40)</f>
        <v>20208</v>
      </c>
      <c r="L40" s="134">
        <f>SUM('Front office:Rooms Admin'!L40)</f>
        <v>20208</v>
      </c>
      <c r="M40" s="134">
        <f>SUM('Front office:Rooms Admin'!M40)</f>
        <v>17660</v>
      </c>
      <c r="N40" s="134">
        <f>SUM('Front office:Rooms Admin'!N40)</f>
        <v>18668</v>
      </c>
      <c r="O40" s="134">
        <f>SUM('Front office:Rooms Admin'!O40)</f>
        <v>17873</v>
      </c>
      <c r="P40" s="134">
        <f>SUM('Front office:Rooms Admin'!P40)</f>
        <v>19768</v>
      </c>
      <c r="Q40" s="135">
        <f t="shared" si="12"/>
        <v>228968</v>
      </c>
      <c r="R40" s="136">
        <f>SUM('Front office:Rooms Admin'!R40)</f>
        <v>20004.43</v>
      </c>
      <c r="S40" s="136">
        <f>SUM('Front office:Rooms Admin'!S40)</f>
        <v>19150.789999999997</v>
      </c>
      <c r="T40" s="136">
        <f>SUM('Front office:Rooms Admin'!T40)</f>
        <v>20436.060000000001</v>
      </c>
      <c r="U40" s="136">
        <f>SUM('Front office:Rooms Admin'!U40)</f>
        <v>22483.63</v>
      </c>
      <c r="V40" s="136">
        <f>SUM('Front office:Rooms Admin'!V40)</f>
        <v>22943.050000000003</v>
      </c>
      <c r="W40" s="136">
        <f>SUM('Front office:Rooms Admin'!W40)</f>
        <v>22743.460000000003</v>
      </c>
      <c r="X40" s="136">
        <f>SUM('Front office:Rooms Admin'!X40)</f>
        <v>22374.230000000003</v>
      </c>
      <c r="Y40" s="136">
        <f>SUM('Front office:Rooms Admin'!Y40)</f>
        <v>18560.52</v>
      </c>
      <c r="Z40" s="136">
        <f>SUM('Front office:Rooms Admin'!Z40)</f>
        <v>22893.13</v>
      </c>
      <c r="AA40" s="136">
        <f>SUM('Front office:Rooms Admin'!AA40)</f>
        <v>22893.13</v>
      </c>
      <c r="AB40" s="136">
        <f>SUM('Front office:Rooms Admin'!AB40)</f>
        <v>22893.13</v>
      </c>
      <c r="AC40" s="136">
        <f>SUM('Front office:Rooms Admin'!AC40)</f>
        <v>22893.13</v>
      </c>
      <c r="AD40" s="137">
        <f t="shared" si="10"/>
        <v>260268.69000000003</v>
      </c>
      <c r="AE40" s="136">
        <f t="shared" si="13"/>
        <v>-31300.690000000031</v>
      </c>
      <c r="AF40" s="138">
        <f t="shared" si="4"/>
        <v>-0.12026298668502934</v>
      </c>
      <c r="AG40" s="133">
        <v>749788.71</v>
      </c>
      <c r="AH40" s="133">
        <f t="shared" si="11"/>
        <v>520820.70999999996</v>
      </c>
      <c r="AJ40" s="130"/>
      <c r="AK40" s="124"/>
      <c r="AL40" s="124"/>
    </row>
    <row r="41" spans="1:38">
      <c r="A41" s="105" t="s">
        <v>217</v>
      </c>
      <c r="B41" s="105" t="s">
        <v>174</v>
      </c>
      <c r="D41" s="105" t="s">
        <v>218</v>
      </c>
      <c r="E41" s="134">
        <f>SUM('Front office:Rooms Admin'!E41)</f>
        <v>1750</v>
      </c>
      <c r="F41" s="134">
        <f>SUM('Front office:Rooms Admin'!F41)</f>
        <v>1750</v>
      </c>
      <c r="G41" s="134">
        <f>SUM('Front office:Rooms Admin'!G41)</f>
        <v>1750</v>
      </c>
      <c r="H41" s="134">
        <f>SUM('Front office:Rooms Admin'!H41)</f>
        <v>1750</v>
      </c>
      <c r="I41" s="134">
        <f>SUM('Front office:Rooms Admin'!I41)</f>
        <v>1750</v>
      </c>
      <c r="J41" s="134">
        <f>SUM('Front office:Rooms Admin'!J41)</f>
        <v>1750</v>
      </c>
      <c r="K41" s="134">
        <f>SUM('Front office:Rooms Admin'!K41)</f>
        <v>1750</v>
      </c>
      <c r="L41" s="134">
        <f>SUM('Front office:Rooms Admin'!L41)</f>
        <v>1750</v>
      </c>
      <c r="M41" s="134">
        <f>SUM('Front office:Rooms Admin'!M41)</f>
        <v>1750</v>
      </c>
      <c r="N41" s="134">
        <f>SUM('Front office:Rooms Admin'!N41)</f>
        <v>1750</v>
      </c>
      <c r="O41" s="134">
        <f>SUM('Front office:Rooms Admin'!O41)</f>
        <v>1750</v>
      </c>
      <c r="P41" s="134">
        <f>SUM('Front office:Rooms Admin'!P41)</f>
        <v>1750</v>
      </c>
      <c r="Q41" s="135">
        <f t="shared" si="12"/>
        <v>21000</v>
      </c>
      <c r="R41" s="136">
        <f>SUM('Front office:Rooms Admin'!R41)</f>
        <v>693.31</v>
      </c>
      <c r="S41" s="136">
        <f>SUM('Front office:Rooms Admin'!S41)</f>
        <v>3819.92</v>
      </c>
      <c r="T41" s="136">
        <f>SUM('Front office:Rooms Admin'!T41)</f>
        <v>728.67000000000007</v>
      </c>
      <c r="U41" s="136">
        <f>SUM('Front office:Rooms Admin'!U41)</f>
        <v>1612.37</v>
      </c>
      <c r="V41" s="136">
        <f>SUM('Front office:Rooms Admin'!V41)</f>
        <v>-118.76999999999998</v>
      </c>
      <c r="W41" s="136">
        <f>SUM('Front office:Rooms Admin'!W41)</f>
        <v>1409.48</v>
      </c>
      <c r="X41" s="136">
        <f>SUM('Front office:Rooms Admin'!X41)</f>
        <v>1212.55</v>
      </c>
      <c r="Y41" s="136">
        <f>SUM('Front office:Rooms Admin'!Y41)</f>
        <v>1301.6399999999999</v>
      </c>
      <c r="Z41" s="136">
        <f>SUM('Front office:Rooms Admin'!Z41)</f>
        <v>2335</v>
      </c>
      <c r="AA41" s="136">
        <f>SUM('Front office:Rooms Admin'!AA41)</f>
        <v>2335</v>
      </c>
      <c r="AB41" s="136">
        <f>SUM('Front office:Rooms Admin'!AB41)</f>
        <v>2335</v>
      </c>
      <c r="AC41" s="136">
        <f>SUM('Front office:Rooms Admin'!AC41)</f>
        <v>2335</v>
      </c>
      <c r="AD41" s="137">
        <f t="shared" si="10"/>
        <v>19999.169999999998</v>
      </c>
      <c r="AE41" s="136">
        <f t="shared" si="13"/>
        <v>1000.8300000000017</v>
      </c>
      <c r="AF41" s="138">
        <f t="shared" si="4"/>
        <v>5.0043576808437643E-2</v>
      </c>
      <c r="AG41" s="133">
        <v>6666.45</v>
      </c>
      <c r="AH41" s="133">
        <f t="shared" si="11"/>
        <v>-14333.55</v>
      </c>
      <c r="AJ41" s="130"/>
      <c r="AK41" s="124"/>
      <c r="AL41" s="124"/>
    </row>
    <row r="42" spans="1:38">
      <c r="A42" s="105" t="s">
        <v>219</v>
      </c>
      <c r="B42" s="105" t="s">
        <v>174</v>
      </c>
      <c r="D42" s="105" t="s">
        <v>220</v>
      </c>
      <c r="E42" s="134">
        <f>SUM('Front office:Rooms Admin'!E42)</f>
        <v>0</v>
      </c>
      <c r="F42" s="134">
        <f>SUM('Front office:Rooms Admin'!F42)</f>
        <v>0</v>
      </c>
      <c r="G42" s="134">
        <f>SUM('Front office:Rooms Admin'!G42)</f>
        <v>0</v>
      </c>
      <c r="H42" s="134">
        <f>SUM('Front office:Rooms Admin'!H42)</f>
        <v>0</v>
      </c>
      <c r="I42" s="134">
        <f>SUM('Front office:Rooms Admin'!I42)</f>
        <v>0</v>
      </c>
      <c r="J42" s="134">
        <f>SUM('Front office:Rooms Admin'!J42)</f>
        <v>0</v>
      </c>
      <c r="K42" s="134">
        <f>SUM('Front office:Rooms Admin'!K42)</f>
        <v>0</v>
      </c>
      <c r="L42" s="134">
        <f>SUM('Front office:Rooms Admin'!L42)</f>
        <v>0</v>
      </c>
      <c r="M42" s="134">
        <f>SUM('Front office:Rooms Admin'!M42)</f>
        <v>0</v>
      </c>
      <c r="N42" s="134">
        <f>SUM('Front office:Rooms Admin'!N42)</f>
        <v>0</v>
      </c>
      <c r="O42" s="134">
        <f>SUM('Front office:Rooms Admin'!O42)</f>
        <v>0</v>
      </c>
      <c r="P42" s="134">
        <f>SUM('Front office:Rooms Admin'!P42)</f>
        <v>0</v>
      </c>
      <c r="Q42" s="135">
        <f t="shared" si="12"/>
        <v>0</v>
      </c>
      <c r="R42" s="136">
        <f>SUM('Front office:Rooms Admin'!R42)</f>
        <v>0</v>
      </c>
      <c r="S42" s="136">
        <f>SUM('Front office:Rooms Admin'!S42)</f>
        <v>0</v>
      </c>
      <c r="T42" s="136">
        <f>SUM('Front office:Rooms Admin'!T42)</f>
        <v>0</v>
      </c>
      <c r="U42" s="136">
        <f>SUM('Front office:Rooms Admin'!U42)</f>
        <v>0</v>
      </c>
      <c r="V42" s="136">
        <f>SUM('Front office:Rooms Admin'!V42)</f>
        <v>0</v>
      </c>
      <c r="W42" s="136">
        <f>SUM('Front office:Rooms Admin'!W42)</f>
        <v>0</v>
      </c>
      <c r="X42" s="136">
        <f>SUM('Front office:Rooms Admin'!X42)</f>
        <v>0</v>
      </c>
      <c r="Y42" s="136">
        <f>SUM('Front office:Rooms Admin'!Y42)</f>
        <v>0</v>
      </c>
      <c r="Z42" s="136">
        <f>SUM('Front office:Rooms Admin'!Z42)</f>
        <v>0</v>
      </c>
      <c r="AA42" s="136">
        <f>SUM('Front office:Rooms Admin'!AA42)</f>
        <v>0</v>
      </c>
      <c r="AB42" s="136">
        <f>SUM('Front office:Rooms Admin'!AB42)</f>
        <v>0</v>
      </c>
      <c r="AC42" s="136">
        <f>SUM('Front office:Rooms Admin'!AC42)</f>
        <v>0</v>
      </c>
      <c r="AD42" s="137">
        <f t="shared" si="10"/>
        <v>0</v>
      </c>
      <c r="AE42" s="136">
        <f t="shared" si="13"/>
        <v>0</v>
      </c>
      <c r="AF42" s="138" t="e">
        <f t="shared" si="4"/>
        <v>#DIV/0!</v>
      </c>
      <c r="AG42" s="133">
        <v>0</v>
      </c>
      <c r="AH42" s="133">
        <f t="shared" si="11"/>
        <v>0</v>
      </c>
      <c r="AJ42" s="130"/>
      <c r="AK42" s="124"/>
      <c r="AL42" s="124"/>
    </row>
    <row r="43" spans="1:38">
      <c r="A43" s="105" t="s">
        <v>221</v>
      </c>
      <c r="B43" s="105" t="s">
        <v>174</v>
      </c>
      <c r="D43" s="105" t="s">
        <v>222</v>
      </c>
      <c r="E43" s="111">
        <f>SUM('Front office:Rooms Admin'!E43)</f>
        <v>4272</v>
      </c>
      <c r="F43" s="111">
        <f>SUM('Front office:Rooms Admin'!F43)</f>
        <v>3907</v>
      </c>
      <c r="G43" s="111">
        <f>SUM('Front office:Rooms Admin'!G43)</f>
        <v>4188</v>
      </c>
      <c r="H43" s="111">
        <f>SUM('Front office:Rooms Admin'!H43)</f>
        <v>3948</v>
      </c>
      <c r="I43" s="111">
        <f>SUM('Front office:Rooms Admin'!I43)</f>
        <v>3970</v>
      </c>
      <c r="J43" s="111">
        <f>SUM('Front office:Rooms Admin'!J43)</f>
        <v>3826</v>
      </c>
      <c r="K43" s="111">
        <f>SUM('Front office:Rooms Admin'!K43)</f>
        <v>4230</v>
      </c>
      <c r="L43" s="111">
        <f>SUM('Front office:Rooms Admin'!L43)</f>
        <v>4230</v>
      </c>
      <c r="M43" s="111">
        <f>SUM('Front office:Rooms Admin'!M43)</f>
        <v>3745</v>
      </c>
      <c r="N43" s="111">
        <f>SUM('Front office:Rooms Admin'!N43)</f>
        <v>3937</v>
      </c>
      <c r="O43" s="111">
        <f>SUM('Front office:Rooms Admin'!O43)</f>
        <v>3785</v>
      </c>
      <c r="P43" s="111">
        <f>SUM('Front office:Rooms Admin'!P43)</f>
        <v>4146</v>
      </c>
      <c r="Q43" s="135">
        <f t="shared" si="12"/>
        <v>48184</v>
      </c>
      <c r="R43" s="72">
        <f>SUM('Front office:Rooms Admin'!R43)</f>
        <v>26545.82</v>
      </c>
      <c r="S43" s="72">
        <f>SUM('Front office:Rooms Admin'!S43)</f>
        <v>61598.36</v>
      </c>
      <c r="T43" s="72">
        <f>SUM('Front office:Rooms Admin'!T43)</f>
        <v>43240.759999999995</v>
      </c>
      <c r="U43" s="72">
        <f>SUM('Front office:Rooms Admin'!U43)</f>
        <v>18285.37</v>
      </c>
      <c r="V43" s="72">
        <f>SUM('Front office:Rooms Admin'!V43)</f>
        <v>-38358.909999999996</v>
      </c>
      <c r="W43" s="72">
        <f>SUM('Front office:Rooms Admin'!W43)</f>
        <v>39762.39</v>
      </c>
      <c r="X43" s="72">
        <f>SUM('Front office:Rooms Admin'!X43)</f>
        <v>32753.97</v>
      </c>
      <c r="Y43" s="72">
        <f>SUM('Front office:Rooms Admin'!Y43)</f>
        <v>39826.130000000005</v>
      </c>
      <c r="Z43" s="72">
        <f>SUM('Front office:Rooms Admin'!Z43)</f>
        <v>25698</v>
      </c>
      <c r="AA43" s="72">
        <f>SUM('Front office:Rooms Admin'!AA43)</f>
        <v>26088</v>
      </c>
      <c r="AB43" s="72">
        <f>SUM('Front office:Rooms Admin'!AB43)</f>
        <v>25982</v>
      </c>
      <c r="AC43" s="72">
        <f>SUM('Front office:Rooms Admin'!AC43)</f>
        <v>26381</v>
      </c>
      <c r="AD43" s="127">
        <f t="shared" si="10"/>
        <v>327802.89</v>
      </c>
      <c r="AE43" s="72">
        <f t="shared" si="13"/>
        <v>-279618.89</v>
      </c>
      <c r="AF43" s="128">
        <f t="shared" si="4"/>
        <v>-0.85300922758795694</v>
      </c>
      <c r="AG43" s="129">
        <v>-12875.970000000008</v>
      </c>
      <c r="AH43" s="133">
        <f t="shared" si="11"/>
        <v>-61059.970000000008</v>
      </c>
      <c r="AJ43" s="130"/>
      <c r="AK43" s="124"/>
      <c r="AL43" s="124"/>
    </row>
    <row r="44" spans="1:38" s="109" customFormat="1">
      <c r="D44" s="109" t="s">
        <v>223</v>
      </c>
      <c r="E44" s="133">
        <f t="shared" ref="E44:AD44" si="14">SUM(E20:E43)</f>
        <v>4596937.47</v>
      </c>
      <c r="F44" s="133">
        <f t="shared" si="14"/>
        <v>4331415.2</v>
      </c>
      <c r="G44" s="133">
        <f t="shared" si="14"/>
        <v>3426552.87</v>
      </c>
      <c r="H44" s="133">
        <f t="shared" si="14"/>
        <v>3348850.17</v>
      </c>
      <c r="I44" s="133">
        <f t="shared" si="14"/>
        <v>3293002.67</v>
      </c>
      <c r="J44" s="133">
        <f t="shared" si="14"/>
        <v>3084299.6100000003</v>
      </c>
      <c r="K44" s="133">
        <f t="shared" si="14"/>
        <v>3748489.33</v>
      </c>
      <c r="L44" s="133">
        <f t="shared" si="14"/>
        <v>3968683.25</v>
      </c>
      <c r="M44" s="133">
        <f t="shared" si="14"/>
        <v>3018623.9</v>
      </c>
      <c r="N44" s="133">
        <f t="shared" si="14"/>
        <v>3482709.07</v>
      </c>
      <c r="O44" s="133">
        <f t="shared" si="14"/>
        <v>3117309.76</v>
      </c>
      <c r="P44" s="133">
        <f t="shared" si="14"/>
        <v>3492939.94</v>
      </c>
      <c r="Q44" s="135">
        <f t="shared" si="14"/>
        <v>42909813.240000002</v>
      </c>
      <c r="R44" s="137">
        <f>SUM(R20:R43)</f>
        <v>5286062.45</v>
      </c>
      <c r="S44" s="137">
        <f t="shared" ref="S44:Y44" si="15">SUM(S20:S43)</f>
        <v>7526269.2399999993</v>
      </c>
      <c r="T44" s="137">
        <f t="shared" si="15"/>
        <v>4456446.6099999994</v>
      </c>
      <c r="U44" s="137">
        <f t="shared" si="15"/>
        <v>4030442.8099999987</v>
      </c>
      <c r="V44" s="137">
        <f t="shared" si="15"/>
        <v>3937962.4799999995</v>
      </c>
      <c r="W44" s="137">
        <f t="shared" si="15"/>
        <v>3511359.1000000006</v>
      </c>
      <c r="X44" s="137">
        <f>SUM(X20:X43)</f>
        <v>4301803.04</v>
      </c>
      <c r="Y44" s="137">
        <f t="shared" si="15"/>
        <v>5244105.6999999993</v>
      </c>
      <c r="Z44" s="137">
        <f>SUM(Z20:Z43)</f>
        <v>3012240.21</v>
      </c>
      <c r="AA44" s="137">
        <f>SUM(AA20:AA43)</f>
        <v>3432636.11</v>
      </c>
      <c r="AB44" s="137">
        <f>SUM(AB20:AB43)</f>
        <v>3104089.91</v>
      </c>
      <c r="AC44" s="137">
        <f>SUM(AC20:AC43)</f>
        <v>3574639.8200000003</v>
      </c>
      <c r="AD44" s="137">
        <f t="shared" si="14"/>
        <v>51418057.480000004</v>
      </c>
      <c r="AE44" s="127">
        <f>Q44-AD44</f>
        <v>-8508244.2400000021</v>
      </c>
      <c r="AF44" s="132">
        <f t="shared" si="4"/>
        <v>-0.16547191117263502</v>
      </c>
      <c r="AG44" s="129">
        <v>30126894.130000003</v>
      </c>
      <c r="AH44" s="133">
        <f t="shared" si="11"/>
        <v>-12782919.109999999</v>
      </c>
      <c r="AI44" s="123"/>
      <c r="AJ44" s="130"/>
      <c r="AK44" s="124"/>
      <c r="AL44" s="129"/>
    </row>
    <row r="45" spans="1:38" s="109" customFormat="1">
      <c r="D45" s="109" t="s">
        <v>224</v>
      </c>
      <c r="E45" s="133">
        <f t="shared" ref="E45:Q45" si="16">E15-E17-E44</f>
        <v>23735843.390000001</v>
      </c>
      <c r="F45" s="133">
        <f t="shared" si="16"/>
        <v>29017001.580000002</v>
      </c>
      <c r="G45" s="133">
        <f t="shared" si="16"/>
        <v>15945588.119999997</v>
      </c>
      <c r="H45" s="133">
        <f t="shared" si="16"/>
        <v>14343306.500000002</v>
      </c>
      <c r="I45" s="133">
        <f t="shared" si="16"/>
        <v>13089871.720000001</v>
      </c>
      <c r="J45" s="133">
        <f t="shared" si="16"/>
        <v>11531423.949999999</v>
      </c>
      <c r="K45" s="133">
        <f t="shared" si="16"/>
        <v>18426352.700000003</v>
      </c>
      <c r="L45" s="133">
        <f t="shared" si="16"/>
        <v>21846088.57</v>
      </c>
      <c r="M45" s="133">
        <f t="shared" si="16"/>
        <v>10274987.969999999</v>
      </c>
      <c r="N45" s="133">
        <f t="shared" si="16"/>
        <v>12773388.209999999</v>
      </c>
      <c r="O45" s="133">
        <f t="shared" si="16"/>
        <v>11019913.5</v>
      </c>
      <c r="P45" s="133">
        <f t="shared" si="16"/>
        <v>15035235.700000001</v>
      </c>
      <c r="Q45" s="135">
        <f t="shared" si="16"/>
        <v>197039001.91</v>
      </c>
      <c r="R45" s="137">
        <f>R15-R17-R44</f>
        <v>27019447.490000002</v>
      </c>
      <c r="S45" s="137">
        <f t="shared" ref="S45:Y45" si="17">S15-S17-S44</f>
        <v>44038515.089999996</v>
      </c>
      <c r="T45" s="137">
        <f t="shared" si="17"/>
        <v>16763521.559999999</v>
      </c>
      <c r="U45" s="137">
        <f t="shared" si="17"/>
        <v>13734718.590000004</v>
      </c>
      <c r="V45" s="137">
        <f t="shared" si="17"/>
        <v>12462064.880000003</v>
      </c>
      <c r="W45" s="137">
        <f t="shared" si="17"/>
        <v>11227913.050000001</v>
      </c>
      <c r="X45" s="137">
        <f>X15-X17-X44</f>
        <v>18080480.510000002</v>
      </c>
      <c r="Y45" s="137">
        <f t="shared" si="17"/>
        <v>20604357.010000002</v>
      </c>
      <c r="Z45" s="137">
        <f>Z15-Z17-Z44</f>
        <v>8723873.0399999991</v>
      </c>
      <c r="AA45" s="137">
        <f>AA15-AA17-AA44</f>
        <v>11147829.040000001</v>
      </c>
      <c r="AB45" s="137">
        <f>AB15-AB17-AB44</f>
        <v>10058237.039999999</v>
      </c>
      <c r="AC45" s="137">
        <f>AC15-AC17-AC44</f>
        <v>12929923.039999999</v>
      </c>
      <c r="AD45" s="137">
        <f>AD15-AD17-AD44</f>
        <v>206790880.34000003</v>
      </c>
      <c r="AE45" s="127">
        <f>Q45-AD45</f>
        <v>-9751878.430000037</v>
      </c>
      <c r="AF45" s="132">
        <f t="shared" si="4"/>
        <v>-4.7158164876353638E-2</v>
      </c>
      <c r="AG45" s="129">
        <v>198457179.56</v>
      </c>
      <c r="AH45" s="133">
        <f>Q45-AG45</f>
        <v>-1418177.650000006</v>
      </c>
      <c r="AI45" s="123"/>
      <c r="AJ45" s="130"/>
      <c r="AK45" s="124"/>
      <c r="AL45" s="129"/>
    </row>
    <row r="46" spans="1:38" s="109" customFormat="1">
      <c r="D46" s="109" t="s">
        <v>225</v>
      </c>
      <c r="E46" s="139">
        <f t="shared" ref="E46:AD46" si="18">E45/E15</f>
        <v>0.80617422227330471</v>
      </c>
      <c r="F46" s="139">
        <f t="shared" si="18"/>
        <v>0.84500489291499392</v>
      </c>
      <c r="G46" s="139">
        <f t="shared" si="18"/>
        <v>0.78359732652055503</v>
      </c>
      <c r="H46" s="139">
        <f t="shared" si="18"/>
        <v>0.76680613012662013</v>
      </c>
      <c r="I46" s="139">
        <f t="shared" si="18"/>
        <v>0.75112550689992152</v>
      </c>
      <c r="J46" s="139">
        <f t="shared" si="18"/>
        <v>0.73910571880532183</v>
      </c>
      <c r="K46" s="139">
        <f t="shared" si="18"/>
        <v>0.79494409957931678</v>
      </c>
      <c r="L46" s="139">
        <f t="shared" si="18"/>
        <v>0.81418874746219261</v>
      </c>
      <c r="M46" s="139">
        <f t="shared" si="18"/>
        <v>0.7184574752388847</v>
      </c>
      <c r="N46" s="139">
        <f t="shared" si="18"/>
        <v>0.73437790917183277</v>
      </c>
      <c r="O46" s="139">
        <f t="shared" si="18"/>
        <v>0.72742736230919736</v>
      </c>
      <c r="P46" s="139">
        <f t="shared" si="18"/>
        <v>0.76915401086682222</v>
      </c>
      <c r="Q46" s="139">
        <f>Q45/Q15</f>
        <v>0.78106898755425436</v>
      </c>
      <c r="R46" s="139">
        <f>R45/R15</f>
        <v>0.81042296103475742</v>
      </c>
      <c r="S46" s="139">
        <f t="shared" ref="S46:Y46" si="19">S45/S15</f>
        <v>0.83544875081072012</v>
      </c>
      <c r="T46" s="139">
        <f t="shared" si="19"/>
        <v>0.75573137886712838</v>
      </c>
      <c r="U46" s="139">
        <f t="shared" si="19"/>
        <v>0.73529791562780633</v>
      </c>
      <c r="V46" s="139">
        <f t="shared" si="19"/>
        <v>0.71472062870853359</v>
      </c>
      <c r="W46" s="139">
        <f t="shared" si="19"/>
        <v>0.72100336028440104</v>
      </c>
      <c r="X46" s="139">
        <f>X45/X15</f>
        <v>0.77925347741533402</v>
      </c>
      <c r="Y46" s="139">
        <f t="shared" si="19"/>
        <v>0.76298792643962676</v>
      </c>
      <c r="Z46" s="139">
        <f>Z45/Z15</f>
        <v>0.67098689656737209</v>
      </c>
      <c r="AA46" s="139">
        <f>AA45/AA15</f>
        <v>0.69627911802043341</v>
      </c>
      <c r="AB46" s="139">
        <f>AB45/AB15</f>
        <v>0.6957858933668567</v>
      </c>
      <c r="AC46" s="139">
        <f>AC45/AC15</f>
        <v>0.7258700409813057</v>
      </c>
      <c r="AD46" s="139">
        <f t="shared" si="18"/>
        <v>0.76191210669434195</v>
      </c>
      <c r="AE46" s="132"/>
      <c r="AF46" s="132">
        <f t="shared" si="4"/>
        <v>0</v>
      </c>
      <c r="AG46" s="132">
        <v>0.81267789113232425</v>
      </c>
      <c r="AH46" s="133">
        <f>Q46-AG46</f>
        <v>-3.1608903578069891E-2</v>
      </c>
      <c r="AI46" s="123"/>
      <c r="AJ46" s="130"/>
      <c r="AK46" s="124"/>
      <c r="AL46" s="129"/>
    </row>
    <row r="47" spans="1:38">
      <c r="D47" s="105" t="s">
        <v>154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35"/>
      <c r="AF47" s="128"/>
      <c r="AG47" s="129"/>
      <c r="AJ47" s="130"/>
      <c r="AK47" s="124"/>
      <c r="AL47" s="124"/>
    </row>
    <row r="48" spans="1:38">
      <c r="A48" s="105" t="s">
        <v>226</v>
      </c>
      <c r="B48" s="105" t="s">
        <v>160</v>
      </c>
      <c r="D48" s="105" t="s">
        <v>227</v>
      </c>
      <c r="E48" s="141">
        <f>676*31</f>
        <v>20956</v>
      </c>
      <c r="F48" s="141">
        <f>676*28</f>
        <v>18928</v>
      </c>
      <c r="G48" s="141">
        <f>676*31</f>
        <v>20956</v>
      </c>
      <c r="H48" s="141">
        <f>676*30</f>
        <v>20280</v>
      </c>
      <c r="I48" s="141">
        <f>676*31</f>
        <v>20956</v>
      </c>
      <c r="J48" s="141">
        <f>676*30</f>
        <v>20280</v>
      </c>
      <c r="K48" s="141">
        <f>676*31</f>
        <v>20956</v>
      </c>
      <c r="L48" s="141">
        <f>676*31</f>
        <v>20956</v>
      </c>
      <c r="M48" s="141">
        <f>676*30</f>
        <v>20280</v>
      </c>
      <c r="N48" s="141">
        <f>676*31</f>
        <v>20956</v>
      </c>
      <c r="O48" s="141">
        <f>676*30</f>
        <v>20280</v>
      </c>
      <c r="P48" s="141">
        <f>676*31</f>
        <v>20956</v>
      </c>
      <c r="Q48" s="133">
        <f t="shared" ref="Q48:Q54" si="20">SUM(E48:P48)</f>
        <v>246740</v>
      </c>
      <c r="R48" s="141">
        <v>20956</v>
      </c>
      <c r="S48" s="141">
        <v>19604</v>
      </c>
      <c r="T48" s="141">
        <v>20956</v>
      </c>
      <c r="U48" s="141">
        <v>20280</v>
      </c>
      <c r="V48" s="141">
        <v>20956</v>
      </c>
      <c r="W48" s="141">
        <v>20280</v>
      </c>
      <c r="X48" s="141">
        <v>20956</v>
      </c>
      <c r="Y48" s="141">
        <v>20956</v>
      </c>
      <c r="Z48" s="141">
        <v>20280</v>
      </c>
      <c r="AA48" s="141">
        <v>20956</v>
      </c>
      <c r="AB48" s="141">
        <v>20280</v>
      </c>
      <c r="AC48" s="141">
        <v>20956</v>
      </c>
      <c r="AD48" s="142">
        <f t="shared" ref="AD48:AD54" si="21">SUM(R48:AC48)</f>
        <v>247416</v>
      </c>
      <c r="AE48" s="72">
        <f t="shared" ref="AE48:AE60" si="22">Q48-AD48</f>
        <v>-676</v>
      </c>
      <c r="AF48" s="128">
        <f t="shared" ref="AF48:AF60" si="23">AE48/AD48</f>
        <v>-2.7322404371584699E-3</v>
      </c>
      <c r="AG48" s="129">
        <v>246740</v>
      </c>
      <c r="AH48" s="123">
        <f t="shared" ref="AH48:AH59" si="24">Q48-AG48</f>
        <v>0</v>
      </c>
      <c r="AJ48" s="130"/>
      <c r="AK48" s="124"/>
      <c r="AL48" s="124"/>
    </row>
    <row r="49" spans="1:38">
      <c r="A49" s="105" t="s">
        <v>228</v>
      </c>
      <c r="B49" s="105" t="s">
        <v>160</v>
      </c>
      <c r="D49" s="105" t="s">
        <v>229</v>
      </c>
      <c r="E49" s="141">
        <f t="shared" ref="E49:P49" si="25">E48-E50</f>
        <v>20956</v>
      </c>
      <c r="F49" s="141">
        <f t="shared" si="25"/>
        <v>18928</v>
      </c>
      <c r="G49" s="141">
        <f t="shared" si="25"/>
        <v>20956</v>
      </c>
      <c r="H49" s="141">
        <f t="shared" si="25"/>
        <v>20280</v>
      </c>
      <c r="I49" s="141">
        <f t="shared" si="25"/>
        <v>20956</v>
      </c>
      <c r="J49" s="141">
        <f t="shared" si="25"/>
        <v>20280</v>
      </c>
      <c r="K49" s="143">
        <f t="shared" si="25"/>
        <v>20956</v>
      </c>
      <c r="L49" s="143">
        <f t="shared" si="25"/>
        <v>20956</v>
      </c>
      <c r="M49" s="143">
        <f t="shared" si="25"/>
        <v>20280</v>
      </c>
      <c r="N49" s="143">
        <f t="shared" si="25"/>
        <v>20956</v>
      </c>
      <c r="O49" s="143">
        <f t="shared" si="25"/>
        <v>20280</v>
      </c>
      <c r="P49" s="143">
        <f t="shared" si="25"/>
        <v>20956</v>
      </c>
      <c r="Q49" s="133">
        <f t="shared" si="20"/>
        <v>246740</v>
      </c>
      <c r="R49" s="141">
        <f t="shared" ref="R49:W49" si="26">R48-R50</f>
        <v>20506</v>
      </c>
      <c r="S49" s="141">
        <f t="shared" si="26"/>
        <v>19234</v>
      </c>
      <c r="T49" s="141">
        <f t="shared" si="26"/>
        <v>20483</v>
      </c>
      <c r="U49" s="141">
        <f t="shared" si="26"/>
        <v>19409</v>
      </c>
      <c r="V49" s="141">
        <f t="shared" si="26"/>
        <v>19227</v>
      </c>
      <c r="W49" s="141">
        <f t="shared" si="26"/>
        <v>18847</v>
      </c>
      <c r="X49" s="141">
        <v>20556</v>
      </c>
      <c r="Y49" s="141">
        <v>20436</v>
      </c>
      <c r="Z49" s="141">
        <v>19680</v>
      </c>
      <c r="AA49" s="141">
        <v>20356</v>
      </c>
      <c r="AB49" s="141">
        <v>19680</v>
      </c>
      <c r="AC49" s="141">
        <v>20356</v>
      </c>
      <c r="AD49" s="142">
        <f t="shared" si="21"/>
        <v>238770</v>
      </c>
      <c r="AE49" s="72">
        <f t="shared" si="22"/>
        <v>7970</v>
      </c>
      <c r="AF49" s="128">
        <f t="shared" si="23"/>
        <v>3.3379402772542616E-2</v>
      </c>
      <c r="AG49" s="129">
        <v>240478</v>
      </c>
      <c r="AH49" s="123">
        <f t="shared" si="24"/>
        <v>6262</v>
      </c>
      <c r="AJ49" s="130"/>
      <c r="AK49" s="124"/>
      <c r="AL49" s="124"/>
    </row>
    <row r="50" spans="1:38">
      <c r="A50" s="105" t="s">
        <v>230</v>
      </c>
      <c r="B50" s="105" t="s">
        <v>160</v>
      </c>
      <c r="D50" s="105" t="s">
        <v>231</v>
      </c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5">
        <f t="shared" si="20"/>
        <v>0</v>
      </c>
      <c r="R50" s="141">
        <v>450</v>
      </c>
      <c r="S50" s="141">
        <v>370</v>
      </c>
      <c r="T50" s="141">
        <v>473</v>
      </c>
      <c r="U50" s="141">
        <v>871</v>
      </c>
      <c r="V50" s="141">
        <v>1729</v>
      </c>
      <c r="W50" s="141">
        <v>1433</v>
      </c>
      <c r="X50" s="141">
        <v>400</v>
      </c>
      <c r="Y50" s="141">
        <v>520</v>
      </c>
      <c r="Z50" s="141">
        <v>600</v>
      </c>
      <c r="AA50" s="141">
        <v>600</v>
      </c>
      <c r="AB50" s="141">
        <v>600</v>
      </c>
      <c r="AC50" s="141">
        <v>600</v>
      </c>
      <c r="AD50" s="142">
        <f t="shared" si="21"/>
        <v>8646</v>
      </c>
      <c r="AE50" s="72">
        <f t="shared" si="22"/>
        <v>-8646</v>
      </c>
      <c r="AF50" s="128">
        <f t="shared" si="23"/>
        <v>-1</v>
      </c>
      <c r="AG50" s="129">
        <v>6262</v>
      </c>
      <c r="AH50" s="123">
        <f t="shared" si="24"/>
        <v>-6262</v>
      </c>
      <c r="AJ50" s="130"/>
      <c r="AK50" s="124"/>
      <c r="AL50" s="124"/>
    </row>
    <row r="51" spans="1:38">
      <c r="A51" s="105" t="s">
        <v>232</v>
      </c>
      <c r="B51" s="105" t="s">
        <v>160</v>
      </c>
      <c r="D51" s="105" t="s">
        <v>233</v>
      </c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5">
        <f t="shared" si="20"/>
        <v>0</v>
      </c>
      <c r="R51" s="141">
        <v>12</v>
      </c>
      <c r="S51" s="141">
        <v>7</v>
      </c>
      <c r="T51" s="141">
        <v>6</v>
      </c>
      <c r="U51" s="141">
        <v>10</v>
      </c>
      <c r="V51" s="141">
        <v>24</v>
      </c>
      <c r="W51" s="141">
        <v>8</v>
      </c>
      <c r="X51" s="141">
        <v>9</v>
      </c>
      <c r="Y51" s="141">
        <v>14</v>
      </c>
      <c r="Z51" s="141">
        <v>5</v>
      </c>
      <c r="AA51" s="141">
        <v>5</v>
      </c>
      <c r="AB51" s="141">
        <v>5</v>
      </c>
      <c r="AC51" s="141">
        <v>5</v>
      </c>
      <c r="AD51" s="142">
        <f t="shared" si="21"/>
        <v>110</v>
      </c>
      <c r="AE51" s="72">
        <f t="shared" si="22"/>
        <v>-110</v>
      </c>
      <c r="AF51" s="128">
        <f t="shared" si="23"/>
        <v>-1</v>
      </c>
      <c r="AG51" s="129">
        <v>1751</v>
      </c>
      <c r="AH51" s="123">
        <f t="shared" si="24"/>
        <v>-1751</v>
      </c>
      <c r="AJ51" s="130"/>
      <c r="AK51" s="124"/>
      <c r="AL51" s="124"/>
    </row>
    <row r="52" spans="1:38">
      <c r="A52" s="105" t="s">
        <v>234</v>
      </c>
      <c r="B52" s="105" t="s">
        <v>160</v>
      </c>
      <c r="D52" s="105" t="s">
        <v>235</v>
      </c>
      <c r="E52" s="146">
        <f>+E136+E140+E144</f>
        <v>18860</v>
      </c>
      <c r="F52" s="146">
        <f t="shared" ref="F52:P52" si="27">+F136+F140+F144</f>
        <v>17035</v>
      </c>
      <c r="G52" s="146">
        <f t="shared" si="27"/>
        <v>17813</v>
      </c>
      <c r="H52" s="146">
        <f t="shared" si="27"/>
        <v>17005</v>
      </c>
      <c r="I52" s="146">
        <f t="shared" si="27"/>
        <v>17603</v>
      </c>
      <c r="J52" s="146">
        <f t="shared" si="27"/>
        <v>16867</v>
      </c>
      <c r="K52" s="146">
        <f t="shared" si="27"/>
        <v>18860</v>
      </c>
      <c r="L52" s="146">
        <f t="shared" si="27"/>
        <v>18860</v>
      </c>
      <c r="M52" s="146">
        <f t="shared" si="27"/>
        <v>16630</v>
      </c>
      <c r="N52" s="146">
        <f t="shared" si="27"/>
        <v>17393</v>
      </c>
      <c r="O52" s="146">
        <f t="shared" si="27"/>
        <v>16832</v>
      </c>
      <c r="P52" s="146">
        <f t="shared" si="27"/>
        <v>18441</v>
      </c>
      <c r="Q52" s="133">
        <f t="shared" si="20"/>
        <v>212199</v>
      </c>
      <c r="R52" s="141">
        <v>19715</v>
      </c>
      <c r="S52" s="141">
        <v>18855</v>
      </c>
      <c r="T52" s="141">
        <v>19772</v>
      </c>
      <c r="U52" s="141">
        <v>18249</v>
      </c>
      <c r="V52" s="141">
        <v>17477</v>
      </c>
      <c r="W52" s="141">
        <v>17897</v>
      </c>
      <c r="X52" s="141">
        <v>19826</v>
      </c>
      <c r="Y52" s="141">
        <v>19726</v>
      </c>
      <c r="Z52" s="141">
        <v>16224</v>
      </c>
      <c r="AA52" s="141">
        <v>16765</v>
      </c>
      <c r="AB52" s="141">
        <v>16832</v>
      </c>
      <c r="AC52" s="141">
        <v>17813</v>
      </c>
      <c r="AD52" s="142">
        <f t="shared" si="21"/>
        <v>219151</v>
      </c>
      <c r="AE52" s="72">
        <f t="shared" si="22"/>
        <v>-6952</v>
      </c>
      <c r="AF52" s="128">
        <f t="shared" si="23"/>
        <v>-3.1722419701484365E-2</v>
      </c>
      <c r="AG52" s="129">
        <v>213673</v>
      </c>
      <c r="AH52" s="123">
        <f t="shared" si="24"/>
        <v>-1474</v>
      </c>
      <c r="AJ52" s="130"/>
      <c r="AK52" s="124"/>
      <c r="AL52" s="124"/>
    </row>
    <row r="53" spans="1:38">
      <c r="A53" s="105" t="s">
        <v>236</v>
      </c>
      <c r="B53" s="105" t="s">
        <v>160</v>
      </c>
      <c r="D53" s="105" t="s">
        <v>237</v>
      </c>
      <c r="E53" s="144">
        <v>62</v>
      </c>
      <c r="F53" s="144">
        <v>62</v>
      </c>
      <c r="G53" s="144">
        <v>62</v>
      </c>
      <c r="H53" s="144">
        <v>62</v>
      </c>
      <c r="I53" s="144">
        <v>62</v>
      </c>
      <c r="J53" s="144">
        <v>62</v>
      </c>
      <c r="K53" s="144">
        <v>62</v>
      </c>
      <c r="L53" s="144">
        <v>62</v>
      </c>
      <c r="M53" s="144">
        <v>62</v>
      </c>
      <c r="N53" s="144">
        <v>62</v>
      </c>
      <c r="O53" s="144">
        <v>62</v>
      </c>
      <c r="P53" s="144">
        <v>62</v>
      </c>
      <c r="Q53" s="145">
        <f t="shared" si="20"/>
        <v>744</v>
      </c>
      <c r="R53" s="141">
        <v>96</v>
      </c>
      <c r="S53" s="141">
        <v>29</v>
      </c>
      <c r="T53" s="141">
        <v>74</v>
      </c>
      <c r="U53" s="141">
        <v>49</v>
      </c>
      <c r="V53" s="141">
        <v>53</v>
      </c>
      <c r="W53" s="141">
        <v>61</v>
      </c>
      <c r="X53" s="141">
        <v>73</v>
      </c>
      <c r="Y53" s="141">
        <v>93</v>
      </c>
      <c r="Z53" s="141">
        <v>200</v>
      </c>
      <c r="AA53" s="141">
        <v>150</v>
      </c>
      <c r="AB53" s="141">
        <v>200</v>
      </c>
      <c r="AC53" s="141">
        <v>150</v>
      </c>
      <c r="AD53" s="142">
        <f t="shared" si="21"/>
        <v>1228</v>
      </c>
      <c r="AE53" s="72">
        <f t="shared" si="22"/>
        <v>-484</v>
      </c>
      <c r="AF53" s="128">
        <f t="shared" si="23"/>
        <v>-0.39413680781758959</v>
      </c>
      <c r="AG53" s="129">
        <v>1723</v>
      </c>
      <c r="AH53" s="123">
        <f t="shared" si="24"/>
        <v>-979</v>
      </c>
      <c r="AJ53" s="130"/>
      <c r="AK53" s="124"/>
      <c r="AL53" s="124"/>
    </row>
    <row r="54" spans="1:38">
      <c r="A54" s="105" t="s">
        <v>238</v>
      </c>
      <c r="B54" s="105" t="s">
        <v>160</v>
      </c>
      <c r="D54" s="105" t="s">
        <v>239</v>
      </c>
      <c r="E54" s="144">
        <v>54</v>
      </c>
      <c r="F54" s="144">
        <v>54</v>
      </c>
      <c r="G54" s="144">
        <v>54</v>
      </c>
      <c r="H54" s="144">
        <v>54</v>
      </c>
      <c r="I54" s="144">
        <v>54</v>
      </c>
      <c r="J54" s="144">
        <v>54</v>
      </c>
      <c r="K54" s="144">
        <v>54</v>
      </c>
      <c r="L54" s="144">
        <v>54</v>
      </c>
      <c r="M54" s="144">
        <v>54</v>
      </c>
      <c r="N54" s="144">
        <v>54</v>
      </c>
      <c r="O54" s="144">
        <v>54</v>
      </c>
      <c r="P54" s="144">
        <v>54</v>
      </c>
      <c r="Q54" s="145">
        <f t="shared" si="20"/>
        <v>648</v>
      </c>
      <c r="R54" s="141">
        <v>59</v>
      </c>
      <c r="S54" s="141">
        <v>43</v>
      </c>
      <c r="T54" s="141">
        <v>57</v>
      </c>
      <c r="U54" s="141">
        <v>65</v>
      </c>
      <c r="V54" s="141">
        <v>63</v>
      </c>
      <c r="W54" s="141">
        <v>57</v>
      </c>
      <c r="X54" s="141">
        <v>40</v>
      </c>
      <c r="Y54" s="141">
        <v>44</v>
      </c>
      <c r="Z54" s="141">
        <v>60</v>
      </c>
      <c r="AA54" s="141">
        <v>60</v>
      </c>
      <c r="AB54" s="141">
        <v>60</v>
      </c>
      <c r="AC54" s="141">
        <v>60</v>
      </c>
      <c r="AD54" s="142">
        <f t="shared" si="21"/>
        <v>668</v>
      </c>
      <c r="AE54" s="72">
        <f t="shared" si="22"/>
        <v>-20</v>
      </c>
      <c r="AF54" s="128">
        <f t="shared" si="23"/>
        <v>-2.9940119760479042E-2</v>
      </c>
      <c r="AG54" s="129">
        <v>711</v>
      </c>
      <c r="AH54" s="123">
        <f t="shared" si="24"/>
        <v>-63</v>
      </c>
      <c r="AJ54" s="130"/>
      <c r="AK54" s="124"/>
      <c r="AL54" s="124"/>
    </row>
    <row r="55" spans="1:38">
      <c r="D55" s="105" t="s">
        <v>240</v>
      </c>
      <c r="E55" s="145">
        <f>SUM(E52:E54)</f>
        <v>18976</v>
      </c>
      <c r="F55" s="145">
        <f t="shared" ref="F55:AD55" si="28">SUM(F52:F54)</f>
        <v>17151</v>
      </c>
      <c r="G55" s="145">
        <f t="shared" si="28"/>
        <v>17929</v>
      </c>
      <c r="H55" s="145">
        <f t="shared" si="28"/>
        <v>17121</v>
      </c>
      <c r="I55" s="145">
        <f t="shared" si="28"/>
        <v>17719</v>
      </c>
      <c r="J55" s="145">
        <f>SUM(J52:J54)</f>
        <v>16983</v>
      </c>
      <c r="K55" s="145">
        <f t="shared" si="28"/>
        <v>18976</v>
      </c>
      <c r="L55" s="145">
        <f t="shared" si="28"/>
        <v>18976</v>
      </c>
      <c r="M55" s="145">
        <f t="shared" si="28"/>
        <v>16746</v>
      </c>
      <c r="N55" s="145">
        <f t="shared" si="28"/>
        <v>17509</v>
      </c>
      <c r="O55" s="145">
        <f t="shared" si="28"/>
        <v>16948</v>
      </c>
      <c r="P55" s="145">
        <f t="shared" si="28"/>
        <v>18557</v>
      </c>
      <c r="Q55" s="145">
        <f t="shared" si="28"/>
        <v>213591</v>
      </c>
      <c r="R55" s="145">
        <f t="shared" si="28"/>
        <v>19870</v>
      </c>
      <c r="S55" s="145">
        <f t="shared" si="28"/>
        <v>18927</v>
      </c>
      <c r="T55" s="145">
        <f t="shared" si="28"/>
        <v>19903</v>
      </c>
      <c r="U55" s="145">
        <f t="shared" si="28"/>
        <v>18363</v>
      </c>
      <c r="V55" s="145">
        <f t="shared" si="28"/>
        <v>17593</v>
      </c>
      <c r="W55" s="145">
        <f t="shared" si="28"/>
        <v>18015</v>
      </c>
      <c r="X55" s="145">
        <f>SUM(X52:X54)</f>
        <v>19939</v>
      </c>
      <c r="Y55" s="145">
        <f t="shared" si="28"/>
        <v>19863</v>
      </c>
      <c r="Z55" s="145">
        <f>SUM(Z52:Z54)</f>
        <v>16484</v>
      </c>
      <c r="AA55" s="145">
        <f>SUM(AA52:AA54)</f>
        <v>16975</v>
      </c>
      <c r="AB55" s="145">
        <f>SUM(AB52:AB54)</f>
        <v>17092</v>
      </c>
      <c r="AC55" s="145">
        <f>SUM(AC52:AC54)</f>
        <v>18023</v>
      </c>
      <c r="AD55" s="145">
        <f t="shared" si="28"/>
        <v>221047</v>
      </c>
      <c r="AE55" s="72">
        <f t="shared" si="22"/>
        <v>-7456</v>
      </c>
      <c r="AF55" s="128">
        <f t="shared" si="23"/>
        <v>-3.3730383131189291E-2</v>
      </c>
      <c r="AG55" s="129">
        <v>216107</v>
      </c>
      <c r="AH55" s="123">
        <f t="shared" si="24"/>
        <v>-2516</v>
      </c>
      <c r="AJ55" s="130"/>
      <c r="AK55" s="124"/>
      <c r="AL55" s="124"/>
    </row>
    <row r="56" spans="1:38">
      <c r="D56" s="105" t="s">
        <v>241</v>
      </c>
      <c r="E56" s="138">
        <f>E55/E48</f>
        <v>0.90551631990837944</v>
      </c>
      <c r="F56" s="138">
        <f t="shared" ref="F56:AD56" si="29">F55/F48</f>
        <v>0.90611792054099749</v>
      </c>
      <c r="G56" s="138">
        <f t="shared" si="29"/>
        <v>0.85555449513265891</v>
      </c>
      <c r="H56" s="138">
        <f t="shared" si="29"/>
        <v>0.84423076923076923</v>
      </c>
      <c r="I56" s="138">
        <f t="shared" si="29"/>
        <v>0.84553349875930517</v>
      </c>
      <c r="J56" s="138">
        <f t="shared" si="29"/>
        <v>0.83742603550295858</v>
      </c>
      <c r="K56" s="138">
        <f t="shared" si="29"/>
        <v>0.90551631990837944</v>
      </c>
      <c r="L56" s="138">
        <f t="shared" si="29"/>
        <v>0.90551631990837944</v>
      </c>
      <c r="M56" s="138">
        <f t="shared" si="29"/>
        <v>0.82573964497041419</v>
      </c>
      <c r="N56" s="138">
        <f t="shared" si="29"/>
        <v>0.83551250238595154</v>
      </c>
      <c r="O56" s="138">
        <f t="shared" si="29"/>
        <v>0.83570019723865874</v>
      </c>
      <c r="P56" s="138">
        <f t="shared" si="29"/>
        <v>0.88552204619202135</v>
      </c>
      <c r="Q56" s="139">
        <f t="shared" si="29"/>
        <v>0.86565210342871035</v>
      </c>
      <c r="R56" s="138">
        <f t="shared" si="29"/>
        <v>0.94817713304065665</v>
      </c>
      <c r="S56" s="138">
        <f t="shared" si="29"/>
        <v>0.96546623138135079</v>
      </c>
      <c r="T56" s="138">
        <f t="shared" si="29"/>
        <v>0.94975186104218368</v>
      </c>
      <c r="U56" s="138">
        <f t="shared" si="29"/>
        <v>0.9054733727810651</v>
      </c>
      <c r="V56" s="138">
        <f t="shared" si="29"/>
        <v>0.83952090093529297</v>
      </c>
      <c r="W56" s="138">
        <f t="shared" si="29"/>
        <v>0.88831360946745563</v>
      </c>
      <c r="X56" s="138">
        <f>X55/X48</f>
        <v>0.95146974613475854</v>
      </c>
      <c r="Y56" s="138">
        <f t="shared" si="29"/>
        <v>0.94784309982821147</v>
      </c>
      <c r="Z56" s="138">
        <f>Z55/Z48</f>
        <v>0.81282051282051282</v>
      </c>
      <c r="AA56" s="138">
        <f>AA55/AA48</f>
        <v>0.81003054017942355</v>
      </c>
      <c r="AB56" s="138">
        <f>AB55/AB48</f>
        <v>0.84280078895463506</v>
      </c>
      <c r="AC56" s="138">
        <f>AC55/AC48</f>
        <v>0.86004008398549336</v>
      </c>
      <c r="AD56" s="139">
        <f t="shared" si="29"/>
        <v>0.89342241407184664</v>
      </c>
      <c r="AE56" s="128">
        <f t="shared" si="22"/>
        <v>-2.7770310643136287E-2</v>
      </c>
      <c r="AF56" s="128">
        <f t="shared" si="23"/>
        <v>-3.1083069112370704E-2</v>
      </c>
      <c r="AG56" s="129">
        <v>0.87584907189754402</v>
      </c>
      <c r="AH56" s="123">
        <f t="shared" si="24"/>
        <v>-1.0196968468833667E-2</v>
      </c>
      <c r="AJ56" s="130"/>
      <c r="AK56" s="124"/>
      <c r="AL56" s="124"/>
    </row>
    <row r="57" spans="1:38">
      <c r="D57" s="105" t="s">
        <v>242</v>
      </c>
      <c r="E57" s="138">
        <f>E52/E48</f>
        <v>0.89998091238786027</v>
      </c>
      <c r="F57" s="138">
        <f t="shared" ref="F57:AD57" si="30">F52/F48</f>
        <v>0.89998943364327977</v>
      </c>
      <c r="G57" s="138">
        <f t="shared" si="30"/>
        <v>0.85001908761213973</v>
      </c>
      <c r="H57" s="138">
        <f t="shared" si="30"/>
        <v>0.83851084812623278</v>
      </c>
      <c r="I57" s="138">
        <f t="shared" si="30"/>
        <v>0.83999809123878599</v>
      </c>
      <c r="J57" s="138">
        <f t="shared" si="30"/>
        <v>0.83170611439842212</v>
      </c>
      <c r="K57" s="138">
        <f t="shared" si="30"/>
        <v>0.89998091238786027</v>
      </c>
      <c r="L57" s="138">
        <f t="shared" si="30"/>
        <v>0.89998091238786027</v>
      </c>
      <c r="M57" s="138">
        <f t="shared" si="30"/>
        <v>0.82001972386587774</v>
      </c>
      <c r="N57" s="138">
        <f t="shared" si="30"/>
        <v>0.82997709486543236</v>
      </c>
      <c r="O57" s="138">
        <f t="shared" si="30"/>
        <v>0.82998027613412229</v>
      </c>
      <c r="P57" s="138">
        <f t="shared" si="30"/>
        <v>0.87998663867150217</v>
      </c>
      <c r="Q57" s="139">
        <f t="shared" si="30"/>
        <v>0.86001053740779765</v>
      </c>
      <c r="R57" s="138">
        <f t="shared" si="30"/>
        <v>0.94078068333651466</v>
      </c>
      <c r="S57" s="138">
        <f t="shared" si="30"/>
        <v>0.96179351152825954</v>
      </c>
      <c r="T57" s="138">
        <f t="shared" si="30"/>
        <v>0.94350066806642485</v>
      </c>
      <c r="U57" s="138">
        <f t="shared" si="30"/>
        <v>0.89985207100591713</v>
      </c>
      <c r="V57" s="138">
        <f t="shared" si="30"/>
        <v>0.83398549341477379</v>
      </c>
      <c r="W57" s="138">
        <f t="shared" si="30"/>
        <v>0.88249506903353059</v>
      </c>
      <c r="X57" s="138">
        <f>X52/X48</f>
        <v>0.94607749570528732</v>
      </c>
      <c r="Y57" s="138">
        <f t="shared" si="30"/>
        <v>0.94130559267035696</v>
      </c>
      <c r="Z57" s="138">
        <f>Z52/Z48</f>
        <v>0.8</v>
      </c>
      <c r="AA57" s="138">
        <f>AA52/AA48</f>
        <v>0.80000954380606981</v>
      </c>
      <c r="AB57" s="138">
        <f>AB52/AB48</f>
        <v>0.82998027613412229</v>
      </c>
      <c r="AC57" s="138">
        <f>AC52/AC48</f>
        <v>0.85001908761213973</v>
      </c>
      <c r="AD57" s="139">
        <f t="shared" si="30"/>
        <v>0.88575920716526013</v>
      </c>
      <c r="AE57" s="128">
        <f t="shared" si="22"/>
        <v>-2.5748669757462483E-2</v>
      </c>
      <c r="AF57" s="128">
        <f t="shared" si="23"/>
        <v>-2.9069604412995321E-2</v>
      </c>
      <c r="AG57" s="129">
        <v>0.86598443705925265</v>
      </c>
      <c r="AH57" s="123">
        <f t="shared" si="24"/>
        <v>-5.9738996514550058E-3</v>
      </c>
      <c r="AJ57" s="130"/>
      <c r="AK57" s="124"/>
      <c r="AL57" s="124"/>
    </row>
    <row r="58" spans="1:38">
      <c r="D58" s="105" t="s">
        <v>243</v>
      </c>
      <c r="E58" s="136">
        <f>E15/E52</f>
        <v>1561.1120360551431</v>
      </c>
      <c r="F58" s="136">
        <f t="shared" ref="F58:AD58" si="31">F15/F52</f>
        <v>2015.8173172879367</v>
      </c>
      <c r="G58" s="136">
        <f t="shared" si="31"/>
        <v>1142.3798349520014</v>
      </c>
      <c r="H58" s="136">
        <f t="shared" si="31"/>
        <v>1099.9857688915024</v>
      </c>
      <c r="I58" s="136">
        <f t="shared" si="31"/>
        <v>990.00227233994201</v>
      </c>
      <c r="J58" s="136">
        <f t="shared" si="31"/>
        <v>924.99318195292585</v>
      </c>
      <c r="K58" s="136">
        <f t="shared" si="31"/>
        <v>1229.0260869565218</v>
      </c>
      <c r="L58" s="136">
        <f t="shared" si="31"/>
        <v>1422.6789501590667</v>
      </c>
      <c r="M58" s="136">
        <f t="shared" si="31"/>
        <v>859.97931449188218</v>
      </c>
      <c r="N58" s="136">
        <f t="shared" si="31"/>
        <v>1000.0276548036567</v>
      </c>
      <c r="O58" s="136">
        <f t="shared" si="31"/>
        <v>900.02138783269959</v>
      </c>
      <c r="P58" s="136">
        <f t="shared" si="31"/>
        <v>1060.0161054172768</v>
      </c>
      <c r="Q58" s="137">
        <f t="shared" si="31"/>
        <v>1188.8292216268692</v>
      </c>
      <c r="R58" s="136">
        <f t="shared" si="31"/>
        <v>1691.0947669287345</v>
      </c>
      <c r="S58" s="136">
        <f t="shared" si="31"/>
        <v>2795.6726390877752</v>
      </c>
      <c r="T58" s="136">
        <f t="shared" si="31"/>
        <v>1121.8820529030952</v>
      </c>
      <c r="U58" s="136">
        <f t="shared" si="31"/>
        <v>1023.5695544961368</v>
      </c>
      <c r="V58" s="136">
        <f t="shared" si="31"/>
        <v>997.66975052926705</v>
      </c>
      <c r="W58" s="136">
        <f t="shared" si="31"/>
        <v>870.12473375426055</v>
      </c>
      <c r="X58" s="136">
        <f>X15/X52</f>
        <v>1170.2970690003026</v>
      </c>
      <c r="Y58" s="136">
        <f t="shared" si="31"/>
        <v>1368.9966070161208</v>
      </c>
      <c r="Z58" s="136">
        <f>Z15/Z52</f>
        <v>801.37789694280082</v>
      </c>
      <c r="AA58" s="136">
        <f>AA15/AA52</f>
        <v>955</v>
      </c>
      <c r="AB58" s="136">
        <f>AB15/AB52</f>
        <v>858.83656131178702</v>
      </c>
      <c r="AC58" s="136">
        <f>AC15/AC52</f>
        <v>1000</v>
      </c>
      <c r="AD58" s="137">
        <f t="shared" si="31"/>
        <v>1238.4630416470836</v>
      </c>
      <c r="AE58" s="72">
        <f t="shared" si="22"/>
        <v>-49.633820020214444</v>
      </c>
      <c r="AF58" s="128">
        <f t="shared" si="23"/>
        <v>-4.0076948888361136E-2</v>
      </c>
      <c r="AG58" s="129">
        <v>1142.8749726451167</v>
      </c>
      <c r="AH58" s="123">
        <f t="shared" si="24"/>
        <v>45.954248981752471</v>
      </c>
      <c r="AJ58" s="130"/>
      <c r="AK58" s="124"/>
      <c r="AL58" s="124"/>
    </row>
    <row r="59" spans="1:38">
      <c r="D59" s="105" t="s">
        <v>244</v>
      </c>
      <c r="E59" s="136">
        <f t="shared" ref="E59:AD59" si="32">E15/E48</f>
        <v>1404.971034548578</v>
      </c>
      <c r="F59" s="136">
        <f t="shared" si="32"/>
        <v>1814.2142857142858</v>
      </c>
      <c r="G59" s="136">
        <f t="shared" si="32"/>
        <v>971.04466501240699</v>
      </c>
      <c r="H59" s="136">
        <f t="shared" si="32"/>
        <v>922.35</v>
      </c>
      <c r="I59" s="136">
        <f t="shared" si="32"/>
        <v>831.60001908761217</v>
      </c>
      <c r="J59" s="136">
        <f t="shared" si="32"/>
        <v>769.32248520710061</v>
      </c>
      <c r="K59" s="136">
        <f t="shared" si="32"/>
        <v>1106.1000190876121</v>
      </c>
      <c r="L59" s="136">
        <f t="shared" si="32"/>
        <v>1280.3838995991603</v>
      </c>
      <c r="M59" s="136">
        <f t="shared" si="32"/>
        <v>705.2</v>
      </c>
      <c r="N59" s="136">
        <f t="shared" si="32"/>
        <v>830.00004771903036</v>
      </c>
      <c r="O59" s="136">
        <f t="shared" si="32"/>
        <v>747</v>
      </c>
      <c r="P59" s="136">
        <f t="shared" si="32"/>
        <v>932.80000954380603</v>
      </c>
      <c r="Q59" s="137">
        <f t="shared" si="32"/>
        <v>1022.4056577774176</v>
      </c>
      <c r="R59" s="136">
        <f t="shared" si="32"/>
        <v>1590.9492904180188</v>
      </c>
      <c r="S59" s="136">
        <f t="shared" si="32"/>
        <v>2688.8598046317079</v>
      </c>
      <c r="T59" s="136">
        <f t="shared" si="32"/>
        <v>1058.4964664058025</v>
      </c>
      <c r="U59" s="136">
        <f t="shared" si="32"/>
        <v>921.06118343195271</v>
      </c>
      <c r="V59" s="136">
        <f t="shared" si="32"/>
        <v>832.04209916014509</v>
      </c>
      <c r="W59" s="136">
        <f t="shared" si="32"/>
        <v>767.88078698224854</v>
      </c>
      <c r="X59" s="136">
        <f>X15/X48</f>
        <v>1107.1917202710442</v>
      </c>
      <c r="Y59" s="136">
        <f t="shared" si="32"/>
        <v>1288.6441625310174</v>
      </c>
      <c r="Z59" s="136">
        <f>Z15/Z48</f>
        <v>641.10231755424059</v>
      </c>
      <c r="AA59" s="136">
        <f>AA15/AA48</f>
        <v>764.00911433479666</v>
      </c>
      <c r="AB59" s="136">
        <f>AB15/AB48</f>
        <v>712.81740631163711</v>
      </c>
      <c r="AC59" s="136">
        <f>AC15/AC48</f>
        <v>850.01908761213974</v>
      </c>
      <c r="AD59" s="137">
        <f t="shared" si="32"/>
        <v>1096.9800418727973</v>
      </c>
      <c r="AE59" s="72">
        <f t="shared" si="22"/>
        <v>-74.574384095379742</v>
      </c>
      <c r="AF59" s="128">
        <f t="shared" si="23"/>
        <v>-6.7981532251091922E-2</v>
      </c>
      <c r="AG59" s="129">
        <v>989.71193981519014</v>
      </c>
      <c r="AH59" s="123">
        <f t="shared" si="24"/>
        <v>32.693717962227424</v>
      </c>
      <c r="AJ59" s="130"/>
      <c r="AK59" s="124"/>
      <c r="AL59" s="124"/>
    </row>
    <row r="60" spans="1:38">
      <c r="D60" s="105" t="s">
        <v>245</v>
      </c>
      <c r="E60" s="135">
        <f t="shared" ref="E60:AD60" si="33">(E44+E17)/E55</f>
        <v>300.73406460792575</v>
      </c>
      <c r="F60" s="135">
        <f t="shared" si="33"/>
        <v>310.32863506501076</v>
      </c>
      <c r="G60" s="135">
        <f t="shared" si="33"/>
        <v>245.61458419320653</v>
      </c>
      <c r="H60" s="135">
        <f t="shared" si="33"/>
        <v>254.77200513988669</v>
      </c>
      <c r="I60" s="135">
        <f t="shared" si="33"/>
        <v>244.77331000620805</v>
      </c>
      <c r="J60" s="135">
        <f t="shared" si="33"/>
        <v>239.67709179768005</v>
      </c>
      <c r="K60" s="135">
        <f t="shared" si="33"/>
        <v>250.47846226812814</v>
      </c>
      <c r="L60" s="135">
        <f t="shared" si="33"/>
        <v>262.73379163153453</v>
      </c>
      <c r="M60" s="135">
        <f t="shared" si="33"/>
        <v>240.44357040487279</v>
      </c>
      <c r="N60" s="135">
        <f t="shared" si="33"/>
        <v>263.86959792106916</v>
      </c>
      <c r="O60" s="135">
        <f t="shared" si="33"/>
        <v>243.64211116355912</v>
      </c>
      <c r="P60" s="135">
        <f t="shared" si="33"/>
        <v>243.170841192003</v>
      </c>
      <c r="Q60" s="135">
        <f t="shared" si="33"/>
        <v>258.5753617427701</v>
      </c>
      <c r="R60" s="135">
        <f t="shared" si="33"/>
        <v>318.09188928032211</v>
      </c>
      <c r="S60" s="135">
        <f t="shared" si="33"/>
        <v>458.28142442014052</v>
      </c>
      <c r="T60" s="135">
        <f t="shared" si="33"/>
        <v>272.23686831130982</v>
      </c>
      <c r="U60" s="135">
        <f t="shared" si="33"/>
        <v>269.25895605293249</v>
      </c>
      <c r="V60" s="135">
        <f t="shared" si="33"/>
        <v>282.73798385721591</v>
      </c>
      <c r="W60" s="135">
        <f t="shared" si="33"/>
        <v>241.17176297529838</v>
      </c>
      <c r="X60" s="135">
        <f>(X44+X17)/X55</f>
        <v>256.87492752896333</v>
      </c>
      <c r="Y60" s="135">
        <f t="shared" si="33"/>
        <v>322.23078386950607</v>
      </c>
      <c r="Z60" s="135">
        <f>(Z44+Z17)/Z55</f>
        <v>259.50509342392621</v>
      </c>
      <c r="AA60" s="135">
        <f>(AA44+AA17)/AA55</f>
        <v>286.46515228276877</v>
      </c>
      <c r="AB60" s="135">
        <f>(AB44+AB17)/AB55</f>
        <v>257.29580856541071</v>
      </c>
      <c r="AC60" s="135">
        <f>(AC44+AC17)/AC55</f>
        <v>270.935857515397</v>
      </c>
      <c r="AD60" s="135">
        <f t="shared" si="33"/>
        <v>292.33390953055232</v>
      </c>
      <c r="AE60" s="117">
        <f t="shared" si="22"/>
        <v>-33.75854778778222</v>
      </c>
      <c r="AF60" s="128">
        <f t="shared" si="23"/>
        <v>-0.11547941134161878</v>
      </c>
      <c r="AG60" s="129">
        <v>211.67451526327235</v>
      </c>
      <c r="AH60" s="133">
        <f t="shared" ref="AH60:AH123" si="34">AG60-Q60</f>
        <v>-46.900846479497744</v>
      </c>
      <c r="AJ60" s="130"/>
      <c r="AK60" s="124"/>
      <c r="AL60" s="124"/>
    </row>
    <row r="61" spans="1:38">
      <c r="D61" s="105" t="s">
        <v>154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35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35"/>
      <c r="AF61" s="128"/>
      <c r="AG61" s="129"/>
      <c r="AH61" s="133">
        <f t="shared" si="34"/>
        <v>0</v>
      </c>
      <c r="AJ61" s="130"/>
      <c r="AK61" s="124"/>
      <c r="AL61" s="124"/>
    </row>
    <row r="62" spans="1:38">
      <c r="D62" s="109" t="s">
        <v>246</v>
      </c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35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35"/>
      <c r="AF62" s="128"/>
      <c r="AG62" s="129"/>
      <c r="AH62" s="133">
        <f t="shared" si="34"/>
        <v>0</v>
      </c>
      <c r="AJ62" s="130"/>
      <c r="AK62" s="124"/>
      <c r="AL62" s="124"/>
    </row>
    <row r="63" spans="1:38">
      <c r="D63" s="105" t="s">
        <v>247</v>
      </c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35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35"/>
      <c r="AF63" s="128"/>
      <c r="AG63" s="129"/>
      <c r="AH63" s="133">
        <f t="shared" si="34"/>
        <v>0</v>
      </c>
      <c r="AJ63" s="130"/>
      <c r="AK63" s="124"/>
      <c r="AL63" s="124"/>
    </row>
    <row r="64" spans="1:38">
      <c r="A64" s="105" t="s">
        <v>248</v>
      </c>
      <c r="B64" s="105" t="s">
        <v>249</v>
      </c>
      <c r="D64" s="105" t="s">
        <v>250</v>
      </c>
      <c r="E64" s="72">
        <f>SUM('Front office:Rooms Admin'!E64)</f>
        <v>216778.91999999998</v>
      </c>
      <c r="F64" s="72">
        <f>SUM('Front office:Rooms Admin'!F64)</f>
        <v>216778.91999999998</v>
      </c>
      <c r="G64" s="72">
        <f>SUM('Front office:Rooms Admin'!G64)</f>
        <v>220594.65000000002</v>
      </c>
      <c r="H64" s="72">
        <f>SUM('Front office:Rooms Admin'!H64)</f>
        <v>220594.65000000002</v>
      </c>
      <c r="I64" s="72">
        <f>SUM('Front office:Rooms Admin'!I64)</f>
        <v>220594.65000000002</v>
      </c>
      <c r="J64" s="72">
        <f>SUM('Front office:Rooms Admin'!J64)</f>
        <v>220594.65000000002</v>
      </c>
      <c r="K64" s="72">
        <f>SUM('Front office:Rooms Admin'!K64)</f>
        <v>220594.65000000002</v>
      </c>
      <c r="L64" s="72">
        <f>SUM('Front office:Rooms Admin'!L64)</f>
        <v>227966.97</v>
      </c>
      <c r="M64" s="72">
        <f>SUM('Front office:Rooms Admin'!M64)</f>
        <v>236282.97</v>
      </c>
      <c r="N64" s="72">
        <f>SUM('Front office:Rooms Admin'!N64)</f>
        <v>236282.97</v>
      </c>
      <c r="O64" s="72">
        <f>SUM('Front office:Rooms Admin'!O64)</f>
        <v>236282.97</v>
      </c>
      <c r="P64" s="72">
        <f>SUM('Front office:Rooms Admin'!P64)</f>
        <v>236282.97</v>
      </c>
      <c r="Q64" s="135">
        <f>SUM(E64:P64)</f>
        <v>2709629.9400000004</v>
      </c>
      <c r="R64" s="72">
        <f>SUM('Front office:Rooms Admin'!R64)</f>
        <v>204692.44</v>
      </c>
      <c r="S64" s="72">
        <f>SUM('Front office:Rooms Admin'!S64)</f>
        <v>205926.64</v>
      </c>
      <c r="T64" s="72">
        <f>SUM('Front office:Rooms Admin'!T64)</f>
        <v>206776</v>
      </c>
      <c r="U64" s="72">
        <f>SUM('Front office:Rooms Admin'!U64)</f>
        <v>205269.47</v>
      </c>
      <c r="V64" s="72">
        <f>SUM('Front office:Rooms Admin'!V64)</f>
        <v>196297.9</v>
      </c>
      <c r="W64" s="72">
        <f>SUM('Front office:Rooms Admin'!W64)</f>
        <v>179082.57</v>
      </c>
      <c r="X64" s="72">
        <f>SUM('Front office:Rooms Admin'!X64)</f>
        <v>177921.16999999998</v>
      </c>
      <c r="Y64" s="72">
        <f>SUM('Front office:Rooms Admin'!Y64)</f>
        <v>184026.25</v>
      </c>
      <c r="Z64" s="72">
        <f>SUM('Front office:Rooms Admin'!Z64)</f>
        <v>220990</v>
      </c>
      <c r="AA64" s="72">
        <f>SUM('Front office:Rooms Admin'!AA64)</f>
        <v>220990</v>
      </c>
      <c r="AB64" s="72">
        <f>SUM('Front office:Rooms Admin'!AB64)</f>
        <v>220990</v>
      </c>
      <c r="AC64" s="72">
        <f>SUM('Front office:Rooms Admin'!AC64)</f>
        <v>220990</v>
      </c>
      <c r="AD64" s="127">
        <f>SUM(R64:AC64)</f>
        <v>2443952.44</v>
      </c>
      <c r="AE64" s="72">
        <f t="shared" ref="AE64:AE86" si="35">Q64-AD64</f>
        <v>265677.50000000047</v>
      </c>
      <c r="AF64" s="128">
        <f t="shared" ref="AF64:AF86" si="36">AE64/AD64</f>
        <v>0.10870813017948928</v>
      </c>
      <c r="AG64" s="129">
        <v>2081497.91</v>
      </c>
      <c r="AH64" s="133">
        <f t="shared" si="34"/>
        <v>-628132.03000000049</v>
      </c>
      <c r="AJ64" s="130"/>
      <c r="AK64" s="124"/>
      <c r="AL64" s="124"/>
    </row>
    <row r="65" spans="1:38">
      <c r="A65" s="105" t="s">
        <v>251</v>
      </c>
      <c r="B65" s="105" t="s">
        <v>252</v>
      </c>
      <c r="D65" s="105" t="s">
        <v>253</v>
      </c>
      <c r="E65" s="72">
        <f>SUM('Front office:Rooms Admin'!E65)</f>
        <v>57466</v>
      </c>
      <c r="F65" s="72">
        <f>SUM('Front office:Rooms Admin'!F65)</f>
        <v>57466</v>
      </c>
      <c r="G65" s="72">
        <f>SUM('Front office:Rooms Admin'!G65)</f>
        <v>57466</v>
      </c>
      <c r="H65" s="72">
        <f>SUM('Front office:Rooms Admin'!H65)</f>
        <v>57466</v>
      </c>
      <c r="I65" s="72">
        <f>SUM('Front office:Rooms Admin'!I65)</f>
        <v>57466</v>
      </c>
      <c r="J65" s="72">
        <f>SUM('Front office:Rooms Admin'!J65)</f>
        <v>57466</v>
      </c>
      <c r="K65" s="72">
        <f>SUM('Front office:Rooms Admin'!K65)</f>
        <v>57466</v>
      </c>
      <c r="L65" s="72">
        <f>SUM('Front office:Rooms Admin'!L65)</f>
        <v>57466</v>
      </c>
      <c r="M65" s="72">
        <f>SUM('Front office:Rooms Admin'!M65)</f>
        <v>57466</v>
      </c>
      <c r="N65" s="72">
        <f>SUM('Front office:Rooms Admin'!N65)</f>
        <v>57466</v>
      </c>
      <c r="O65" s="72">
        <f>SUM('Front office:Rooms Admin'!O65)</f>
        <v>57466</v>
      </c>
      <c r="P65" s="72">
        <f>SUM('Front office:Rooms Admin'!P65)</f>
        <v>57466</v>
      </c>
      <c r="Q65" s="135">
        <f>SUM(E65:P65)</f>
        <v>689592</v>
      </c>
      <c r="R65" s="72">
        <f>SUM('Front office:Rooms Admin'!R65)</f>
        <v>80094.25</v>
      </c>
      <c r="S65" s="72">
        <f>SUM('Front office:Rooms Admin'!S65)</f>
        <v>78603.81</v>
      </c>
      <c r="T65" s="72">
        <f>SUM('Front office:Rooms Admin'!T65)</f>
        <v>77075.86</v>
      </c>
      <c r="U65" s="72">
        <f>SUM('Front office:Rooms Admin'!U65)</f>
        <v>77623.47</v>
      </c>
      <c r="V65" s="72">
        <f>SUM('Front office:Rooms Admin'!V65)</f>
        <v>78064.37</v>
      </c>
      <c r="W65" s="72">
        <f>SUM('Front office:Rooms Admin'!W65)</f>
        <v>78974.86</v>
      </c>
      <c r="X65" s="72">
        <f>SUM('Front office:Rooms Admin'!X65)</f>
        <v>80158.149999999994</v>
      </c>
      <c r="Y65" s="72">
        <f>SUM('Front office:Rooms Admin'!Y65)</f>
        <v>79443.16</v>
      </c>
      <c r="Z65" s="72">
        <f>SUM('Front office:Rooms Admin'!Z65)</f>
        <v>49595</v>
      </c>
      <c r="AA65" s="72">
        <f>SUM('Front office:Rooms Admin'!AA65)</f>
        <v>49595</v>
      </c>
      <c r="AB65" s="72">
        <f>SUM('Front office:Rooms Admin'!AB65)</f>
        <v>49595</v>
      </c>
      <c r="AC65" s="72">
        <f>SUM('Front office:Rooms Admin'!AC65)</f>
        <v>49595</v>
      </c>
      <c r="AD65" s="127">
        <f>SUM(R65:AC65)</f>
        <v>828417.93</v>
      </c>
      <c r="AE65" s="72">
        <f t="shared" si="35"/>
        <v>-138825.93000000005</v>
      </c>
      <c r="AF65" s="128">
        <f t="shared" si="36"/>
        <v>-0.16757958148008703</v>
      </c>
      <c r="AG65" s="129">
        <v>1049366.1599999999</v>
      </c>
      <c r="AH65" s="133">
        <f t="shared" si="34"/>
        <v>359774.15999999992</v>
      </c>
      <c r="AJ65" s="130"/>
      <c r="AK65" s="124"/>
      <c r="AL65" s="124"/>
    </row>
    <row r="66" spans="1:38">
      <c r="A66" s="105" t="s">
        <v>251</v>
      </c>
      <c r="B66" s="105" t="s">
        <v>254</v>
      </c>
      <c r="D66" s="105" t="s">
        <v>255</v>
      </c>
      <c r="E66" s="72">
        <f>SUM('Front office:Rooms Admin'!E66)</f>
        <v>82365</v>
      </c>
      <c r="F66" s="72">
        <f>SUM('Front office:Rooms Admin'!F66)</f>
        <v>82365</v>
      </c>
      <c r="G66" s="72">
        <f>SUM('Front office:Rooms Admin'!G66)</f>
        <v>87281.25</v>
      </c>
      <c r="H66" s="72">
        <f>SUM('Front office:Rooms Admin'!H66)</f>
        <v>96258.75</v>
      </c>
      <c r="I66" s="72">
        <f>SUM('Front office:Rooms Admin'!I66)</f>
        <v>96258.75</v>
      </c>
      <c r="J66" s="72">
        <f>SUM('Front office:Rooms Admin'!J66)</f>
        <v>99450.75</v>
      </c>
      <c r="K66" s="72">
        <f>SUM('Front office:Rooms Admin'!K66)</f>
        <v>99450.75</v>
      </c>
      <c r="L66" s="72">
        <f>SUM('Front office:Rooms Admin'!L66)</f>
        <v>99450.75</v>
      </c>
      <c r="M66" s="72">
        <f>SUM('Front office:Rooms Admin'!M66)</f>
        <v>99450.75</v>
      </c>
      <c r="N66" s="72">
        <f>SUM('Front office:Rooms Admin'!N66)</f>
        <v>99450.75</v>
      </c>
      <c r="O66" s="72">
        <f>SUM('Front office:Rooms Admin'!O66)</f>
        <v>99450.75</v>
      </c>
      <c r="P66" s="72">
        <f>SUM('Front office:Rooms Admin'!P66)</f>
        <v>99450.75</v>
      </c>
      <c r="Q66" s="135">
        <f>SUM(E66:P66)</f>
        <v>1140684</v>
      </c>
      <c r="R66" s="72">
        <f>SUM('Front office:Rooms Admin'!R66)</f>
        <v>98933.21</v>
      </c>
      <c r="S66" s="72">
        <f>SUM('Front office:Rooms Admin'!S66)</f>
        <v>109834.46</v>
      </c>
      <c r="T66" s="72">
        <f>SUM('Front office:Rooms Admin'!T66)</f>
        <v>104281.94</v>
      </c>
      <c r="U66" s="72">
        <f>SUM('Front office:Rooms Admin'!U66)</f>
        <v>88975.24</v>
      </c>
      <c r="V66" s="72">
        <f>SUM('Front office:Rooms Admin'!V66)</f>
        <v>97592.99</v>
      </c>
      <c r="W66" s="72">
        <f>SUM('Front office:Rooms Admin'!W66)</f>
        <v>91168.88</v>
      </c>
      <c r="X66" s="72">
        <f>SUM('Front office:Rooms Admin'!X66)</f>
        <v>89845.42</v>
      </c>
      <c r="Y66" s="72">
        <f>SUM('Front office:Rooms Admin'!Y66)</f>
        <v>92116.38</v>
      </c>
      <c r="Z66" s="72">
        <f>SUM('Front office:Rooms Admin'!Z66)</f>
        <v>90062</v>
      </c>
      <c r="AA66" s="72">
        <f>SUM('Front office:Rooms Admin'!AA66)</f>
        <v>120062</v>
      </c>
      <c r="AB66" s="72">
        <f>SUM('Front office:Rooms Admin'!AB66)</f>
        <v>120062</v>
      </c>
      <c r="AC66" s="72">
        <f>SUM('Front office:Rooms Admin'!AC66)</f>
        <v>120062</v>
      </c>
      <c r="AD66" s="127">
        <f>SUM(R66:AC66)</f>
        <v>1222996.52</v>
      </c>
      <c r="AE66" s="72">
        <f t="shared" si="35"/>
        <v>-82312.520000000019</v>
      </c>
      <c r="AF66" s="128">
        <f t="shared" si="36"/>
        <v>-6.7303969106960349E-2</v>
      </c>
      <c r="AG66" s="129">
        <v>3068265.11</v>
      </c>
      <c r="AH66" s="133">
        <f t="shared" si="34"/>
        <v>1927581.1099999999</v>
      </c>
      <c r="AJ66" s="130"/>
      <c r="AK66" s="124"/>
      <c r="AL66" s="124"/>
    </row>
    <row r="67" spans="1:38">
      <c r="A67" s="105" t="s">
        <v>251</v>
      </c>
      <c r="B67" s="105" t="s">
        <v>256</v>
      </c>
      <c r="D67" s="105" t="s">
        <v>257</v>
      </c>
      <c r="E67" s="72">
        <f>SUM('Front office:Rooms Admin'!E67)</f>
        <v>24035</v>
      </c>
      <c r="F67" s="72">
        <f>SUM('Front office:Rooms Admin'!F67)</f>
        <v>24035</v>
      </c>
      <c r="G67" s="72">
        <f>SUM('Front office:Rooms Admin'!G67)</f>
        <v>25236.75</v>
      </c>
      <c r="H67" s="72">
        <f>SUM('Front office:Rooms Admin'!H67)</f>
        <v>25236.75</v>
      </c>
      <c r="I67" s="72">
        <f>SUM('Front office:Rooms Admin'!I67)</f>
        <v>25236.75</v>
      </c>
      <c r="J67" s="72">
        <f>SUM('Front office:Rooms Admin'!J67)</f>
        <v>25236.75</v>
      </c>
      <c r="K67" s="72">
        <f>SUM('Front office:Rooms Admin'!K67)</f>
        <v>25236.75</v>
      </c>
      <c r="L67" s="72">
        <f>SUM('Front office:Rooms Admin'!L67)</f>
        <v>25236.75</v>
      </c>
      <c r="M67" s="72">
        <f>SUM('Front office:Rooms Admin'!M67)</f>
        <v>25236.75</v>
      </c>
      <c r="N67" s="72">
        <f>SUM('Front office:Rooms Admin'!N67)</f>
        <v>25236.75</v>
      </c>
      <c r="O67" s="72">
        <f>SUM('Front office:Rooms Admin'!O67)</f>
        <v>25236.75</v>
      </c>
      <c r="P67" s="72">
        <f>SUM('Front office:Rooms Admin'!P67)</f>
        <v>25236.75</v>
      </c>
      <c r="Q67" s="135">
        <f>SUM(E67:P67)</f>
        <v>300437.5</v>
      </c>
      <c r="R67" s="72">
        <f>SUM('Front office:Rooms Admin'!R67)</f>
        <v>25300</v>
      </c>
      <c r="S67" s="72">
        <f>SUM('Front office:Rooms Admin'!S67)</f>
        <v>25300</v>
      </c>
      <c r="T67" s="72">
        <f>SUM('Front office:Rooms Admin'!T67)</f>
        <v>27472.42</v>
      </c>
      <c r="U67" s="72">
        <f>SUM('Front office:Rooms Admin'!U67)</f>
        <v>28300</v>
      </c>
      <c r="V67" s="72">
        <f>SUM('Front office:Rooms Admin'!V67)</f>
        <v>28300</v>
      </c>
      <c r="W67" s="72">
        <f>SUM('Front office:Rooms Admin'!W67)</f>
        <v>25696.55</v>
      </c>
      <c r="X67" s="72">
        <f>SUM('Front office:Rooms Admin'!X67)</f>
        <v>27506.9</v>
      </c>
      <c r="Y67" s="72">
        <f>SUM('Front office:Rooms Admin'!Y67)</f>
        <v>24403.45</v>
      </c>
      <c r="Z67" s="72">
        <f>SUM('Front office:Rooms Admin'!Z67)</f>
        <v>21720</v>
      </c>
      <c r="AA67" s="72">
        <f>SUM('Front office:Rooms Admin'!AA67)</f>
        <v>21720</v>
      </c>
      <c r="AB67" s="72">
        <f>SUM('Front office:Rooms Admin'!AB67)</f>
        <v>21720</v>
      </c>
      <c r="AC67" s="72">
        <f>SUM('Front office:Rooms Admin'!AC67)</f>
        <v>21720</v>
      </c>
      <c r="AD67" s="127">
        <f>SUM(R67:AC67)</f>
        <v>299159.31999999995</v>
      </c>
      <c r="AE67" s="72">
        <f t="shared" si="35"/>
        <v>1278.1800000000512</v>
      </c>
      <c r="AF67" s="128">
        <f t="shared" si="36"/>
        <v>4.272572888586762E-3</v>
      </c>
      <c r="AG67" s="129">
        <v>344883.6</v>
      </c>
      <c r="AH67" s="133">
        <f t="shared" si="34"/>
        <v>44446.099999999977</v>
      </c>
      <c r="AJ67" s="130"/>
      <c r="AK67" s="124"/>
      <c r="AL67" s="124"/>
    </row>
    <row r="68" spans="1:38">
      <c r="A68" s="105" t="s">
        <v>251</v>
      </c>
      <c r="B68" s="105" t="s">
        <v>256</v>
      </c>
      <c r="D68" s="105" t="s">
        <v>258</v>
      </c>
      <c r="E68" s="72">
        <f>SUM('Front office:Rooms Admin'!E68)</f>
        <v>2850</v>
      </c>
      <c r="F68" s="72">
        <f>SUM('Front office:Rooms Admin'!F68)</f>
        <v>2850</v>
      </c>
      <c r="G68" s="72">
        <f>SUM('Front office:Rooms Admin'!G68)</f>
        <v>2992.5</v>
      </c>
      <c r="H68" s="72">
        <f>SUM('Front office:Rooms Admin'!H68)</f>
        <v>2992.5</v>
      </c>
      <c r="I68" s="72">
        <f>SUM('Front office:Rooms Admin'!I68)</f>
        <v>2992.5</v>
      </c>
      <c r="J68" s="72">
        <f>SUM('Front office:Rooms Admin'!J68)</f>
        <v>2992.5</v>
      </c>
      <c r="K68" s="72">
        <f>SUM('Front office:Rooms Admin'!K68)</f>
        <v>2992.5</v>
      </c>
      <c r="L68" s="72">
        <f>SUM('Front office:Rooms Admin'!L68)</f>
        <v>2992.5</v>
      </c>
      <c r="M68" s="72">
        <f>SUM('Front office:Rooms Admin'!M68)</f>
        <v>2992.5</v>
      </c>
      <c r="N68" s="72">
        <f>SUM('Front office:Rooms Admin'!N68)</f>
        <v>2992.5</v>
      </c>
      <c r="O68" s="72">
        <f>SUM('Front office:Rooms Admin'!O68)</f>
        <v>2992.5</v>
      </c>
      <c r="P68" s="72">
        <f>SUM('Front office:Rooms Admin'!P68)</f>
        <v>2992.5</v>
      </c>
      <c r="Q68" s="135">
        <f>SUM(E68:P68)</f>
        <v>35625</v>
      </c>
      <c r="R68" s="72">
        <f>SUM('Front office:Rooms Admin'!R68)</f>
        <v>0</v>
      </c>
      <c r="S68" s="72">
        <f>SUM('Front office:Rooms Admin'!S68)</f>
        <v>0</v>
      </c>
      <c r="T68" s="72">
        <f>SUM('Front office:Rooms Admin'!T68)</f>
        <v>3800</v>
      </c>
      <c r="U68" s="72">
        <f>SUM('Front office:Rooms Admin'!U68)</f>
        <v>3800</v>
      </c>
      <c r="V68" s="72">
        <f>SUM('Front office:Rooms Admin'!V68)</f>
        <v>3800</v>
      </c>
      <c r="W68" s="72">
        <f>SUM('Front office:Rooms Admin'!W68)</f>
        <v>3800</v>
      </c>
      <c r="X68" s="72">
        <f>SUM('Front office:Rooms Admin'!X68)</f>
        <v>3094.54</v>
      </c>
      <c r="Y68" s="72">
        <f>SUM('Front office:Rooms Admin'!Y68)</f>
        <v>3800</v>
      </c>
      <c r="Z68" s="72">
        <f>SUM('Front office:Rooms Admin'!Z68)</f>
        <v>3800</v>
      </c>
      <c r="AA68" s="72">
        <f>SUM('Front office:Rooms Admin'!AA68)</f>
        <v>3800</v>
      </c>
      <c r="AB68" s="72">
        <f>SUM('Front office:Rooms Admin'!AB68)</f>
        <v>3800</v>
      </c>
      <c r="AC68" s="72">
        <f>SUM('Front office:Rooms Admin'!AC68)</f>
        <v>3800</v>
      </c>
      <c r="AD68" s="127">
        <f>SUM(R68:AC68)</f>
        <v>37294.54</v>
      </c>
      <c r="AE68" s="72">
        <f t="shared" si="35"/>
        <v>-1669.5400000000009</v>
      </c>
      <c r="AF68" s="128">
        <f t="shared" si="36"/>
        <v>-4.4766338450615048E-2</v>
      </c>
      <c r="AG68" s="129">
        <v>0</v>
      </c>
      <c r="AH68" s="133">
        <f t="shared" si="34"/>
        <v>-35625</v>
      </c>
      <c r="AJ68" s="130"/>
      <c r="AK68" s="124"/>
      <c r="AL68" s="124"/>
    </row>
    <row r="69" spans="1:38">
      <c r="D69" s="109" t="s">
        <v>259</v>
      </c>
      <c r="E69" s="135">
        <f>SUM(E64:E68)</f>
        <v>383494.92</v>
      </c>
      <c r="F69" s="135">
        <f t="shared" ref="F69:AD69" si="37">SUM(F64:F68)</f>
        <v>383494.92</v>
      </c>
      <c r="G69" s="135">
        <f t="shared" si="37"/>
        <v>393571.15</v>
      </c>
      <c r="H69" s="135">
        <f t="shared" si="37"/>
        <v>402548.65</v>
      </c>
      <c r="I69" s="135">
        <f t="shared" si="37"/>
        <v>402548.65</v>
      </c>
      <c r="J69" s="135">
        <f t="shared" si="37"/>
        <v>405740.65</v>
      </c>
      <c r="K69" s="135">
        <f t="shared" si="37"/>
        <v>405740.65</v>
      </c>
      <c r="L69" s="135">
        <f t="shared" si="37"/>
        <v>413112.97</v>
      </c>
      <c r="M69" s="135">
        <f t="shared" si="37"/>
        <v>421428.97</v>
      </c>
      <c r="N69" s="135">
        <f t="shared" si="37"/>
        <v>421428.97</v>
      </c>
      <c r="O69" s="135">
        <f t="shared" si="37"/>
        <v>421428.97</v>
      </c>
      <c r="P69" s="135">
        <f t="shared" si="37"/>
        <v>421428.97</v>
      </c>
      <c r="Q69" s="135">
        <f t="shared" si="37"/>
        <v>4875968.4400000004</v>
      </c>
      <c r="R69" s="135">
        <f>SUM(R64:R68)</f>
        <v>409019.9</v>
      </c>
      <c r="S69" s="135">
        <f t="shared" ref="S69:Y69" si="38">SUM(S64:S68)</f>
        <v>419664.91000000003</v>
      </c>
      <c r="T69" s="135">
        <f t="shared" si="38"/>
        <v>419406.22</v>
      </c>
      <c r="U69" s="135">
        <f t="shared" si="38"/>
        <v>403968.18</v>
      </c>
      <c r="V69" s="135">
        <f t="shared" si="38"/>
        <v>404055.26</v>
      </c>
      <c r="W69" s="135">
        <f t="shared" si="38"/>
        <v>378722.86</v>
      </c>
      <c r="X69" s="135">
        <f>SUM(X64:X68)</f>
        <v>378526.18</v>
      </c>
      <c r="Y69" s="135">
        <f t="shared" si="38"/>
        <v>383789.24000000005</v>
      </c>
      <c r="Z69" s="135">
        <f>SUM(Z64:Z68)</f>
        <v>386167</v>
      </c>
      <c r="AA69" s="135">
        <f>SUM(AA64:AA68)</f>
        <v>416167</v>
      </c>
      <c r="AB69" s="135">
        <f>SUM(AB64:AB68)</f>
        <v>416167</v>
      </c>
      <c r="AC69" s="135">
        <f>SUM(AC64:AC68)</f>
        <v>416167</v>
      </c>
      <c r="AD69" s="135">
        <f t="shared" si="37"/>
        <v>4831820.7500000009</v>
      </c>
      <c r="AE69" s="135">
        <f t="shared" si="35"/>
        <v>44147.689999999478</v>
      </c>
      <c r="AF69" s="138">
        <f t="shared" si="36"/>
        <v>9.1368641934822335E-3</v>
      </c>
      <c r="AG69" s="133">
        <v>6544012.7799999993</v>
      </c>
      <c r="AH69" s="133">
        <f t="shared" si="34"/>
        <v>1668044.3399999989</v>
      </c>
      <c r="AJ69" s="130"/>
      <c r="AK69" s="124"/>
      <c r="AL69" s="124"/>
    </row>
    <row r="70" spans="1:38">
      <c r="D70" s="105" t="s">
        <v>154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35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35"/>
      <c r="AE70" s="140"/>
      <c r="AF70" s="138"/>
      <c r="AG70" s="133"/>
      <c r="AH70" s="133">
        <f t="shared" si="34"/>
        <v>0</v>
      </c>
      <c r="AJ70" s="130"/>
      <c r="AK70" s="124"/>
      <c r="AL70" s="124"/>
    </row>
    <row r="71" spans="1:38">
      <c r="A71" s="105" t="s">
        <v>119</v>
      </c>
      <c r="B71" s="105" t="s">
        <v>249</v>
      </c>
      <c r="D71" s="105" t="s">
        <v>260</v>
      </c>
      <c r="E71" s="136">
        <f>SUM('Front office:Rooms Admin'!E71)</f>
        <v>102805.53000000001</v>
      </c>
      <c r="F71" s="136">
        <f>SUM('Front office:Rooms Admin'!F71)</f>
        <v>0</v>
      </c>
      <c r="G71" s="136">
        <f>SUM('Front office:Rooms Admin'!G71)</f>
        <v>0</v>
      </c>
      <c r="H71" s="136">
        <f>SUM('Front office:Rooms Admin'!H71)</f>
        <v>24887.600000000002</v>
      </c>
      <c r="I71" s="136">
        <f>SUM('Front office:Rooms Admin'!I71)</f>
        <v>49503.460000000006</v>
      </c>
      <c r="J71" s="136">
        <f>SUM('Front office:Rooms Admin'!J71)</f>
        <v>0</v>
      </c>
      <c r="K71" s="136">
        <f>SUM('Front office:Rooms Admin'!K71)</f>
        <v>0</v>
      </c>
      <c r="L71" s="136">
        <f>SUM('Front office:Rooms Admin'!L71)</f>
        <v>0</v>
      </c>
      <c r="M71" s="136">
        <f>SUM('Front office:Rooms Admin'!M71)</f>
        <v>0</v>
      </c>
      <c r="N71" s="136">
        <f>SUM('Front office:Rooms Admin'!N71)</f>
        <v>103505.81999999999</v>
      </c>
      <c r="O71" s="136">
        <f>SUM('Front office:Rooms Admin'!O71)</f>
        <v>0</v>
      </c>
      <c r="P71" s="136">
        <f>SUM('Front office:Rooms Admin'!P71)</f>
        <v>0</v>
      </c>
      <c r="Q71" s="135">
        <f>SUM(E71:P71)</f>
        <v>280702.41000000003</v>
      </c>
      <c r="R71" s="136">
        <f>SUM('Front office:Rooms Admin'!R71)</f>
        <v>28137.96</v>
      </c>
      <c r="S71" s="136">
        <f>SUM('Front office:Rooms Admin'!S71)</f>
        <v>70713.77</v>
      </c>
      <c r="T71" s="136">
        <f>SUM('Front office:Rooms Admin'!T71)</f>
        <v>0</v>
      </c>
      <c r="U71" s="136">
        <f>SUM('Front office:Rooms Admin'!U71)</f>
        <v>23434.469999999998</v>
      </c>
      <c r="V71" s="136">
        <f>SUM('Front office:Rooms Admin'!V71)</f>
        <v>26703.45</v>
      </c>
      <c r="W71" s="136">
        <f>SUM('Front office:Rooms Admin'!W71)</f>
        <v>24179.31</v>
      </c>
      <c r="X71" s="136">
        <f>SUM('Front office:Rooms Admin'!X71)</f>
        <v>0</v>
      </c>
      <c r="Y71" s="136">
        <f>SUM('Front office:Rooms Admin'!Y71)</f>
        <v>0</v>
      </c>
      <c r="Z71" s="136">
        <f>SUM('Front office:Rooms Admin'!Z71)</f>
        <v>43822</v>
      </c>
      <c r="AA71" s="136">
        <f>SUM('Front office:Rooms Admin'!AA71)</f>
        <v>131465</v>
      </c>
      <c r="AB71" s="136">
        <f>SUM('Front office:Rooms Admin'!AB71)</f>
        <v>0</v>
      </c>
      <c r="AC71" s="136">
        <f>SUM('Front office:Rooms Admin'!AC71)</f>
        <v>0</v>
      </c>
      <c r="AD71" s="137">
        <f>SUM(R71:AC71)</f>
        <v>348455.96</v>
      </c>
      <c r="AE71" s="136">
        <f t="shared" si="35"/>
        <v>-67753.549999999988</v>
      </c>
      <c r="AF71" s="138">
        <f t="shared" si="36"/>
        <v>-0.1944393489495774</v>
      </c>
      <c r="AG71" s="133">
        <v>439493.14999999991</v>
      </c>
      <c r="AH71" s="133">
        <f t="shared" si="34"/>
        <v>158790.73999999987</v>
      </c>
      <c r="AJ71" s="130"/>
      <c r="AK71" s="124"/>
      <c r="AL71" s="124"/>
    </row>
    <row r="72" spans="1:38">
      <c r="A72" s="105" t="s">
        <v>120</v>
      </c>
      <c r="B72" s="105" t="s">
        <v>249</v>
      </c>
      <c r="D72" s="105" t="s">
        <v>261</v>
      </c>
      <c r="E72" s="136">
        <f>SUM('Front office:Rooms Admin'!E72)</f>
        <v>72444.59</v>
      </c>
      <c r="F72" s="136">
        <f>SUM('Front office:Rooms Admin'!F72)</f>
        <v>72577.929999999993</v>
      </c>
      <c r="G72" s="136">
        <f>SUM('Front office:Rooms Admin'!G72)</f>
        <v>73877.919999999998</v>
      </c>
      <c r="H72" s="136">
        <f>SUM('Front office:Rooms Admin'!H72)</f>
        <v>75377.920000000013</v>
      </c>
      <c r="I72" s="136">
        <f>SUM('Front office:Rooms Admin'!I72)</f>
        <v>75377.920000000013</v>
      </c>
      <c r="J72" s="136">
        <f>SUM('Front office:Rooms Admin'!J72)</f>
        <v>75911.250000000015</v>
      </c>
      <c r="K72" s="136">
        <f>SUM('Front office:Rooms Admin'!K72)</f>
        <v>75911.250000000015</v>
      </c>
      <c r="L72" s="136">
        <f>SUM('Front office:Rooms Admin'!L72)</f>
        <v>77027.920000000013</v>
      </c>
      <c r="M72" s="136">
        <f>SUM('Front office:Rooms Admin'!M72)</f>
        <v>78527.920000000013</v>
      </c>
      <c r="N72" s="136">
        <f>SUM('Front office:Rooms Admin'!N72)</f>
        <v>78527.920000000013</v>
      </c>
      <c r="O72" s="136">
        <f>SUM('Front office:Rooms Admin'!O72)</f>
        <v>78527.920000000013</v>
      </c>
      <c r="P72" s="136">
        <f>SUM('Front office:Rooms Admin'!P72)</f>
        <v>78527.920000000013</v>
      </c>
      <c r="Q72" s="135">
        <f>SUM(E72:P72)</f>
        <v>912618.38000000024</v>
      </c>
      <c r="R72" s="136">
        <f>SUM('Front office:Rooms Admin'!R72)</f>
        <v>102230.08</v>
      </c>
      <c r="S72" s="136">
        <f>SUM('Front office:Rooms Admin'!S72)</f>
        <v>104007.71</v>
      </c>
      <c r="T72" s="136">
        <f>SUM('Front office:Rooms Admin'!T72)</f>
        <v>103715.62000000001</v>
      </c>
      <c r="U72" s="136">
        <f>SUM('Front office:Rooms Admin'!U72)</f>
        <v>70598.240000000005</v>
      </c>
      <c r="V72" s="136">
        <f>SUM('Front office:Rooms Admin'!V72)</f>
        <v>68249.47</v>
      </c>
      <c r="W72" s="136">
        <f>SUM('Front office:Rooms Admin'!W72)</f>
        <v>65100.15</v>
      </c>
      <c r="X72" s="136">
        <f>SUM('Front office:Rooms Admin'!X72)</f>
        <v>64021.100000000006</v>
      </c>
      <c r="Y72" s="136">
        <f>SUM('Front office:Rooms Admin'!Y72)</f>
        <v>67726.319999999992</v>
      </c>
      <c r="Z72" s="136">
        <f>SUM('Front office:Rooms Admin'!Z72)</f>
        <v>61027.83</v>
      </c>
      <c r="AA72" s="136">
        <f>SUM('Front office:Rooms Admin'!AA72)</f>
        <v>61027.83</v>
      </c>
      <c r="AB72" s="136">
        <f>SUM('Front office:Rooms Admin'!AB72)</f>
        <v>61027.83</v>
      </c>
      <c r="AC72" s="136">
        <f>SUM('Front office:Rooms Admin'!AC72)</f>
        <v>61027.83</v>
      </c>
      <c r="AD72" s="137">
        <f>SUM(R72:AC72)</f>
        <v>889760.00999999978</v>
      </c>
      <c r="AE72" s="136">
        <f t="shared" si="35"/>
        <v>22858.370000000461</v>
      </c>
      <c r="AF72" s="138">
        <f t="shared" si="36"/>
        <v>2.5690489281486664E-2</v>
      </c>
      <c r="AG72" s="133">
        <v>1025043.52</v>
      </c>
      <c r="AH72" s="133">
        <f t="shared" si="34"/>
        <v>112425.13999999978</v>
      </c>
      <c r="AJ72" s="130"/>
      <c r="AK72" s="124"/>
      <c r="AL72" s="124"/>
    </row>
    <row r="73" spans="1:38">
      <c r="A73" s="105" t="s">
        <v>121</v>
      </c>
      <c r="B73" s="105" t="s">
        <v>249</v>
      </c>
      <c r="D73" s="105" t="s">
        <v>262</v>
      </c>
      <c r="E73" s="136">
        <f>SUM('Front office:Rooms Admin'!E73)</f>
        <v>48460</v>
      </c>
      <c r="F73" s="136">
        <f>SUM('Front office:Rooms Admin'!F73)</f>
        <v>48220</v>
      </c>
      <c r="G73" s="136">
        <f>SUM('Front office:Rooms Admin'!G73)</f>
        <v>48260</v>
      </c>
      <c r="H73" s="136">
        <f>SUM('Front office:Rooms Admin'!H73)</f>
        <v>48920</v>
      </c>
      <c r="I73" s="136">
        <f>SUM('Front office:Rooms Admin'!I73)</f>
        <v>48920</v>
      </c>
      <c r="J73" s="136">
        <f>SUM('Front office:Rooms Admin'!J73)</f>
        <v>49350</v>
      </c>
      <c r="K73" s="136">
        <f>SUM('Front office:Rooms Admin'!K73)</f>
        <v>49350</v>
      </c>
      <c r="L73" s="136">
        <f>SUM('Front office:Rooms Admin'!L73)</f>
        <v>48520</v>
      </c>
      <c r="M73" s="136">
        <f>SUM('Front office:Rooms Admin'!M73)</f>
        <v>48520</v>
      </c>
      <c r="N73" s="136">
        <f>SUM('Front office:Rooms Admin'!N73)</f>
        <v>48520</v>
      </c>
      <c r="O73" s="136">
        <f>SUM('Front office:Rooms Admin'!O73)</f>
        <v>48520</v>
      </c>
      <c r="P73" s="136">
        <f>SUM('Front office:Rooms Admin'!P73)</f>
        <v>48520</v>
      </c>
      <c r="Q73" s="135">
        <f>SUM(E73:P73)</f>
        <v>584080</v>
      </c>
      <c r="R73" s="136">
        <f>SUM('Front office:Rooms Admin'!R73)</f>
        <v>41131.199999999997</v>
      </c>
      <c r="S73" s="136">
        <f>SUM('Front office:Rooms Admin'!S73)</f>
        <v>40933.440000000002</v>
      </c>
      <c r="T73" s="136">
        <f>SUM('Front office:Rooms Admin'!T73)</f>
        <v>41305.160000000003</v>
      </c>
      <c r="U73" s="136">
        <f>SUM('Front office:Rooms Admin'!U73)</f>
        <v>41655.93</v>
      </c>
      <c r="V73" s="136">
        <f>SUM('Front office:Rooms Admin'!V73)</f>
        <v>42228</v>
      </c>
      <c r="W73" s="136">
        <f>SUM('Front office:Rooms Admin'!W73)</f>
        <v>40853.540000000008</v>
      </c>
      <c r="X73" s="136">
        <f>SUM('Front office:Rooms Admin'!X73)</f>
        <v>42056.57</v>
      </c>
      <c r="Y73" s="136">
        <f>SUM('Front office:Rooms Admin'!Y73)</f>
        <v>41140.78</v>
      </c>
      <c r="Z73" s="136">
        <f>SUM('Front office:Rooms Admin'!Z73)</f>
        <v>75157</v>
      </c>
      <c r="AA73" s="136">
        <f>SUM('Front office:Rooms Admin'!AA73)</f>
        <v>73537</v>
      </c>
      <c r="AB73" s="136">
        <f>SUM('Front office:Rooms Admin'!AB73)</f>
        <v>73897</v>
      </c>
      <c r="AC73" s="136">
        <f>SUM('Front office:Rooms Admin'!AC73)</f>
        <v>74077</v>
      </c>
      <c r="AD73" s="137">
        <f>SUM(R73:AC73)</f>
        <v>627972.62</v>
      </c>
      <c r="AE73" s="136">
        <f t="shared" si="35"/>
        <v>-43892.619999999995</v>
      </c>
      <c r="AF73" s="138">
        <f t="shared" si="36"/>
        <v>-6.989575437222087E-2</v>
      </c>
      <c r="AG73" s="133">
        <v>390440.92</v>
      </c>
      <c r="AH73" s="133">
        <f t="shared" si="34"/>
        <v>-193639.08000000002</v>
      </c>
      <c r="AJ73" s="130"/>
      <c r="AK73" s="124"/>
      <c r="AL73" s="124"/>
    </row>
    <row r="74" spans="1:38">
      <c r="A74" s="105" t="s">
        <v>122</v>
      </c>
      <c r="B74" s="105" t="s">
        <v>249</v>
      </c>
      <c r="D74" s="105" t="s">
        <v>263</v>
      </c>
      <c r="E74" s="136">
        <f>SUM('Front office:Rooms Admin'!E74)</f>
        <v>0</v>
      </c>
      <c r="F74" s="136">
        <f>SUM('Front office:Rooms Admin'!F74)</f>
        <v>0</v>
      </c>
      <c r="G74" s="136">
        <f>SUM('Front office:Rooms Admin'!G74)</f>
        <v>0</v>
      </c>
      <c r="H74" s="136">
        <f>SUM('Front office:Rooms Admin'!H74)</f>
        <v>0</v>
      </c>
      <c r="I74" s="136">
        <f>SUM('Front office:Rooms Admin'!I74)</f>
        <v>0</v>
      </c>
      <c r="J74" s="136">
        <f>SUM('Front office:Rooms Admin'!J74)</f>
        <v>0</v>
      </c>
      <c r="K74" s="136">
        <f>SUM('Front office:Rooms Admin'!K74)</f>
        <v>0</v>
      </c>
      <c r="L74" s="136">
        <f>SUM('Front office:Rooms Admin'!L74)</f>
        <v>0</v>
      </c>
      <c r="M74" s="136">
        <f>SUM('Front office:Rooms Admin'!M74)</f>
        <v>0</v>
      </c>
      <c r="N74" s="136">
        <f>SUM('Front office:Rooms Admin'!N74)</f>
        <v>0</v>
      </c>
      <c r="O74" s="136">
        <f>SUM('Front office:Rooms Admin'!O74)</f>
        <v>0</v>
      </c>
      <c r="P74" s="136">
        <f>SUM('Front office:Rooms Admin'!P74)</f>
        <v>0</v>
      </c>
      <c r="Q74" s="135">
        <f>SUM(E74:P74)</f>
        <v>0</v>
      </c>
      <c r="R74" s="136">
        <f>SUM('Front office:Rooms Admin'!R74)</f>
        <v>0</v>
      </c>
      <c r="S74" s="136">
        <f>SUM('Front office:Rooms Admin'!S74)</f>
        <v>0</v>
      </c>
      <c r="T74" s="136">
        <f>SUM('Front office:Rooms Admin'!T74)</f>
        <v>0</v>
      </c>
      <c r="U74" s="136">
        <f>SUM('Front office:Rooms Admin'!U74)</f>
        <v>0</v>
      </c>
      <c r="V74" s="136">
        <f>SUM('Front office:Rooms Admin'!V74)</f>
        <v>0</v>
      </c>
      <c r="W74" s="136">
        <f>SUM('Front office:Rooms Admin'!W74)</f>
        <v>0</v>
      </c>
      <c r="X74" s="136">
        <f>SUM('Front office:Rooms Admin'!X74)</f>
        <v>0</v>
      </c>
      <c r="Y74" s="136">
        <f>SUM('Front office:Rooms Admin'!Y74)</f>
        <v>0</v>
      </c>
      <c r="Z74" s="136">
        <f>SUM('Front office:Rooms Admin'!Z74)</f>
        <v>0</v>
      </c>
      <c r="AA74" s="136">
        <f>SUM('Front office:Rooms Admin'!AA74)</f>
        <v>0</v>
      </c>
      <c r="AB74" s="136">
        <f>SUM('Front office:Rooms Admin'!AB74)</f>
        <v>0</v>
      </c>
      <c r="AC74" s="136">
        <f>SUM('Front office:Rooms Admin'!AC74)</f>
        <v>0</v>
      </c>
      <c r="AD74" s="137">
        <f>SUM(R74:AC74)</f>
        <v>0</v>
      </c>
      <c r="AE74" s="136"/>
      <c r="AF74" s="138"/>
      <c r="AG74" s="133">
        <v>0</v>
      </c>
      <c r="AH74" s="133">
        <f t="shared" si="34"/>
        <v>0</v>
      </c>
      <c r="AJ74" s="130"/>
      <c r="AK74" s="124"/>
      <c r="AL74" s="124"/>
    </row>
    <row r="75" spans="1:38">
      <c r="A75" s="105" t="s">
        <v>123</v>
      </c>
      <c r="B75" s="105" t="s">
        <v>249</v>
      </c>
      <c r="D75" s="105" t="s">
        <v>264</v>
      </c>
      <c r="E75" s="136">
        <f>SUM('Front office:Rooms Admin'!E75)</f>
        <v>158107.5</v>
      </c>
      <c r="F75" s="136">
        <f>SUM('Front office:Rooms Admin'!F75)</f>
        <v>162351.5</v>
      </c>
      <c r="G75" s="136">
        <f>SUM('Front office:Rooms Admin'!G75)</f>
        <v>134172.5</v>
      </c>
      <c r="H75" s="136">
        <f>SUM('Front office:Rooms Admin'!H75)</f>
        <v>126376.5</v>
      </c>
      <c r="I75" s="136">
        <f>SUM('Front office:Rooms Admin'!I75)</f>
        <v>124731.5</v>
      </c>
      <c r="J75" s="136">
        <f>SUM('Front office:Rooms Admin'!J75)</f>
        <v>119759.5</v>
      </c>
      <c r="K75" s="136">
        <f>SUM('Front office:Rooms Admin'!K75)</f>
        <v>133258.5</v>
      </c>
      <c r="L75" s="136">
        <f>SUM('Front office:Rooms Admin'!L75)</f>
        <v>138898.5</v>
      </c>
      <c r="M75" s="136">
        <f>SUM('Front office:Rooms Admin'!M75)</f>
        <v>116618.5</v>
      </c>
      <c r="N75" s="136">
        <f>SUM('Front office:Rooms Admin'!N75)</f>
        <v>126267.5</v>
      </c>
      <c r="O75" s="136">
        <f>SUM('Front office:Rooms Admin'!O75)</f>
        <v>120835.5</v>
      </c>
      <c r="P75" s="136">
        <f>SUM('Front office:Rooms Admin'!P75)</f>
        <v>130431.5</v>
      </c>
      <c r="Q75" s="135">
        <f>SUM(E75:P75)</f>
        <v>1591809</v>
      </c>
      <c r="R75" s="136">
        <f>SUM('Front office:Rooms Admin'!R75)</f>
        <v>118674.35</v>
      </c>
      <c r="S75" s="136">
        <f>SUM('Front office:Rooms Admin'!S75)</f>
        <v>177436.93</v>
      </c>
      <c r="T75" s="136">
        <f>SUM('Front office:Rooms Admin'!T75)</f>
        <v>63961.83</v>
      </c>
      <c r="U75" s="136">
        <f>SUM('Front office:Rooms Admin'!U75)</f>
        <v>36927.94</v>
      </c>
      <c r="V75" s="136">
        <f>SUM('Front office:Rooms Admin'!V75)</f>
        <v>69903.86</v>
      </c>
      <c r="W75" s="136">
        <f>SUM('Front office:Rooms Admin'!W75)</f>
        <v>33107.06</v>
      </c>
      <c r="X75" s="136">
        <f>SUM('Front office:Rooms Admin'!X75)</f>
        <v>62327.95</v>
      </c>
      <c r="Y75" s="136">
        <f>SUM('Front office:Rooms Admin'!Y75)</f>
        <v>388804.54000000004</v>
      </c>
      <c r="Z75" s="136">
        <f>SUM('Front office:Rooms Admin'!Z75)</f>
        <v>110911.2</v>
      </c>
      <c r="AA75" s="136">
        <f>SUM('Front office:Rooms Admin'!AA75)</f>
        <v>129965</v>
      </c>
      <c r="AB75" s="136">
        <f>SUM('Front office:Rooms Admin'!AB75)</f>
        <v>131303</v>
      </c>
      <c r="AC75" s="136">
        <f>SUM('Front office:Rooms Admin'!AC75)</f>
        <v>147714</v>
      </c>
      <c r="AD75" s="137">
        <f>SUM(R75:AC75)</f>
        <v>1471037.6600000001</v>
      </c>
      <c r="AE75" s="136">
        <f t="shared" si="35"/>
        <v>120771.33999999985</v>
      </c>
      <c r="AF75" s="138">
        <f t="shared" si="36"/>
        <v>8.2099420894499633E-2</v>
      </c>
      <c r="AG75" s="133">
        <v>1343050.4100000001</v>
      </c>
      <c r="AH75" s="133">
        <f t="shared" si="34"/>
        <v>-248758.58999999985</v>
      </c>
      <c r="AJ75" s="130"/>
      <c r="AK75" s="124"/>
      <c r="AL75" s="124"/>
    </row>
    <row r="76" spans="1:38">
      <c r="D76" s="105" t="s">
        <v>265</v>
      </c>
      <c r="E76" s="135">
        <f>SUM(E71:E75)</f>
        <v>381817.62</v>
      </c>
      <c r="F76" s="135">
        <f t="shared" ref="F76:Q76" si="39">SUM(F71:F75)</f>
        <v>283149.43</v>
      </c>
      <c r="G76" s="135">
        <f t="shared" si="39"/>
        <v>256310.41999999998</v>
      </c>
      <c r="H76" s="135">
        <f t="shared" si="39"/>
        <v>275562.02</v>
      </c>
      <c r="I76" s="135">
        <f t="shared" si="39"/>
        <v>298532.88</v>
      </c>
      <c r="J76" s="135">
        <f t="shared" si="39"/>
        <v>245020.75</v>
      </c>
      <c r="K76" s="135">
        <f t="shared" si="39"/>
        <v>258519.75</v>
      </c>
      <c r="L76" s="135">
        <f t="shared" si="39"/>
        <v>264446.42000000004</v>
      </c>
      <c r="M76" s="135">
        <f t="shared" si="39"/>
        <v>243666.42</v>
      </c>
      <c r="N76" s="135">
        <f t="shared" si="39"/>
        <v>356821.24</v>
      </c>
      <c r="O76" s="135">
        <f t="shared" si="39"/>
        <v>247883.42</v>
      </c>
      <c r="P76" s="135">
        <f t="shared" si="39"/>
        <v>257479.42</v>
      </c>
      <c r="Q76" s="135">
        <f t="shared" si="39"/>
        <v>3369209.79</v>
      </c>
      <c r="R76" s="135">
        <f>SUM(R71:R75)</f>
        <v>290173.58999999997</v>
      </c>
      <c r="S76" s="135">
        <f t="shared" ref="S76:Y76" si="40">SUM(S71:S75)</f>
        <v>393091.85</v>
      </c>
      <c r="T76" s="135">
        <f t="shared" si="40"/>
        <v>208982.61000000004</v>
      </c>
      <c r="U76" s="135">
        <f t="shared" si="40"/>
        <v>172616.58000000002</v>
      </c>
      <c r="V76" s="135">
        <f t="shared" si="40"/>
        <v>207084.77999999997</v>
      </c>
      <c r="W76" s="135">
        <f t="shared" si="40"/>
        <v>163240.06</v>
      </c>
      <c r="X76" s="135">
        <f>SUM(X71:X75)</f>
        <v>168405.62</v>
      </c>
      <c r="Y76" s="135">
        <f t="shared" si="40"/>
        <v>497671.64</v>
      </c>
      <c r="Z76" s="135">
        <f>SUM(Z71:Z75)</f>
        <v>290918.03000000003</v>
      </c>
      <c r="AA76" s="135">
        <f>SUM(AA71:AA75)</f>
        <v>395994.83</v>
      </c>
      <c r="AB76" s="135">
        <f>SUM(AB71:AB75)</f>
        <v>266227.83</v>
      </c>
      <c r="AC76" s="135">
        <f>SUM(AC71:AC75)</f>
        <v>282818.83</v>
      </c>
      <c r="AD76" s="135">
        <f>SUM(AD71:AD75)</f>
        <v>3337226.25</v>
      </c>
      <c r="AE76" s="135">
        <f t="shared" si="35"/>
        <v>31983.540000000037</v>
      </c>
      <c r="AF76" s="138">
        <f t="shared" si="36"/>
        <v>9.5838692387128499E-3</v>
      </c>
      <c r="AG76" s="133">
        <v>3198028</v>
      </c>
      <c r="AH76" s="133">
        <f t="shared" si="34"/>
        <v>-171181.79000000004</v>
      </c>
      <c r="AJ76" s="130"/>
      <c r="AK76" s="124"/>
      <c r="AL76" s="124"/>
    </row>
    <row r="77" spans="1:38">
      <c r="D77" s="105" t="s">
        <v>154</v>
      </c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35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35"/>
      <c r="AE77" s="140"/>
      <c r="AF77" s="138"/>
      <c r="AG77" s="133"/>
      <c r="AH77" s="133">
        <f t="shared" si="34"/>
        <v>0</v>
      </c>
      <c r="AJ77" s="130"/>
      <c r="AK77" s="124"/>
      <c r="AL77" s="124"/>
    </row>
    <row r="78" spans="1:38">
      <c r="A78" s="105" t="s">
        <v>124</v>
      </c>
      <c r="B78" s="105" t="s">
        <v>249</v>
      </c>
      <c r="D78" s="105" t="s">
        <v>266</v>
      </c>
      <c r="E78" s="136">
        <f>SUM('Front office:Rooms Admin'!E78)</f>
        <v>102959.81</v>
      </c>
      <c r="F78" s="136">
        <f>SUM('Front office:Rooms Admin'!F78)</f>
        <v>102959.81</v>
      </c>
      <c r="G78" s="136">
        <f>SUM('Front office:Rooms Admin'!G78)</f>
        <v>104614.29000000001</v>
      </c>
      <c r="H78" s="136">
        <f>SUM('Front office:Rooms Admin'!H78)</f>
        <v>106268.77</v>
      </c>
      <c r="I78" s="136">
        <f>SUM('Front office:Rooms Admin'!I78)</f>
        <v>106268.77</v>
      </c>
      <c r="J78" s="136">
        <f>SUM('Front office:Rooms Admin'!J78)</f>
        <v>107096.01000000001</v>
      </c>
      <c r="K78" s="136">
        <f>SUM('Front office:Rooms Admin'!K78)</f>
        <v>109190.37000000004</v>
      </c>
      <c r="L78" s="136">
        <f>SUM('Front office:Rooms Admin'!L78)</f>
        <v>108874.60000000002</v>
      </c>
      <c r="M78" s="136">
        <f>SUM('Front office:Rooms Admin'!M78)</f>
        <v>109465.34000000001</v>
      </c>
      <c r="N78" s="136">
        <f>SUM('Front office:Rooms Admin'!N78)</f>
        <v>109465.34000000001</v>
      </c>
      <c r="O78" s="136">
        <f>SUM('Front office:Rooms Admin'!O78)</f>
        <v>109465.34000000001</v>
      </c>
      <c r="P78" s="136">
        <f>SUM('Front office:Rooms Admin'!P78)</f>
        <v>109465.34000000001</v>
      </c>
      <c r="Q78" s="135">
        <f t="shared" ref="Q78:Q85" si="41">SUM(E78:P78)</f>
        <v>1286093.7900000003</v>
      </c>
      <c r="R78" s="136">
        <f>SUM('Front office:Rooms Admin'!R78)</f>
        <v>104870.45000000001</v>
      </c>
      <c r="S78" s="136">
        <f>SUM('Front office:Rooms Admin'!S78)</f>
        <v>104041.16</v>
      </c>
      <c r="T78" s="136">
        <f>SUM('Front office:Rooms Admin'!T78)</f>
        <v>103831.45000000001</v>
      </c>
      <c r="U78" s="136">
        <f>SUM('Front office:Rooms Admin'!U78)</f>
        <v>105455.53</v>
      </c>
      <c r="V78" s="136">
        <f>SUM('Front office:Rooms Admin'!V78)</f>
        <v>101151.23999999999</v>
      </c>
      <c r="W78" s="136">
        <f>SUM('Front office:Rooms Admin'!W78)</f>
        <v>95552.95</v>
      </c>
      <c r="X78" s="136">
        <f>SUM('Front office:Rooms Admin'!X78)</f>
        <v>96076.53</v>
      </c>
      <c r="Y78" s="136">
        <f>SUM('Front office:Rooms Admin'!Y78)</f>
        <v>92396.75</v>
      </c>
      <c r="Z78" s="136">
        <f>SUM('Front office:Rooms Admin'!Z78)</f>
        <v>199796.86</v>
      </c>
      <c r="AA78" s="136">
        <f>SUM('Front office:Rooms Admin'!AA78)</f>
        <v>215943.66000000003</v>
      </c>
      <c r="AB78" s="136">
        <f>SUM('Front office:Rooms Admin'!AB78)</f>
        <v>220914.45999999996</v>
      </c>
      <c r="AC78" s="136">
        <f>SUM('Front office:Rooms Admin'!AC78)</f>
        <v>220914.45999999996</v>
      </c>
      <c r="AD78" s="137">
        <f t="shared" ref="AD78:AD85" si="42">SUM(R78:AC78)</f>
        <v>1660945.5</v>
      </c>
      <c r="AE78" s="136">
        <f t="shared" si="35"/>
        <v>-374851.70999999973</v>
      </c>
      <c r="AF78" s="138">
        <f t="shared" si="36"/>
        <v>-0.2256857374308788</v>
      </c>
      <c r="AG78" s="133">
        <v>1101934.48</v>
      </c>
      <c r="AH78" s="133">
        <f t="shared" si="34"/>
        <v>-184159.31000000029</v>
      </c>
      <c r="AJ78" s="130"/>
      <c r="AK78" s="124"/>
      <c r="AL78" s="124"/>
    </row>
    <row r="79" spans="1:38">
      <c r="A79" s="105" t="s">
        <v>125</v>
      </c>
      <c r="B79" s="105" t="s">
        <v>249</v>
      </c>
      <c r="D79" s="105" t="s">
        <v>267</v>
      </c>
      <c r="E79" s="136">
        <f>SUM('Front office:Rooms Admin'!E79)</f>
        <v>41736.050000000003</v>
      </c>
      <c r="F79" s="136">
        <f>SUM('Front office:Rooms Admin'!F79)</f>
        <v>41736.050000000003</v>
      </c>
      <c r="G79" s="136">
        <f>SUM('Front office:Rooms Admin'!G79)</f>
        <v>42401.330000000009</v>
      </c>
      <c r="H79" s="136">
        <f>SUM('Front office:Rooms Admin'!H79)</f>
        <v>43066.610000000008</v>
      </c>
      <c r="I79" s="136">
        <f>SUM('Front office:Rooms Admin'!I79)</f>
        <v>43066.610000000008</v>
      </c>
      <c r="J79" s="136">
        <f>SUM('Front office:Rooms Admin'!J79)</f>
        <v>43399.250000000007</v>
      </c>
      <c r="K79" s="136">
        <f>SUM('Front office:Rooms Admin'!K79)</f>
        <v>44115.29</v>
      </c>
      <c r="L79" s="136">
        <f>SUM('Front office:Rooms Admin'!L79)</f>
        <v>44849.3</v>
      </c>
      <c r="M79" s="136">
        <f>SUM('Front office:Rooms Admin'!M79)</f>
        <v>45089.29</v>
      </c>
      <c r="N79" s="136">
        <f>SUM('Front office:Rooms Admin'!N79)</f>
        <v>45089.29</v>
      </c>
      <c r="O79" s="136">
        <f>SUM('Front office:Rooms Admin'!O79)</f>
        <v>45089.29</v>
      </c>
      <c r="P79" s="136">
        <f>SUM('Front office:Rooms Admin'!P79)</f>
        <v>45089.29</v>
      </c>
      <c r="Q79" s="135">
        <f t="shared" si="41"/>
        <v>524727.65</v>
      </c>
      <c r="R79" s="136">
        <f>SUM('Front office:Rooms Admin'!R79)</f>
        <v>55712.43</v>
      </c>
      <c r="S79" s="136">
        <f>SUM('Front office:Rooms Admin'!S79)</f>
        <v>55271.88</v>
      </c>
      <c r="T79" s="136">
        <f>SUM('Front office:Rooms Admin'!T79)</f>
        <v>55160.470000000008</v>
      </c>
      <c r="U79" s="136">
        <f>SUM('Front office:Rooms Admin'!U79)</f>
        <v>56023.26</v>
      </c>
      <c r="V79" s="136">
        <f>SUM('Front office:Rooms Admin'!V79)</f>
        <v>53736.610000000008</v>
      </c>
      <c r="W79" s="136">
        <f>SUM('Front office:Rooms Admin'!W79)</f>
        <v>50762.51</v>
      </c>
      <c r="X79" s="136">
        <f>SUM('Front office:Rooms Admin'!X79)</f>
        <v>39057.339999999997</v>
      </c>
      <c r="Y79" s="136">
        <f>SUM('Front office:Rooms Admin'!Y79)</f>
        <v>37536.21</v>
      </c>
      <c r="Z79" s="136">
        <f>SUM('Front office:Rooms Admin'!Z79)</f>
        <v>52519</v>
      </c>
      <c r="AA79" s="136">
        <f>SUM('Front office:Rooms Admin'!AA79)</f>
        <v>52519</v>
      </c>
      <c r="AB79" s="136">
        <f>SUM('Front office:Rooms Admin'!AB79)</f>
        <v>52519</v>
      </c>
      <c r="AC79" s="136">
        <f>SUM('Front office:Rooms Admin'!AC79)</f>
        <v>52519</v>
      </c>
      <c r="AD79" s="137">
        <f t="shared" si="42"/>
        <v>613336.71</v>
      </c>
      <c r="AE79" s="136">
        <f t="shared" si="35"/>
        <v>-88609.059999999939</v>
      </c>
      <c r="AF79" s="138">
        <f t="shared" si="36"/>
        <v>-0.14447049810535545</v>
      </c>
      <c r="AG79" s="133">
        <v>533540.86</v>
      </c>
      <c r="AH79" s="133">
        <f t="shared" si="34"/>
        <v>8813.2099999999627</v>
      </c>
      <c r="AJ79" s="130"/>
      <c r="AK79" s="124"/>
      <c r="AL79" s="124"/>
    </row>
    <row r="80" spans="1:38">
      <c r="A80" s="105" t="s">
        <v>126</v>
      </c>
      <c r="B80" s="105" t="s">
        <v>249</v>
      </c>
      <c r="D80" s="105" t="s">
        <v>268</v>
      </c>
      <c r="E80" s="136">
        <f>SUM('Front office:Rooms Admin'!E80)</f>
        <v>3210.5</v>
      </c>
      <c r="F80" s="136">
        <f>SUM('Front office:Rooms Admin'!F80)</f>
        <v>3210.5</v>
      </c>
      <c r="G80" s="136">
        <f>SUM('Front office:Rooms Admin'!G80)</f>
        <v>3261.6800000000003</v>
      </c>
      <c r="H80" s="136">
        <f>SUM('Front office:Rooms Admin'!H80)</f>
        <v>3312.8599999999997</v>
      </c>
      <c r="I80" s="136">
        <f>SUM('Front office:Rooms Admin'!I80)</f>
        <v>3312.8599999999997</v>
      </c>
      <c r="J80" s="136">
        <f>SUM('Front office:Rooms Admin'!J80)</f>
        <v>3338.45</v>
      </c>
      <c r="K80" s="136">
        <f>SUM('Front office:Rooms Admin'!K80)</f>
        <v>3393.619999999999</v>
      </c>
      <c r="L80" s="136">
        <f>SUM('Front office:Rooms Admin'!L80)</f>
        <v>3383.7499999999995</v>
      </c>
      <c r="M80" s="136">
        <f>SUM('Front office:Rooms Admin'!M80)</f>
        <v>3402.2099999999996</v>
      </c>
      <c r="N80" s="136">
        <f>SUM('Front office:Rooms Admin'!N80)</f>
        <v>3402.2099999999996</v>
      </c>
      <c r="O80" s="136">
        <f>SUM('Front office:Rooms Admin'!O80)</f>
        <v>3402.2099999999996</v>
      </c>
      <c r="P80" s="136">
        <f>SUM('Front office:Rooms Admin'!P80)</f>
        <v>3402.2099999999996</v>
      </c>
      <c r="Q80" s="135">
        <f t="shared" si="41"/>
        <v>40033.06</v>
      </c>
      <c r="R80" s="136">
        <f>SUM('Front office:Rooms Admin'!R80)</f>
        <v>3277.17</v>
      </c>
      <c r="S80" s="136">
        <f>SUM('Front office:Rooms Admin'!S80)</f>
        <v>3251.25</v>
      </c>
      <c r="T80" s="136">
        <f>SUM('Front office:Rooms Admin'!T80)</f>
        <v>3244.7000000000003</v>
      </c>
      <c r="U80" s="136">
        <f>SUM('Front office:Rooms Admin'!U80)</f>
        <v>3295.4500000000003</v>
      </c>
      <c r="V80" s="136">
        <f>SUM('Front office:Rooms Admin'!V80)</f>
        <v>3160.94</v>
      </c>
      <c r="W80" s="136">
        <f>SUM('Front office:Rooms Admin'!W80)</f>
        <v>2986</v>
      </c>
      <c r="X80" s="136">
        <f>SUM('Front office:Rooms Admin'!X80)</f>
        <v>3002.36</v>
      </c>
      <c r="Y80" s="136">
        <f>SUM('Front office:Rooms Admin'!Y80)</f>
        <v>2887.3799999999997</v>
      </c>
      <c r="Z80" s="136">
        <f>SUM('Front office:Rooms Admin'!Z80)</f>
        <v>3236</v>
      </c>
      <c r="AA80" s="136">
        <f>SUM('Front office:Rooms Admin'!AA80)</f>
        <v>3236</v>
      </c>
      <c r="AB80" s="136">
        <f>SUM('Front office:Rooms Admin'!AB80)</f>
        <v>3236</v>
      </c>
      <c r="AC80" s="136">
        <f>SUM('Front office:Rooms Admin'!AC80)</f>
        <v>3236</v>
      </c>
      <c r="AD80" s="137">
        <f t="shared" si="42"/>
        <v>38049.25</v>
      </c>
      <c r="AE80" s="136">
        <f t="shared" si="35"/>
        <v>1983.8099999999977</v>
      </c>
      <c r="AF80" s="138">
        <f t="shared" si="36"/>
        <v>5.2137952784877435E-2</v>
      </c>
      <c r="AG80" s="133">
        <v>32715.100000000002</v>
      </c>
      <c r="AH80" s="133">
        <f t="shared" si="34"/>
        <v>-7317.9599999999955</v>
      </c>
      <c r="AJ80" s="130"/>
      <c r="AK80" s="124"/>
      <c r="AL80" s="124"/>
    </row>
    <row r="81" spans="1:38">
      <c r="A81" s="105" t="s">
        <v>127</v>
      </c>
      <c r="B81" s="105" t="s">
        <v>249</v>
      </c>
      <c r="D81" s="105" t="s">
        <v>269</v>
      </c>
      <c r="E81" s="136">
        <f>SUM('Front office:Rooms Admin'!E81)</f>
        <v>770.52</v>
      </c>
      <c r="F81" s="136">
        <f>SUM('Front office:Rooms Admin'!F81)</f>
        <v>770.51999999999987</v>
      </c>
      <c r="G81" s="136">
        <f>SUM('Front office:Rooms Admin'!G81)</f>
        <v>782.79999999999984</v>
      </c>
      <c r="H81" s="136">
        <f>SUM('Front office:Rooms Admin'!H81)</f>
        <v>795.07999999999981</v>
      </c>
      <c r="I81" s="136">
        <f>SUM('Front office:Rooms Admin'!I81)</f>
        <v>795.07999999999981</v>
      </c>
      <c r="J81" s="136">
        <f>SUM('Front office:Rooms Admin'!J81)</f>
        <v>801.2199999999998</v>
      </c>
      <c r="K81" s="136">
        <f>SUM('Front office:Rooms Admin'!K81)</f>
        <v>814.61000000000013</v>
      </c>
      <c r="L81" s="136">
        <f>SUM('Front office:Rooms Admin'!L81)</f>
        <v>812.24000000000024</v>
      </c>
      <c r="M81" s="136">
        <f>SUM('Front office:Rooms Admin'!M81)</f>
        <v>816.67000000000019</v>
      </c>
      <c r="N81" s="136">
        <f>SUM('Front office:Rooms Admin'!N81)</f>
        <v>816.67000000000019</v>
      </c>
      <c r="O81" s="136">
        <f>SUM('Front office:Rooms Admin'!O81)</f>
        <v>816.67000000000019</v>
      </c>
      <c r="P81" s="136">
        <f>SUM('Front office:Rooms Admin'!P81)</f>
        <v>816.67000000000019</v>
      </c>
      <c r="Q81" s="135">
        <f t="shared" si="41"/>
        <v>9608.75</v>
      </c>
      <c r="R81" s="136">
        <f>SUM('Front office:Rooms Admin'!R81)</f>
        <v>786.58</v>
      </c>
      <c r="S81" s="136">
        <f>SUM('Front office:Rooms Admin'!S81)</f>
        <v>780.36</v>
      </c>
      <c r="T81" s="136">
        <f>SUM('Front office:Rooms Admin'!T81)</f>
        <v>778.79</v>
      </c>
      <c r="U81" s="136">
        <f>SUM('Front office:Rooms Admin'!U81)</f>
        <v>790.98</v>
      </c>
      <c r="V81" s="136">
        <f>SUM('Front office:Rooms Admin'!V81)</f>
        <v>758.68000000000006</v>
      </c>
      <c r="W81" s="136">
        <f>SUM('Front office:Rooms Admin'!W81)</f>
        <v>716.69999999999993</v>
      </c>
      <c r="X81" s="136">
        <f>SUM('Front office:Rooms Admin'!X81)</f>
        <v>720.64</v>
      </c>
      <c r="Y81" s="136">
        <f>SUM('Front office:Rooms Admin'!Y81)</f>
        <v>693.05</v>
      </c>
      <c r="Z81" s="136">
        <f>SUM('Front office:Rooms Admin'!Z81)</f>
        <v>886</v>
      </c>
      <c r="AA81" s="136">
        <f>SUM('Front office:Rooms Admin'!AA81)</f>
        <v>886</v>
      </c>
      <c r="AB81" s="136">
        <f>SUM('Front office:Rooms Admin'!AB81)</f>
        <v>886</v>
      </c>
      <c r="AC81" s="136">
        <f>SUM('Front office:Rooms Admin'!AC81)</f>
        <v>886</v>
      </c>
      <c r="AD81" s="137">
        <f t="shared" si="42"/>
        <v>9569.7800000000007</v>
      </c>
      <c r="AE81" s="136">
        <f t="shared" si="35"/>
        <v>38.969999999999345</v>
      </c>
      <c r="AF81" s="138">
        <f t="shared" si="36"/>
        <v>4.0721939271330526E-3</v>
      </c>
      <c r="AG81" s="133">
        <v>10469.070000000002</v>
      </c>
      <c r="AH81" s="133">
        <f t="shared" si="34"/>
        <v>860.32000000000153</v>
      </c>
      <c r="AJ81" s="130"/>
      <c r="AK81" s="124"/>
      <c r="AL81" s="124"/>
    </row>
    <row r="82" spans="1:38">
      <c r="A82" s="105" t="s">
        <v>128</v>
      </c>
      <c r="B82" s="105" t="s">
        <v>249</v>
      </c>
      <c r="D82" s="105" t="s">
        <v>270</v>
      </c>
      <c r="E82" s="136">
        <f>SUM('Front office:Rooms Admin'!E82)</f>
        <v>0</v>
      </c>
      <c r="F82" s="136">
        <f>SUM('Front office:Rooms Admin'!F82)</f>
        <v>0</v>
      </c>
      <c r="G82" s="136">
        <f>SUM('Front office:Rooms Admin'!G82)</f>
        <v>0</v>
      </c>
      <c r="H82" s="136">
        <f>SUM('Front office:Rooms Admin'!H82)</f>
        <v>0</v>
      </c>
      <c r="I82" s="136">
        <f>SUM('Front office:Rooms Admin'!I82)</f>
        <v>0</v>
      </c>
      <c r="J82" s="136">
        <f>SUM('Front office:Rooms Admin'!J82)</f>
        <v>0</v>
      </c>
      <c r="K82" s="136">
        <f>SUM('Front office:Rooms Admin'!K82)</f>
        <v>0</v>
      </c>
      <c r="L82" s="136">
        <f>SUM('Front office:Rooms Admin'!L82)</f>
        <v>0</v>
      </c>
      <c r="M82" s="136">
        <f>SUM('Front office:Rooms Admin'!M82)</f>
        <v>0</v>
      </c>
      <c r="N82" s="136">
        <f>SUM('Front office:Rooms Admin'!N82)</f>
        <v>0</v>
      </c>
      <c r="O82" s="136">
        <f>SUM('Front office:Rooms Admin'!O82)</f>
        <v>0</v>
      </c>
      <c r="P82" s="136">
        <f>SUM('Front office:Rooms Admin'!P82)</f>
        <v>0</v>
      </c>
      <c r="Q82" s="135">
        <f t="shared" si="41"/>
        <v>0</v>
      </c>
      <c r="R82" s="136">
        <f>SUM('Front office:Rooms Admin'!R82)</f>
        <v>0</v>
      </c>
      <c r="S82" s="136">
        <f>SUM('Front office:Rooms Admin'!S82)</f>
        <v>0</v>
      </c>
      <c r="T82" s="136">
        <f>SUM('Front office:Rooms Admin'!T82)</f>
        <v>0</v>
      </c>
      <c r="U82" s="136">
        <f>SUM('Front office:Rooms Admin'!U82)</f>
        <v>0</v>
      </c>
      <c r="V82" s="136">
        <f>SUM('Front office:Rooms Admin'!V82)</f>
        <v>0</v>
      </c>
      <c r="W82" s="136">
        <f>SUM('Front office:Rooms Admin'!W82)</f>
        <v>0</v>
      </c>
      <c r="X82" s="136">
        <f>SUM('Front office:Rooms Admin'!X82)</f>
        <v>0</v>
      </c>
      <c r="Y82" s="136">
        <f>SUM('Front office:Rooms Admin'!Y82)</f>
        <v>0</v>
      </c>
      <c r="Z82" s="136">
        <f>SUM('Front office:Rooms Admin'!Z82)</f>
        <v>0</v>
      </c>
      <c r="AA82" s="136">
        <f>SUM('Front office:Rooms Admin'!AA82)</f>
        <v>0</v>
      </c>
      <c r="AB82" s="136">
        <f>SUM('Front office:Rooms Admin'!AB82)</f>
        <v>0</v>
      </c>
      <c r="AC82" s="136">
        <f>SUM('Front office:Rooms Admin'!AC82)</f>
        <v>0</v>
      </c>
      <c r="AD82" s="137">
        <f t="shared" si="42"/>
        <v>0</v>
      </c>
      <c r="AE82" s="136">
        <f t="shared" si="35"/>
        <v>0</v>
      </c>
      <c r="AF82" s="138" t="e">
        <f t="shared" si="36"/>
        <v>#DIV/0!</v>
      </c>
      <c r="AG82" s="133">
        <v>22605.870000000003</v>
      </c>
      <c r="AH82" s="133">
        <f t="shared" si="34"/>
        <v>22605.870000000003</v>
      </c>
      <c r="AJ82" s="130"/>
      <c r="AK82" s="124"/>
      <c r="AL82" s="124"/>
    </row>
    <row r="83" spans="1:38">
      <c r="A83" s="105" t="s">
        <v>129</v>
      </c>
      <c r="B83" s="105" t="s">
        <v>249</v>
      </c>
      <c r="D83" s="105" t="s">
        <v>271</v>
      </c>
      <c r="E83" s="136">
        <f>SUM('Front office:Rooms Admin'!E83)</f>
        <v>30789.449999999997</v>
      </c>
      <c r="F83" s="136">
        <f>SUM('Front office:Rooms Admin'!F83)</f>
        <v>30815.719999999998</v>
      </c>
      <c r="G83" s="136">
        <f>SUM('Front office:Rooms Admin'!G83)</f>
        <v>31108.489999999998</v>
      </c>
      <c r="H83" s="136">
        <f>SUM('Front office:Rooms Admin'!H83)</f>
        <v>31558.489999999998</v>
      </c>
      <c r="I83" s="136">
        <f>SUM('Front office:Rooms Admin'!I83)</f>
        <v>31558.489999999998</v>
      </c>
      <c r="J83" s="136">
        <f>SUM('Front office:Rooms Admin'!J83)</f>
        <v>31718.489999999998</v>
      </c>
      <c r="K83" s="136">
        <f>SUM('Front office:Rooms Admin'!K83)</f>
        <v>33935.06</v>
      </c>
      <c r="L83" s="136">
        <f>SUM('Front office:Rooms Admin'!L83)</f>
        <v>31699.949999999993</v>
      </c>
      <c r="M83" s="136">
        <f>SUM('Front office:Rooms Admin'!M83)</f>
        <v>32017.609999999993</v>
      </c>
      <c r="N83" s="136">
        <f>SUM('Front office:Rooms Admin'!N83)</f>
        <v>32017.609999999993</v>
      </c>
      <c r="O83" s="136">
        <f>SUM('Front office:Rooms Admin'!O83)</f>
        <v>34020.99</v>
      </c>
      <c r="P83" s="136">
        <f>SUM('Front office:Rooms Admin'!P83)</f>
        <v>32017.609999999993</v>
      </c>
      <c r="Q83" s="135">
        <f t="shared" si="41"/>
        <v>383257.9599999999</v>
      </c>
      <c r="R83" s="136">
        <f>SUM('Front office:Rooms Admin'!R83)</f>
        <v>32683</v>
      </c>
      <c r="S83" s="136">
        <f>SUM('Front office:Rooms Admin'!S83)</f>
        <v>32183</v>
      </c>
      <c r="T83" s="136">
        <f>SUM('Front office:Rooms Admin'!T83)</f>
        <v>32333</v>
      </c>
      <c r="U83" s="136">
        <f>SUM('Front office:Rooms Admin'!U83)</f>
        <v>32434</v>
      </c>
      <c r="V83" s="136">
        <f>SUM('Front office:Rooms Admin'!V83)</f>
        <v>31111</v>
      </c>
      <c r="W83" s="136">
        <f>SUM('Front office:Rooms Admin'!W83)</f>
        <v>29337</v>
      </c>
      <c r="X83" s="136">
        <f>SUM('Front office:Rooms Admin'!X83)</f>
        <v>29432</v>
      </c>
      <c r="Y83" s="136">
        <f>SUM('Front office:Rooms Admin'!Y83)</f>
        <v>28214</v>
      </c>
      <c r="Z83" s="136">
        <f>SUM('Front office:Rooms Admin'!Z83)</f>
        <v>34041</v>
      </c>
      <c r="AA83" s="136">
        <f>SUM('Front office:Rooms Admin'!AA83)</f>
        <v>34983.5</v>
      </c>
      <c r="AB83" s="136">
        <f>SUM('Front office:Rooms Admin'!AB83)</f>
        <v>39234.899999999994</v>
      </c>
      <c r="AC83" s="136">
        <f>SUM('Front office:Rooms Admin'!AC83)</f>
        <v>38058.5</v>
      </c>
      <c r="AD83" s="137">
        <f t="shared" si="42"/>
        <v>394044.9</v>
      </c>
      <c r="AE83" s="136">
        <f t="shared" si="35"/>
        <v>-10786.940000000119</v>
      </c>
      <c r="AF83" s="138">
        <f t="shared" si="36"/>
        <v>-2.737490067756268E-2</v>
      </c>
      <c r="AG83" s="133">
        <v>290742</v>
      </c>
      <c r="AH83" s="133">
        <f t="shared" si="34"/>
        <v>-92515.959999999905</v>
      </c>
      <c r="AJ83" s="130"/>
      <c r="AK83" s="124"/>
      <c r="AL83" s="124"/>
    </row>
    <row r="84" spans="1:38">
      <c r="A84" s="105" t="s">
        <v>130</v>
      </c>
      <c r="B84" s="105" t="s">
        <v>249</v>
      </c>
      <c r="D84" s="105" t="s">
        <v>272</v>
      </c>
      <c r="E84" s="72">
        <f>SUM('Front office:Rooms Admin'!E84)</f>
        <v>14503</v>
      </c>
      <c r="F84" s="72">
        <f>SUM('Front office:Rooms Admin'!F84)</f>
        <v>12529</v>
      </c>
      <c r="G84" s="72">
        <f>SUM('Front office:Rooms Admin'!G84)</f>
        <v>12194</v>
      </c>
      <c r="H84" s="72">
        <f>SUM('Front office:Rooms Admin'!H84)</f>
        <v>12758</v>
      </c>
      <c r="I84" s="72">
        <f>SUM('Front office:Rooms Admin'!I84)</f>
        <v>13217</v>
      </c>
      <c r="J84" s="72">
        <f>SUM('Front office:Rooms Admin'!J84)</f>
        <v>12212</v>
      </c>
      <c r="K84" s="72">
        <f>SUM('Front office:Rooms Admin'!K84)</f>
        <v>12482</v>
      </c>
      <c r="L84" s="72">
        <f>SUM('Front office:Rooms Admin'!L84)</f>
        <v>12747</v>
      </c>
      <c r="M84" s="72">
        <f>SUM('Front office:Rooms Admin'!M84)</f>
        <v>12498</v>
      </c>
      <c r="N84" s="72">
        <f>SUM('Front office:Rooms Admin'!N84)</f>
        <v>14761</v>
      </c>
      <c r="O84" s="72">
        <f>SUM('Front office:Rooms Admin'!O84)</f>
        <v>12582</v>
      </c>
      <c r="P84" s="72">
        <f>SUM('Front office:Rooms Admin'!P84)</f>
        <v>12774</v>
      </c>
      <c r="Q84" s="135">
        <f t="shared" si="41"/>
        <v>155257</v>
      </c>
      <c r="R84" s="72">
        <f>SUM('Front office:Rooms Admin'!R84)</f>
        <v>11288.52</v>
      </c>
      <c r="S84" s="72">
        <f>SUM('Front office:Rooms Admin'!S84)</f>
        <v>12801.89</v>
      </c>
      <c r="T84" s="72">
        <f>SUM('Front office:Rooms Admin'!T84)</f>
        <v>20123.410000000003</v>
      </c>
      <c r="U84" s="72">
        <f>SUM('Front office:Rooms Admin'!U84)</f>
        <v>18057.830000000002</v>
      </c>
      <c r="V84" s="72">
        <f>SUM('Front office:Rooms Admin'!V84)</f>
        <v>13211.51</v>
      </c>
      <c r="W84" s="72">
        <f>SUM('Front office:Rooms Admin'!W84)</f>
        <v>10478.390000000001</v>
      </c>
      <c r="X84" s="72">
        <f>SUM('Front office:Rooms Admin'!X84)</f>
        <v>9631.3700000000008</v>
      </c>
      <c r="Y84" s="72">
        <f>SUM('Front office:Rooms Admin'!Y84)</f>
        <v>10096.07</v>
      </c>
      <c r="Z84" s="72">
        <f>SUM('Front office:Rooms Admin'!Z84)</f>
        <v>48972.86</v>
      </c>
      <c r="AA84" s="72">
        <f>SUM('Front office:Rooms Admin'!AA84)</f>
        <v>48972.86</v>
      </c>
      <c r="AB84" s="72">
        <f>SUM('Front office:Rooms Admin'!AB84)</f>
        <v>48972.86</v>
      </c>
      <c r="AC84" s="72">
        <f>SUM('Front office:Rooms Admin'!AC84)</f>
        <v>48972.86</v>
      </c>
      <c r="AD84" s="127">
        <f t="shared" si="42"/>
        <v>301580.42999999993</v>
      </c>
      <c r="AE84" s="72">
        <f t="shared" si="35"/>
        <v>-146323.42999999993</v>
      </c>
      <c r="AF84" s="128">
        <f t="shared" si="36"/>
        <v>-0.4851887438452156</v>
      </c>
      <c r="AG84" s="129">
        <v>198979.10000000003</v>
      </c>
      <c r="AH84" s="133">
        <f t="shared" si="34"/>
        <v>43722.100000000035</v>
      </c>
      <c r="AJ84" s="130"/>
      <c r="AK84" s="124"/>
      <c r="AL84" s="124"/>
    </row>
    <row r="85" spans="1:38">
      <c r="A85" s="105" t="s">
        <v>273</v>
      </c>
      <c r="D85" s="105" t="s">
        <v>274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0</v>
      </c>
      <c r="L85" s="72">
        <v>0</v>
      </c>
      <c r="M85" s="72">
        <v>0</v>
      </c>
      <c r="N85" s="72">
        <v>0</v>
      </c>
      <c r="O85" s="72">
        <v>0</v>
      </c>
      <c r="P85" s="72">
        <v>0</v>
      </c>
      <c r="Q85" s="135">
        <f t="shared" si="41"/>
        <v>0</v>
      </c>
      <c r="R85" s="72">
        <f>SUM('Front office:Rooms Admin'!R85)</f>
        <v>0</v>
      </c>
      <c r="S85" s="72">
        <f>SUM('Front office:Rooms Admin'!S85)</f>
        <v>0</v>
      </c>
      <c r="T85" s="72">
        <f>SUM('Front office:Rooms Admin'!T85)</f>
        <v>0</v>
      </c>
      <c r="U85" s="72">
        <f>SUM('Front office:Rooms Admin'!U85)</f>
        <v>0</v>
      </c>
      <c r="V85" s="72">
        <f>SUM('Front office:Rooms Admin'!V85)</f>
        <v>0</v>
      </c>
      <c r="W85" s="72">
        <f>SUM('Front office:Rooms Admin'!W85)</f>
        <v>0</v>
      </c>
      <c r="X85" s="72">
        <f>SUM('Front office:Rooms Admin'!X85)</f>
        <v>0</v>
      </c>
      <c r="Y85" s="72">
        <f>SUM('Front office:Rooms Admin'!Y85)</f>
        <v>0</v>
      </c>
      <c r="Z85" s="72">
        <f>SUM('Front office:Rooms Admin'!Z85)</f>
        <v>0</v>
      </c>
      <c r="AA85" s="72">
        <f>SUM('Front office:Rooms Admin'!AA85)</f>
        <v>0</v>
      </c>
      <c r="AB85" s="72">
        <f>SUM('Front office:Rooms Admin'!AB85)</f>
        <v>0</v>
      </c>
      <c r="AC85" s="72">
        <f>SUM('Front office:Rooms Admin'!AC85)</f>
        <v>0</v>
      </c>
      <c r="AD85" s="127">
        <f t="shared" si="42"/>
        <v>0</v>
      </c>
      <c r="AE85" s="72">
        <f t="shared" si="35"/>
        <v>0</v>
      </c>
      <c r="AF85" s="128" t="e">
        <f t="shared" si="36"/>
        <v>#DIV/0!</v>
      </c>
      <c r="AG85" s="129">
        <v>0</v>
      </c>
      <c r="AH85" s="133">
        <f t="shared" si="34"/>
        <v>0</v>
      </c>
      <c r="AJ85" s="130"/>
      <c r="AK85" s="124"/>
      <c r="AL85" s="124"/>
    </row>
    <row r="86" spans="1:38">
      <c r="D86" s="105" t="s">
        <v>275</v>
      </c>
      <c r="E86" s="135">
        <f>SUM(E78:E85)</f>
        <v>193969.32999999996</v>
      </c>
      <c r="F86" s="135">
        <f t="shared" ref="F86:AD86" si="43">SUM(F78:F85)</f>
        <v>192021.59999999998</v>
      </c>
      <c r="G86" s="135">
        <f t="shared" si="43"/>
        <v>194362.59</v>
      </c>
      <c r="H86" s="135">
        <f t="shared" si="43"/>
        <v>197759.80999999997</v>
      </c>
      <c r="I86" s="135">
        <f t="shared" si="43"/>
        <v>198218.80999999997</v>
      </c>
      <c r="J86" s="135">
        <f t="shared" si="43"/>
        <v>198565.42</v>
      </c>
      <c r="K86" s="135">
        <f t="shared" si="43"/>
        <v>203930.95</v>
      </c>
      <c r="L86" s="135">
        <f t="shared" si="43"/>
        <v>202366.84</v>
      </c>
      <c r="M86" s="135">
        <f t="shared" si="43"/>
        <v>203289.12</v>
      </c>
      <c r="N86" s="135">
        <f t="shared" si="43"/>
        <v>205552.12</v>
      </c>
      <c r="O86" s="135">
        <f t="shared" si="43"/>
        <v>205376.5</v>
      </c>
      <c r="P86" s="135">
        <f t="shared" si="43"/>
        <v>203565.12</v>
      </c>
      <c r="Q86" s="135">
        <f t="shared" si="43"/>
        <v>2398978.2100000004</v>
      </c>
      <c r="R86" s="135">
        <f>SUM(R78:R85)</f>
        <v>208618.15</v>
      </c>
      <c r="S86" s="135">
        <f t="shared" ref="S86:Y86" si="44">SUM(S78:S85)</f>
        <v>208329.53999999998</v>
      </c>
      <c r="T86" s="135">
        <f t="shared" si="44"/>
        <v>215471.82000000004</v>
      </c>
      <c r="U86" s="135">
        <f t="shared" si="44"/>
        <v>216057.05000000005</v>
      </c>
      <c r="V86" s="135">
        <f t="shared" si="44"/>
        <v>203129.98</v>
      </c>
      <c r="W86" s="135">
        <f t="shared" si="44"/>
        <v>189833.55000000002</v>
      </c>
      <c r="X86" s="135">
        <f>SUM(X78:X85)</f>
        <v>177920.24</v>
      </c>
      <c r="Y86" s="135">
        <f t="shared" si="44"/>
        <v>171823.46</v>
      </c>
      <c r="Z86" s="135">
        <f>SUM(Z78:Z85)</f>
        <v>339451.72</v>
      </c>
      <c r="AA86" s="135">
        <f>SUM(AA78:AA85)</f>
        <v>356541.02</v>
      </c>
      <c r="AB86" s="135">
        <f>SUM(AB78:AB85)</f>
        <v>365763.22</v>
      </c>
      <c r="AC86" s="135">
        <f>SUM(AC78:AC85)</f>
        <v>364586.81999999995</v>
      </c>
      <c r="AD86" s="135">
        <f t="shared" si="43"/>
        <v>3017526.5699999994</v>
      </c>
      <c r="AE86" s="117">
        <f t="shared" si="35"/>
        <v>-618548.35999999894</v>
      </c>
      <c r="AF86" s="128">
        <f t="shared" si="36"/>
        <v>-0.20498522404062844</v>
      </c>
      <c r="AG86" s="129">
        <v>2190986.48</v>
      </c>
      <c r="AH86" s="133">
        <f t="shared" si="34"/>
        <v>-207991.73000000045</v>
      </c>
      <c r="AJ86" s="130"/>
      <c r="AK86" s="124"/>
      <c r="AL86" s="124"/>
    </row>
    <row r="87" spans="1:38">
      <c r="D87" s="105" t="s">
        <v>154</v>
      </c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35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35"/>
      <c r="AF87" s="128"/>
      <c r="AG87" s="129"/>
      <c r="AH87" s="133">
        <f t="shared" si="34"/>
        <v>0</v>
      </c>
      <c r="AJ87" s="130"/>
      <c r="AK87" s="124"/>
      <c r="AL87" s="124"/>
    </row>
    <row r="88" spans="1:38">
      <c r="A88" s="105" t="s">
        <v>273</v>
      </c>
      <c r="D88" s="105" t="s">
        <v>276</v>
      </c>
      <c r="E88" s="72">
        <f>SUM('Front office:Rooms Admin'!E88)</f>
        <v>0</v>
      </c>
      <c r="F88" s="72">
        <f>SUM('Front office:Rooms Admin'!F88)</f>
        <v>0</v>
      </c>
      <c r="G88" s="72">
        <f>SUM('Front office:Rooms Admin'!G88)</f>
        <v>0</v>
      </c>
      <c r="H88" s="72">
        <f>SUM('Front office:Rooms Admin'!H88)</f>
        <v>0</v>
      </c>
      <c r="I88" s="72">
        <f>SUM('Front office:Rooms Admin'!I88)</f>
        <v>0</v>
      </c>
      <c r="J88" s="72">
        <f>SUM('Front office:Rooms Admin'!J88)</f>
        <v>0</v>
      </c>
      <c r="K88" s="72">
        <f>SUM('Front office:Rooms Admin'!K88)</f>
        <v>0</v>
      </c>
      <c r="L88" s="72">
        <f>SUM('Front office:Rooms Admin'!L88)</f>
        <v>0</v>
      </c>
      <c r="M88" s="72">
        <f>SUM('Front office:Rooms Admin'!M88)</f>
        <v>0</v>
      </c>
      <c r="N88" s="72">
        <f>SUM('Front office:Rooms Admin'!N88)</f>
        <v>0</v>
      </c>
      <c r="O88" s="72">
        <f>SUM('Front office:Rooms Admin'!O88)</f>
        <v>0</v>
      </c>
      <c r="P88" s="72">
        <f>SUM('Front office:Rooms Admin'!P88)</f>
        <v>0</v>
      </c>
      <c r="Q88" s="135">
        <f t="shared" ref="Q88:Q94" si="45">SUM(E88:P88)</f>
        <v>0</v>
      </c>
      <c r="R88" s="72">
        <f>SUM('Front office:Rooms Admin'!R88)</f>
        <v>0</v>
      </c>
      <c r="S88" s="72">
        <f>SUM('Front office:Rooms Admin'!S88)</f>
        <v>0</v>
      </c>
      <c r="T88" s="72">
        <f>SUM('Front office:Rooms Admin'!T88)</f>
        <v>0</v>
      </c>
      <c r="U88" s="72">
        <f>SUM('Front office:Rooms Admin'!U88)</f>
        <v>0</v>
      </c>
      <c r="V88" s="72">
        <f>SUM('Front office:Rooms Admin'!V88)</f>
        <v>0</v>
      </c>
      <c r="W88" s="72">
        <f>SUM('Front office:Rooms Admin'!W88)</f>
        <v>0</v>
      </c>
      <c r="X88" s="72">
        <f>SUM('Front office:Rooms Admin'!X88)</f>
        <v>0</v>
      </c>
      <c r="Y88" s="72">
        <f>SUM('Front office:Rooms Admin'!Y88)</f>
        <v>0</v>
      </c>
      <c r="Z88" s="72">
        <f>SUM('Front office:Rooms Admin'!Z88)</f>
        <v>0</v>
      </c>
      <c r="AA88" s="72">
        <f>SUM('Front office:Rooms Admin'!AA88)</f>
        <v>0</v>
      </c>
      <c r="AB88" s="72">
        <f>SUM('Front office:Rooms Admin'!AB88)</f>
        <v>0</v>
      </c>
      <c r="AC88" s="72">
        <f>SUM('Front office:Rooms Admin'!AC88)</f>
        <v>0</v>
      </c>
      <c r="AD88" s="127">
        <f t="shared" ref="AD88:AD96" si="46">SUM(R88:AC88)</f>
        <v>0</v>
      </c>
      <c r="AE88" s="72">
        <f t="shared" ref="AE88:AE98" si="47">Q88-AD88</f>
        <v>0</v>
      </c>
      <c r="AF88" s="128" t="e">
        <f t="shared" ref="AF88:AF98" si="48">AE88/AD88</f>
        <v>#DIV/0!</v>
      </c>
      <c r="AG88" s="129">
        <v>0</v>
      </c>
      <c r="AH88" s="133">
        <f t="shared" si="34"/>
        <v>0</v>
      </c>
      <c r="AJ88" s="130"/>
      <c r="AK88" s="124"/>
      <c r="AL88" s="124"/>
    </row>
    <row r="89" spans="1:38">
      <c r="A89" s="105" t="s">
        <v>273</v>
      </c>
      <c r="D89" s="105" t="s">
        <v>277</v>
      </c>
      <c r="E89" s="72">
        <f>SUM('Front office:Rooms Admin'!E89)</f>
        <v>0</v>
      </c>
      <c r="F89" s="72">
        <f>SUM('Front office:Rooms Admin'!F89)</f>
        <v>0</v>
      </c>
      <c r="G89" s="72">
        <f>SUM('Front office:Rooms Admin'!G89)</f>
        <v>0</v>
      </c>
      <c r="H89" s="72">
        <f>SUM('Front office:Rooms Admin'!H89)</f>
        <v>0</v>
      </c>
      <c r="I89" s="72">
        <f>SUM('Front office:Rooms Admin'!I89)</f>
        <v>0</v>
      </c>
      <c r="J89" s="72">
        <f>SUM('Front office:Rooms Admin'!J89)</f>
        <v>0</v>
      </c>
      <c r="K89" s="72">
        <f>SUM('Front office:Rooms Admin'!K89)</f>
        <v>0</v>
      </c>
      <c r="L89" s="72">
        <f>SUM('Front office:Rooms Admin'!L89)</f>
        <v>0</v>
      </c>
      <c r="M89" s="72">
        <f>SUM('Front office:Rooms Admin'!M89)</f>
        <v>0</v>
      </c>
      <c r="N89" s="72">
        <f>SUM('Front office:Rooms Admin'!N89)</f>
        <v>0</v>
      </c>
      <c r="O89" s="72">
        <f>SUM('Front office:Rooms Admin'!O89)</f>
        <v>0</v>
      </c>
      <c r="P89" s="72">
        <f>SUM('Front office:Rooms Admin'!P89)</f>
        <v>0</v>
      </c>
      <c r="Q89" s="135">
        <f t="shared" si="45"/>
        <v>0</v>
      </c>
      <c r="R89" s="72">
        <f>SUM('Front office:Rooms Admin'!R89)</f>
        <v>0</v>
      </c>
      <c r="S89" s="72">
        <f>SUM('Front office:Rooms Admin'!S89)</f>
        <v>0</v>
      </c>
      <c r="T89" s="72">
        <f>SUM('Front office:Rooms Admin'!T89)</f>
        <v>0</v>
      </c>
      <c r="U89" s="72">
        <f>SUM('Front office:Rooms Admin'!U89)</f>
        <v>0</v>
      </c>
      <c r="V89" s="72">
        <f>SUM('Front office:Rooms Admin'!V89)</f>
        <v>0</v>
      </c>
      <c r="W89" s="72">
        <f>SUM('Front office:Rooms Admin'!W89)</f>
        <v>0</v>
      </c>
      <c r="X89" s="72">
        <f>SUM('Front office:Rooms Admin'!X89)</f>
        <v>0</v>
      </c>
      <c r="Y89" s="72">
        <f>SUM('Front office:Rooms Admin'!Y89)</f>
        <v>0</v>
      </c>
      <c r="Z89" s="72">
        <f>SUM('Front office:Rooms Admin'!Z89)</f>
        <v>0</v>
      </c>
      <c r="AA89" s="72">
        <f>SUM('Front office:Rooms Admin'!AA89)</f>
        <v>0</v>
      </c>
      <c r="AB89" s="72">
        <f>SUM('Front office:Rooms Admin'!AB89)</f>
        <v>0</v>
      </c>
      <c r="AC89" s="72">
        <f>SUM('Front office:Rooms Admin'!AC89)</f>
        <v>0</v>
      </c>
      <c r="AD89" s="127">
        <f t="shared" si="46"/>
        <v>0</v>
      </c>
      <c r="AE89" s="72">
        <f t="shared" si="47"/>
        <v>0</v>
      </c>
      <c r="AF89" s="128" t="e">
        <f t="shared" si="48"/>
        <v>#DIV/0!</v>
      </c>
      <c r="AG89" s="129">
        <v>0</v>
      </c>
      <c r="AH89" s="133">
        <f t="shared" si="34"/>
        <v>0</v>
      </c>
      <c r="AJ89" s="130"/>
      <c r="AK89" s="124"/>
      <c r="AL89" s="124"/>
    </row>
    <row r="90" spans="1:38">
      <c r="A90" s="105" t="s">
        <v>273</v>
      </c>
      <c r="D90" s="105" t="s">
        <v>278</v>
      </c>
      <c r="E90" s="72">
        <f>SUM('Front office:Rooms Admin'!E90)</f>
        <v>0</v>
      </c>
      <c r="F90" s="72">
        <f>SUM('Front office:Rooms Admin'!F90)</f>
        <v>0</v>
      </c>
      <c r="G90" s="72">
        <f>SUM('Front office:Rooms Admin'!G90)</f>
        <v>0</v>
      </c>
      <c r="H90" s="72">
        <f>SUM('Front office:Rooms Admin'!H90)</f>
        <v>0</v>
      </c>
      <c r="I90" s="72">
        <f>SUM('Front office:Rooms Admin'!I90)</f>
        <v>0</v>
      </c>
      <c r="J90" s="72">
        <f>SUM('Front office:Rooms Admin'!J90)</f>
        <v>0</v>
      </c>
      <c r="K90" s="72">
        <f>SUM('Front office:Rooms Admin'!K90)</f>
        <v>0</v>
      </c>
      <c r="L90" s="72">
        <f>SUM('Front office:Rooms Admin'!L90)</f>
        <v>0</v>
      </c>
      <c r="M90" s="72">
        <f>SUM('Front office:Rooms Admin'!M90)</f>
        <v>0</v>
      </c>
      <c r="N90" s="72">
        <f>SUM('Front office:Rooms Admin'!N90)</f>
        <v>0</v>
      </c>
      <c r="O90" s="72">
        <f>SUM('Front office:Rooms Admin'!O90)</f>
        <v>0</v>
      </c>
      <c r="P90" s="72">
        <f>SUM('Front office:Rooms Admin'!P90)</f>
        <v>0</v>
      </c>
      <c r="Q90" s="135">
        <f t="shared" si="45"/>
        <v>0</v>
      </c>
      <c r="R90" s="72">
        <f>SUM('Front office:Rooms Admin'!R90)</f>
        <v>0</v>
      </c>
      <c r="S90" s="72">
        <f>SUM('Front office:Rooms Admin'!S90)</f>
        <v>0</v>
      </c>
      <c r="T90" s="72">
        <f>SUM('Front office:Rooms Admin'!T90)</f>
        <v>0</v>
      </c>
      <c r="U90" s="72">
        <f>SUM('Front office:Rooms Admin'!U90)</f>
        <v>0</v>
      </c>
      <c r="V90" s="72">
        <f>SUM('Front office:Rooms Admin'!V90)</f>
        <v>0</v>
      </c>
      <c r="W90" s="72">
        <f>SUM('Front office:Rooms Admin'!W90)</f>
        <v>0</v>
      </c>
      <c r="X90" s="72">
        <f>SUM('Front office:Rooms Admin'!X90)</f>
        <v>0</v>
      </c>
      <c r="Y90" s="72">
        <f>SUM('Front office:Rooms Admin'!Y90)</f>
        <v>0</v>
      </c>
      <c r="Z90" s="72">
        <f>SUM('Front office:Rooms Admin'!Z90)</f>
        <v>0</v>
      </c>
      <c r="AA90" s="72">
        <f>SUM('Front office:Rooms Admin'!AA90)</f>
        <v>0</v>
      </c>
      <c r="AB90" s="72">
        <f>SUM('Front office:Rooms Admin'!AB90)</f>
        <v>0</v>
      </c>
      <c r="AC90" s="72">
        <f>SUM('Front office:Rooms Admin'!AC90)</f>
        <v>0</v>
      </c>
      <c r="AD90" s="127">
        <f t="shared" si="46"/>
        <v>0</v>
      </c>
      <c r="AE90" s="72">
        <f t="shared" si="47"/>
        <v>0</v>
      </c>
      <c r="AF90" s="128" t="e">
        <f t="shared" si="48"/>
        <v>#DIV/0!</v>
      </c>
      <c r="AG90" s="129">
        <v>0</v>
      </c>
      <c r="AH90" s="133">
        <f t="shared" si="34"/>
        <v>0</v>
      </c>
      <c r="AJ90" s="130"/>
      <c r="AK90" s="124"/>
      <c r="AL90" s="124"/>
    </row>
    <row r="91" spans="1:38">
      <c r="A91" s="105" t="s">
        <v>134</v>
      </c>
      <c r="B91" s="105" t="s">
        <v>249</v>
      </c>
      <c r="D91" s="105" t="s">
        <v>279</v>
      </c>
      <c r="E91" s="72">
        <f>SUM('Front office:Rooms Admin'!E91)</f>
        <v>1066.6400000000001</v>
      </c>
      <c r="F91" s="72">
        <f>SUM('Front office:Rooms Admin'!F91)</f>
        <v>1066.6400000000001</v>
      </c>
      <c r="G91" s="72">
        <f>SUM('Front office:Rooms Admin'!G91)</f>
        <v>1066.6400000000001</v>
      </c>
      <c r="H91" s="72">
        <f>SUM('Front office:Rooms Admin'!H91)</f>
        <v>1066.6400000000001</v>
      </c>
      <c r="I91" s="72">
        <f>SUM('Front office:Rooms Admin'!I91)</f>
        <v>1066.6400000000001</v>
      </c>
      <c r="J91" s="72">
        <f>SUM('Front office:Rooms Admin'!J91)</f>
        <v>1066.6400000000001</v>
      </c>
      <c r="K91" s="72">
        <f>SUM('Front office:Rooms Admin'!K91)</f>
        <v>1066.6400000000001</v>
      </c>
      <c r="L91" s="72">
        <f>SUM('Front office:Rooms Admin'!L91)</f>
        <v>1199.97</v>
      </c>
      <c r="M91" s="72">
        <f>SUM('Front office:Rooms Admin'!M91)</f>
        <v>3066.6400000000003</v>
      </c>
      <c r="N91" s="72">
        <f>SUM('Front office:Rooms Admin'!N91)</f>
        <v>3066.6400000000003</v>
      </c>
      <c r="O91" s="72">
        <f>SUM('Front office:Rooms Admin'!O91)</f>
        <v>3066.6400000000003</v>
      </c>
      <c r="P91" s="72">
        <f>SUM('Front office:Rooms Admin'!P91)</f>
        <v>3066.6400000000003</v>
      </c>
      <c r="Q91" s="135">
        <f t="shared" si="45"/>
        <v>20933.009999999998</v>
      </c>
      <c r="R91" s="72">
        <f>SUM('Front office:Rooms Admin'!R91)</f>
        <v>1136.3900000000001</v>
      </c>
      <c r="S91" s="72">
        <f>SUM('Front office:Rooms Admin'!S91)</f>
        <v>1016</v>
      </c>
      <c r="T91" s="72">
        <f>SUM('Front office:Rooms Admin'!T91)</f>
        <v>1088</v>
      </c>
      <c r="U91" s="72">
        <f>SUM('Front office:Rooms Admin'!U91)</f>
        <v>1056</v>
      </c>
      <c r="V91" s="72">
        <f>SUM('Front office:Rooms Admin'!V91)</f>
        <v>990.97</v>
      </c>
      <c r="W91" s="72">
        <f>SUM('Front office:Rooms Admin'!W91)</f>
        <v>924</v>
      </c>
      <c r="X91" s="72">
        <f>SUM('Front office:Rooms Admin'!X91)</f>
        <v>952</v>
      </c>
      <c r="Y91" s="72">
        <f>SUM('Front office:Rooms Admin'!Y91)</f>
        <v>1101.04</v>
      </c>
      <c r="Z91" s="72">
        <f>SUM('Front office:Rooms Admin'!Z91)</f>
        <v>1067</v>
      </c>
      <c r="AA91" s="72">
        <f>SUM('Front office:Rooms Admin'!AA91)</f>
        <v>1067</v>
      </c>
      <c r="AB91" s="72">
        <f>SUM('Front office:Rooms Admin'!AB91)</f>
        <v>1067</v>
      </c>
      <c r="AC91" s="72">
        <f>SUM('Front office:Rooms Admin'!AC91)</f>
        <v>1067</v>
      </c>
      <c r="AD91" s="127">
        <f t="shared" si="46"/>
        <v>12532.400000000001</v>
      </c>
      <c r="AE91" s="72">
        <f t="shared" si="47"/>
        <v>8400.6099999999969</v>
      </c>
      <c r="AF91" s="128">
        <f t="shared" si="48"/>
        <v>0.67031135297309341</v>
      </c>
      <c r="AG91" s="129">
        <v>9145.59</v>
      </c>
      <c r="AH91" s="133">
        <f t="shared" si="34"/>
        <v>-11787.419999999998</v>
      </c>
      <c r="AJ91" s="130"/>
      <c r="AK91" s="124"/>
      <c r="AL91" s="124"/>
    </row>
    <row r="92" spans="1:38">
      <c r="A92" s="105" t="s">
        <v>135</v>
      </c>
      <c r="B92" s="105" t="s">
        <v>249</v>
      </c>
      <c r="D92" s="105" t="s">
        <v>280</v>
      </c>
      <c r="E92" s="72">
        <f>SUM('Front office:Rooms Admin'!E92)</f>
        <v>17153.219999999998</v>
      </c>
      <c r="F92" s="72">
        <f>SUM('Front office:Rooms Admin'!F92)</f>
        <v>17153.219999999998</v>
      </c>
      <c r="G92" s="72">
        <f>SUM('Front office:Rooms Admin'!G92)</f>
        <v>17153.219999999998</v>
      </c>
      <c r="H92" s="72">
        <f>SUM('Front office:Rooms Admin'!H92)</f>
        <v>17153.219999999998</v>
      </c>
      <c r="I92" s="72">
        <f>SUM('Front office:Rooms Admin'!I92)</f>
        <v>17153.219999999998</v>
      </c>
      <c r="J92" s="72">
        <f>SUM('Front office:Rooms Admin'!J92)</f>
        <v>17153.219999999998</v>
      </c>
      <c r="K92" s="72">
        <f>SUM('Front office:Rooms Admin'!K92)</f>
        <v>17153.219999999998</v>
      </c>
      <c r="L92" s="72">
        <f>SUM('Front office:Rooms Admin'!L92)</f>
        <v>17153.219999999998</v>
      </c>
      <c r="M92" s="72">
        <f>SUM('Front office:Rooms Admin'!M92)</f>
        <v>17153.219999999998</v>
      </c>
      <c r="N92" s="72">
        <f>SUM('Front office:Rooms Admin'!N92)</f>
        <v>17153.219999999998</v>
      </c>
      <c r="O92" s="72">
        <f>SUM('Front office:Rooms Admin'!O92)</f>
        <v>17153.219999999998</v>
      </c>
      <c r="P92" s="72">
        <f>SUM('Front office:Rooms Admin'!P92)</f>
        <v>17153.219999999998</v>
      </c>
      <c r="Q92" s="135">
        <f t="shared" si="45"/>
        <v>205838.63999999998</v>
      </c>
      <c r="R92" s="72">
        <f>SUM('Front office:Rooms Admin'!R92)</f>
        <v>1526.2199999999998</v>
      </c>
      <c r="S92" s="72">
        <f>SUM('Front office:Rooms Admin'!S92)</f>
        <v>1482.78</v>
      </c>
      <c r="T92" s="72">
        <f>SUM('Front office:Rooms Admin'!T92)</f>
        <v>1704.51</v>
      </c>
      <c r="U92" s="72">
        <f>SUM('Front office:Rooms Admin'!U92)</f>
        <v>1601.6200000000001</v>
      </c>
      <c r="V92" s="72">
        <f>SUM('Front office:Rooms Admin'!V92)</f>
        <v>128936.26</v>
      </c>
      <c r="W92" s="72">
        <f>SUM('Front office:Rooms Admin'!W92)</f>
        <v>1541.3000000000002</v>
      </c>
      <c r="X92" s="72">
        <f>SUM('Front office:Rooms Admin'!X92)</f>
        <v>1575.41</v>
      </c>
      <c r="Y92" s="72">
        <f>SUM('Front office:Rooms Admin'!Y92)</f>
        <v>1527.9</v>
      </c>
      <c r="Z92" s="72">
        <f>SUM('Front office:Rooms Admin'!Z92)</f>
        <v>2625</v>
      </c>
      <c r="AA92" s="72">
        <f>SUM('Front office:Rooms Admin'!AA92)</f>
        <v>2625</v>
      </c>
      <c r="AB92" s="72">
        <f>SUM('Front office:Rooms Admin'!AB92)</f>
        <v>2625</v>
      </c>
      <c r="AC92" s="72">
        <f>SUM('Front office:Rooms Admin'!AC92)</f>
        <v>2625</v>
      </c>
      <c r="AD92" s="127">
        <f t="shared" si="46"/>
        <v>150395.99999999997</v>
      </c>
      <c r="AE92" s="72">
        <f t="shared" si="47"/>
        <v>55442.640000000014</v>
      </c>
      <c r="AF92" s="128">
        <f t="shared" si="48"/>
        <v>0.36864437883986295</v>
      </c>
      <c r="AG92" s="129">
        <v>183136.12999999998</v>
      </c>
      <c r="AH92" s="133">
        <f t="shared" si="34"/>
        <v>-22702.510000000009</v>
      </c>
      <c r="AJ92" s="130"/>
      <c r="AK92" s="124"/>
      <c r="AL92" s="124"/>
    </row>
    <row r="93" spans="1:38">
      <c r="A93" s="105" t="s">
        <v>281</v>
      </c>
      <c r="B93" s="105" t="s">
        <v>249</v>
      </c>
      <c r="D93" s="105" t="s">
        <v>282</v>
      </c>
      <c r="E93" s="72">
        <f>SUM('Front office:Rooms Admin'!E93)</f>
        <v>26443</v>
      </c>
      <c r="F93" s="72">
        <f>SUM('Front office:Rooms Admin'!F93)</f>
        <v>24310</v>
      </c>
      <c r="G93" s="72">
        <f>SUM('Front office:Rooms Admin'!G93)</f>
        <v>24642</v>
      </c>
      <c r="H93" s="72">
        <f>SUM('Front office:Rooms Admin'!H93)</f>
        <v>27783</v>
      </c>
      <c r="I93" s="72">
        <f>SUM('Front office:Rooms Admin'!I93)</f>
        <v>28737</v>
      </c>
      <c r="J93" s="72">
        <f>SUM('Front office:Rooms Admin'!J93)</f>
        <v>27242</v>
      </c>
      <c r="K93" s="72">
        <f>SUM('Front office:Rooms Admin'!K93)</f>
        <v>27377</v>
      </c>
      <c r="L93" s="72">
        <f>SUM('Front office:Rooms Admin'!L93)</f>
        <v>27952</v>
      </c>
      <c r="M93" s="72">
        <f>SUM('Front office:Rooms Admin'!M93)</f>
        <v>27957</v>
      </c>
      <c r="N93" s="72">
        <f>SUM('Front office:Rooms Admin'!N93)</f>
        <v>28085</v>
      </c>
      <c r="O93" s="72">
        <f>SUM('Front office:Rooms Admin'!O93)</f>
        <v>26068</v>
      </c>
      <c r="P93" s="72">
        <f>SUM('Front office:Rooms Admin'!P93)</f>
        <v>26007</v>
      </c>
      <c r="Q93" s="135">
        <f t="shared" si="45"/>
        <v>322603</v>
      </c>
      <c r="R93" s="72">
        <f>SUM('Front office:Rooms Admin'!R93)</f>
        <v>21188.21</v>
      </c>
      <c r="S93" s="72">
        <f>SUM('Front office:Rooms Admin'!S93)</f>
        <v>28450.42</v>
      </c>
      <c r="T93" s="72">
        <f>SUM('Front office:Rooms Admin'!T93)</f>
        <v>21887.439999999999</v>
      </c>
      <c r="U93" s="72">
        <f>SUM('Front office:Rooms Admin'!U93)</f>
        <v>25719.279999999999</v>
      </c>
      <c r="V93" s="72">
        <f>SUM('Front office:Rooms Admin'!V93)</f>
        <v>25764.68</v>
      </c>
      <c r="W93" s="72">
        <f>SUM('Front office:Rooms Admin'!W93)</f>
        <v>25485.439999999999</v>
      </c>
      <c r="X93" s="72">
        <f>SUM('Front office:Rooms Admin'!X93)</f>
        <v>20799.89</v>
      </c>
      <c r="Y93" s="72">
        <f>SUM('Front office:Rooms Admin'!Y93)</f>
        <v>24270.770000000004</v>
      </c>
      <c r="Z93" s="72">
        <f>SUM('Front office:Rooms Admin'!Z93)</f>
        <v>77473</v>
      </c>
      <c r="AA93" s="72">
        <f>SUM('Front office:Rooms Admin'!AA93)</f>
        <v>75142</v>
      </c>
      <c r="AB93" s="72">
        <f>SUM('Front office:Rooms Admin'!AB93)</f>
        <v>72220</v>
      </c>
      <c r="AC93" s="72">
        <f>SUM('Front office:Rooms Admin'!AC93)</f>
        <v>72230</v>
      </c>
      <c r="AD93" s="127">
        <f t="shared" si="46"/>
        <v>490631.13</v>
      </c>
      <c r="AE93" s="72">
        <f t="shared" si="47"/>
        <v>-168028.13</v>
      </c>
      <c r="AF93" s="128">
        <f t="shared" si="48"/>
        <v>-0.34247343824269771</v>
      </c>
      <c r="AG93" s="129">
        <v>645140.49000000011</v>
      </c>
      <c r="AH93" s="133">
        <f t="shared" si="34"/>
        <v>322537.49000000011</v>
      </c>
      <c r="AJ93" s="130"/>
      <c r="AK93" s="124"/>
      <c r="AL93" s="124"/>
    </row>
    <row r="94" spans="1:38">
      <c r="A94" s="105" t="s">
        <v>137</v>
      </c>
      <c r="B94" s="105" t="s">
        <v>249</v>
      </c>
      <c r="D94" s="105" t="s">
        <v>283</v>
      </c>
      <c r="E94" s="72">
        <f>SUM('Front office:Rooms Admin'!E94)</f>
        <v>105847.41</v>
      </c>
      <c r="F94" s="72">
        <f>SUM('Front office:Rooms Admin'!F94)</f>
        <v>89835.41</v>
      </c>
      <c r="G94" s="72">
        <f>SUM('Front office:Rooms Admin'!G94)</f>
        <v>89964.99</v>
      </c>
      <c r="H94" s="72">
        <f>SUM('Front office:Rooms Admin'!H94)</f>
        <v>91227.99</v>
      </c>
      <c r="I94" s="72">
        <f>SUM('Front office:Rooms Admin'!I94)</f>
        <v>97878.41</v>
      </c>
      <c r="J94" s="72">
        <f>SUM('Front office:Rooms Admin'!J94)</f>
        <v>91347.76</v>
      </c>
      <c r="K94" s="72">
        <f>SUM('Front office:Rooms Admin'!K94)</f>
        <v>90801.76</v>
      </c>
      <c r="L94" s="72">
        <f>SUM('Front office:Rooms Admin'!L94)</f>
        <v>90721.76</v>
      </c>
      <c r="M94" s="72">
        <f>SUM('Front office:Rooms Admin'!M94)</f>
        <v>91282.76</v>
      </c>
      <c r="N94" s="72">
        <f>SUM('Front office:Rooms Admin'!N94)</f>
        <v>105276.53</v>
      </c>
      <c r="O94" s="72">
        <f>SUM('Front office:Rooms Admin'!O94)</f>
        <v>90959.99</v>
      </c>
      <c r="P94" s="72">
        <f>SUM('Front office:Rooms Admin'!P94)</f>
        <v>90880.99</v>
      </c>
      <c r="Q94" s="135">
        <f t="shared" si="45"/>
        <v>1126025.76</v>
      </c>
      <c r="R94" s="72">
        <f>SUM('Front office:Rooms Admin'!R94)</f>
        <v>102760.93</v>
      </c>
      <c r="S94" s="72">
        <f>SUM('Front office:Rooms Admin'!S94)</f>
        <v>95587.780000000013</v>
      </c>
      <c r="T94" s="72">
        <f>SUM('Front office:Rooms Admin'!T94)</f>
        <v>93343.18</v>
      </c>
      <c r="U94" s="72">
        <f>SUM('Front office:Rooms Admin'!U94)</f>
        <v>92940.689999999988</v>
      </c>
      <c r="V94" s="72">
        <f>SUM('Front office:Rooms Admin'!V94)</f>
        <v>66284.94</v>
      </c>
      <c r="W94" s="72">
        <f>SUM('Front office:Rooms Admin'!W94)</f>
        <v>73603</v>
      </c>
      <c r="X94" s="72">
        <f>SUM('Front office:Rooms Admin'!X94)</f>
        <v>71846.8</v>
      </c>
      <c r="Y94" s="72">
        <f>SUM('Front office:Rooms Admin'!Y94)</f>
        <v>76180.31</v>
      </c>
      <c r="Z94" s="72">
        <f>SUM('Front office:Rooms Admin'!Z94)</f>
        <v>167740</v>
      </c>
      <c r="AA94" s="72">
        <f>SUM('Front office:Rooms Admin'!AA94)</f>
        <v>182573</v>
      </c>
      <c r="AB94" s="72">
        <f>SUM('Front office:Rooms Admin'!AB94)</f>
        <v>169540</v>
      </c>
      <c r="AC94" s="72">
        <f>SUM('Front office:Rooms Admin'!AC94)</f>
        <v>168942.49</v>
      </c>
      <c r="AD94" s="127">
        <f t="shared" si="46"/>
        <v>1361343.12</v>
      </c>
      <c r="AE94" s="72">
        <f t="shared" si="47"/>
        <v>-235317.3600000001</v>
      </c>
      <c r="AF94" s="128">
        <f t="shared" si="48"/>
        <v>-0.17285675928637306</v>
      </c>
      <c r="AG94" s="129">
        <v>2847000.87</v>
      </c>
      <c r="AH94" s="133">
        <f t="shared" si="34"/>
        <v>1720975.11</v>
      </c>
      <c r="AJ94" s="130"/>
      <c r="AK94" s="124"/>
      <c r="AL94" s="124"/>
    </row>
    <row r="95" spans="1:38">
      <c r="A95" s="105" t="s">
        <v>284</v>
      </c>
      <c r="D95" s="105" t="s">
        <v>139</v>
      </c>
      <c r="E95" s="72">
        <f>SUM('Front office:Rooms Admin'!E95)</f>
        <v>0</v>
      </c>
      <c r="F95" s="72">
        <f>SUM('Front office:Rooms Admin'!F95)</f>
        <v>0</v>
      </c>
      <c r="G95" s="72">
        <f>SUM('Front office:Rooms Admin'!G95)</f>
        <v>0</v>
      </c>
      <c r="H95" s="72">
        <f>SUM('Front office:Rooms Admin'!H95)</f>
        <v>0</v>
      </c>
      <c r="I95" s="72">
        <f>SUM('Front office:Rooms Admin'!I95)</f>
        <v>0</v>
      </c>
      <c r="J95" s="72">
        <f>SUM('Front office:Rooms Admin'!J95)</f>
        <v>0</v>
      </c>
      <c r="K95" s="72">
        <f>SUM('Front office:Rooms Admin'!K95)</f>
        <v>0</v>
      </c>
      <c r="L95" s="72">
        <f>SUM('Front office:Rooms Admin'!L95)</f>
        <v>0</v>
      </c>
      <c r="M95" s="72">
        <f>SUM('Front office:Rooms Admin'!M95)</f>
        <v>0</v>
      </c>
      <c r="N95" s="72">
        <f>SUM('Front office:Rooms Admin'!N95)</f>
        <v>0</v>
      </c>
      <c r="O95" s="72">
        <f>SUM('Front office:Rooms Admin'!O95)</f>
        <v>0</v>
      </c>
      <c r="P95" s="72">
        <f>SUM('Front office:Rooms Admin'!P95)</f>
        <v>0</v>
      </c>
      <c r="Q95" s="135"/>
      <c r="R95" s="72">
        <f>SUM('Front office:Rooms Admin'!R95)</f>
        <v>0</v>
      </c>
      <c r="S95" s="72">
        <f>SUM('Front office:Rooms Admin'!S95)</f>
        <v>0</v>
      </c>
      <c r="T95" s="72">
        <f>SUM('Front office:Rooms Admin'!T95)</f>
        <v>0</v>
      </c>
      <c r="U95" s="72">
        <f>SUM('Front office:Rooms Admin'!U95)</f>
        <v>0</v>
      </c>
      <c r="V95" s="72">
        <f>SUM('Front office:Rooms Admin'!V95)</f>
        <v>0</v>
      </c>
      <c r="W95" s="72">
        <f>SUM('Front office:Rooms Admin'!W95)</f>
        <v>0</v>
      </c>
      <c r="X95" s="72">
        <f>SUM('Front office:Rooms Admin'!X95)</f>
        <v>0</v>
      </c>
      <c r="Y95" s="72">
        <f>SUM('Front office:Rooms Admin'!Y95)</f>
        <v>0</v>
      </c>
      <c r="Z95" s="72">
        <f>SUM('Front office:Rooms Admin'!Z95)</f>
        <v>0</v>
      </c>
      <c r="AA95" s="72">
        <f>SUM('Front office:Rooms Admin'!AA95)</f>
        <v>0</v>
      </c>
      <c r="AB95" s="72">
        <f>SUM('Front office:Rooms Admin'!AB95)</f>
        <v>0</v>
      </c>
      <c r="AC95" s="72">
        <f>SUM('Front office:Rooms Admin'!AC95)</f>
        <v>0</v>
      </c>
      <c r="AD95" s="127">
        <f t="shared" si="46"/>
        <v>0</v>
      </c>
      <c r="AE95" s="72">
        <f t="shared" si="47"/>
        <v>0</v>
      </c>
      <c r="AF95" s="128" t="e">
        <f t="shared" si="48"/>
        <v>#DIV/0!</v>
      </c>
      <c r="AG95" s="129">
        <v>0</v>
      </c>
      <c r="AH95" s="133">
        <f t="shared" si="34"/>
        <v>0</v>
      </c>
      <c r="AJ95" s="130"/>
      <c r="AK95" s="124"/>
      <c r="AL95" s="124"/>
    </row>
    <row r="96" spans="1:38">
      <c r="A96" s="105" t="s">
        <v>273</v>
      </c>
      <c r="D96" s="105" t="s">
        <v>285</v>
      </c>
      <c r="E96" s="72">
        <f>SUM('Front office:Rooms Admin'!E96)</f>
        <v>0</v>
      </c>
      <c r="F96" s="72">
        <f>SUM('Front office:Rooms Admin'!F96)</f>
        <v>0</v>
      </c>
      <c r="G96" s="72">
        <f>SUM('Front office:Rooms Admin'!G96)</f>
        <v>0</v>
      </c>
      <c r="H96" s="72">
        <f>SUM('Front office:Rooms Admin'!H96)</f>
        <v>0</v>
      </c>
      <c r="I96" s="72">
        <f>SUM('Front office:Rooms Admin'!I96)</f>
        <v>0</v>
      </c>
      <c r="J96" s="72">
        <f>SUM('Front office:Rooms Admin'!J96)</f>
        <v>0</v>
      </c>
      <c r="K96" s="72">
        <f>SUM('Front office:Rooms Admin'!K96)</f>
        <v>0</v>
      </c>
      <c r="L96" s="72">
        <f>SUM('Front office:Rooms Admin'!L96)</f>
        <v>0</v>
      </c>
      <c r="M96" s="72">
        <f>SUM('Front office:Rooms Admin'!M96)</f>
        <v>0</v>
      </c>
      <c r="N96" s="72">
        <f>SUM('Front office:Rooms Admin'!N96)</f>
        <v>0</v>
      </c>
      <c r="O96" s="72">
        <f>SUM('Front office:Rooms Admin'!O96)</f>
        <v>0</v>
      </c>
      <c r="P96" s="72">
        <f>SUM('Front office:Rooms Admin'!P96)</f>
        <v>0</v>
      </c>
      <c r="Q96" s="135"/>
      <c r="R96" s="72">
        <f>SUM('Front office:Rooms Admin'!R96)</f>
        <v>0</v>
      </c>
      <c r="S96" s="72">
        <f>SUM('Front office:Rooms Admin'!S96)</f>
        <v>0</v>
      </c>
      <c r="T96" s="72">
        <f>SUM('Front office:Rooms Admin'!T96)</f>
        <v>0</v>
      </c>
      <c r="U96" s="72">
        <f>SUM('Front office:Rooms Admin'!U96)</f>
        <v>0</v>
      </c>
      <c r="V96" s="72">
        <f>SUM('Front office:Rooms Admin'!V96)</f>
        <v>0</v>
      </c>
      <c r="W96" s="72">
        <f>SUM('Front office:Rooms Admin'!W96)</f>
        <v>0</v>
      </c>
      <c r="X96" s="72">
        <f>SUM('Front office:Rooms Admin'!X96)</f>
        <v>0</v>
      </c>
      <c r="Y96" s="72">
        <f>SUM('Front office:Rooms Admin'!Y96)</f>
        <v>0</v>
      </c>
      <c r="Z96" s="72">
        <f>SUM('Front office:Rooms Admin'!Z96)</f>
        <v>0</v>
      </c>
      <c r="AA96" s="72">
        <f>SUM('Front office:Rooms Admin'!AA96)</f>
        <v>0</v>
      </c>
      <c r="AB96" s="72">
        <f>SUM('Front office:Rooms Admin'!AB96)</f>
        <v>0</v>
      </c>
      <c r="AC96" s="72">
        <f>SUM('Front office:Rooms Admin'!AC96)</f>
        <v>0</v>
      </c>
      <c r="AD96" s="127">
        <f t="shared" si="46"/>
        <v>0</v>
      </c>
      <c r="AE96" s="72">
        <f t="shared" si="47"/>
        <v>0</v>
      </c>
      <c r="AF96" s="128" t="e">
        <f t="shared" si="48"/>
        <v>#DIV/0!</v>
      </c>
      <c r="AG96" s="129">
        <v>0</v>
      </c>
      <c r="AH96" s="133">
        <f t="shared" si="34"/>
        <v>0</v>
      </c>
      <c r="AJ96" s="130"/>
      <c r="AK96" s="124"/>
      <c r="AL96" s="124"/>
    </row>
    <row r="97" spans="1:38">
      <c r="D97" s="109" t="s">
        <v>286</v>
      </c>
      <c r="E97" s="135">
        <f>SUM(E88:E96)</f>
        <v>150510.27000000002</v>
      </c>
      <c r="F97" s="135">
        <f t="shared" ref="F97:P97" si="49">SUM(F88:F96)</f>
        <v>132365.27000000002</v>
      </c>
      <c r="G97" s="135">
        <f t="shared" si="49"/>
        <v>132826.85</v>
      </c>
      <c r="H97" s="135">
        <f t="shared" si="49"/>
        <v>137230.85</v>
      </c>
      <c r="I97" s="135">
        <f t="shared" si="49"/>
        <v>144835.27000000002</v>
      </c>
      <c r="J97" s="135">
        <f t="shared" si="49"/>
        <v>136809.62</v>
      </c>
      <c r="K97" s="135">
        <f t="shared" si="49"/>
        <v>136398.62</v>
      </c>
      <c r="L97" s="135">
        <f t="shared" si="49"/>
        <v>137026.95000000001</v>
      </c>
      <c r="M97" s="135">
        <f t="shared" si="49"/>
        <v>139459.62</v>
      </c>
      <c r="N97" s="135">
        <f t="shared" si="49"/>
        <v>153581.39000000001</v>
      </c>
      <c r="O97" s="135">
        <f t="shared" si="49"/>
        <v>137247.85</v>
      </c>
      <c r="P97" s="135">
        <f t="shared" si="49"/>
        <v>137107.85</v>
      </c>
      <c r="Q97" s="135">
        <f>SUM(Q88:Q96)</f>
        <v>1675400.4100000001</v>
      </c>
      <c r="R97" s="135">
        <f t="shared" ref="R97:Y97" si="50">SUM(R88:R96)</f>
        <v>126611.75</v>
      </c>
      <c r="S97" s="135">
        <f t="shared" si="50"/>
        <v>126536.98000000001</v>
      </c>
      <c r="T97" s="135">
        <f t="shared" si="50"/>
        <v>118023.12999999999</v>
      </c>
      <c r="U97" s="135">
        <f t="shared" si="50"/>
        <v>121317.58999999998</v>
      </c>
      <c r="V97" s="135">
        <f t="shared" si="50"/>
        <v>221976.85</v>
      </c>
      <c r="W97" s="135">
        <f t="shared" si="50"/>
        <v>101553.73999999999</v>
      </c>
      <c r="X97" s="135">
        <f>SUM(X88:X96)</f>
        <v>95174.1</v>
      </c>
      <c r="Y97" s="135">
        <f t="shared" si="50"/>
        <v>103080.02</v>
      </c>
      <c r="Z97" s="135">
        <f>SUM(Z88:Z96)</f>
        <v>248905</v>
      </c>
      <c r="AA97" s="135">
        <f>SUM(AA88:AA96)</f>
        <v>261407</v>
      </c>
      <c r="AB97" s="135">
        <f>SUM(AB88:AB96)</f>
        <v>245452</v>
      </c>
      <c r="AC97" s="135">
        <f>SUM(AC88:AC96)</f>
        <v>244864.49</v>
      </c>
      <c r="AD97" s="135">
        <f>SUM(AD88:AD96)</f>
        <v>2014902.6500000001</v>
      </c>
      <c r="AE97" s="117">
        <f t="shared" si="47"/>
        <v>-339502.24</v>
      </c>
      <c r="AF97" s="128">
        <f t="shared" si="48"/>
        <v>-0.16849560448987447</v>
      </c>
      <c r="AG97" s="129">
        <v>3684423.08</v>
      </c>
      <c r="AH97" s="133">
        <f t="shared" si="34"/>
        <v>2009022.67</v>
      </c>
      <c r="AJ97" s="130"/>
      <c r="AK97" s="124"/>
      <c r="AL97" s="124"/>
    </row>
    <row r="98" spans="1:38">
      <c r="D98" s="109" t="s">
        <v>287</v>
      </c>
      <c r="E98" s="135">
        <f>E76+E86+E97+E69</f>
        <v>1109792.1399999999</v>
      </c>
      <c r="F98" s="135">
        <f t="shared" ref="F98:AD98" si="51">F76+F86+F97+F69</f>
        <v>991031.22</v>
      </c>
      <c r="G98" s="135">
        <f t="shared" si="51"/>
        <v>977071.01</v>
      </c>
      <c r="H98" s="135">
        <f t="shared" si="51"/>
        <v>1013101.33</v>
      </c>
      <c r="I98" s="135">
        <f t="shared" si="51"/>
        <v>1044135.61</v>
      </c>
      <c r="J98" s="135">
        <f t="shared" si="51"/>
        <v>986136.44000000006</v>
      </c>
      <c r="K98" s="135">
        <f t="shared" si="51"/>
        <v>1004589.9700000001</v>
      </c>
      <c r="L98" s="135">
        <f t="shared" si="51"/>
        <v>1016953.1799999999</v>
      </c>
      <c r="M98" s="135">
        <f t="shared" si="51"/>
        <v>1007844.13</v>
      </c>
      <c r="N98" s="135">
        <f t="shared" si="51"/>
        <v>1137383.72</v>
      </c>
      <c r="O98" s="135">
        <f t="shared" si="51"/>
        <v>1011936.74</v>
      </c>
      <c r="P98" s="135">
        <f t="shared" si="51"/>
        <v>1019581.36</v>
      </c>
      <c r="Q98" s="135">
        <f>Q76+Q86+Q97+Q69</f>
        <v>12319556.850000001</v>
      </c>
      <c r="R98" s="135">
        <f>R76+R86+R97+R69</f>
        <v>1034423.39</v>
      </c>
      <c r="S98" s="135">
        <f t="shared" ref="S98:Y98" si="52">S76+S86+S97+S69</f>
        <v>1147623.2799999998</v>
      </c>
      <c r="T98" s="135">
        <f t="shared" si="52"/>
        <v>961883.78</v>
      </c>
      <c r="U98" s="135">
        <f t="shared" si="52"/>
        <v>913959.4</v>
      </c>
      <c r="V98" s="135">
        <f t="shared" si="52"/>
        <v>1036246.87</v>
      </c>
      <c r="W98" s="135">
        <f t="shared" si="52"/>
        <v>833350.21</v>
      </c>
      <c r="X98" s="135">
        <f>X76+X86+X97+X69</f>
        <v>820026.1399999999</v>
      </c>
      <c r="Y98" s="135">
        <f t="shared" si="52"/>
        <v>1156364.3600000001</v>
      </c>
      <c r="Z98" s="135">
        <f>Z76+Z86+Z97+Z69</f>
        <v>1265441.75</v>
      </c>
      <c r="AA98" s="135">
        <f>AA76+AA86+AA97+AA69</f>
        <v>1430109.85</v>
      </c>
      <c r="AB98" s="135">
        <f>AB76+AB86+AB97+AB69</f>
        <v>1293610.05</v>
      </c>
      <c r="AC98" s="135">
        <f>AC76+AC86+AC97+AC69</f>
        <v>1308437.1399999999</v>
      </c>
      <c r="AD98" s="135">
        <f t="shared" si="51"/>
        <v>13201476.220000001</v>
      </c>
      <c r="AE98" s="117">
        <f t="shared" si="47"/>
        <v>-881919.36999999918</v>
      </c>
      <c r="AF98" s="128">
        <f t="shared" si="48"/>
        <v>-6.6804602402260674E-2</v>
      </c>
      <c r="AG98" s="129">
        <v>15617450.34</v>
      </c>
      <c r="AH98" s="133">
        <f t="shared" si="34"/>
        <v>3297893.4899999984</v>
      </c>
      <c r="AJ98" s="130"/>
      <c r="AK98" s="124"/>
      <c r="AL98" s="124"/>
    </row>
    <row r="99" spans="1:38">
      <c r="D99" s="105" t="s">
        <v>154</v>
      </c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35">
        <f>Q98/Q101</f>
        <v>143250.66104651164</v>
      </c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35"/>
      <c r="AF99" s="128"/>
      <c r="AG99" s="129">
        <v>87045.705564328848</v>
      </c>
      <c r="AH99" s="133">
        <f t="shared" si="34"/>
        <v>-56204.955482182791</v>
      </c>
      <c r="AJ99" s="130"/>
      <c r="AK99" s="124"/>
      <c r="AL99" s="124"/>
    </row>
    <row r="100" spans="1:38">
      <c r="D100" s="105" t="s">
        <v>154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35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35"/>
      <c r="AF100" s="128"/>
      <c r="AG100" s="129"/>
      <c r="AH100" s="133">
        <f t="shared" si="34"/>
        <v>0</v>
      </c>
      <c r="AJ100" s="130"/>
      <c r="AK100" s="124"/>
      <c r="AL100" s="124"/>
    </row>
    <row r="101" spans="1:38" s="109" customFormat="1">
      <c r="A101" s="109" t="s">
        <v>141</v>
      </c>
      <c r="B101" s="109" t="s">
        <v>249</v>
      </c>
      <c r="D101" s="109" t="s">
        <v>288</v>
      </c>
      <c r="E101" s="127">
        <f>SUM('Front office:Rooms Admin'!E101)</f>
        <v>86</v>
      </c>
      <c r="F101" s="127">
        <f>SUM('Front office:Rooms Admin'!F101)</f>
        <v>86</v>
      </c>
      <c r="G101" s="127">
        <f>SUM('Front office:Rooms Admin'!G101)</f>
        <v>86</v>
      </c>
      <c r="H101" s="127">
        <f>SUM('Front office:Rooms Admin'!H101)</f>
        <v>86</v>
      </c>
      <c r="I101" s="127">
        <f>SUM('Front office:Rooms Admin'!I101)</f>
        <v>86</v>
      </c>
      <c r="J101" s="127">
        <f>SUM('Front office:Rooms Admin'!J101)</f>
        <v>86</v>
      </c>
      <c r="K101" s="127">
        <f>SUM('Front office:Rooms Admin'!K101)</f>
        <v>86</v>
      </c>
      <c r="L101" s="127">
        <f>SUM('Front office:Rooms Admin'!L101)</f>
        <v>86</v>
      </c>
      <c r="M101" s="127">
        <f>SUM('Front office:Rooms Admin'!M101)</f>
        <v>86</v>
      </c>
      <c r="N101" s="127">
        <f>SUM('Front office:Rooms Admin'!N101)</f>
        <v>86</v>
      </c>
      <c r="O101" s="127">
        <f>SUM('Front office:Rooms Admin'!O101)</f>
        <v>86</v>
      </c>
      <c r="P101" s="127">
        <f>SUM('Front office:Rooms Admin'!P101)</f>
        <v>86</v>
      </c>
      <c r="Q101" s="135">
        <f>SUM(E101:P101)/12</f>
        <v>86</v>
      </c>
      <c r="R101" s="127">
        <f>SUM('Front office:Rooms Admin'!R101)</f>
        <v>79</v>
      </c>
      <c r="S101" s="127">
        <f>SUM('Front office:Rooms Admin'!S101)</f>
        <v>78</v>
      </c>
      <c r="T101" s="127">
        <f>SUM('Front office:Rooms Admin'!T101)</f>
        <v>80</v>
      </c>
      <c r="U101" s="127">
        <f>SUM('Front office:Rooms Admin'!U101)</f>
        <v>83</v>
      </c>
      <c r="V101" s="127">
        <f>SUM('Front office:Rooms Admin'!V101)</f>
        <v>79</v>
      </c>
      <c r="W101" s="127">
        <f>SUM('Front office:Rooms Admin'!W101)</f>
        <v>78</v>
      </c>
      <c r="X101" s="127">
        <f>SUM('Front office:Rooms Admin'!X101)</f>
        <v>77</v>
      </c>
      <c r="Y101" s="127">
        <f>SUM('Front office:Rooms Admin'!Y101)</f>
        <v>78</v>
      </c>
      <c r="Z101" s="127">
        <f>SUM('Front office:Rooms Admin'!Z101)</f>
        <v>89</v>
      </c>
      <c r="AA101" s="127">
        <f>SUM('Front office:Rooms Admin'!AA101)</f>
        <v>89</v>
      </c>
      <c r="AB101" s="127">
        <f>SUM('Front office:Rooms Admin'!AB101)</f>
        <v>89</v>
      </c>
      <c r="AC101" s="127">
        <f>SUM('Front office:Rooms Admin'!AC101)</f>
        <v>89</v>
      </c>
      <c r="AD101" s="127">
        <f>SUM(R101:AC101)/12</f>
        <v>82.333333333333329</v>
      </c>
      <c r="AE101" s="127">
        <f t="shared" ref="AE101" si="53">Q101-AD101</f>
        <v>3.6666666666666714</v>
      </c>
      <c r="AF101" s="132">
        <f t="shared" ref="AF101" si="54">AE101/AD101</f>
        <v>4.4534412955465646E-2</v>
      </c>
      <c r="AG101" s="129">
        <v>179.41666666666666</v>
      </c>
      <c r="AH101" s="133">
        <f t="shared" si="34"/>
        <v>93.416666666666657</v>
      </c>
      <c r="AI101" s="123"/>
      <c r="AJ101" s="130"/>
      <c r="AK101" s="124"/>
      <c r="AL101" s="129"/>
    </row>
    <row r="102" spans="1:38">
      <c r="D102" s="105" t="s">
        <v>154</v>
      </c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35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35"/>
      <c r="AG102" s="129"/>
      <c r="AH102" s="133">
        <f t="shared" si="34"/>
        <v>0</v>
      </c>
      <c r="AJ102" s="130"/>
      <c r="AK102" s="124"/>
      <c r="AL102" s="124"/>
    </row>
    <row r="103" spans="1:38">
      <c r="D103" s="105" t="s">
        <v>289</v>
      </c>
      <c r="E103" s="140">
        <f>IFERROR(E17/$E$52,0)</f>
        <v>58.843697773064683</v>
      </c>
      <c r="F103" s="140">
        <f t="shared" ref="F103:AD103" si="55">IFERROR(F17/$E$52,0)</f>
        <v>52.546724284199364</v>
      </c>
      <c r="G103" s="140">
        <f t="shared" si="55"/>
        <v>51.806522269353131</v>
      </c>
      <c r="H103" s="140">
        <f t="shared" si="55"/>
        <v>53.716931601272535</v>
      </c>
      <c r="I103" s="140">
        <f t="shared" si="55"/>
        <v>55.362439554612934</v>
      </c>
      <c r="J103" s="140">
        <f t="shared" si="55"/>
        <v>52.28719194061506</v>
      </c>
      <c r="K103" s="140">
        <f t="shared" si="55"/>
        <v>53.2656399787911</v>
      </c>
      <c r="L103" s="140">
        <f t="shared" si="55"/>
        <v>53.921165429480375</v>
      </c>
      <c r="M103" s="140">
        <f t="shared" si="55"/>
        <v>53.438182926829271</v>
      </c>
      <c r="N103" s="140">
        <f t="shared" si="55"/>
        <v>60.306665959703075</v>
      </c>
      <c r="O103" s="140">
        <f t="shared" si="55"/>
        <v>53.655182396606577</v>
      </c>
      <c r="P103" s="140">
        <f t="shared" si="55"/>
        <v>54.060517497348883</v>
      </c>
      <c r="Q103" s="135">
        <f t="shared" si="55"/>
        <v>653.21086161187702</v>
      </c>
      <c r="R103" s="140">
        <f>IFERROR(R17/$E$52,0)</f>
        <v>54.847475609756096</v>
      </c>
      <c r="S103" s="140">
        <f t="shared" ref="S103:Y103" si="56">IFERROR(S17/$E$52,0)</f>
        <v>60.84959066808058</v>
      </c>
      <c r="T103" s="140">
        <f t="shared" si="56"/>
        <v>51.001260869565222</v>
      </c>
      <c r="U103" s="140">
        <f t="shared" si="56"/>
        <v>48.460201484623546</v>
      </c>
      <c r="V103" s="140">
        <f t="shared" si="56"/>
        <v>54.944160657476139</v>
      </c>
      <c r="W103" s="140">
        <f t="shared" si="56"/>
        <v>44.186119300106043</v>
      </c>
      <c r="X103" s="140">
        <f>IFERROR(X17/$E$52,0)</f>
        <v>43.4796468716861</v>
      </c>
      <c r="Y103" s="140">
        <f t="shared" si="56"/>
        <v>61.313062566277843</v>
      </c>
      <c r="Z103" s="140">
        <f>IFERROR(Z17/$E$52,0)</f>
        <v>67.096593319194056</v>
      </c>
      <c r="AA103" s="140">
        <f>IFERROR(AA17/$E$52,0)</f>
        <v>75.82766967126193</v>
      </c>
      <c r="AB103" s="140">
        <f>IFERROR(AB17/$E$52,0)</f>
        <v>68.590140509013793</v>
      </c>
      <c r="AC103" s="140">
        <f>IFERROR(AC17/$E$52,0)</f>
        <v>69.376306468716862</v>
      </c>
      <c r="AD103" s="135">
        <f t="shared" si="55"/>
        <v>699.9722279957582</v>
      </c>
      <c r="AE103" s="116">
        <f t="shared" ref="AE103" si="57">Q103-AD103</f>
        <v>-46.761366383881182</v>
      </c>
      <c r="AF103" s="116">
        <f t="shared" ref="AF103" si="58">AE103/AD103</f>
        <v>-6.6804602402260674E-2</v>
      </c>
      <c r="AG103" s="129">
        <v>837.35190284703231</v>
      </c>
      <c r="AH103" s="133">
        <f t="shared" si="34"/>
        <v>184.14104123515528</v>
      </c>
      <c r="AJ103" s="130"/>
      <c r="AK103" s="124"/>
      <c r="AL103" s="124"/>
    </row>
    <row r="104" spans="1:38"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35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35"/>
      <c r="AG104" s="129"/>
      <c r="AH104" s="133">
        <f t="shared" si="34"/>
        <v>0</v>
      </c>
      <c r="AJ104" s="147"/>
      <c r="AK104" s="124"/>
      <c r="AL104" s="124"/>
    </row>
    <row r="105" spans="1:38">
      <c r="D105" s="109" t="str">
        <f t="shared" ref="D105:D130" si="59">D19</f>
        <v xml:space="preserve"> OPERATING EXPENSES 营运费用                           </v>
      </c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35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35"/>
      <c r="AG105" s="129"/>
      <c r="AH105" s="133">
        <f t="shared" si="34"/>
        <v>0</v>
      </c>
      <c r="AJ105" s="147"/>
      <c r="AK105" s="124"/>
      <c r="AL105" s="124"/>
    </row>
    <row r="106" spans="1:38">
      <c r="D106" s="105" t="str">
        <f t="shared" si="59"/>
        <v xml:space="preserve"> Comm - Travel Agents 佣金 - 旅行社                     </v>
      </c>
      <c r="E106" s="140">
        <f t="shared" ref="E106:AD115" si="60">IFERROR(E20/E$52,0)</f>
        <v>90.544485683987276</v>
      </c>
      <c r="F106" s="140">
        <f t="shared" si="60"/>
        <v>116.91740534194305</v>
      </c>
      <c r="G106" s="140">
        <f t="shared" si="60"/>
        <v>66.258013810138664</v>
      </c>
      <c r="H106" s="140">
        <f t="shared" si="60"/>
        <v>63.799176712731551</v>
      </c>
      <c r="I106" s="140">
        <f t="shared" si="60"/>
        <v>57.420155655286031</v>
      </c>
      <c r="J106" s="140">
        <f t="shared" si="60"/>
        <v>53.649611667753604</v>
      </c>
      <c r="K106" s="140">
        <f t="shared" si="60"/>
        <v>71.283510074231174</v>
      </c>
      <c r="L106" s="140">
        <f t="shared" si="60"/>
        <v>82.515376458112414</v>
      </c>
      <c r="M106" s="140">
        <f t="shared" si="60"/>
        <v>49.878773301262775</v>
      </c>
      <c r="N106" s="140">
        <f t="shared" si="60"/>
        <v>58.001609843040306</v>
      </c>
      <c r="O106" s="140">
        <f t="shared" si="60"/>
        <v>52.20122385931559</v>
      </c>
      <c r="P106" s="140">
        <f t="shared" si="60"/>
        <v>61.480939211539507</v>
      </c>
      <c r="Q106" s="135">
        <f t="shared" si="60"/>
        <v>68.952092139925256</v>
      </c>
      <c r="R106" s="140">
        <f t="shared" si="60"/>
        <v>114.75680750697438</v>
      </c>
      <c r="S106" s="140">
        <f t="shared" si="60"/>
        <v>205.29461256961017</v>
      </c>
      <c r="T106" s="140">
        <f t="shared" si="60"/>
        <v>80.540035909366779</v>
      </c>
      <c r="U106" s="140">
        <f t="shared" si="60"/>
        <v>84.081464189818618</v>
      </c>
      <c r="V106" s="140">
        <f t="shared" si="60"/>
        <v>85.249696172111911</v>
      </c>
      <c r="W106" s="140">
        <f t="shared" si="60"/>
        <v>72.445396435156724</v>
      </c>
      <c r="X106" s="140">
        <f t="shared" si="60"/>
        <v>96.179148592756988</v>
      </c>
      <c r="Y106" s="140">
        <f t="shared" si="60"/>
        <v>130.33357497718748</v>
      </c>
      <c r="Z106" s="140">
        <f t="shared" si="60"/>
        <v>68.11711045364892</v>
      </c>
      <c r="AA106" s="140">
        <f t="shared" si="60"/>
        <v>81.175007456009538</v>
      </c>
      <c r="AB106" s="140">
        <f t="shared" si="60"/>
        <v>64.412725760456269</v>
      </c>
      <c r="AC106" s="140">
        <f t="shared" si="60"/>
        <v>75</v>
      </c>
      <c r="AD106" s="135">
        <f t="shared" si="60"/>
        <v>97.697814338059146</v>
      </c>
      <c r="AE106" s="148">
        <f t="shared" ref="AE106:AE130" si="61">Q106-AD106</f>
        <v>-28.74572219813389</v>
      </c>
      <c r="AG106" s="129">
        <v>50.218606562363981</v>
      </c>
      <c r="AH106" s="133">
        <f t="shared" si="34"/>
        <v>-18.733485577561275</v>
      </c>
      <c r="AJ106" s="147"/>
      <c r="AK106" s="124"/>
      <c r="AL106" s="124"/>
    </row>
    <row r="107" spans="1:38">
      <c r="D107" s="105" t="str">
        <f t="shared" si="59"/>
        <v xml:space="preserve"> Contract Cleaning 清洁合同                            </v>
      </c>
      <c r="E107" s="140">
        <f>IFERROR(E21/E$52,0)</f>
        <v>45.276776246023331</v>
      </c>
      <c r="F107" s="140">
        <f t="shared" si="60"/>
        <v>39.265570883475199</v>
      </c>
      <c r="G107" s="140">
        <f t="shared" si="60"/>
        <v>39.253971818334925</v>
      </c>
      <c r="H107" s="140">
        <f t="shared" si="60"/>
        <v>39.266039400176417</v>
      </c>
      <c r="I107" s="140">
        <f t="shared" si="60"/>
        <v>39.257001647446458</v>
      </c>
      <c r="J107" s="140">
        <f t="shared" si="60"/>
        <v>39.268216043161203</v>
      </c>
      <c r="K107" s="140">
        <f t="shared" si="60"/>
        <v>39.239872746553552</v>
      </c>
      <c r="L107" s="140">
        <f t="shared" si="60"/>
        <v>39.239872746553552</v>
      </c>
      <c r="M107" s="140">
        <f t="shared" si="60"/>
        <v>39.272038484666268</v>
      </c>
      <c r="N107" s="140">
        <f t="shared" si="60"/>
        <v>39.260104639797618</v>
      </c>
      <c r="O107" s="140">
        <f t="shared" si="60"/>
        <v>39.268773764258555</v>
      </c>
      <c r="P107" s="140">
        <f t="shared" si="60"/>
        <v>39.244889105796865</v>
      </c>
      <c r="Q107" s="135">
        <f t="shared" si="60"/>
        <v>39.79235057658142</v>
      </c>
      <c r="R107" s="140">
        <f t="shared" si="60"/>
        <v>38.483026629469947</v>
      </c>
      <c r="S107" s="140">
        <f t="shared" si="60"/>
        <v>44.32747706178732</v>
      </c>
      <c r="T107" s="140">
        <f t="shared" si="60"/>
        <v>38.447814586283627</v>
      </c>
      <c r="U107" s="140">
        <f t="shared" si="60"/>
        <v>43.516592142035179</v>
      </c>
      <c r="V107" s="140">
        <f t="shared" si="60"/>
        <v>43.194741088287465</v>
      </c>
      <c r="W107" s="140">
        <f t="shared" si="60"/>
        <v>42.176925741744427</v>
      </c>
      <c r="X107" s="140">
        <f t="shared" si="60"/>
        <v>40.039079491576722</v>
      </c>
      <c r="Y107" s="140">
        <f t="shared" si="60"/>
        <v>39.824069755652438</v>
      </c>
      <c r="Z107" s="140">
        <f t="shared" si="60"/>
        <v>33.30697670118343</v>
      </c>
      <c r="AA107" s="140">
        <f t="shared" si="60"/>
        <v>33.403661795407096</v>
      </c>
      <c r="AB107" s="140">
        <f t="shared" si="60"/>
        <v>33.548739900190114</v>
      </c>
      <c r="AC107" s="140">
        <f t="shared" si="60"/>
        <v>33.791747038679617</v>
      </c>
      <c r="AD107" s="135">
        <f>IFERROR(AD21/AD$52,0)</f>
        <v>38.808678993023072</v>
      </c>
      <c r="AE107" s="148">
        <f t="shared" si="61"/>
        <v>0.98367158355834761</v>
      </c>
      <c r="AG107" s="129">
        <v>24.889093381007427</v>
      </c>
      <c r="AH107" s="133">
        <f t="shared" si="34"/>
        <v>-14.903257195573993</v>
      </c>
      <c r="AJ107" s="147"/>
      <c r="AK107" s="124"/>
      <c r="AL107" s="124"/>
    </row>
    <row r="108" spans="1:38">
      <c r="D108" s="105" t="str">
        <f t="shared" si="59"/>
        <v xml:space="preserve"> Contract Services 服务合同                            </v>
      </c>
      <c r="E108" s="140">
        <f t="shared" si="60"/>
        <v>17.77154984093319</v>
      </c>
      <c r="F108" s="140">
        <f t="shared" si="60"/>
        <v>16.680312298209572</v>
      </c>
      <c r="G108" s="140">
        <f t="shared" si="60"/>
        <v>16.092925952955706</v>
      </c>
      <c r="H108" s="140">
        <f t="shared" si="60"/>
        <v>17.778102910908558</v>
      </c>
      <c r="I108" s="140">
        <f t="shared" si="60"/>
        <v>18.15302391637789</v>
      </c>
      <c r="J108" s="140">
        <f t="shared" si="60"/>
        <v>17.311339301594831</v>
      </c>
      <c r="K108" s="140">
        <f t="shared" si="60"/>
        <v>15.578388653234359</v>
      </c>
      <c r="L108" s="140">
        <f t="shared" si="60"/>
        <v>15.516687168610819</v>
      </c>
      <c r="M108" s="140">
        <f t="shared" si="60"/>
        <v>17.617881539386655</v>
      </c>
      <c r="N108" s="140">
        <f t="shared" si="60"/>
        <v>20.010831943885471</v>
      </c>
      <c r="O108" s="140">
        <f t="shared" si="60"/>
        <v>17.418003802281369</v>
      </c>
      <c r="P108" s="140">
        <f t="shared" si="60"/>
        <v>15.807353722683153</v>
      </c>
      <c r="Q108" s="135">
        <f t="shared" si="60"/>
        <v>17.116049887134249</v>
      </c>
      <c r="R108" s="140">
        <f t="shared" si="60"/>
        <v>20.516898300786202</v>
      </c>
      <c r="S108" s="140">
        <f t="shared" si="60"/>
        <v>25.84780005303633</v>
      </c>
      <c r="T108" s="140">
        <f t="shared" si="60"/>
        <v>20.914460347966823</v>
      </c>
      <c r="U108" s="140">
        <f t="shared" si="60"/>
        <v>17.895776754890676</v>
      </c>
      <c r="V108" s="140">
        <f t="shared" si="60"/>
        <v>16.108490015448876</v>
      </c>
      <c r="W108" s="140">
        <f t="shared" si="60"/>
        <v>15.163049114376713</v>
      </c>
      <c r="X108" s="140">
        <f t="shared" si="60"/>
        <v>15.663093917078584</v>
      </c>
      <c r="Y108" s="140">
        <f t="shared" si="60"/>
        <v>17.484351110209875</v>
      </c>
      <c r="Z108" s="140">
        <f t="shared" si="60"/>
        <v>6.2980578155818554</v>
      </c>
      <c r="AA108" s="140">
        <f t="shared" si="60"/>
        <v>3.6414906054279732</v>
      </c>
      <c r="AB108" s="140">
        <f t="shared" si="60"/>
        <v>2.9413848621673031</v>
      </c>
      <c r="AC108" s="140">
        <f t="shared" si="60"/>
        <v>3.3703082018750372</v>
      </c>
      <c r="AD108" s="135">
        <f t="shared" si="60"/>
        <v>14.205089687019452</v>
      </c>
      <c r="AE108" s="148">
        <f t="shared" si="61"/>
        <v>2.9109602001147969</v>
      </c>
      <c r="AG108" s="129">
        <v>0.67332129000856455</v>
      </c>
      <c r="AH108" s="133">
        <f t="shared" si="34"/>
        <v>-16.442728597125683</v>
      </c>
      <c r="AJ108" s="147"/>
      <c r="AK108" s="124"/>
      <c r="AL108" s="124"/>
    </row>
    <row r="109" spans="1:38">
      <c r="D109" s="105" t="str">
        <f t="shared" si="59"/>
        <v xml:space="preserve"> Promotion Decoration 推广装饰                         </v>
      </c>
      <c r="E109" s="140">
        <f t="shared" si="60"/>
        <v>4.5068928950159064</v>
      </c>
      <c r="F109" s="140">
        <f t="shared" si="60"/>
        <v>0</v>
      </c>
      <c r="G109" s="140">
        <f t="shared" si="60"/>
        <v>0</v>
      </c>
      <c r="H109" s="140">
        <f t="shared" si="60"/>
        <v>0</v>
      </c>
      <c r="I109" s="140">
        <f t="shared" si="60"/>
        <v>0</v>
      </c>
      <c r="J109" s="140">
        <f t="shared" si="60"/>
        <v>0</v>
      </c>
      <c r="K109" s="140">
        <f t="shared" si="60"/>
        <v>0</v>
      </c>
      <c r="L109" s="140">
        <f t="shared" si="60"/>
        <v>0</v>
      </c>
      <c r="M109" s="140">
        <f t="shared" si="60"/>
        <v>0</v>
      </c>
      <c r="N109" s="140">
        <f t="shared" si="60"/>
        <v>0</v>
      </c>
      <c r="O109" s="140">
        <f t="shared" si="60"/>
        <v>0</v>
      </c>
      <c r="P109" s="140">
        <f t="shared" si="60"/>
        <v>1.0845398839542324</v>
      </c>
      <c r="Q109" s="135">
        <f t="shared" si="60"/>
        <v>0.49481854297145605</v>
      </c>
      <c r="R109" s="140">
        <f t="shared" si="60"/>
        <v>2.174111590159777</v>
      </c>
      <c r="S109" s="140">
        <f t="shared" si="60"/>
        <v>4.4659464333068151</v>
      </c>
      <c r="T109" s="140">
        <f t="shared" si="60"/>
        <v>0</v>
      </c>
      <c r="U109" s="140">
        <f t="shared" si="60"/>
        <v>0</v>
      </c>
      <c r="V109" s="140">
        <f t="shared" si="60"/>
        <v>0</v>
      </c>
      <c r="W109" s="140">
        <f t="shared" si="60"/>
        <v>0</v>
      </c>
      <c r="X109" s="140">
        <f t="shared" si="60"/>
        <v>0</v>
      </c>
      <c r="Y109" s="140">
        <f t="shared" si="60"/>
        <v>0</v>
      </c>
      <c r="Z109" s="140">
        <f t="shared" si="60"/>
        <v>0</v>
      </c>
      <c r="AA109" s="140">
        <f t="shared" si="60"/>
        <v>0</v>
      </c>
      <c r="AB109" s="140">
        <f t="shared" si="60"/>
        <v>0</v>
      </c>
      <c r="AC109" s="140">
        <f t="shared" si="60"/>
        <v>5.6138775051928365</v>
      </c>
      <c r="AD109" s="135">
        <f t="shared" si="60"/>
        <v>1.0361259131831477</v>
      </c>
      <c r="AE109" s="148">
        <f t="shared" si="61"/>
        <v>-0.54130737021169173</v>
      </c>
      <c r="AG109" s="129">
        <v>2.2301690901517741</v>
      </c>
      <c r="AH109" s="133">
        <f t="shared" si="34"/>
        <v>1.7353505471803181</v>
      </c>
      <c r="AJ109" s="147"/>
      <c r="AK109" s="124"/>
      <c r="AL109" s="124"/>
    </row>
    <row r="110" spans="1:38">
      <c r="D110" s="105" t="str">
        <f t="shared" si="59"/>
        <v xml:space="preserve"> Entertainment 招待                                  </v>
      </c>
      <c r="E110" s="140">
        <f t="shared" si="60"/>
        <v>0</v>
      </c>
      <c r="F110" s="140">
        <f t="shared" si="60"/>
        <v>0</v>
      </c>
      <c r="G110" s="140">
        <f t="shared" si="60"/>
        <v>0</v>
      </c>
      <c r="H110" s="140">
        <f t="shared" si="60"/>
        <v>0</v>
      </c>
      <c r="I110" s="140">
        <f t="shared" si="60"/>
        <v>0</v>
      </c>
      <c r="J110" s="140">
        <f t="shared" si="60"/>
        <v>0</v>
      </c>
      <c r="K110" s="140">
        <f t="shared" si="60"/>
        <v>0</v>
      </c>
      <c r="L110" s="140">
        <f t="shared" si="60"/>
        <v>0</v>
      </c>
      <c r="M110" s="140">
        <f t="shared" si="60"/>
        <v>0</v>
      </c>
      <c r="N110" s="140">
        <f t="shared" si="60"/>
        <v>0</v>
      </c>
      <c r="O110" s="140">
        <f t="shared" si="60"/>
        <v>0</v>
      </c>
      <c r="P110" s="140">
        <f t="shared" si="60"/>
        <v>0</v>
      </c>
      <c r="Q110" s="135">
        <f t="shared" si="60"/>
        <v>0</v>
      </c>
      <c r="R110" s="140">
        <f t="shared" si="60"/>
        <v>0</v>
      </c>
      <c r="S110" s="140">
        <f t="shared" si="60"/>
        <v>0</v>
      </c>
      <c r="T110" s="140">
        <f t="shared" si="60"/>
        <v>0</v>
      </c>
      <c r="U110" s="140">
        <f t="shared" si="60"/>
        <v>0</v>
      </c>
      <c r="V110" s="140">
        <f t="shared" si="60"/>
        <v>0</v>
      </c>
      <c r="W110" s="140">
        <f t="shared" si="60"/>
        <v>0</v>
      </c>
      <c r="X110" s="140">
        <f t="shared" si="60"/>
        <v>0</v>
      </c>
      <c r="Y110" s="140">
        <f t="shared" si="60"/>
        <v>5.713271823988644E-4</v>
      </c>
      <c r="Z110" s="140">
        <f t="shared" si="60"/>
        <v>0</v>
      </c>
      <c r="AA110" s="140">
        <f t="shared" si="60"/>
        <v>0</v>
      </c>
      <c r="AB110" s="140">
        <f t="shared" si="60"/>
        <v>0</v>
      </c>
      <c r="AC110" s="140">
        <f t="shared" si="60"/>
        <v>0</v>
      </c>
      <c r="AD110" s="135">
        <f t="shared" si="60"/>
        <v>5.1425729291675603E-5</v>
      </c>
      <c r="AE110" s="148">
        <f t="shared" si="61"/>
        <v>-5.1425729291675603E-5</v>
      </c>
      <c r="AG110" s="129">
        <v>0.13862116411526024</v>
      </c>
      <c r="AH110" s="133">
        <f t="shared" si="34"/>
        <v>0.13862116411526024</v>
      </c>
      <c r="AJ110" s="147"/>
      <c r="AK110" s="124"/>
      <c r="AL110" s="124"/>
    </row>
    <row r="111" spans="1:38">
      <c r="D111" s="105" t="str">
        <f t="shared" si="59"/>
        <v xml:space="preserve"> Guest Supplies 客用品 - Magazines&amp;Newspapers 杂志&amp;报纸   </v>
      </c>
      <c r="E111" s="140">
        <f t="shared" si="60"/>
        <v>8.6320254506892902E-2</v>
      </c>
      <c r="F111" s="140">
        <f t="shared" si="60"/>
        <v>9.5567948341649542E-2</v>
      </c>
      <c r="G111" s="140">
        <f t="shared" si="60"/>
        <v>9.1393925784539379E-2</v>
      </c>
      <c r="H111" s="140">
        <f t="shared" si="60"/>
        <v>9.5736548074095859E-2</v>
      </c>
      <c r="I111" s="140">
        <f t="shared" si="60"/>
        <v>9.2484235641651993E-2</v>
      </c>
      <c r="J111" s="140">
        <f t="shared" si="60"/>
        <v>9.6519831623880947E-2</v>
      </c>
      <c r="K111" s="140">
        <f t="shared" si="60"/>
        <v>8.6320254506892902E-2</v>
      </c>
      <c r="L111" s="140">
        <f t="shared" si="60"/>
        <v>8.6320254506892902E-2</v>
      </c>
      <c r="M111" s="140">
        <f t="shared" si="60"/>
        <v>9.78953698135899E-2</v>
      </c>
      <c r="N111" s="140">
        <f t="shared" si="60"/>
        <v>9.3600873914793312E-2</v>
      </c>
      <c r="O111" s="140">
        <f t="shared" si="60"/>
        <v>9.6720532319391636E-2</v>
      </c>
      <c r="P111" s="140">
        <f t="shared" si="60"/>
        <v>8.8281546553874518E-2</v>
      </c>
      <c r="Q111" s="135">
        <f t="shared" si="60"/>
        <v>9.2064524338003481E-2</v>
      </c>
      <c r="R111" s="140">
        <f t="shared" si="60"/>
        <v>0</v>
      </c>
      <c r="S111" s="140">
        <f t="shared" si="60"/>
        <v>0.16916679925749137</v>
      </c>
      <c r="T111" s="140">
        <f t="shared" si="60"/>
        <v>8.0660530042484316E-2</v>
      </c>
      <c r="U111" s="140">
        <f t="shared" si="60"/>
        <v>8.7392185873198525E-2</v>
      </c>
      <c r="V111" s="140">
        <f t="shared" si="60"/>
        <v>9.1252503290038339E-2</v>
      </c>
      <c r="W111" s="140">
        <f t="shared" si="60"/>
        <v>8.9111024193998994E-2</v>
      </c>
      <c r="X111" s="140">
        <f t="shared" si="60"/>
        <v>8.0440835266821345E-2</v>
      </c>
      <c r="Y111" s="140">
        <f t="shared" si="60"/>
        <v>8.0848626178647465E-2</v>
      </c>
      <c r="Z111" s="140">
        <f t="shared" si="60"/>
        <v>0.11187130177514792</v>
      </c>
      <c r="AA111" s="140">
        <f t="shared" si="60"/>
        <v>0.10826125857441098</v>
      </c>
      <c r="AB111" s="140">
        <f t="shared" si="60"/>
        <v>0.10783032319391635</v>
      </c>
      <c r="AC111" s="140">
        <f t="shared" si="60"/>
        <v>0.10189187671924999</v>
      </c>
      <c r="AD111" s="135">
        <f t="shared" si="60"/>
        <v>9.1345966936039524E-2</v>
      </c>
      <c r="AE111" s="148">
        <f t="shared" si="61"/>
        <v>7.1855740196395679E-4</v>
      </c>
      <c r="AG111" s="129">
        <v>0.12480711180167828</v>
      </c>
      <c r="AH111" s="133">
        <f t="shared" si="34"/>
        <v>3.2742587463674797E-2</v>
      </c>
      <c r="AJ111" s="147"/>
      <c r="AK111" s="124"/>
      <c r="AL111" s="124"/>
    </row>
    <row r="112" spans="1:38">
      <c r="D112" s="105" t="str">
        <f t="shared" si="59"/>
        <v xml:space="preserve"> Guest Supplies 客用品 - Others 其他                    </v>
      </c>
      <c r="E112" s="140">
        <f t="shared" si="60"/>
        <v>55.026988335100739</v>
      </c>
      <c r="F112" s="140">
        <f t="shared" si="60"/>
        <v>53.042911652480186</v>
      </c>
      <c r="G112" s="140">
        <f t="shared" si="60"/>
        <v>43.308763262785604</v>
      </c>
      <c r="H112" s="140">
        <f t="shared" si="60"/>
        <v>43.108732725668922</v>
      </c>
      <c r="I112" s="140">
        <f t="shared" si="60"/>
        <v>42.828211100380614</v>
      </c>
      <c r="J112" s="140">
        <f t="shared" si="60"/>
        <v>42.839746250074107</v>
      </c>
      <c r="K112" s="140">
        <f t="shared" si="60"/>
        <v>45.863308589607634</v>
      </c>
      <c r="L112" s="140">
        <f t="shared" si="60"/>
        <v>45.863308589607634</v>
      </c>
      <c r="M112" s="140">
        <f t="shared" si="60"/>
        <v>42.742152736019243</v>
      </c>
      <c r="N112" s="140">
        <f t="shared" si="60"/>
        <v>44.866210544471912</v>
      </c>
      <c r="O112" s="140">
        <f t="shared" si="60"/>
        <v>42.742692490494299</v>
      </c>
      <c r="P112" s="140">
        <f t="shared" si="60"/>
        <v>44.859497858033727</v>
      </c>
      <c r="Q112" s="135">
        <f t="shared" si="60"/>
        <v>45.665738292828898</v>
      </c>
      <c r="R112" s="140">
        <f t="shared" si="60"/>
        <v>60.520582804970836</v>
      </c>
      <c r="S112" s="140">
        <f t="shared" si="60"/>
        <v>83.342523468575976</v>
      </c>
      <c r="T112" s="140">
        <f t="shared" si="60"/>
        <v>57.724584260570502</v>
      </c>
      <c r="U112" s="140">
        <f t="shared" si="60"/>
        <v>53.808350594553126</v>
      </c>
      <c r="V112" s="140">
        <f t="shared" si="60"/>
        <v>61.795780740401661</v>
      </c>
      <c r="W112" s="140">
        <f t="shared" si="60"/>
        <v>40.824375593674915</v>
      </c>
      <c r="X112" s="140">
        <f t="shared" si="60"/>
        <v>44.58547412488651</v>
      </c>
      <c r="Y112" s="140">
        <f t="shared" si="60"/>
        <v>51.208462435364495</v>
      </c>
      <c r="Z112" s="140">
        <f t="shared" si="60"/>
        <v>50.824950690335307</v>
      </c>
      <c r="AA112" s="140">
        <f t="shared" si="60"/>
        <v>55.083030122278558</v>
      </c>
      <c r="AB112" s="140">
        <f t="shared" si="60"/>
        <v>55.001604087452471</v>
      </c>
      <c r="AC112" s="140">
        <f t="shared" si="60"/>
        <v>54.948464604502327</v>
      </c>
      <c r="AD112" s="135">
        <f t="shared" si="60"/>
        <v>55.875761871951305</v>
      </c>
      <c r="AE112" s="148">
        <f t="shared" si="61"/>
        <v>-10.210023579122407</v>
      </c>
      <c r="AG112" s="129">
        <v>31.265170517566563</v>
      </c>
      <c r="AH112" s="133">
        <f t="shared" si="34"/>
        <v>-14.400567775262335</v>
      </c>
      <c r="AJ112" s="147"/>
      <c r="AK112" s="124"/>
      <c r="AL112" s="124"/>
    </row>
    <row r="113" spans="4:38">
      <c r="D113" s="105" t="str">
        <f t="shared" si="59"/>
        <v xml:space="preserve"> Communication/Satellite/Cable 通讯/卫星/有线收视          </v>
      </c>
      <c r="E113" s="140">
        <f t="shared" si="60"/>
        <v>2.385896076352068</v>
      </c>
      <c r="F113" s="140">
        <f t="shared" si="60"/>
        <v>2.6415027883768714</v>
      </c>
      <c r="G113" s="140">
        <f t="shared" si="60"/>
        <v>2.5261325997866728</v>
      </c>
      <c r="H113" s="140">
        <f t="shared" si="60"/>
        <v>2.6461628932666863</v>
      </c>
      <c r="I113" s="140">
        <f t="shared" si="60"/>
        <v>2.5562688178151451</v>
      </c>
      <c r="J113" s="140">
        <f t="shared" si="60"/>
        <v>2.6678128890733386</v>
      </c>
      <c r="K113" s="140">
        <f t="shared" si="60"/>
        <v>2.385896076352068</v>
      </c>
      <c r="L113" s="140">
        <f t="shared" si="60"/>
        <v>2.385896076352068</v>
      </c>
      <c r="M113" s="140">
        <f t="shared" si="60"/>
        <v>2.7058328322309082</v>
      </c>
      <c r="N113" s="140">
        <f t="shared" si="60"/>
        <v>2.5871327545564307</v>
      </c>
      <c r="O113" s="140">
        <f t="shared" si="60"/>
        <v>2.6733602661596958</v>
      </c>
      <c r="P113" s="140">
        <f t="shared" si="60"/>
        <v>2.4401062849086275</v>
      </c>
      <c r="Q113" s="135">
        <f t="shared" si="60"/>
        <v>2.5446679767576663</v>
      </c>
      <c r="R113" s="140">
        <f t="shared" si="60"/>
        <v>2.1957326908445349</v>
      </c>
      <c r="S113" s="140">
        <f t="shared" si="60"/>
        <v>2.2958827897109519</v>
      </c>
      <c r="T113" s="140">
        <f t="shared" si="60"/>
        <v>2.1894026906736799</v>
      </c>
      <c r="U113" s="140">
        <f t="shared" si="60"/>
        <v>0.76935722505342763</v>
      </c>
      <c r="V113" s="140">
        <f t="shared" si="60"/>
        <v>0.80334153458831603</v>
      </c>
      <c r="W113" s="140">
        <f t="shared" si="60"/>
        <v>0.78448846175336651</v>
      </c>
      <c r="X113" s="140">
        <f t="shared" si="60"/>
        <v>0.70816100070614341</v>
      </c>
      <c r="Y113" s="140">
        <f t="shared" si="60"/>
        <v>0.71175098854303964</v>
      </c>
      <c r="Z113" s="140">
        <f t="shared" si="60"/>
        <v>0.86538461538461542</v>
      </c>
      <c r="AA113" s="140">
        <f t="shared" si="60"/>
        <v>0.83745899194750972</v>
      </c>
      <c r="AB113" s="140">
        <f t="shared" si="60"/>
        <v>0.83412547528517111</v>
      </c>
      <c r="AC113" s="140">
        <f t="shared" si="60"/>
        <v>0.78818840172907423</v>
      </c>
      <c r="AD113" s="135">
        <f t="shared" si="60"/>
        <v>1.169178329097289</v>
      </c>
      <c r="AE113" s="148">
        <f t="shared" si="61"/>
        <v>1.3754896476603773</v>
      </c>
      <c r="AG113" s="129">
        <v>3.2405792028005402</v>
      </c>
      <c r="AH113" s="133">
        <f t="shared" si="34"/>
        <v>0.69591122604287392</v>
      </c>
      <c r="AJ113" s="147"/>
      <c r="AK113" s="124"/>
      <c r="AL113" s="124"/>
    </row>
    <row r="114" spans="4:38">
      <c r="D114" s="105" t="str">
        <f t="shared" si="59"/>
        <v xml:space="preserve"> Reservations Fees预订费                              </v>
      </c>
      <c r="E114" s="140">
        <f t="shared" si="60"/>
        <v>0</v>
      </c>
      <c r="F114" s="140">
        <f t="shared" si="60"/>
        <v>0</v>
      </c>
      <c r="G114" s="140">
        <f t="shared" si="60"/>
        <v>0</v>
      </c>
      <c r="H114" s="140">
        <f t="shared" si="60"/>
        <v>0</v>
      </c>
      <c r="I114" s="140">
        <f t="shared" si="60"/>
        <v>0</v>
      </c>
      <c r="J114" s="140">
        <f t="shared" si="60"/>
        <v>0</v>
      </c>
      <c r="K114" s="140">
        <f t="shared" si="60"/>
        <v>0</v>
      </c>
      <c r="L114" s="140">
        <f t="shared" si="60"/>
        <v>0</v>
      </c>
      <c r="M114" s="140">
        <f t="shared" si="60"/>
        <v>0</v>
      </c>
      <c r="N114" s="140">
        <f t="shared" si="60"/>
        <v>0</v>
      </c>
      <c r="O114" s="140">
        <f t="shared" si="60"/>
        <v>0</v>
      </c>
      <c r="P114" s="140">
        <f t="shared" si="60"/>
        <v>0</v>
      </c>
      <c r="Q114" s="135">
        <f t="shared" si="60"/>
        <v>0</v>
      </c>
      <c r="R114" s="140">
        <f t="shared" si="60"/>
        <v>0</v>
      </c>
      <c r="S114" s="140">
        <f t="shared" si="60"/>
        <v>0</v>
      </c>
      <c r="T114" s="140">
        <f t="shared" si="60"/>
        <v>0</v>
      </c>
      <c r="U114" s="140">
        <f t="shared" si="60"/>
        <v>0</v>
      </c>
      <c r="V114" s="140">
        <f t="shared" si="60"/>
        <v>0</v>
      </c>
      <c r="W114" s="140">
        <f t="shared" si="60"/>
        <v>0</v>
      </c>
      <c r="X114" s="140">
        <f t="shared" si="60"/>
        <v>0</v>
      </c>
      <c r="Y114" s="140">
        <f t="shared" si="60"/>
        <v>0</v>
      </c>
      <c r="Z114" s="140">
        <f t="shared" si="60"/>
        <v>0</v>
      </c>
      <c r="AA114" s="140">
        <f t="shared" si="60"/>
        <v>0</v>
      </c>
      <c r="AB114" s="140">
        <f t="shared" si="60"/>
        <v>0</v>
      </c>
      <c r="AC114" s="140">
        <f t="shared" si="60"/>
        <v>0</v>
      </c>
      <c r="AD114" s="135">
        <f t="shared" si="60"/>
        <v>0</v>
      </c>
      <c r="AE114" s="148">
        <f t="shared" si="61"/>
        <v>0</v>
      </c>
      <c r="AG114" s="129">
        <v>0</v>
      </c>
      <c r="AH114" s="133">
        <f t="shared" si="34"/>
        <v>0</v>
      </c>
      <c r="AJ114" s="147"/>
      <c r="AK114" s="124"/>
      <c r="AL114" s="124"/>
    </row>
    <row r="115" spans="4:38">
      <c r="D115" s="105" t="str">
        <f t="shared" si="59"/>
        <v xml:space="preserve"> Complimentaries - Give Away 免费赠送</v>
      </c>
      <c r="E115" s="140">
        <f t="shared" si="60"/>
        <v>2.8000530222693532</v>
      </c>
      <c r="F115" s="140">
        <f t="shared" si="60"/>
        <v>1.6</v>
      </c>
      <c r="G115" s="140">
        <f t="shared" si="60"/>
        <v>1.5529107954864425</v>
      </c>
      <c r="H115" s="140">
        <f t="shared" si="60"/>
        <v>1.520552778594531</v>
      </c>
      <c r="I115" s="140">
        <f t="shared" si="60"/>
        <v>1.2814293018235527</v>
      </c>
      <c r="J115" s="140">
        <f t="shared" si="60"/>
        <v>1.2816742752119523</v>
      </c>
      <c r="K115" s="140">
        <f t="shared" si="60"/>
        <v>1.4833510074231178</v>
      </c>
      <c r="L115" s="140">
        <f t="shared" si="60"/>
        <v>1.4833510074231178</v>
      </c>
      <c r="M115" s="140">
        <f t="shared" si="60"/>
        <v>1.2682501503307275</v>
      </c>
      <c r="N115" s="140">
        <f t="shared" si="60"/>
        <v>1.5807508767895131</v>
      </c>
      <c r="O115" s="140">
        <f t="shared" si="60"/>
        <v>1.4638783269961977</v>
      </c>
      <c r="P115" s="140">
        <f t="shared" si="60"/>
        <v>1.4829998373190174</v>
      </c>
      <c r="Q115" s="135">
        <f t="shared" si="60"/>
        <v>1.5753325887492402</v>
      </c>
      <c r="R115" s="140">
        <f t="shared" si="60"/>
        <v>1.4485838194268323</v>
      </c>
      <c r="S115" s="140">
        <f t="shared" si="60"/>
        <v>2.8772320339432511</v>
      </c>
      <c r="T115" s="140">
        <f t="shared" si="60"/>
        <v>1.4720716164272709</v>
      </c>
      <c r="U115" s="140">
        <f t="shared" si="60"/>
        <v>1.4089270644966847</v>
      </c>
      <c r="V115" s="140">
        <f t="shared" si="60"/>
        <v>1.2988293185329289</v>
      </c>
      <c r="W115" s="140">
        <f t="shared" si="60"/>
        <v>1.037895177962787</v>
      </c>
      <c r="X115" s="140">
        <f t="shared" si="60"/>
        <v>1.1087990517502269</v>
      </c>
      <c r="Y115" s="140">
        <f t="shared" si="60"/>
        <v>1.0483899422082532</v>
      </c>
      <c r="Z115" s="140">
        <f t="shared" si="60"/>
        <v>1.3476331360946745</v>
      </c>
      <c r="AA115" s="140">
        <f t="shared" si="60"/>
        <v>1.6522517148821951</v>
      </c>
      <c r="AB115" s="140">
        <f t="shared" ref="F115:AE126" si="62">IFERROR(AB29/AB$52,0)</f>
        <v>1.5566777566539924</v>
      </c>
      <c r="AC115" s="140">
        <f t="shared" si="62"/>
        <v>1.5765452197833043</v>
      </c>
      <c r="AD115" s="135">
        <f t="shared" si="62"/>
        <v>1.4848838928410091</v>
      </c>
      <c r="AE115" s="148">
        <f t="shared" si="61"/>
        <v>9.0448695908231125E-2</v>
      </c>
      <c r="AG115" s="129">
        <v>0</v>
      </c>
      <c r="AH115" s="133">
        <f t="shared" si="34"/>
        <v>-1.5753325887492402</v>
      </c>
      <c r="AJ115" s="147"/>
      <c r="AK115" s="124"/>
      <c r="AL115" s="124"/>
    </row>
    <row r="116" spans="4:38">
      <c r="D116" s="105" t="str">
        <f t="shared" si="59"/>
        <v xml:space="preserve"> Chinaware 瓷器                                      </v>
      </c>
      <c r="E116" s="140">
        <f t="shared" ref="E116:E130" si="63">IFERROR(E30/E$52,0)</f>
        <v>0.3846765641569459</v>
      </c>
      <c r="F116" s="140">
        <f t="shared" si="62"/>
        <v>0.38937481655415324</v>
      </c>
      <c r="G116" s="140">
        <f t="shared" si="62"/>
        <v>0.38848032335934429</v>
      </c>
      <c r="H116" s="140">
        <f t="shared" si="62"/>
        <v>0.39817700676271683</v>
      </c>
      <c r="I116" s="140">
        <f t="shared" si="62"/>
        <v>0.36738056013179571</v>
      </c>
      <c r="J116" s="140">
        <f t="shared" si="62"/>
        <v>0.40273907630283984</v>
      </c>
      <c r="K116" s="140">
        <f t="shared" si="62"/>
        <v>0.38913043478260867</v>
      </c>
      <c r="L116" s="140">
        <f t="shared" si="62"/>
        <v>0.38913043478260867</v>
      </c>
      <c r="M116" s="140">
        <f t="shared" si="62"/>
        <v>0.4027660853878533</v>
      </c>
      <c r="N116" s="140">
        <f t="shared" si="62"/>
        <v>0.3689415282010004</v>
      </c>
      <c r="O116" s="140">
        <f t="shared" si="62"/>
        <v>0.38830798479087453</v>
      </c>
      <c r="P116" s="140">
        <f t="shared" si="62"/>
        <v>0.39797191041700558</v>
      </c>
      <c r="Q116" s="135">
        <f t="shared" si="62"/>
        <v>0.38881898595186593</v>
      </c>
      <c r="R116" s="140">
        <f t="shared" si="62"/>
        <v>0.59969566320060863</v>
      </c>
      <c r="S116" s="140">
        <f t="shared" si="62"/>
        <v>0.59352956775391141</v>
      </c>
      <c r="T116" s="140">
        <f t="shared" si="62"/>
        <v>0.56671049969654053</v>
      </c>
      <c r="U116" s="140">
        <f t="shared" si="62"/>
        <v>0</v>
      </c>
      <c r="V116" s="140">
        <f t="shared" si="62"/>
        <v>0</v>
      </c>
      <c r="W116" s="140">
        <f t="shared" si="62"/>
        <v>0</v>
      </c>
      <c r="X116" s="140">
        <f t="shared" si="62"/>
        <v>0</v>
      </c>
      <c r="Y116" s="140">
        <f t="shared" si="62"/>
        <v>0</v>
      </c>
      <c r="Z116" s="140">
        <f t="shared" si="62"/>
        <v>0</v>
      </c>
      <c r="AA116" s="140">
        <f t="shared" si="62"/>
        <v>0</v>
      </c>
      <c r="AB116" s="140">
        <f t="shared" si="62"/>
        <v>0</v>
      </c>
      <c r="AC116" s="140">
        <f t="shared" si="62"/>
        <v>0</v>
      </c>
      <c r="AD116" s="135">
        <f t="shared" si="62"/>
        <v>0.15614348097886846</v>
      </c>
      <c r="AE116" s="148">
        <f t="shared" si="61"/>
        <v>0.23267550497299747</v>
      </c>
      <c r="AG116" s="129">
        <v>0.12915529804888778</v>
      </c>
      <c r="AH116" s="133">
        <f t="shared" si="34"/>
        <v>-0.25966368790297811</v>
      </c>
      <c r="AJ116" s="147"/>
      <c r="AK116" s="124"/>
      <c r="AL116" s="124"/>
    </row>
    <row r="117" spans="4:38">
      <c r="D117" s="105" t="str">
        <f t="shared" si="59"/>
        <v xml:space="preserve"> Cleaning Supplies&amp;Chemicals 清洁用品&amp;化学药剂             </v>
      </c>
      <c r="E117" s="140">
        <f t="shared" si="63"/>
        <v>4.5001060445387067</v>
      </c>
      <c r="F117" s="140">
        <f t="shared" si="62"/>
        <v>4.5000293513354857</v>
      </c>
      <c r="G117" s="140">
        <f t="shared" si="62"/>
        <v>4.6587323864593273</v>
      </c>
      <c r="H117" s="140">
        <f t="shared" si="62"/>
        <v>4.5616583357835934</v>
      </c>
      <c r="I117" s="140">
        <f t="shared" si="62"/>
        <v>4.4357211838891102</v>
      </c>
      <c r="J117" s="140">
        <f t="shared" si="62"/>
        <v>4.4366514495760949</v>
      </c>
      <c r="K117" s="140">
        <f t="shared" si="62"/>
        <v>4.450106044538706</v>
      </c>
      <c r="L117" s="140">
        <f t="shared" si="62"/>
        <v>4.450106044538706</v>
      </c>
      <c r="M117" s="140">
        <f t="shared" si="62"/>
        <v>4.3901383042693922</v>
      </c>
      <c r="N117" s="140">
        <f t="shared" si="62"/>
        <v>4.4459265221640889</v>
      </c>
      <c r="O117" s="140">
        <f t="shared" si="62"/>
        <v>4.3916943916349807</v>
      </c>
      <c r="P117" s="140">
        <f t="shared" si="62"/>
        <v>4.4489452849628544</v>
      </c>
      <c r="Q117" s="135">
        <f t="shared" si="62"/>
        <v>4.4729711261598784</v>
      </c>
      <c r="R117" s="140">
        <f t="shared" si="62"/>
        <v>4.3459665229520663</v>
      </c>
      <c r="S117" s="140">
        <f t="shared" si="62"/>
        <v>2.9325234685759747</v>
      </c>
      <c r="T117" s="140">
        <f t="shared" si="62"/>
        <v>4.5959275743475621</v>
      </c>
      <c r="U117" s="140">
        <f t="shared" si="62"/>
        <v>4.6469921639541898</v>
      </c>
      <c r="V117" s="140">
        <f t="shared" si="62"/>
        <v>2.504047605424272</v>
      </c>
      <c r="W117" s="140">
        <f t="shared" si="62"/>
        <v>4.5317136950326873</v>
      </c>
      <c r="X117" s="140">
        <f t="shared" si="62"/>
        <v>3.6511626147483103</v>
      </c>
      <c r="Y117" s="140">
        <f t="shared" si="62"/>
        <v>4.4697105343201864</v>
      </c>
      <c r="Z117" s="140">
        <f t="shared" si="62"/>
        <v>4.8886834319526624</v>
      </c>
      <c r="AA117" s="140">
        <f t="shared" si="62"/>
        <v>6.030599463167313</v>
      </c>
      <c r="AB117" s="140">
        <f t="shared" si="62"/>
        <v>5.6001069391634983</v>
      </c>
      <c r="AC117" s="140">
        <f t="shared" si="62"/>
        <v>5.6820861168809298</v>
      </c>
      <c r="AD117" s="135">
        <f t="shared" si="62"/>
        <v>4.4625161646535947</v>
      </c>
      <c r="AE117" s="148">
        <f t="shared" si="61"/>
        <v>1.0454961506283666E-2</v>
      </c>
      <c r="AG117" s="129">
        <v>4.2643284364426011</v>
      </c>
      <c r="AH117" s="133">
        <f t="shared" si="34"/>
        <v>-0.20864268971727729</v>
      </c>
      <c r="AJ117" s="147"/>
      <c r="AK117" s="124"/>
      <c r="AL117" s="124"/>
    </row>
    <row r="118" spans="4:38">
      <c r="D118" s="105" t="str">
        <f t="shared" si="59"/>
        <v xml:space="preserve"> Linen 布巾                                          </v>
      </c>
      <c r="E118" s="140">
        <f t="shared" si="63"/>
        <v>1.1200424178154824</v>
      </c>
      <c r="F118" s="140">
        <f t="shared" si="62"/>
        <v>1.1700029351335486</v>
      </c>
      <c r="G118" s="140">
        <f t="shared" si="62"/>
        <v>1.1594902599225285</v>
      </c>
      <c r="H118" s="140">
        <f t="shared" si="62"/>
        <v>5.5724786827403703</v>
      </c>
      <c r="I118" s="140">
        <f t="shared" si="62"/>
        <v>1.1040163608475828</v>
      </c>
      <c r="J118" s="140">
        <f t="shared" si="62"/>
        <v>1.1042271891859845</v>
      </c>
      <c r="K118" s="140">
        <f t="shared" si="62"/>
        <v>1.1075821845174973</v>
      </c>
      <c r="L118" s="140">
        <f t="shared" si="62"/>
        <v>1.156998939554613</v>
      </c>
      <c r="M118" s="140">
        <f t="shared" si="62"/>
        <v>1.3755862898376428</v>
      </c>
      <c r="N118" s="140">
        <f t="shared" si="62"/>
        <v>6.6293336399701026</v>
      </c>
      <c r="O118" s="140">
        <f t="shared" si="62"/>
        <v>6.5484790874524714</v>
      </c>
      <c r="P118" s="140">
        <f t="shared" si="62"/>
        <v>1.2061710319396997</v>
      </c>
      <c r="Q118" s="135">
        <f t="shared" si="62"/>
        <v>2.393437292352933</v>
      </c>
      <c r="R118" s="140">
        <f t="shared" si="62"/>
        <v>1.1259447121481105</v>
      </c>
      <c r="S118" s="140">
        <f t="shared" si="62"/>
        <v>1.1773004508088041</v>
      </c>
      <c r="T118" s="140">
        <f t="shared" si="62"/>
        <v>1.1226987659316205</v>
      </c>
      <c r="U118" s="140">
        <f t="shared" si="62"/>
        <v>0</v>
      </c>
      <c r="V118" s="140">
        <f t="shared" si="62"/>
        <v>0</v>
      </c>
      <c r="W118" s="140">
        <f t="shared" si="62"/>
        <v>0</v>
      </c>
      <c r="X118" s="140">
        <f t="shared" si="62"/>
        <v>0</v>
      </c>
      <c r="Y118" s="140">
        <f t="shared" si="62"/>
        <v>5.0694514853492851</v>
      </c>
      <c r="Z118" s="140">
        <f t="shared" si="62"/>
        <v>0</v>
      </c>
      <c r="AA118" s="140">
        <f t="shared" si="62"/>
        <v>0</v>
      </c>
      <c r="AB118" s="140">
        <f t="shared" si="62"/>
        <v>0</v>
      </c>
      <c r="AC118" s="140">
        <f t="shared" si="62"/>
        <v>0</v>
      </c>
      <c r="AD118" s="135">
        <f t="shared" si="62"/>
        <v>0.76017905462443702</v>
      </c>
      <c r="AE118" s="148">
        <f t="shared" si="61"/>
        <v>1.6332582377284961</v>
      </c>
      <c r="AG118" s="129">
        <v>2.9492401941284112</v>
      </c>
      <c r="AH118" s="133">
        <f t="shared" si="34"/>
        <v>0.5558029017754782</v>
      </c>
      <c r="AJ118" s="147"/>
      <c r="AK118" s="124"/>
      <c r="AL118" s="124"/>
    </row>
    <row r="119" spans="4:38">
      <c r="D119" s="105" t="str">
        <f t="shared" si="59"/>
        <v xml:space="preserve"> Other Operating Supplies 其他运营用品                   </v>
      </c>
      <c r="E119" s="140">
        <f t="shared" si="63"/>
        <v>2.4627783669141041</v>
      </c>
      <c r="F119" s="140">
        <f t="shared" si="62"/>
        <v>1.6778984443792193</v>
      </c>
      <c r="G119" s="140">
        <f t="shared" si="62"/>
        <v>1.6448661090215011</v>
      </c>
      <c r="H119" s="140">
        <f t="shared" si="62"/>
        <v>1.936371655395472</v>
      </c>
      <c r="I119" s="140">
        <f t="shared" si="62"/>
        <v>3.5393966937453842</v>
      </c>
      <c r="J119" s="140">
        <f t="shared" si="62"/>
        <v>3.7261516570818758</v>
      </c>
      <c r="K119" s="140">
        <f t="shared" si="62"/>
        <v>1.6038176033934253</v>
      </c>
      <c r="L119" s="140">
        <f t="shared" si="62"/>
        <v>2.1128313891834569</v>
      </c>
      <c r="M119" s="140">
        <f t="shared" si="62"/>
        <v>5.3612146722790142</v>
      </c>
      <c r="N119" s="140">
        <f t="shared" si="62"/>
        <v>4.8346461220031047</v>
      </c>
      <c r="O119" s="140">
        <f t="shared" si="62"/>
        <v>1.6777566539923954</v>
      </c>
      <c r="P119" s="140">
        <f t="shared" si="62"/>
        <v>1.6402581204923812</v>
      </c>
      <c r="Q119" s="135">
        <f t="shared" si="62"/>
        <v>2.6590228983171458</v>
      </c>
      <c r="R119" s="140">
        <f t="shared" si="62"/>
        <v>2.5070945980218107</v>
      </c>
      <c r="S119" s="140">
        <f t="shared" si="62"/>
        <v>0.50749244232299129</v>
      </c>
      <c r="T119" s="140">
        <f t="shared" si="62"/>
        <v>0.71768763908557565</v>
      </c>
      <c r="U119" s="140">
        <f t="shared" si="62"/>
        <v>-0.38304016658447038</v>
      </c>
      <c r="V119" s="140">
        <f t="shared" si="62"/>
        <v>8.4191056817531607</v>
      </c>
      <c r="W119" s="140">
        <f t="shared" si="62"/>
        <v>1.2631927138626586</v>
      </c>
      <c r="X119" s="140">
        <f t="shared" si="62"/>
        <v>0.35250327852315139</v>
      </c>
      <c r="Y119" s="140">
        <f t="shared" si="62"/>
        <v>2.0994149852985906</v>
      </c>
      <c r="Z119" s="140">
        <f t="shared" si="62"/>
        <v>1.1595167652859961</v>
      </c>
      <c r="AA119" s="140">
        <f t="shared" si="62"/>
        <v>2.7760811213838354</v>
      </c>
      <c r="AB119" s="140">
        <f t="shared" si="62"/>
        <v>2.7520199619771861</v>
      </c>
      <c r="AC119" s="140">
        <f t="shared" si="62"/>
        <v>2.7448492673889855</v>
      </c>
      <c r="AD119" s="135">
        <f t="shared" si="62"/>
        <v>2.0301756323265696</v>
      </c>
      <c r="AE119" s="148">
        <f t="shared" si="61"/>
        <v>0.62884726599057617</v>
      </c>
      <c r="AG119" s="129">
        <v>4.4942702166394444</v>
      </c>
      <c r="AH119" s="133">
        <f t="shared" si="34"/>
        <v>1.8352473183222986</v>
      </c>
      <c r="AJ119" s="147"/>
      <c r="AK119" s="124"/>
      <c r="AL119" s="124"/>
    </row>
    <row r="120" spans="4:38">
      <c r="D120" s="105" t="str">
        <f t="shared" si="59"/>
        <v xml:space="preserve"> Uniforms 制服                                       </v>
      </c>
      <c r="E120" s="140">
        <f t="shared" si="63"/>
        <v>0.22688229056203604</v>
      </c>
      <c r="F120" s="140">
        <f t="shared" si="62"/>
        <v>0.25118872908717349</v>
      </c>
      <c r="G120" s="140">
        <f t="shared" si="62"/>
        <v>0.24021781844720147</v>
      </c>
      <c r="H120" s="140">
        <f t="shared" si="62"/>
        <v>0.25163187297853573</v>
      </c>
      <c r="I120" s="140">
        <f t="shared" si="62"/>
        <v>0.2430835653013691</v>
      </c>
      <c r="J120" s="140">
        <f t="shared" si="62"/>
        <v>0.25369063852493035</v>
      </c>
      <c r="K120" s="140">
        <f t="shared" si="62"/>
        <v>0.22688229056203604</v>
      </c>
      <c r="L120" s="140">
        <f t="shared" si="62"/>
        <v>0.22688229056203604</v>
      </c>
      <c r="M120" s="140">
        <f t="shared" si="62"/>
        <v>0.25730607336139505</v>
      </c>
      <c r="N120" s="140">
        <f t="shared" si="62"/>
        <v>0.24601851319496348</v>
      </c>
      <c r="O120" s="140">
        <f t="shared" si="62"/>
        <v>0.25421815589353614</v>
      </c>
      <c r="P120" s="140">
        <f t="shared" si="62"/>
        <v>0.23203730817200802</v>
      </c>
      <c r="Q120" s="135">
        <f t="shared" si="62"/>
        <v>0.24198040518569833</v>
      </c>
      <c r="R120" s="140">
        <f t="shared" si="62"/>
        <v>0.38574689322850619</v>
      </c>
      <c r="S120" s="140">
        <f t="shared" si="62"/>
        <v>0.40334128878281622</v>
      </c>
      <c r="T120" s="140">
        <f t="shared" si="62"/>
        <v>0.37636050981185515</v>
      </c>
      <c r="U120" s="140">
        <f t="shared" si="62"/>
        <v>-2.6631596251849412E-3</v>
      </c>
      <c r="V120" s="140">
        <f t="shared" si="62"/>
        <v>0</v>
      </c>
      <c r="W120" s="140">
        <f t="shared" si="62"/>
        <v>-6.1015812706040123E-3</v>
      </c>
      <c r="X120" s="140">
        <f t="shared" si="62"/>
        <v>0</v>
      </c>
      <c r="Y120" s="140">
        <f t="shared" si="62"/>
        <v>-4.4550339653249517E-3</v>
      </c>
      <c r="Z120" s="140">
        <f t="shared" si="62"/>
        <v>0</v>
      </c>
      <c r="AA120" s="140">
        <f t="shared" si="62"/>
        <v>0</v>
      </c>
      <c r="AB120" s="140">
        <f t="shared" si="62"/>
        <v>0</v>
      </c>
      <c r="AC120" s="140">
        <f t="shared" si="62"/>
        <v>0</v>
      </c>
      <c r="AD120" s="135">
        <f t="shared" si="62"/>
        <v>0.10223873037312173</v>
      </c>
      <c r="AE120" s="148">
        <f t="shared" si="61"/>
        <v>0.1397416748125766</v>
      </c>
      <c r="AG120" s="129">
        <v>1.1911326185339282</v>
      </c>
      <c r="AH120" s="133">
        <f t="shared" si="34"/>
        <v>0.94915221334822986</v>
      </c>
      <c r="AJ120" s="147"/>
      <c r="AK120" s="124"/>
      <c r="AL120" s="124"/>
    </row>
    <row r="121" spans="4:38">
      <c r="D121" s="105" t="str">
        <f t="shared" si="59"/>
        <v xml:space="preserve"> Taskforce Expenses 外援费用                           </v>
      </c>
      <c r="E121" s="140">
        <f t="shared" si="63"/>
        <v>0</v>
      </c>
      <c r="F121" s="140">
        <f t="shared" si="62"/>
        <v>0</v>
      </c>
      <c r="G121" s="140">
        <f t="shared" si="62"/>
        <v>0</v>
      </c>
      <c r="H121" s="140">
        <f t="shared" si="62"/>
        <v>0</v>
      </c>
      <c r="I121" s="140">
        <f t="shared" si="62"/>
        <v>0</v>
      </c>
      <c r="J121" s="140">
        <f t="shared" si="62"/>
        <v>0</v>
      </c>
      <c r="K121" s="140">
        <f t="shared" si="62"/>
        <v>0</v>
      </c>
      <c r="L121" s="140">
        <f t="shared" si="62"/>
        <v>0</v>
      </c>
      <c r="M121" s="140">
        <f t="shared" si="62"/>
        <v>0</v>
      </c>
      <c r="N121" s="140">
        <f t="shared" si="62"/>
        <v>0</v>
      </c>
      <c r="O121" s="140">
        <f t="shared" si="62"/>
        <v>0</v>
      </c>
      <c r="P121" s="140">
        <f t="shared" si="62"/>
        <v>0</v>
      </c>
      <c r="Q121" s="135">
        <f t="shared" si="62"/>
        <v>0</v>
      </c>
      <c r="R121" s="140">
        <f t="shared" si="62"/>
        <v>0</v>
      </c>
      <c r="S121" s="140">
        <f t="shared" si="62"/>
        <v>0</v>
      </c>
      <c r="T121" s="140">
        <f t="shared" si="62"/>
        <v>0</v>
      </c>
      <c r="U121" s="140">
        <f t="shared" si="62"/>
        <v>0</v>
      </c>
      <c r="V121" s="140">
        <f t="shared" si="62"/>
        <v>0</v>
      </c>
      <c r="W121" s="140">
        <f t="shared" si="62"/>
        <v>0</v>
      </c>
      <c r="X121" s="140">
        <f t="shared" si="62"/>
        <v>0</v>
      </c>
      <c r="Y121" s="140">
        <f t="shared" si="62"/>
        <v>0</v>
      </c>
      <c r="Z121" s="140">
        <f t="shared" si="62"/>
        <v>0</v>
      </c>
      <c r="AA121" s="140">
        <f t="shared" si="62"/>
        <v>0</v>
      </c>
      <c r="AB121" s="140">
        <f t="shared" si="62"/>
        <v>0</v>
      </c>
      <c r="AC121" s="140">
        <f t="shared" si="62"/>
        <v>0</v>
      </c>
      <c r="AD121" s="135">
        <f t="shared" si="62"/>
        <v>0</v>
      </c>
      <c r="AE121" s="148">
        <f t="shared" si="61"/>
        <v>0</v>
      </c>
      <c r="AG121" s="129">
        <v>-9.4716693264942226E-2</v>
      </c>
      <c r="AH121" s="133">
        <f t="shared" si="34"/>
        <v>-9.4716693264942226E-2</v>
      </c>
      <c r="AJ121" s="147"/>
      <c r="AK121" s="124"/>
      <c r="AL121" s="124"/>
    </row>
    <row r="122" spans="4:38">
      <c r="D122" s="105" t="str">
        <f t="shared" si="59"/>
        <v xml:space="preserve"> Plant Hire 植物租摆                                   </v>
      </c>
      <c r="E122" s="140">
        <f t="shared" si="63"/>
        <v>3.4846765641569459</v>
      </c>
      <c r="F122" s="140">
        <f t="shared" si="62"/>
        <v>2.7437041385383036</v>
      </c>
      <c r="G122" s="140">
        <f t="shared" si="62"/>
        <v>2.2141694268231067</v>
      </c>
      <c r="H122" s="140">
        <f t="shared" si="62"/>
        <v>2.2486327550720375</v>
      </c>
      <c r="I122" s="140">
        <f t="shared" si="62"/>
        <v>2.1787195364426517</v>
      </c>
      <c r="J122" s="140">
        <f t="shared" si="62"/>
        <v>2.2309835773996562</v>
      </c>
      <c r="K122" s="140">
        <f t="shared" si="62"/>
        <v>1.9963414634146341</v>
      </c>
      <c r="L122" s="140">
        <f t="shared" si="62"/>
        <v>1.9963414634146341</v>
      </c>
      <c r="M122" s="140">
        <f t="shared" si="62"/>
        <v>2.1180998196031271</v>
      </c>
      <c r="N122" s="140">
        <f t="shared" si="62"/>
        <v>2.179152532628069</v>
      </c>
      <c r="O122" s="140">
        <f t="shared" si="62"/>
        <v>2.1047409695817492</v>
      </c>
      <c r="P122" s="140">
        <f t="shared" si="62"/>
        <v>2.1274334363646221</v>
      </c>
      <c r="Q122" s="135">
        <f t="shared" si="62"/>
        <v>2.3054208549521911</v>
      </c>
      <c r="R122" s="140">
        <f t="shared" si="62"/>
        <v>2.9622810043114378</v>
      </c>
      <c r="S122" s="140">
        <f t="shared" si="62"/>
        <v>4.2400355343410236</v>
      </c>
      <c r="T122" s="140">
        <f t="shared" si="62"/>
        <v>2.5441265425854747</v>
      </c>
      <c r="U122" s="140">
        <f t="shared" si="62"/>
        <v>1.9958293605129047</v>
      </c>
      <c r="V122" s="140">
        <f t="shared" si="62"/>
        <v>1.903608742919265</v>
      </c>
      <c r="W122" s="140">
        <f t="shared" si="62"/>
        <v>1.8163792814438173</v>
      </c>
      <c r="X122" s="140">
        <f t="shared" si="62"/>
        <v>1.3850892767073539</v>
      </c>
      <c r="Y122" s="140">
        <f t="shared" si="62"/>
        <v>1.7460919598499445</v>
      </c>
      <c r="Z122" s="140">
        <f t="shared" si="62"/>
        <v>1.9008259368836291</v>
      </c>
      <c r="AA122" s="140">
        <f t="shared" si="62"/>
        <v>2.1345064121682076</v>
      </c>
      <c r="AB122" s="140">
        <f t="shared" si="62"/>
        <v>2.1107414448669202</v>
      </c>
      <c r="AC122" s="140">
        <f t="shared" si="62"/>
        <v>2.0488968730702295</v>
      </c>
      <c r="AD122" s="135">
        <f t="shared" si="62"/>
        <v>2.2422982327253811</v>
      </c>
      <c r="AE122" s="148">
        <f t="shared" si="61"/>
        <v>6.3122622226809977E-2</v>
      </c>
      <c r="AG122" s="129">
        <v>0.80329260131134972</v>
      </c>
      <c r="AH122" s="133">
        <f t="shared" si="34"/>
        <v>-1.5021282536408413</v>
      </c>
      <c r="AJ122" s="147"/>
      <c r="AK122" s="124"/>
      <c r="AL122" s="124"/>
    </row>
    <row r="123" spans="4:38">
      <c r="D123" s="105" t="str">
        <f t="shared" si="59"/>
        <v xml:space="preserve"> Postage 邮费                                        </v>
      </c>
      <c r="E123" s="140">
        <f t="shared" si="63"/>
        <v>7.9533404029692473E-2</v>
      </c>
      <c r="F123" s="140">
        <f t="shared" si="62"/>
        <v>8.8054006457293804E-2</v>
      </c>
      <c r="G123" s="140">
        <f t="shared" si="62"/>
        <v>8.4208162577892556E-2</v>
      </c>
      <c r="H123" s="140">
        <f t="shared" si="62"/>
        <v>5.8806233460746836E-2</v>
      </c>
      <c r="I123" s="140">
        <f t="shared" si="62"/>
        <v>5.6808498551383285E-2</v>
      </c>
      <c r="J123" s="140">
        <f t="shared" si="62"/>
        <v>5.928736586233474E-2</v>
      </c>
      <c r="K123" s="140">
        <f t="shared" si="62"/>
        <v>7.9533404029692473E-2</v>
      </c>
      <c r="L123" s="140">
        <f t="shared" si="62"/>
        <v>7.9533404029692473E-2</v>
      </c>
      <c r="M123" s="140">
        <f t="shared" si="62"/>
        <v>6.0132291040288638E-2</v>
      </c>
      <c r="N123" s="140">
        <f t="shared" si="62"/>
        <v>8.6241591444834134E-2</v>
      </c>
      <c r="O123" s="140">
        <f t="shared" si="62"/>
        <v>8.9115969581749055E-2</v>
      </c>
      <c r="P123" s="140">
        <f t="shared" si="62"/>
        <v>8.1340491296567438E-2</v>
      </c>
      <c r="Q123" s="135">
        <f t="shared" si="62"/>
        <v>7.540092083374568E-2</v>
      </c>
      <c r="R123" s="140">
        <f t="shared" si="62"/>
        <v>2.5026122241947755E-2</v>
      </c>
      <c r="S123" s="140">
        <f t="shared" si="62"/>
        <v>0.13259082471492972</v>
      </c>
      <c r="T123" s="140">
        <f t="shared" si="62"/>
        <v>5.7447400364151323E-2</v>
      </c>
      <c r="U123" s="140">
        <f t="shared" si="62"/>
        <v>-0.11771165543317444</v>
      </c>
      <c r="V123" s="140">
        <f t="shared" si="62"/>
        <v>0.14304514504777707</v>
      </c>
      <c r="W123" s="140">
        <f t="shared" si="62"/>
        <v>-3.145834497401799E-2</v>
      </c>
      <c r="X123" s="140">
        <f t="shared" si="62"/>
        <v>-4.6156562090184606E-3</v>
      </c>
      <c r="Y123" s="140">
        <f t="shared" si="62"/>
        <v>0.30416708912095713</v>
      </c>
      <c r="Z123" s="140">
        <f t="shared" si="62"/>
        <v>3.0818540433925051E-2</v>
      </c>
      <c r="AA123" s="140">
        <f t="shared" si="62"/>
        <v>5.9648076349537726E-2</v>
      </c>
      <c r="AB123" s="140">
        <f t="shared" si="62"/>
        <v>5.9410646387832701E-2</v>
      </c>
      <c r="AC123" s="140">
        <f t="shared" si="62"/>
        <v>5.6138775051928366E-2</v>
      </c>
      <c r="AD123" s="135">
        <f t="shared" si="62"/>
        <v>6.0810126351237268E-2</v>
      </c>
      <c r="AE123" s="148">
        <f t="shared" si="61"/>
        <v>1.4590794482508412E-2</v>
      </c>
      <c r="AG123" s="129">
        <v>5.1888961169637718E-2</v>
      </c>
      <c r="AH123" s="133">
        <f t="shared" si="34"/>
        <v>-2.3511959664107962E-2</v>
      </c>
      <c r="AJ123" s="147"/>
      <c r="AK123" s="124"/>
      <c r="AL123" s="124"/>
    </row>
    <row r="124" spans="4:38">
      <c r="D124" s="105" t="str">
        <f t="shared" si="59"/>
        <v xml:space="preserve"> Printing &amp; Stationery 印刷与文具                       </v>
      </c>
      <c r="E124" s="140">
        <f t="shared" si="63"/>
        <v>0.5</v>
      </c>
      <c r="F124" s="140">
        <f t="shared" si="62"/>
        <v>0.49997064866451424</v>
      </c>
      <c r="G124" s="140">
        <f t="shared" si="62"/>
        <v>0.51759950597877957</v>
      </c>
      <c r="H124" s="140">
        <f t="shared" si="62"/>
        <v>0.50685092619817695</v>
      </c>
      <c r="I124" s="140">
        <f t="shared" si="62"/>
        <v>0.49287053343180137</v>
      </c>
      <c r="J124" s="140">
        <f t="shared" si="62"/>
        <v>0.492915159779451</v>
      </c>
      <c r="K124" s="140">
        <f t="shared" si="62"/>
        <v>0.49443266171792155</v>
      </c>
      <c r="L124" s="140">
        <f t="shared" si="62"/>
        <v>0.49443266171792155</v>
      </c>
      <c r="M124" s="140">
        <f t="shared" si="62"/>
        <v>0.48779314491882142</v>
      </c>
      <c r="N124" s="140">
        <f t="shared" si="62"/>
        <v>0.49399183579600991</v>
      </c>
      <c r="O124" s="140">
        <f t="shared" si="62"/>
        <v>0.48799904942965777</v>
      </c>
      <c r="P124" s="140">
        <f t="shared" si="62"/>
        <v>0.49433327910633912</v>
      </c>
      <c r="Q124" s="135">
        <f t="shared" si="62"/>
        <v>0.49698631944542621</v>
      </c>
      <c r="R124" s="140">
        <f t="shared" si="62"/>
        <v>0.5163099163073801</v>
      </c>
      <c r="S124" s="140">
        <f t="shared" si="62"/>
        <v>0.49886502254044024</v>
      </c>
      <c r="T124" s="140">
        <f t="shared" si="62"/>
        <v>0.46301385798098327</v>
      </c>
      <c r="U124" s="140">
        <f t="shared" si="62"/>
        <v>0.34693243465395363</v>
      </c>
      <c r="V124" s="140">
        <f t="shared" si="62"/>
        <v>0.55020426846712822</v>
      </c>
      <c r="W124" s="140">
        <f t="shared" si="62"/>
        <v>0.44128624909202657</v>
      </c>
      <c r="X124" s="140">
        <f t="shared" si="62"/>
        <v>0.46274941995359625</v>
      </c>
      <c r="Y124" s="140">
        <f t="shared" si="62"/>
        <v>0.40548413261685085</v>
      </c>
      <c r="Z124" s="140">
        <f t="shared" si="62"/>
        <v>0.49889053254437871</v>
      </c>
      <c r="AA124" s="140">
        <f t="shared" si="62"/>
        <v>0.52394870265433935</v>
      </c>
      <c r="AB124" s="140">
        <f t="shared" si="62"/>
        <v>0.51075332699619769</v>
      </c>
      <c r="AC124" s="140">
        <f t="shared" si="62"/>
        <v>0.52231516308314152</v>
      </c>
      <c r="AD124" s="135">
        <f t="shared" si="62"/>
        <v>0.47700763400577684</v>
      </c>
      <c r="AE124" s="148">
        <f t="shared" si="61"/>
        <v>1.9978685439649368E-2</v>
      </c>
      <c r="AG124" s="129">
        <v>0.60037519948706675</v>
      </c>
      <c r="AH124" s="133">
        <f t="shared" ref="AH124:AH130" si="64">AG124-Q124</f>
        <v>0.10338888004164054</v>
      </c>
      <c r="AJ124" s="147"/>
      <c r="AK124" s="124"/>
      <c r="AL124" s="124"/>
    </row>
    <row r="125" spans="4:38">
      <c r="D125" s="105" t="str">
        <f t="shared" si="59"/>
        <v xml:space="preserve"> Internal Laundry 内部洗衣                             </v>
      </c>
      <c r="E125" s="140">
        <f t="shared" si="63"/>
        <v>11.179959703075292</v>
      </c>
      <c r="F125" s="140">
        <f t="shared" si="62"/>
        <v>11.283362488993248</v>
      </c>
      <c r="G125" s="140">
        <f t="shared" si="62"/>
        <v>10.915150732611014</v>
      </c>
      <c r="H125" s="140">
        <f t="shared" si="62"/>
        <v>11.747928844457512</v>
      </c>
      <c r="I125" s="140">
        <f t="shared" si="62"/>
        <v>11.668521842867692</v>
      </c>
      <c r="J125" s="140">
        <f t="shared" si="62"/>
        <v>11.635575383885694</v>
      </c>
      <c r="K125" s="140">
        <f t="shared" si="62"/>
        <v>11.096390243902439</v>
      </c>
      <c r="L125" s="140">
        <f t="shared" si="62"/>
        <v>11.042976139978791</v>
      </c>
      <c r="M125" s="140">
        <f t="shared" si="62"/>
        <v>12.088546602525556</v>
      </c>
      <c r="N125" s="140">
        <f t="shared" si="62"/>
        <v>13.151478755821309</v>
      </c>
      <c r="O125" s="140">
        <f t="shared" si="62"/>
        <v>12.003738117870723</v>
      </c>
      <c r="P125" s="140">
        <f t="shared" si="62"/>
        <v>10.902853966704626</v>
      </c>
      <c r="Q125" s="135">
        <f t="shared" si="62"/>
        <v>11.542752651991762</v>
      </c>
      <c r="R125" s="140">
        <f t="shared" si="62"/>
        <v>13.163753487192492</v>
      </c>
      <c r="S125" s="140">
        <f t="shared" si="62"/>
        <v>15.574145319543888</v>
      </c>
      <c r="T125" s="140">
        <f t="shared" si="62"/>
        <v>10.321385292332593</v>
      </c>
      <c r="U125" s="140">
        <f t="shared" si="62"/>
        <v>10.481689955614005</v>
      </c>
      <c r="V125" s="140">
        <f t="shared" si="62"/>
        <v>4.1492842020941803</v>
      </c>
      <c r="W125" s="140">
        <f t="shared" si="62"/>
        <v>12.090654299603285</v>
      </c>
      <c r="X125" s="140">
        <f t="shared" si="62"/>
        <v>9.925012609704428</v>
      </c>
      <c r="Y125" s="140">
        <f t="shared" si="62"/>
        <v>8.0396410828348372</v>
      </c>
      <c r="Z125" s="140">
        <f t="shared" si="62"/>
        <v>13.17603550295858</v>
      </c>
      <c r="AA125" s="140">
        <f t="shared" si="62"/>
        <v>14.26328660900686</v>
      </c>
      <c r="AB125" s="140">
        <f t="shared" si="62"/>
        <v>11.937440589353612</v>
      </c>
      <c r="AC125" s="140">
        <f t="shared" si="62"/>
        <v>11.53331836299332</v>
      </c>
      <c r="AD125" s="135">
        <f t="shared" si="62"/>
        <v>11.188912850044035</v>
      </c>
      <c r="AE125" s="148">
        <f t="shared" si="61"/>
        <v>0.35383980194772668</v>
      </c>
      <c r="AG125" s="129">
        <v>10.346003425795491</v>
      </c>
      <c r="AH125" s="133">
        <f t="shared" si="64"/>
        <v>-1.1967492261962711</v>
      </c>
      <c r="AJ125" s="147"/>
      <c r="AK125" s="124"/>
      <c r="AL125" s="124"/>
    </row>
    <row r="126" spans="4:38">
      <c r="D126" s="105" t="str">
        <f t="shared" si="59"/>
        <v xml:space="preserve"> Telephone 电话费                                     </v>
      </c>
      <c r="E126" s="140">
        <f t="shared" si="63"/>
        <v>1.0831389183457052</v>
      </c>
      <c r="F126" s="140">
        <f t="shared" si="62"/>
        <v>1.0867038450249487</v>
      </c>
      <c r="G126" s="140">
        <f t="shared" si="62"/>
        <v>1.1221018357379442</v>
      </c>
      <c r="H126" s="140">
        <f t="shared" ref="F126:AF130" si="65">IFERROR(H40/H$52,0)</f>
        <v>1.1011467215524846</v>
      </c>
      <c r="I126" s="140">
        <f t="shared" si="65"/>
        <v>1.0704993467022668</v>
      </c>
      <c r="J126" s="140">
        <f t="shared" si="65"/>
        <v>1.072271298986186</v>
      </c>
      <c r="K126" s="140">
        <f t="shared" si="65"/>
        <v>1.071474019088017</v>
      </c>
      <c r="L126" s="140">
        <f t="shared" si="65"/>
        <v>1.071474019088017</v>
      </c>
      <c r="M126" s="140">
        <f t="shared" si="65"/>
        <v>1.0619362597714972</v>
      </c>
      <c r="N126" s="140">
        <f t="shared" si="65"/>
        <v>1.0733053527281091</v>
      </c>
      <c r="O126" s="140">
        <f t="shared" si="65"/>
        <v>1.0618464828897338</v>
      </c>
      <c r="P126" s="140">
        <f t="shared" si="65"/>
        <v>1.0719592213003633</v>
      </c>
      <c r="Q126" s="135">
        <f t="shared" si="65"/>
        <v>1.0790248775913176</v>
      </c>
      <c r="R126" s="140">
        <f t="shared" si="65"/>
        <v>1.0146806999746387</v>
      </c>
      <c r="S126" s="140">
        <f t="shared" si="65"/>
        <v>1.0156876160169714</v>
      </c>
      <c r="T126" s="140">
        <f t="shared" si="65"/>
        <v>1.0335858790208377</v>
      </c>
      <c r="U126" s="140">
        <f t="shared" si="65"/>
        <v>1.232047235464957</v>
      </c>
      <c r="V126" s="140">
        <f t="shared" si="65"/>
        <v>1.312756766035361</v>
      </c>
      <c r="W126" s="140">
        <f t="shared" si="65"/>
        <v>1.2707973403363695</v>
      </c>
      <c r="X126" s="140">
        <f t="shared" si="65"/>
        <v>1.1285297084636339</v>
      </c>
      <c r="Y126" s="140">
        <f t="shared" si="65"/>
        <v>0.94091655682855113</v>
      </c>
      <c r="Z126" s="140">
        <f t="shared" si="65"/>
        <v>1.4110657051282052</v>
      </c>
      <c r="AA126" s="140">
        <f t="shared" si="65"/>
        <v>1.3655311661198928</v>
      </c>
      <c r="AB126" s="140">
        <f t="shared" si="65"/>
        <v>1.3600956511406845</v>
      </c>
      <c r="AC126" s="140">
        <f t="shared" si="65"/>
        <v>1.2851922753045528</v>
      </c>
      <c r="AD126" s="135">
        <f t="shared" si="65"/>
        <v>1.1876226437479183</v>
      </c>
      <c r="AE126" s="148">
        <f t="shared" si="61"/>
        <v>-0.10859776615660066</v>
      </c>
      <c r="AG126" s="129">
        <v>3.509047516532271</v>
      </c>
      <c r="AH126" s="133">
        <f t="shared" si="64"/>
        <v>2.4300226389409536</v>
      </c>
      <c r="AJ126" s="147"/>
      <c r="AK126" s="124"/>
      <c r="AL126" s="124"/>
    </row>
    <row r="127" spans="4:38">
      <c r="D127" s="105" t="str">
        <f t="shared" si="59"/>
        <v xml:space="preserve"> Transportation 交通 - Staff 员工                      </v>
      </c>
      <c r="E127" s="140">
        <f t="shared" si="63"/>
        <v>9.2788971367974551E-2</v>
      </c>
      <c r="F127" s="140">
        <f t="shared" si="65"/>
        <v>0.1027296742001761</v>
      </c>
      <c r="G127" s="140">
        <f t="shared" si="65"/>
        <v>9.8242856340874637E-2</v>
      </c>
      <c r="H127" s="140">
        <f t="shared" si="65"/>
        <v>0.10291090855630697</v>
      </c>
      <c r="I127" s="140">
        <f t="shared" si="65"/>
        <v>9.9414872464920756E-2</v>
      </c>
      <c r="J127" s="140">
        <f t="shared" si="65"/>
        <v>0.10375289025908579</v>
      </c>
      <c r="K127" s="140">
        <f t="shared" si="65"/>
        <v>9.2788971367974551E-2</v>
      </c>
      <c r="L127" s="140">
        <f t="shared" si="65"/>
        <v>9.2788971367974551E-2</v>
      </c>
      <c r="M127" s="140">
        <f t="shared" si="65"/>
        <v>0.10523150932050511</v>
      </c>
      <c r="N127" s="140">
        <f t="shared" si="65"/>
        <v>0.10061519001897315</v>
      </c>
      <c r="O127" s="140">
        <f t="shared" si="65"/>
        <v>0.10396863117870722</v>
      </c>
      <c r="P127" s="140">
        <f t="shared" si="65"/>
        <v>9.4897239845995338E-2</v>
      </c>
      <c r="Q127" s="135">
        <f t="shared" si="65"/>
        <v>9.8963708594291211E-2</v>
      </c>
      <c r="R127" s="140">
        <f t="shared" si="65"/>
        <v>3.5166624397666747E-2</v>
      </c>
      <c r="S127" s="140">
        <f t="shared" si="65"/>
        <v>0.20259453725802176</v>
      </c>
      <c r="T127" s="140">
        <f t="shared" si="65"/>
        <v>3.685363139793648E-2</v>
      </c>
      <c r="U127" s="140">
        <f t="shared" si="65"/>
        <v>8.8353882404515305E-2</v>
      </c>
      <c r="V127" s="140">
        <f t="shared" si="65"/>
        <v>-6.7957887509297928E-3</v>
      </c>
      <c r="W127" s="140">
        <f t="shared" si="65"/>
        <v>7.8755098619880434E-2</v>
      </c>
      <c r="X127" s="140">
        <f t="shared" si="65"/>
        <v>6.115958841924745E-2</v>
      </c>
      <c r="Y127" s="140">
        <f t="shared" si="65"/>
        <v>6.5986008313900432E-2</v>
      </c>
      <c r="Z127" s="140">
        <f t="shared" si="65"/>
        <v>0.14392258382642997</v>
      </c>
      <c r="AA127" s="140">
        <f t="shared" si="65"/>
        <v>0.1392782582761706</v>
      </c>
      <c r="AB127" s="140">
        <f t="shared" si="65"/>
        <v>0.13872385931558937</v>
      </c>
      <c r="AC127" s="140">
        <f t="shared" si="65"/>
        <v>0.13108403974625274</v>
      </c>
      <c r="AD127" s="135">
        <f t="shared" si="65"/>
        <v>9.125748912850043E-2</v>
      </c>
      <c r="AE127" s="148">
        <f t="shared" si="61"/>
        <v>7.7062194657907812E-3</v>
      </c>
      <c r="AG127" s="129">
        <v>3.1199309224843569E-2</v>
      </c>
      <c r="AH127" s="133">
        <f t="shared" si="64"/>
        <v>-6.7764399369447642E-2</v>
      </c>
      <c r="AJ127" s="147"/>
      <c r="AK127" s="124"/>
      <c r="AL127" s="124"/>
    </row>
    <row r="128" spans="4:38">
      <c r="D128" s="105" t="str">
        <f t="shared" si="59"/>
        <v xml:space="preserve"> Travelling Expenses 差旅费                           </v>
      </c>
      <c r="E128" s="140">
        <f t="shared" si="63"/>
        <v>0</v>
      </c>
      <c r="F128" s="140">
        <f t="shared" si="65"/>
        <v>0</v>
      </c>
      <c r="G128" s="140">
        <f t="shared" si="65"/>
        <v>0</v>
      </c>
      <c r="H128" s="140">
        <f t="shared" si="65"/>
        <v>0</v>
      </c>
      <c r="I128" s="140">
        <f t="shared" si="65"/>
        <v>0</v>
      </c>
      <c r="J128" s="140">
        <f t="shared" si="65"/>
        <v>0</v>
      </c>
      <c r="K128" s="140">
        <f t="shared" si="65"/>
        <v>0</v>
      </c>
      <c r="L128" s="140">
        <f t="shared" si="65"/>
        <v>0</v>
      </c>
      <c r="M128" s="140">
        <f t="shared" si="65"/>
        <v>0</v>
      </c>
      <c r="N128" s="140">
        <f t="shared" si="65"/>
        <v>0</v>
      </c>
      <c r="O128" s="140">
        <f t="shared" si="65"/>
        <v>0</v>
      </c>
      <c r="P128" s="140">
        <f t="shared" si="65"/>
        <v>0</v>
      </c>
      <c r="Q128" s="135">
        <f t="shared" si="65"/>
        <v>0</v>
      </c>
      <c r="R128" s="140">
        <f t="shared" si="65"/>
        <v>0</v>
      </c>
      <c r="S128" s="140">
        <f t="shared" si="65"/>
        <v>0</v>
      </c>
      <c r="T128" s="140">
        <f t="shared" si="65"/>
        <v>0</v>
      </c>
      <c r="U128" s="140">
        <f t="shared" si="65"/>
        <v>0</v>
      </c>
      <c r="V128" s="140">
        <f t="shared" si="65"/>
        <v>0</v>
      </c>
      <c r="W128" s="140">
        <f t="shared" si="65"/>
        <v>0</v>
      </c>
      <c r="X128" s="140">
        <f t="shared" si="65"/>
        <v>0</v>
      </c>
      <c r="Y128" s="140">
        <f t="shared" si="65"/>
        <v>0</v>
      </c>
      <c r="Z128" s="140">
        <f t="shared" si="65"/>
        <v>0</v>
      </c>
      <c r="AA128" s="140">
        <f t="shared" si="65"/>
        <v>0</v>
      </c>
      <c r="AB128" s="140">
        <f t="shared" si="65"/>
        <v>0</v>
      </c>
      <c r="AC128" s="140">
        <f t="shared" si="65"/>
        <v>0</v>
      </c>
      <c r="AD128" s="135">
        <f t="shared" si="65"/>
        <v>0</v>
      </c>
      <c r="AE128" s="148">
        <f t="shared" si="61"/>
        <v>0</v>
      </c>
      <c r="AG128" s="129">
        <v>0</v>
      </c>
      <c r="AH128" s="133">
        <f t="shared" si="64"/>
        <v>0</v>
      </c>
      <c r="AJ128" s="147"/>
      <c r="AK128" s="124"/>
      <c r="AL128" s="124"/>
    </row>
    <row r="129" spans="4:38">
      <c r="D129" s="105" t="str">
        <f t="shared" si="59"/>
        <v xml:space="preserve"> Miscellaneous Expenses 杂项                         </v>
      </c>
      <c r="E129" s="140">
        <f t="shared" si="63"/>
        <v>0.22651113467656417</v>
      </c>
      <c r="F129" s="140">
        <f t="shared" si="65"/>
        <v>0.22935133548576461</v>
      </c>
      <c r="G129" s="140">
        <f t="shared" si="65"/>
        <v>0.23510918991747601</v>
      </c>
      <c r="H129" s="140">
        <f t="shared" si="65"/>
        <v>0.23216700970302853</v>
      </c>
      <c r="I129" s="140">
        <f t="shared" si="65"/>
        <v>0.22552973924899164</v>
      </c>
      <c r="J129" s="140">
        <f t="shared" si="65"/>
        <v>0.2268334617892927</v>
      </c>
      <c r="K129" s="140">
        <f t="shared" si="65"/>
        <v>0.22428419936373276</v>
      </c>
      <c r="L129" s="140">
        <f t="shared" si="65"/>
        <v>0.22428419936373276</v>
      </c>
      <c r="M129" s="140">
        <f t="shared" si="65"/>
        <v>0.22519542994588093</v>
      </c>
      <c r="N129" s="140">
        <f t="shared" si="65"/>
        <v>0.22635543034554131</v>
      </c>
      <c r="O129" s="140">
        <f t="shared" si="65"/>
        <v>0.22486929657794677</v>
      </c>
      <c r="P129" s="140">
        <f t="shared" si="65"/>
        <v>0.22482511794371238</v>
      </c>
      <c r="Q129" s="135">
        <f t="shared" si="65"/>
        <v>0.22706987309082513</v>
      </c>
      <c r="R129" s="140">
        <f t="shared" si="65"/>
        <v>1.3464783160030434</v>
      </c>
      <c r="S129" s="140">
        <f t="shared" si="65"/>
        <v>3.2669509413948554</v>
      </c>
      <c r="T129" s="140">
        <f t="shared" si="65"/>
        <v>2.1869694517499489</v>
      </c>
      <c r="U129" s="140">
        <f t="shared" si="65"/>
        <v>1.0019929859170364</v>
      </c>
      <c r="V129" s="140">
        <f t="shared" si="65"/>
        <v>-2.1948223379298506</v>
      </c>
      <c r="W129" s="140">
        <f t="shared" si="65"/>
        <v>2.2217349276415042</v>
      </c>
      <c r="X129" s="140">
        <f t="shared" si="65"/>
        <v>1.6520715222435187</v>
      </c>
      <c r="Y129" s="140">
        <f t="shared" si="65"/>
        <v>2.0189663388421377</v>
      </c>
      <c r="Z129" s="140">
        <f t="shared" si="65"/>
        <v>1.5839497041420119</v>
      </c>
      <c r="AA129" s="140">
        <f t="shared" si="65"/>
        <v>1.5560990158067403</v>
      </c>
      <c r="AB129" s="140">
        <f t="shared" si="65"/>
        <v>1.5436074144486691</v>
      </c>
      <c r="AC129" s="140">
        <f t="shared" si="65"/>
        <v>1.4809970246449222</v>
      </c>
      <c r="AD129" s="135">
        <f t="shared" si="65"/>
        <v>1.4957855086219092</v>
      </c>
      <c r="AE129" s="148">
        <f t="shared" si="61"/>
        <v>-1.268715635531084</v>
      </c>
      <c r="AG129" s="129">
        <v>-6.0260163895297994E-2</v>
      </c>
      <c r="AH129" s="133">
        <f t="shared" si="64"/>
        <v>-0.28733003698612314</v>
      </c>
      <c r="AJ129" s="147"/>
      <c r="AK129" s="124"/>
      <c r="AL129" s="124"/>
    </row>
    <row r="130" spans="4:38">
      <c r="D130" s="109" t="str">
        <f t="shared" si="59"/>
        <v xml:space="preserve"> Total Operating Expenses 营运费用合计                   </v>
      </c>
      <c r="E130" s="140">
        <f t="shared" si="63"/>
        <v>243.7400567338282</v>
      </c>
      <c r="F130" s="140">
        <f t="shared" si="65"/>
        <v>254.26564132668037</v>
      </c>
      <c r="G130" s="140">
        <f t="shared" si="65"/>
        <v>192.36248077246955</v>
      </c>
      <c r="H130" s="140">
        <f t="shared" si="65"/>
        <v>196.93326492208175</v>
      </c>
      <c r="I130" s="140">
        <f t="shared" si="65"/>
        <v>187.07053740839629</v>
      </c>
      <c r="J130" s="140">
        <f t="shared" si="65"/>
        <v>182.85999940712637</v>
      </c>
      <c r="K130" s="140">
        <f t="shared" si="65"/>
        <v>198.75341092258748</v>
      </c>
      <c r="L130" s="140">
        <f t="shared" si="65"/>
        <v>210.42859225874867</v>
      </c>
      <c r="M130" s="140">
        <f t="shared" si="65"/>
        <v>181.51677089597112</v>
      </c>
      <c r="N130" s="140">
        <f t="shared" si="65"/>
        <v>200.23624849077214</v>
      </c>
      <c r="O130" s="140">
        <f t="shared" si="65"/>
        <v>185.2013878326996</v>
      </c>
      <c r="P130" s="140">
        <f t="shared" si="65"/>
        <v>189.41163385933518</v>
      </c>
      <c r="Q130" s="135">
        <f t="shared" si="65"/>
        <v>202.21496444375327</v>
      </c>
      <c r="R130" s="140">
        <f t="shared" si="65"/>
        <v>268.12388790261224</v>
      </c>
      <c r="S130" s="140">
        <f t="shared" si="65"/>
        <v>399.1656982232829</v>
      </c>
      <c r="T130" s="140">
        <f t="shared" si="65"/>
        <v>225.39179698563623</v>
      </c>
      <c r="U130" s="140">
        <f t="shared" si="65"/>
        <v>220.85828319359959</v>
      </c>
      <c r="V130" s="140">
        <f t="shared" si="65"/>
        <v>225.32256565772155</v>
      </c>
      <c r="W130" s="140">
        <f t="shared" si="65"/>
        <v>196.19819522825057</v>
      </c>
      <c r="X130" s="140">
        <f t="shared" si="65"/>
        <v>216.97785937657622</v>
      </c>
      <c r="Y130" s="140">
        <f t="shared" si="65"/>
        <v>265.8473943019365</v>
      </c>
      <c r="Z130" s="140">
        <f t="shared" si="65"/>
        <v>185.66569341715976</v>
      </c>
      <c r="AA130" s="140">
        <f t="shared" si="65"/>
        <v>204.75014076946019</v>
      </c>
      <c r="AB130" s="140">
        <f t="shared" si="65"/>
        <v>184.41598799904943</v>
      </c>
      <c r="AC130" s="140">
        <f t="shared" si="65"/>
        <v>200.67590074664574</v>
      </c>
      <c r="AD130" s="135">
        <f t="shared" si="65"/>
        <v>234.62387796542112</v>
      </c>
      <c r="AE130" s="148">
        <f t="shared" si="61"/>
        <v>-32.408913521667841</v>
      </c>
      <c r="AG130" s="129">
        <v>140.9953252399695</v>
      </c>
      <c r="AH130" s="133">
        <f t="shared" si="64"/>
        <v>-61.219639203783771</v>
      </c>
      <c r="AJ130" s="147"/>
      <c r="AK130" s="124"/>
      <c r="AL130" s="124"/>
    </row>
    <row r="131" spans="4:38">
      <c r="AK131" s="124"/>
    </row>
    <row r="132" spans="4:38">
      <c r="D132" s="149" t="s">
        <v>290</v>
      </c>
      <c r="E132" s="116">
        <f>E20+E21+E22+E23+E25+E26+E27+E28+E29+E30+E31+E32+E33+E34+E35+E39+E43</f>
        <v>4498108.47</v>
      </c>
      <c r="F132" s="116">
        <f t="shared" ref="F132:AD132" si="66">F20+F21+F22+F23+F25+F26+F27+F28+F29+F30+F31+F32+F33+F34+F35+F39+F43</f>
        <v>4254397.2</v>
      </c>
      <c r="G132" s="116">
        <f t="shared" si="66"/>
        <v>3354653.87</v>
      </c>
      <c r="H132" s="116">
        <f t="shared" si="66"/>
        <v>3280518.17</v>
      </c>
      <c r="I132" s="116">
        <f t="shared" si="66"/>
        <v>3224380.67</v>
      </c>
      <c r="J132" s="116">
        <f t="shared" si="66"/>
        <v>3017519.6100000003</v>
      </c>
      <c r="K132" s="116">
        <f t="shared" si="66"/>
        <v>3678055.33</v>
      </c>
      <c r="L132" s="116">
        <f t="shared" si="66"/>
        <v>3898249.25</v>
      </c>
      <c r="M132" s="116">
        <f t="shared" si="66"/>
        <v>2954877.9</v>
      </c>
      <c r="N132" s="116">
        <f t="shared" si="66"/>
        <v>3414297.07</v>
      </c>
      <c r="O132" s="116">
        <f t="shared" si="66"/>
        <v>3052545.76</v>
      </c>
      <c r="P132" s="116">
        <f t="shared" si="66"/>
        <v>3421573.94</v>
      </c>
      <c r="Q132" s="117">
        <f>SUM(E132:P132)</f>
        <v>42049177.239999995</v>
      </c>
      <c r="R132" s="116">
        <f t="shared" ref="R132:Y132" si="67">R20+R21+R22+R23+R25+R26+R27+R28+R29+R30+R31+R32+R33+R34+R35+R39+R43</f>
        <v>5196290.9000000013</v>
      </c>
      <c r="S132" s="116">
        <f t="shared" si="67"/>
        <v>7411446.5599999996</v>
      </c>
      <c r="T132" s="116">
        <f t="shared" si="67"/>
        <v>4374688.8499999996</v>
      </c>
      <c r="U132" s="116">
        <f t="shared" si="67"/>
        <v>3965741.8699999987</v>
      </c>
      <c r="V132" s="116">
        <f t="shared" si="67"/>
        <v>3869752.9099999997</v>
      </c>
      <c r="W132" s="116">
        <f t="shared" si="67"/>
        <v>3447363.73</v>
      </c>
      <c r="X132" s="116">
        <f t="shared" si="67"/>
        <v>4241672.5199999996</v>
      </c>
      <c r="Y132" s="116">
        <f t="shared" si="67"/>
        <v>5175790.2799999993</v>
      </c>
      <c r="Z132" s="116">
        <f t="shared" si="66"/>
        <v>2947579.08</v>
      </c>
      <c r="AA132" s="116">
        <f t="shared" si="66"/>
        <v>3361838.98</v>
      </c>
      <c r="AB132" s="116">
        <f t="shared" si="66"/>
        <v>3033736.7800000003</v>
      </c>
      <c r="AC132" s="116">
        <f t="shared" si="66"/>
        <v>3502610.6900000004</v>
      </c>
      <c r="AD132" s="117">
        <f t="shared" si="66"/>
        <v>50528513.150000006</v>
      </c>
      <c r="AK132" s="124"/>
    </row>
    <row r="133" spans="4:38">
      <c r="AK133" s="124"/>
    </row>
    <row r="134" spans="4:38">
      <c r="AK134" s="124"/>
    </row>
    <row r="135" spans="4:38">
      <c r="D135" s="109" t="s">
        <v>291</v>
      </c>
      <c r="AK135" s="124"/>
    </row>
    <row r="136" spans="4:38">
      <c r="D136" s="105" t="s">
        <v>162</v>
      </c>
      <c r="E136" s="150">
        <v>18860</v>
      </c>
      <c r="F136" s="150">
        <v>17035</v>
      </c>
      <c r="G136" s="150">
        <v>17813</v>
      </c>
      <c r="H136" s="150">
        <v>17005</v>
      </c>
      <c r="I136" s="150">
        <v>17603</v>
      </c>
      <c r="J136" s="150">
        <v>16867</v>
      </c>
      <c r="K136" s="150">
        <v>18860</v>
      </c>
      <c r="L136" s="150">
        <v>18860</v>
      </c>
      <c r="M136" s="150">
        <v>16630</v>
      </c>
      <c r="N136" s="150">
        <v>17393</v>
      </c>
      <c r="O136" s="150">
        <v>16832</v>
      </c>
      <c r="P136" s="150">
        <v>18441</v>
      </c>
      <c r="Q136" s="145">
        <f>SUM(E136:P136)</f>
        <v>212199</v>
      </c>
      <c r="AK136" s="124"/>
    </row>
    <row r="137" spans="4:38">
      <c r="D137" s="105" t="s">
        <v>243</v>
      </c>
      <c r="E137" s="150">
        <v>1419.1927359490987</v>
      </c>
      <c r="F137" s="150">
        <v>1832.5611975344877</v>
      </c>
      <c r="G137" s="150">
        <v>1038.5271430977375</v>
      </c>
      <c r="H137" s="150">
        <v>999.98706262863868</v>
      </c>
      <c r="I137" s="150">
        <v>900.0020451059479</v>
      </c>
      <c r="J137" s="150">
        <v>840.90288729471752</v>
      </c>
      <c r="K137" s="150">
        <v>1117.2964475079534</v>
      </c>
      <c r="L137" s="150">
        <v>1293.3444856000001</v>
      </c>
      <c r="M137" s="150">
        <v>781.79939867708958</v>
      </c>
      <c r="N137" s="150">
        <v>909.11604999999997</v>
      </c>
      <c r="O137" s="150">
        <v>818.201283269962</v>
      </c>
      <c r="P137" s="150">
        <v>963.65099506534352</v>
      </c>
      <c r="Q137" s="117">
        <f>Q138/Q136</f>
        <v>1080.7538348437081</v>
      </c>
      <c r="AK137" s="124"/>
    </row>
    <row r="138" spans="4:38">
      <c r="D138" s="105" t="s">
        <v>168</v>
      </c>
      <c r="E138" s="116">
        <f>ROUND(E136*E137,0)</f>
        <v>26765975</v>
      </c>
      <c r="F138" s="116">
        <f>ROUND(F136*F137,0)</f>
        <v>31217680</v>
      </c>
      <c r="G138" s="116">
        <f>ROUND(G136*G137,0)</f>
        <v>18499284</v>
      </c>
      <c r="H138" s="116">
        <f t="shared" ref="H138:P138" si="68">ROUND(H136*H137,0)</f>
        <v>17004780</v>
      </c>
      <c r="I138" s="116">
        <f t="shared" si="68"/>
        <v>15842736</v>
      </c>
      <c r="J138" s="116">
        <f t="shared" si="68"/>
        <v>14183509</v>
      </c>
      <c r="K138" s="116">
        <f t="shared" si="68"/>
        <v>21072211</v>
      </c>
      <c r="L138" s="116">
        <f t="shared" si="68"/>
        <v>24392477</v>
      </c>
      <c r="M138" s="116">
        <f t="shared" si="68"/>
        <v>13001324</v>
      </c>
      <c r="N138" s="116">
        <f t="shared" si="68"/>
        <v>15812255</v>
      </c>
      <c r="O138" s="116">
        <f t="shared" si="68"/>
        <v>13771964</v>
      </c>
      <c r="P138" s="116">
        <f t="shared" si="68"/>
        <v>17770688</v>
      </c>
      <c r="Q138" s="145">
        <f>SUM(E138:P138)</f>
        <v>229334883</v>
      </c>
      <c r="AK138" s="124"/>
    </row>
    <row r="139" spans="4:38">
      <c r="AK139" s="124"/>
    </row>
    <row r="140" spans="4:38">
      <c r="D140" s="105" t="s">
        <v>164</v>
      </c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45">
        <f>SUM(E140:P140)</f>
        <v>0</v>
      </c>
      <c r="AK140" s="124"/>
    </row>
    <row r="141" spans="4:38">
      <c r="D141" s="105" t="s">
        <v>243</v>
      </c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17" t="e">
        <f>Q142/Q140</f>
        <v>#DIV/0!</v>
      </c>
      <c r="AK141" s="124"/>
    </row>
    <row r="142" spans="4:38">
      <c r="D142" s="105" t="s">
        <v>168</v>
      </c>
      <c r="E142" s="116">
        <f>ROUND(E140*E141,0)</f>
        <v>0</v>
      </c>
      <c r="F142" s="116">
        <f t="shared" ref="F142:P142" si="69">ROUND(F140*F141,0)</f>
        <v>0</v>
      </c>
      <c r="G142" s="116">
        <f t="shared" si="69"/>
        <v>0</v>
      </c>
      <c r="H142" s="116">
        <f t="shared" si="69"/>
        <v>0</v>
      </c>
      <c r="I142" s="116">
        <f t="shared" si="69"/>
        <v>0</v>
      </c>
      <c r="J142" s="116">
        <f t="shared" si="69"/>
        <v>0</v>
      </c>
      <c r="K142" s="116">
        <f t="shared" si="69"/>
        <v>0</v>
      </c>
      <c r="L142" s="116">
        <f t="shared" si="69"/>
        <v>0</v>
      </c>
      <c r="M142" s="116">
        <f t="shared" si="69"/>
        <v>0</v>
      </c>
      <c r="N142" s="116">
        <f t="shared" si="69"/>
        <v>0</v>
      </c>
      <c r="O142" s="116">
        <f t="shared" si="69"/>
        <v>0</v>
      </c>
      <c r="P142" s="116">
        <f t="shared" si="69"/>
        <v>0</v>
      </c>
      <c r="Q142" s="145">
        <f>SUM(E142:P142)</f>
        <v>0</v>
      </c>
      <c r="AK142" s="124"/>
    </row>
    <row r="143" spans="4:38">
      <c r="AK143" s="124"/>
    </row>
    <row r="144" spans="4:38">
      <c r="D144" s="105" t="s">
        <v>166</v>
      </c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45">
        <f>SUM(E144:P144)</f>
        <v>0</v>
      </c>
      <c r="AK144" s="124"/>
    </row>
    <row r="145" spans="4:37">
      <c r="D145" s="105" t="s">
        <v>243</v>
      </c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17" t="e">
        <f>Q146/Q144</f>
        <v>#DIV/0!</v>
      </c>
      <c r="AK145" s="124"/>
    </row>
    <row r="146" spans="4:37">
      <c r="D146" s="105" t="s">
        <v>168</v>
      </c>
      <c r="E146" s="116">
        <f t="shared" ref="E146:P146" si="70">ROUND(E144*E145,0)</f>
        <v>0</v>
      </c>
      <c r="F146" s="116">
        <f t="shared" si="70"/>
        <v>0</v>
      </c>
      <c r="G146" s="116">
        <f t="shared" si="70"/>
        <v>0</v>
      </c>
      <c r="H146" s="116">
        <f t="shared" si="70"/>
        <v>0</v>
      </c>
      <c r="I146" s="116">
        <f t="shared" si="70"/>
        <v>0</v>
      </c>
      <c r="J146" s="116">
        <f t="shared" si="70"/>
        <v>0</v>
      </c>
      <c r="K146" s="116">
        <f t="shared" si="70"/>
        <v>0</v>
      </c>
      <c r="L146" s="116">
        <f t="shared" si="70"/>
        <v>0</v>
      </c>
      <c r="M146" s="116">
        <f t="shared" si="70"/>
        <v>0</v>
      </c>
      <c r="N146" s="116">
        <f t="shared" si="70"/>
        <v>0</v>
      </c>
      <c r="O146" s="116">
        <f t="shared" si="70"/>
        <v>0</v>
      </c>
      <c r="P146" s="116">
        <f t="shared" si="70"/>
        <v>0</v>
      </c>
      <c r="Q146" s="145">
        <f>SUM(E146:P146)</f>
        <v>0</v>
      </c>
      <c r="AK146" s="124"/>
    </row>
    <row r="147" spans="4:37">
      <c r="AK147" s="124"/>
    </row>
    <row r="150" spans="4:37">
      <c r="D150" s="151" t="s">
        <v>292</v>
      </c>
      <c r="E150" s="72">
        <f>SUM('Front office:Rooms Admin'!E107)</f>
        <v>16739</v>
      </c>
      <c r="F150" s="72">
        <f>SUM('Front office:Rooms Admin'!F107)</f>
        <v>16739</v>
      </c>
      <c r="G150" s="72">
        <f>SUM('Front office:Rooms Admin'!G107)</f>
        <v>16739</v>
      </c>
      <c r="H150" s="72">
        <f>SUM('Front office:Rooms Admin'!H107)</f>
        <v>16739</v>
      </c>
      <c r="I150" s="72">
        <f>SUM('Front office:Rooms Admin'!I107)</f>
        <v>16739</v>
      </c>
      <c r="J150" s="72">
        <f>SUM('Front office:Rooms Admin'!J107)</f>
        <v>16739</v>
      </c>
      <c r="K150" s="72">
        <f>SUM('Front office:Rooms Admin'!K107)</f>
        <v>16739</v>
      </c>
      <c r="L150" s="72">
        <f>SUM('Front office:Rooms Admin'!L107)</f>
        <v>16739</v>
      </c>
      <c r="M150" s="72">
        <f>SUM('Front office:Rooms Admin'!M107)</f>
        <v>16739</v>
      </c>
      <c r="N150" s="72">
        <f>SUM('Front office:Rooms Admin'!N107)</f>
        <v>16739</v>
      </c>
      <c r="O150" s="72">
        <f>SUM('Front office:Rooms Admin'!O107)</f>
        <v>16739</v>
      </c>
      <c r="P150" s="72">
        <f>SUM('Front office:Rooms Admin'!P107)</f>
        <v>16739</v>
      </c>
      <c r="Q150" s="145">
        <f t="shared" ref="Q150:Q152" si="71">SUM(E150:P150)</f>
        <v>200868</v>
      </c>
    </row>
    <row r="151" spans="4:37">
      <c r="D151" s="152" t="s">
        <v>293</v>
      </c>
      <c r="E151" s="72">
        <f>SUM('Front office:Rooms Admin'!E108)</f>
        <v>139586.99000000002</v>
      </c>
      <c r="F151" s="72">
        <f>SUM('Front office:Rooms Admin'!F108)</f>
        <v>128137.95</v>
      </c>
      <c r="G151" s="72">
        <f>SUM('Front office:Rooms Admin'!G108)</f>
        <v>130211.54999999999</v>
      </c>
      <c r="H151" s="72">
        <f>SUM('Front office:Rooms Admin'!H108)</f>
        <v>136358.75999999998</v>
      </c>
      <c r="I151" s="72">
        <f>SUM('Front office:Rooms Admin'!I108)</f>
        <v>141785.28</v>
      </c>
      <c r="J151" s="72">
        <f>SUM('Front office:Rooms Admin'!J108)</f>
        <v>133530.13999999998</v>
      </c>
      <c r="K151" s="72">
        <f>SUM('Front office:Rooms Admin'!K108)</f>
        <v>135484.69</v>
      </c>
      <c r="L151" s="72">
        <f>SUM('Front office:Rooms Admin'!L108)</f>
        <v>133985.45000000001</v>
      </c>
      <c r="M151" s="72">
        <f>SUM('Front office:Rooms Admin'!M108)</f>
        <v>134094.65</v>
      </c>
      <c r="N151" s="72">
        <f>SUM('Front office:Rooms Admin'!N108)</f>
        <v>153537.88</v>
      </c>
      <c r="O151" s="72">
        <f>SUM('Front office:Rooms Admin'!O108)</f>
        <v>135408.91999999998</v>
      </c>
      <c r="P151" s="72">
        <f>SUM('Front office:Rooms Admin'!P108)</f>
        <v>133805</v>
      </c>
      <c r="Q151" s="145">
        <f t="shared" si="71"/>
        <v>1635927.2599999998</v>
      </c>
    </row>
    <row r="152" spans="4:37">
      <c r="D152" s="151" t="s">
        <v>294</v>
      </c>
      <c r="E152" s="72">
        <f>SUM('Front office:Rooms Admin'!E109)</f>
        <v>178845.44000000003</v>
      </c>
      <c r="F152" s="72">
        <f>SUM('Front office:Rooms Admin'!F109)</f>
        <v>139272.17000000001</v>
      </c>
      <c r="G152" s="72">
        <f>SUM('Front office:Rooms Admin'!G109)</f>
        <v>139712.74</v>
      </c>
      <c r="H152" s="72">
        <f>SUM('Front office:Rooms Admin'!H109)</f>
        <v>149218.87999999998</v>
      </c>
      <c r="I152" s="72">
        <f>SUM('Front office:Rooms Admin'!I109)</f>
        <v>161023.40000000002</v>
      </c>
      <c r="J152" s="72">
        <f>SUM('Front office:Rooms Admin'!J109)</f>
        <v>141721.22</v>
      </c>
      <c r="K152" s="72">
        <f>SUM('Front office:Rooms Admin'!K109)</f>
        <v>141584.72</v>
      </c>
      <c r="L152" s="72">
        <f>SUM('Front office:Rooms Admin'!L109)</f>
        <v>141920.26999999999</v>
      </c>
      <c r="M152" s="72">
        <f>SUM('Front office:Rooms Admin'!M109)</f>
        <v>142151.72</v>
      </c>
      <c r="N152" s="72">
        <f>SUM('Front office:Rooms Admin'!N109)</f>
        <v>177771.52000000002</v>
      </c>
      <c r="O152" s="72">
        <f>SUM('Front office:Rooms Admin'!O109)</f>
        <v>141031.92000000001</v>
      </c>
      <c r="P152" s="72">
        <f>SUM('Front office:Rooms Admin'!P109)</f>
        <v>140959.41</v>
      </c>
      <c r="Q152" s="145">
        <f t="shared" si="71"/>
        <v>1795213.41</v>
      </c>
    </row>
    <row r="153" spans="4:37">
      <c r="D153" s="109" t="s">
        <v>295</v>
      </c>
      <c r="E153" s="117">
        <f>SUM(E150:E152)</f>
        <v>335171.43000000005</v>
      </c>
      <c r="F153" s="117">
        <f t="shared" ref="F153:Q153" si="72">SUM(F150:F152)</f>
        <v>284149.12</v>
      </c>
      <c r="G153" s="117">
        <f t="shared" si="72"/>
        <v>286663.28999999998</v>
      </c>
      <c r="H153" s="117">
        <f t="shared" si="72"/>
        <v>302316.63999999996</v>
      </c>
      <c r="I153" s="117">
        <f t="shared" si="72"/>
        <v>319547.68000000005</v>
      </c>
      <c r="J153" s="117">
        <f t="shared" si="72"/>
        <v>291990.36</v>
      </c>
      <c r="K153" s="117">
        <f t="shared" si="72"/>
        <v>293808.41000000003</v>
      </c>
      <c r="L153" s="117">
        <f t="shared" si="72"/>
        <v>292644.71999999997</v>
      </c>
      <c r="M153" s="117">
        <f t="shared" si="72"/>
        <v>292985.37</v>
      </c>
      <c r="N153" s="117">
        <f t="shared" si="72"/>
        <v>348048.4</v>
      </c>
      <c r="O153" s="117">
        <f t="shared" si="72"/>
        <v>293179.83999999997</v>
      </c>
      <c r="P153" s="117">
        <f t="shared" si="72"/>
        <v>291503.41000000003</v>
      </c>
      <c r="Q153" s="117">
        <f t="shared" si="72"/>
        <v>3632008.67</v>
      </c>
    </row>
  </sheetData>
  <phoneticPr fontId="7" type="noConversion"/>
  <dataValidations count="132">
    <dataValidation type="textLength" errorStyle="information" allowBlank="1" showInputMessage="1" showErrorMessage="1" error="XLBVal:6=8_x000d__x000a_" sqref="W51">
      <formula1>0</formula1>
      <formula2>300</formula2>
    </dataValidation>
    <dataValidation type="textLength" errorStyle="information" allowBlank="1" showInputMessage="1" showErrorMessage="1" error="XLBVal:6=63_x000d__x000a_" sqref="V54">
      <formula1>0</formula1>
      <formula2>300</formula2>
    </dataValidation>
    <dataValidation type="textLength" errorStyle="information" allowBlank="1" showInputMessage="1" showErrorMessage="1" error="XLBVal:6=65_x000d__x000a_" sqref="U54">
      <formula1>0</formula1>
      <formula2>300</formula2>
    </dataValidation>
    <dataValidation type="textLength" errorStyle="information" allowBlank="1" showInputMessage="1" showErrorMessage="1" error="XLBVal:6=43_x000d__x000a_" sqref="S54">
      <formula1>0</formula1>
      <formula2>300</formula2>
    </dataValidation>
    <dataValidation type="textLength" errorStyle="information" allowBlank="1" showInputMessage="1" showErrorMessage="1" error="XLBVal:6=53_x000d__x000a_" sqref="V53">
      <formula1>0</formula1>
      <formula2>300</formula2>
    </dataValidation>
    <dataValidation type="textLength" errorStyle="information" allowBlank="1" showInputMessage="1" showErrorMessage="1" error="XLBVal:6=48_x000d__x000a_" sqref="AC54">
      <formula1>0</formula1>
      <formula2>300</formula2>
    </dataValidation>
    <dataValidation type="textLength" errorStyle="information" allowBlank="1" showInputMessage="1" showErrorMessage="1" error="XLBVal:6=121_x000d__x000a_" sqref="AC53">
      <formula1>0</formula1>
      <formula2>300</formula2>
    </dataValidation>
    <dataValidation type="textLength" errorStyle="information" allowBlank="1" showInputMessage="1" showErrorMessage="1" error="XLBVal:6=16116_x000d__x000a_" sqref="AC52">
      <formula1>0</formula1>
      <formula2>300</formula2>
    </dataValidation>
    <dataValidation type="textLength" errorStyle="information" allowBlank="1" showInputMessage="1" showErrorMessage="1" error="XLBVal:6=27_x000d__x000a_" sqref="AC51">
      <formula1>0</formula1>
      <formula2>300</formula2>
    </dataValidation>
    <dataValidation type="textLength" errorStyle="information" allowBlank="1" showInputMessage="1" showErrorMessage="1" error="XLBVal:6=1321_x000d__x000a_" sqref="AC50">
      <formula1>0</formula1>
      <formula2>300</formula2>
    </dataValidation>
    <dataValidation type="textLength" errorStyle="information" allowBlank="1" showInputMessage="1" showErrorMessage="1" error="XLBVal:6=671570.8_x000d__x000a_" sqref="AC11">
      <formula1>0</formula1>
      <formula2>300</formula2>
    </dataValidation>
    <dataValidation type="textLength" errorStyle="information" allowBlank="1" showInputMessage="1" showErrorMessage="1" error="XLBVal:6=1147888.11_x000d__x000a_" sqref="AC10">
      <formula1>0</formula1>
      <formula2>300</formula2>
    </dataValidation>
    <dataValidation type="textLength" errorStyle="information" allowBlank="1" showInputMessage="1" showErrorMessage="1" error="XLBVal:6=16859076.54_x000d__x000a_" sqref="AC9">
      <formula1>0</formula1>
      <formula2>300</formula2>
    </dataValidation>
    <dataValidation type="textLength" errorStyle="information" allowBlank="1" showInputMessage="1" showErrorMessage="1" error="XLBVal:6=58_x000d__x000a_" sqref="AB54">
      <formula1>0</formula1>
      <formula2>300</formula2>
    </dataValidation>
    <dataValidation type="textLength" errorStyle="information" allowBlank="1" showInputMessage="1" showErrorMessage="1" error="XLBVal:6=25_x000d__x000a_" sqref="AA54">
      <formula1>0</formula1>
      <formula2>300</formula2>
    </dataValidation>
    <dataValidation type="textLength" errorStyle="information" allowBlank="1" showInputMessage="1" showErrorMessage="1" error="XLBVal:6=66_x000d__x000a_" sqref="AA53">
      <formula1>0</formula1>
      <formula2>300</formula2>
    </dataValidation>
    <dataValidation type="textLength" errorStyle="information" allowBlank="1" showInputMessage="1" showErrorMessage="1" error="XLBVal:6=11508_x000d__x000a_" sqref="AB52">
      <formula1>0</formula1>
      <formula2>300</formula2>
    </dataValidation>
    <dataValidation type="textLength" errorStyle="information" allowBlank="1" showInputMessage="1" showErrorMessage="1" error="XLBVal:6=7900_x000d__x000a_" sqref="AA52">
      <formula1>0</formula1>
      <formula2>300</formula2>
    </dataValidation>
    <dataValidation type="textLength" errorStyle="information" allowBlank="1" showInputMessage="1" showErrorMessage="1" error="XLBVal:6=36_x000d__x000a_" sqref="AB51">
      <formula1>0</formula1>
      <formula2>300</formula2>
    </dataValidation>
    <dataValidation type="textLength" errorStyle="information" allowBlank="1" showInputMessage="1" showErrorMessage="1" error="XLBVal:6=157_x000d__x000a_" sqref="AA51">
      <formula1>0</formula1>
      <formula2>300</formula2>
    </dataValidation>
    <dataValidation type="textLength" errorStyle="information" allowBlank="1" showInputMessage="1" showErrorMessage="1" error="XLBVal:6=1896_x000d__x000a_" sqref="AB50">
      <formula1>0</formula1>
      <formula2>300</formula2>
    </dataValidation>
    <dataValidation type="textLength" errorStyle="information" allowBlank="1" showInputMessage="1" showErrorMessage="1" error="XLBVal:6=2095_x000d__x000a_" sqref="AA50">
      <formula1>0</formula1>
      <formula2>300</formula2>
    </dataValidation>
    <dataValidation type="textLength" errorStyle="information" allowBlank="1" showInputMessage="1" showErrorMessage="1" error="XLBVal:6=124094.09_x000d__x000a_" sqref="AB11">
      <formula1>0</formula1>
      <formula2>300</formula2>
    </dataValidation>
    <dataValidation type="textLength" errorStyle="information" allowBlank="1" showInputMessage="1" showErrorMessage="1" error="XLBVal:6=34091.79_x000d__x000a_" sqref="AA11">
      <formula1>0</formula1>
      <formula2>300</formula2>
    </dataValidation>
    <dataValidation type="textLength" errorStyle="information" allowBlank="1" showInputMessage="1" showErrorMessage="1" error="XLBVal:6=850694.63_x000d__x000a_" sqref="AB10">
      <formula1>0</formula1>
      <formula2>300</formula2>
    </dataValidation>
    <dataValidation type="textLength" errorStyle="information" allowBlank="1" showInputMessage="1" showErrorMessage="1" error="XLBVal:6=817571.46_x000d__x000a_" sqref="AA10">
      <formula1>0</formula1>
      <formula2>300</formula2>
    </dataValidation>
    <dataValidation type="textLength" errorStyle="information" allowBlank="1" showInputMessage="1" showErrorMessage="1" error="XLBVal:6=8326749.09_x000d__x000a_" sqref="AB9">
      <formula1>0</formula1>
      <formula2>300</formula2>
    </dataValidation>
    <dataValidation type="textLength" errorStyle="information" allowBlank="1" showInputMessage="1" showErrorMessage="1" error="XLBVal:6=6136340.7_x000d__x000a_" sqref="AA9">
      <formula1>0</formula1>
      <formula2>300</formula2>
    </dataValidation>
    <dataValidation type="textLength" errorStyle="information" allowBlank="1" showInputMessage="1" showErrorMessage="1" error="XLBVal:6=211_x000d__x000a_" sqref="Z54">
      <formula1>0</formula1>
      <formula2>300</formula2>
    </dataValidation>
    <dataValidation type="textLength" errorStyle="information" allowBlank="1" showInputMessage="1" showErrorMessage="1" error="XLBVal:6=8141_x000d__x000a_" sqref="Z52">
      <formula1>0</formula1>
      <formula2>300</formula2>
    </dataValidation>
    <dataValidation type="textLength" errorStyle="information" allowBlank="1" showInputMessage="1" showErrorMessage="1" error="XLBVal:6=1900_x000d__x000a_" sqref="Z50">
      <formula1>0</formula1>
      <formula2>300</formula2>
    </dataValidation>
    <dataValidation type="textLength" errorStyle="information" allowBlank="1" showInputMessage="1" showErrorMessage="1" error="XLBVal:6=1182.31_x000d__x000a_" sqref="Z11">
      <formula1>0</formula1>
      <formula2>300</formula2>
    </dataValidation>
    <dataValidation type="textLength" errorStyle="information" allowBlank="1" showInputMessage="1" showErrorMessage="1" error="XLBVal:6=2978388.44_x000d__x000a_" sqref="Z10">
      <formula1>0</formula1>
      <formula2>300</formula2>
    </dataValidation>
    <dataValidation type="textLength" errorStyle="information" allowBlank="1" showInputMessage="1" showErrorMessage="1" error="XLBVal:6=372101.27_x000d__x000a_" sqref="Z9">
      <formula1>0</formula1>
      <formula2>300</formula2>
    </dataValidation>
    <dataValidation type="textLength" errorStyle="information" allowBlank="1" showInputMessage="1" showErrorMessage="1" error="XLBVal:6=121924.73_x000d__x000a_" sqref="Y11">
      <formula1>0</formula1>
      <formula2>300</formula2>
    </dataValidation>
    <dataValidation type="textLength" errorStyle="information" allowBlank="1" showInputMessage="1" showErrorMessage="1" error="XLBVal:6=4320823.56_x000d__x000a_" sqref="Y10">
      <formula1>0</formula1>
      <formula2>300</formula2>
    </dataValidation>
    <dataValidation type="textLength" errorStyle="information" allowBlank="1" showInputMessage="1" showErrorMessage="1" error="XLBVal:6=6039592.12_x000d__x000a_" sqref="Y9">
      <formula1>0</formula1>
      <formula2>300</formula2>
    </dataValidation>
    <dataValidation type="textLength" errorStyle="information" allowBlank="1" showInputMessage="1" showErrorMessage="1" error="XLBVal:6=14250_x000d__x000a_" sqref="Y52">
      <formula1>0</formula1>
      <formula2>300</formula2>
    </dataValidation>
    <dataValidation type="textLength" errorStyle="information" allowBlank="1" showInputMessage="1" showErrorMessage="1" error="XLBVal:6=179_x000d__x000a_" sqref="Y51">
      <formula1>0</formula1>
      <formula2>300</formula2>
    </dataValidation>
    <dataValidation type="textLength" errorStyle="information" allowBlank="1" showInputMessage="1" showErrorMessage="1" error="XLBVal:6=3348_x000d__x000a_" sqref="Y50">
      <formula1>0</formula1>
      <formula2>300</formula2>
    </dataValidation>
    <dataValidation type="textLength" errorStyle="information" allowBlank="1" showInputMessage="1" showErrorMessage="1" error="XLBVal:6=39_x000d__x000a_" sqref="X54">
      <formula1>0</formula1>
      <formula2>300</formula2>
    </dataValidation>
    <dataValidation type="textLength" errorStyle="information" allowBlank="1" showInputMessage="1" showErrorMessage="1" error="XLBVal:6=133_x000d__x000a_" sqref="X53">
      <formula1>0</formula1>
      <formula2>300</formula2>
    </dataValidation>
    <dataValidation type="textLength" errorStyle="information" allowBlank="1" showInputMessage="1" showErrorMessage="1" error="XLBVal:6=19217_x000d__x000a_" sqref="X52">
      <formula1>0</formula1>
      <formula2>300</formula2>
    </dataValidation>
    <dataValidation type="textLength" errorStyle="information" allowBlank="1" showInputMessage="1" showErrorMessage="1" error="XLBVal:6=19_x000d__x000a_" sqref="X51">
      <formula1>0</formula1>
      <formula2>300</formula2>
    </dataValidation>
    <dataValidation type="textLength" errorStyle="information" allowBlank="1" showInputMessage="1" showErrorMessage="1" error="XLBVal:6=827_x000d__x000a_" sqref="X50">
      <formula1>0</formula1>
      <formula2>300</formula2>
    </dataValidation>
    <dataValidation type="textLength" errorStyle="information" allowBlank="1" showInputMessage="1" showErrorMessage="1" error="XLBVal:6=262482.92_x000d__x000a_" sqref="X11">
      <formula1>0</formula1>
      <formula2>300</formula2>
    </dataValidation>
    <dataValidation type="textLength" errorStyle="information" allowBlank="1" showInputMessage="1" showErrorMessage="1" error="XLBVal:6=1785974.8_x000d__x000a_" sqref="X10 X13:AC14">
      <formula1>0</formula1>
      <formula2>300</formula2>
    </dataValidation>
    <dataValidation type="textLength" errorStyle="information" allowBlank="1" showInputMessage="1" showErrorMessage="1" error="XLBVal:6=31079461.46_x000d__x000a_" sqref="X9">
      <formula1>0</formula1>
      <formula2>300</formula2>
    </dataValidation>
    <dataValidation type="textLength" errorStyle="information" allowBlank="1" showInputMessage="1" showErrorMessage="1" error="XLBVal:6=37101.09_x000d__x000a_" sqref="R11">
      <formula1>0</formula1>
      <formula2>300</formula2>
    </dataValidation>
    <dataValidation type="textLength" errorStyle="information" allowBlank="1" showInputMessage="1" showErrorMessage="1" error="XLBVal:6=122_x000d__x000a_" sqref="E54:P54">
      <formula1>0</formula1>
      <formula2>300</formula2>
    </dataValidation>
    <dataValidation type="textLength" errorStyle="information" allowBlank="1" showInputMessage="1" showErrorMessage="1" error="XLBVal:6=192_x000d__x000a_" sqref="E53:P53">
      <formula1>0</formula1>
      <formula2>300</formula2>
    </dataValidation>
    <dataValidation type="textLength" errorStyle="information" allowBlank="1" showInputMessage="1" showErrorMessage="1" error="XLBVal:6=18243_x000d__x000a_" sqref="E52:P52">
      <formula1>0</formula1>
      <formula2>300</formula2>
    </dataValidation>
    <dataValidation type="textLength" errorStyle="information" allowBlank="1" showInputMessage="1" showErrorMessage="1" error="XLBVal:6=494_x000d__x000a_" sqref="E50:P50">
      <formula1>0</formula1>
      <formula2>300</formula2>
    </dataValidation>
    <dataValidation type="textLength" errorStyle="information" allowBlank="1" showInputMessage="1" showErrorMessage="1" error="XLBVal:6=12710780.85_x000d__x000a_" sqref="E9:P11">
      <formula1>0</formula1>
      <formula2>300</formula2>
    </dataValidation>
    <dataValidation type="textLength" errorStyle="information" allowBlank="1" showInputMessage="1" showErrorMessage="1" error="XLBVal:6=61_x000d__x000a_" sqref="W53">
      <formula1>0</formula1>
      <formula2>300</formula2>
    </dataValidation>
    <dataValidation type="textLength" errorStyle="information" allowBlank="1" showInputMessage="1" showErrorMessage="1" error="XLBVal:6=10_x000d__x000a_" sqref="U51">
      <formula1>0</formula1>
      <formula2>300</formula2>
    </dataValidation>
    <dataValidation type="textLength" errorStyle="information" allowBlank="1" showInputMessage="1" showErrorMessage="1" error="XLBVal:6=473_x000d__x000a_" sqref="T50">
      <formula1>0</formula1>
      <formula2>300</formula2>
    </dataValidation>
    <dataValidation type="textLength" errorStyle="information" allowBlank="1" showInputMessage="1" showErrorMessage="1" error="XLBVal:8=Oct 2016_x000d__x000a_" sqref="D4">
      <formula1>0</formula1>
      <formula2>300</formula2>
    </dataValidation>
    <dataValidation type="textLength" errorStyle="information" allowBlank="1" showInputMessage="1" showErrorMessage="1" error="XLBVal:6=49_x000d__x000a_" sqref="Y53 U53">
      <formula1>0</formula1>
      <formula2>300</formula2>
    </dataValidation>
    <dataValidation type="textLength" errorStyle="information" allowBlank="1" showInputMessage="1" showErrorMessage="1" error="XLBVal:6=59_x000d__x000a_" sqref="R54">
      <formula1>0</formula1>
      <formula2>300</formula2>
    </dataValidation>
    <dataValidation type="textLength" errorStyle="information" allowBlank="1" showInputMessage="1" showErrorMessage="1" error="XLBVal:6=82_x000d__x000a_" sqref="AB53">
      <formula1>0</formula1>
      <formula2>300</formula2>
    </dataValidation>
    <dataValidation type="textLength" errorStyle="information" allowBlank="1" showInputMessage="1" showErrorMessage="1" error="XLBVal:6=57_x000d__x000a_" sqref="W54 T54">
      <formula1>0</formula1>
      <formula2>300</formula2>
    </dataValidation>
    <dataValidation type="textLength" errorStyle="information" allowBlank="1" showInputMessage="1" showErrorMessage="1" error="XLBVal:6=74_x000d__x000a_" sqref="T53">
      <formula1>0</formula1>
      <formula2>300</formula2>
    </dataValidation>
    <dataValidation type="textLength" errorStyle="information" allowBlank="1" showInputMessage="1" showErrorMessage="1" error="XLBVal:6=29_x000d__x000a_" sqref="S53">
      <formula1>0</formula1>
      <formula2>300</formula2>
    </dataValidation>
    <dataValidation type="textLength" errorStyle="information" allowBlank="1" showInputMessage="1" showErrorMessage="1" error="XLBVal:6=96_x000d__x000a_" sqref="R53">
      <formula1>0</formula1>
      <formula2>300</formula2>
    </dataValidation>
    <dataValidation type="textLength" errorStyle="information" allowBlank="1" showInputMessage="1" showErrorMessage="1" error="XLBVal:6=17897_x000d__x000a_" sqref="W52">
      <formula1>0</formula1>
      <formula2>300</formula2>
    </dataValidation>
    <dataValidation type="textLength" errorStyle="information" allowBlank="1" showInputMessage="1" showErrorMessage="1" error="XLBVal:6=17477_x000d__x000a_" sqref="V52">
      <formula1>0</formula1>
      <formula2>300</formula2>
    </dataValidation>
    <dataValidation type="textLength" errorStyle="information" allowBlank="1" showInputMessage="1" showErrorMessage="1" error="XLBVal:6=18249_x000d__x000a_" sqref="U52">
      <formula1>0</formula1>
      <formula2>300</formula2>
    </dataValidation>
    <dataValidation type="textLength" errorStyle="information" allowBlank="1" showInputMessage="1" showErrorMessage="1" error="XLBVal:6=19772_x000d__x000a_" sqref="T52">
      <formula1>0</formula1>
      <formula2>300</formula2>
    </dataValidation>
    <dataValidation type="textLength" errorStyle="information" allowBlank="1" showInputMessage="1" showErrorMessage="1" error="XLBVal:6=18855_x000d__x000a_" sqref="S52">
      <formula1>0</formula1>
      <formula2>300</formula2>
    </dataValidation>
    <dataValidation type="textLength" errorStyle="information" allowBlank="1" showInputMessage="1" showErrorMessage="1" error="XLBVal:6=19715_x000d__x000a_" sqref="R52">
      <formula1>0</formula1>
      <formula2>300</formula2>
    </dataValidation>
    <dataValidation type="textLength" errorStyle="information" allowBlank="1" showInputMessage="1" showErrorMessage="1" error="XLBVal:6=4_x000d__x000a_" sqref="Z53">
      <formula1>0</formula1>
      <formula2>300</formula2>
    </dataValidation>
    <dataValidation type="textLength" errorStyle="information" allowBlank="1" showInputMessage="1" showErrorMessage="1" error="XLBVal:6=24_x000d__x000a_" sqref="V51">
      <formula1>0</formula1>
      <formula2>300</formula2>
    </dataValidation>
    <dataValidation type="textLength" errorStyle="information" allowBlank="1" showInputMessage="1" showErrorMessage="1" error="XLBVal:6=6_x000d__x000a_" sqref="T51 E51:P51">
      <formula1>0</formula1>
      <formula2>300</formula2>
    </dataValidation>
    <dataValidation type="textLength" errorStyle="information" allowBlank="1" showInputMessage="1" showErrorMessage="1" error="XLBVal:6=7_x000d__x000a_" sqref="S51">
      <formula1>0</formula1>
      <formula2>300</formula2>
    </dataValidation>
    <dataValidation type="textLength" errorStyle="information" allowBlank="1" showInputMessage="1" showErrorMessage="1" error="XLBVal:6=12_x000d__x000a_" sqref="R51">
      <formula1>0</formula1>
      <formula2>300</formula2>
    </dataValidation>
    <dataValidation type="textLength" errorStyle="information" allowBlank="1" showInputMessage="1" showErrorMessage="1" error="XLBVal:6=1433_x000d__x000a_" sqref="W50">
      <formula1>0</formula1>
      <formula2>300</formula2>
    </dataValidation>
    <dataValidation type="textLength" errorStyle="information" allowBlank="1" showInputMessage="1" showErrorMessage="1" error="XLBVal:6=1729_x000d__x000a_" sqref="V50">
      <formula1>0</formula1>
      <formula2>300</formula2>
    </dataValidation>
    <dataValidation type="textLength" errorStyle="information" allowBlank="1" showInputMessage="1" showErrorMessage="1" error="XLBVal:6=871_x000d__x000a_" sqref="U50">
      <formula1>0</formula1>
      <formula2>300</formula2>
    </dataValidation>
    <dataValidation type="textLength" errorStyle="information" allowBlank="1" showInputMessage="1" showErrorMessage="1" error="XLBVal:6=370_x000d__x000a_" sqref="S50">
      <formula1>0</formula1>
      <formula2>300</formula2>
    </dataValidation>
    <dataValidation type="textLength" errorStyle="information" allowBlank="1" showInputMessage="1" showErrorMessage="1" error="XLBVal:6=450_x000d__x000a_" sqref="R50">
      <formula1>0</formula1>
      <formula2>300</formula2>
    </dataValidation>
    <dataValidation type="textLength" errorStyle="information" allowBlank="1" showInputMessage="1" showErrorMessage="1" error="XLBVal:6=19604_x000d__x000a_" sqref="S48">
      <formula1>0</formula1>
      <formula2>300</formula2>
    </dataValidation>
    <dataValidation type="textLength" errorStyle="information" allowBlank="1" showInputMessage="1" showErrorMessage="1" error="XLBVal:6=1499434.49_x000d__x000a_" sqref="W13">
      <formula1>0</formula1>
      <formula2>300</formula2>
    </dataValidation>
    <dataValidation type="textLength" errorStyle="information" allowBlank="1" showInputMessage="1" showErrorMessage="1" error="XLBVal:6=1740852.76_x000d__x000a_" sqref="V13">
      <formula1>0</formula1>
      <formula2>300</formula2>
    </dataValidation>
    <dataValidation type="textLength" errorStyle="information" allowBlank="1" showInputMessage="1" showErrorMessage="1" error="XLBVal:6=1458652.71_x000d__x000a_" sqref="U13">
      <formula1>0</formula1>
      <formula2>300</formula2>
    </dataValidation>
    <dataValidation type="textLength" errorStyle="information" allowBlank="1" showInputMessage="1" showErrorMessage="1" error="XLBVal:6=2016593.87_x000d__x000a_" sqref="T13">
      <formula1>0</formula1>
      <formula2>300</formula2>
    </dataValidation>
    <dataValidation type="textLength" errorStyle="information" allowBlank="1" showInputMessage="1" showErrorMessage="1" error="XLBVal:6=5195411.57_x000d__x000a_" sqref="S13">
      <formula1>0</formula1>
      <formula2>300</formula2>
    </dataValidation>
    <dataValidation type="textLength" errorStyle="information" allowBlank="1" showInputMessage="1" showErrorMessage="1" error="XLBVal:6=2627494.87_x000d__x000a_" sqref="R13">
      <formula1>0</formula1>
      <formula2>300</formula2>
    </dataValidation>
    <dataValidation type="textLength" errorStyle="information" allowBlank="1" showInputMessage="1" showErrorMessage="1" error="XLBVal:6=398087.65_x000d__x000a_" sqref="W10">
      <formula1>0</formula1>
      <formula2>300</formula2>
    </dataValidation>
    <dataValidation type="textLength" errorStyle="information" allowBlank="1" showInputMessage="1" showErrorMessage="1" error="XLBVal:6=664477.7_x000d__x000a_" sqref="V10">
      <formula1>0</formula1>
      <formula2>300</formula2>
    </dataValidation>
    <dataValidation type="textLength" errorStyle="information" allowBlank="1" showInputMessage="1" showErrorMessage="1" error="XLBVal:6=585025.81_x000d__x000a_" sqref="U10">
      <formula1>0</formula1>
      <formula2>300</formula2>
    </dataValidation>
    <dataValidation type="textLength" errorStyle="information" allowBlank="1" showInputMessage="1" showErrorMessage="1" error="XLBVal:6=1213410.08_x000d__x000a_" sqref="T10">
      <formula1>0</formula1>
      <formula2>300</formula2>
    </dataValidation>
    <dataValidation type="textLength" errorStyle="information" allowBlank="1" showInputMessage="1" showErrorMessage="1" error="XLBVal:6=2004734.78_x000d__x000a_" sqref="S10">
      <formula1>0</formula1>
      <formula2>300</formula2>
    </dataValidation>
    <dataValidation type="textLength" errorStyle="information" allowBlank="1" showInputMessage="1" showErrorMessage="1" error="XLBVal:6=1251296.39_x000d__x000a_" sqref="R10">
      <formula1>0</formula1>
      <formula2>300</formula2>
    </dataValidation>
    <dataValidation type="textLength" errorStyle="information" allowBlank="1" showInputMessage="1" showErrorMessage="1" error="XLBVal:6=13675100.22_x000d__x000a_" sqref="W9">
      <formula1>0</formula1>
      <formula2>300</formula2>
    </dataValidation>
    <dataValidation type="textLength" errorStyle="information" allowBlank="1" showInputMessage="1" showErrorMessage="1" error="XLBVal:6=15030943.77_x000d__x000a_" sqref="V9">
      <formula1>0</formula1>
      <formula2>300</formula2>
    </dataValidation>
    <dataValidation type="textLength" errorStyle="information" allowBlank="1" showInputMessage="1" showErrorMessage="1" error="XLBVal:6=16635442.28_x000d__x000a_" sqref="U9">
      <formula1>0</formula1>
      <formula2>300</formula2>
    </dataValidation>
    <dataValidation type="textLength" errorStyle="information" allowBlank="1" showInputMessage="1" showErrorMessage="1" error="XLBVal:6=18951848_x000d__x000a_" sqref="T9">
      <formula1>0</formula1>
      <formula2>300</formula2>
    </dataValidation>
    <dataValidation type="textLength" errorStyle="information" allowBlank="1" showInputMessage="1" showErrorMessage="1" error="XLBVal:6=45512261.26_x000d__x000a_" sqref="S9">
      <formula1>0</formula1>
      <formula2>300</formula2>
    </dataValidation>
    <dataValidation type="textLength" errorStyle="information" allowBlank="1" showInputMessage="1" showErrorMessage="1" error="XLBVal:6=29424040.98_x000d__x000a_" sqref="R9">
      <formula1>0</formula1>
      <formula2>300</formula2>
    </dataValidation>
    <dataValidation type="textLength" errorStyle="information" allowBlank="1" showInputMessage="1" showErrorMessage="1" error="XLBVal:6=20956_x000d__x000a_" sqref="V48 R48 T48 X48:Y48 E48:P48 AA48 AC48">
      <formula1>0</formula1>
      <formula2>300</formula2>
    </dataValidation>
    <dataValidation type="textLength" errorStyle="information" allowBlank="1" showInputMessage="1" showErrorMessage="1" error="XLBVal:6=20280_x000d__x000a_" sqref="U48 W48 Z48 AB48">
      <formula1>0</formula1>
      <formula2>300</formula2>
    </dataValidation>
    <dataValidation type="textLength" errorStyle="information" allowBlank="1" showInputMessage="1" showErrorMessage="1" error="XLBVal:6=31830625.91_x000d__x000a_" sqref="D14">
      <formula1>0</formula1>
      <formula2>300</formula2>
    </dataValidation>
    <dataValidation type="textLength" errorStyle="information" allowBlank="1" showInputMessage="1" showErrorMessage="1" error="XLBVal:6=266264227.77_x000d__x000a_" sqref="O14">
      <formula1>0</formula1>
      <formula2>300</formula2>
    </dataValidation>
    <dataValidation type="textLength" errorStyle="information" allowBlank="1" showInputMessage="1" showErrorMessage="1" error="XLBVal:6=260430337_x000d__x000a_" sqref="Q14">
      <formula1>0</formula1>
      <formula2>300</formula2>
    </dataValidation>
    <dataValidation type="textLength" errorStyle="information" allowBlank="1" showInputMessage="1" showErrorMessage="1" error="XLBVal:6=52996.83_x000d__x000a_" sqref="D18">
      <formula1>0</formula1>
      <formula2>300</formula2>
    </dataValidation>
    <dataValidation type="textLength" errorStyle="information" allowBlank="1" showInputMessage="1" showErrorMessage="1" error="XLBVal:6=1183968_x000d__x000a_" sqref="Q18">
      <formula1>0</formula1>
      <formula2>300</formula2>
    </dataValidation>
    <dataValidation type="textLength" errorStyle="information" allowBlank="1" showInputMessage="1" showErrorMessage="1" error="XLBVal:6=1128675.21_x000d__x000a_" sqref="AC18">
      <formula1>0</formula1>
      <formula2>300</formula2>
    </dataValidation>
    <dataValidation type="textLength" errorStyle="information" allowBlank="1" showInputMessage="1" showErrorMessage="1" error="XLBVal:6=27748_x000d__x000a_" sqref="D22">
      <formula1>0</formula1>
      <formula2>300</formula2>
    </dataValidation>
    <dataValidation type="textLength" errorStyle="information" allowBlank="1" showInputMessage="1" showErrorMessage="1" error="XLBVal:6=132795_x000d__x000a_" sqref="D23">
      <formula1>0</formula1>
      <formula2>300</formula2>
    </dataValidation>
    <dataValidation type="textLength" errorStyle="information" allowBlank="1" showInputMessage="1" showErrorMessage="1" error="XLBVal:6=7135.64_x000d__x000a_" sqref="D24">
      <formula1>0</formula1>
      <formula2>300</formula2>
    </dataValidation>
    <dataValidation type="textLength" errorStyle="information" allowBlank="1" showInputMessage="1" showErrorMessage="1" error="XLBVal:6=96963_x000d__x000a_" sqref="Q21">
      <formula1>0</formula1>
      <formula2>300</formula2>
    </dataValidation>
    <dataValidation type="textLength" errorStyle="information" allowBlank="1" showInputMessage="1" showErrorMessage="1" error="XLBVal:6=221984_x000d__x000a_" sqref="Q22">
      <formula1>0</formula1>
      <formula2>300</formula2>
    </dataValidation>
    <dataValidation type="textLength" errorStyle="information" allowBlank="1" showInputMessage="1" showErrorMessage="1" error="XLBVal:6=36649.11_x000d__x000a_" sqref="D25">
      <formula1>0</formula1>
      <formula2>300</formula2>
    </dataValidation>
    <dataValidation type="textLength" errorStyle="information" allowBlank="1" showInputMessage="1" showErrorMessage="1" error="XLBVal:6=15431.21_x000d__x000a_" sqref="D26">
      <formula1>0</formula1>
      <formula2>300</formula2>
    </dataValidation>
    <dataValidation type="textLength" errorStyle="information" allowBlank="1" showInputMessage="1" showErrorMessage="1" error="XLBVal:6=33.13_x000d__x000a_" sqref="D28">
      <formula1>0</formula1>
      <formula2>300</formula2>
    </dataValidation>
    <dataValidation type="textLength" errorStyle="information" allowBlank="1" showInputMessage="1" showErrorMessage="1" error="XLBVal:6=964.51_x000d__x000a_" sqref="D27 D29">
      <formula1>0</formula1>
      <formula2>300</formula2>
    </dataValidation>
    <dataValidation type="textLength" errorStyle="information" allowBlank="1" showInputMessage="1" showErrorMessage="1" error="XLBVal:6=8774_x000d__x000a_" sqref="D30">
      <formula1>0</formula1>
      <formula2>300</formula2>
    </dataValidation>
    <dataValidation type="textLength" errorStyle="information" allowBlank="1" showInputMessage="1" showErrorMessage="1" error="XLBVal:6=3240.19_x000d__x000a_" sqref="D31">
      <formula1>0</formula1>
      <formula2>300</formula2>
    </dataValidation>
    <dataValidation type="textLength" errorStyle="information" allowBlank="1" showInputMessage="1" showErrorMessage="1" error="XLBVal:6=234832_x000d__x000a_" sqref="Q25">
      <formula1>0</formula1>
      <formula2>300</formula2>
    </dataValidation>
    <dataValidation type="textLength" errorStyle="information" allowBlank="1" showInputMessage="1" showErrorMessage="1" error="XLBVal:6=103048_x000d__x000a_" sqref="Q26">
      <formula1>0</formula1>
      <formula2>300</formula2>
    </dataValidation>
    <dataValidation type="textLength" errorStyle="information" allowBlank="1" showInputMessage="1" showErrorMessage="1" error="XLBVal:6=5168_x000d__x000a_" sqref="Q28">
      <formula1>0</formula1>
      <formula2>300</formula2>
    </dataValidation>
    <dataValidation type="textLength" errorStyle="information" allowBlank="1" showInputMessage="1" showErrorMessage="1" error="XLBVal:6=6424_x000d__x000a_" sqref="Q29 Q27">
      <formula1>0</formula1>
      <formula2>300</formula2>
    </dataValidation>
    <dataValidation type="textLength" errorStyle="information" allowBlank="1" showInputMessage="1" showErrorMessage="1" error="XLBVal:6=59208_x000d__x000a_" sqref="Q30">
      <formula1>0</formula1>
      <formula2>300</formula2>
    </dataValidation>
    <dataValidation type="textLength" errorStyle="information" allowBlank="1" showInputMessage="1" showErrorMessage="1" error="XLBVal:6=23680_x000d__x000a_" sqref="Q31">
      <formula1>0</formula1>
      <formula2>300</formula2>
    </dataValidation>
    <dataValidation type="textLength" errorStyle="information" allowBlank="1" showInputMessage="1" showErrorMessage="1" error="XLBVal:6=-29556.62_x000d__x000a_" sqref="D38">
      <formula1>0</formula1>
      <formula2>300</formula2>
    </dataValidation>
    <dataValidation type="textLength" errorStyle="information" allowBlank="1" showInputMessage="1" showErrorMessage="1" error="XLBVal:6=2429.09_x000d__x000a_" sqref="D39">
      <formula1>0</formula1>
      <formula2>300</formula2>
    </dataValidation>
    <dataValidation type="textLength" errorStyle="information" allowBlank="1" showInputMessage="1" showErrorMessage="1" error="XLBVal:6=-1006046.71_x000d__x000a_" sqref="D40">
      <formula1>0</formula1>
      <formula2>300</formula2>
    </dataValidation>
    <dataValidation type="textLength" errorStyle="information" allowBlank="1" showInputMessage="1" showErrorMessage="1" error="XLBVal:6=56560_x000d__x000a_" sqref="Q38">
      <formula1>0</formula1>
      <formula2>300</formula2>
    </dataValidation>
    <dataValidation type="textLength" errorStyle="information" allowBlank="1" showInputMessage="1" showErrorMessage="1" error="XLBVal:6=17592_x000d__x000a_" sqref="Q39">
      <formula1>0</formula1>
      <formula2>300</formula2>
    </dataValidation>
    <dataValidation type="textLength" errorStyle="information" allowBlank="1" showInputMessage="1" showErrorMessage="1" error="XLBVal:6=-8082962_x000d__x000a_" sqref="Q40">
      <formula1>0</formula1>
      <formula2>300</formula2>
    </dataValidation>
    <dataValidation type="textLength" errorStyle="information" allowBlank="1" showInputMessage="1" showErrorMessage="1" error="XLBVal:2=0_x000d__x000a_" sqref="D21 D32 Z51 Q35:Q37 Q32 Q23:Q24 E49:J49 E14:H14 R14:W14 D36:D37 R49:AC49 Y54 S11:W11">
      <formula1>0</formula1>
      <formula2>300</formula2>
    </dataValidation>
  </dataValidations>
  <printOptions horizontalCentered="1"/>
  <pageMargins left="0.11811023622047245" right="0.11811023622047245" top="0.59055118110236227" bottom="0.39370078740157483" header="0.31496062992125984" footer="0.31496062992125984"/>
  <pageSetup paperSize="9" scale="38" orientation="landscape" r:id="rId1"/>
  <headerFooter>
    <oddFooter>Page &amp;P of &amp;N</oddFooter>
  </headerFooter>
  <rowBreaks count="1" manualBreakCount="1">
    <brk id="86" min="3" max="4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AJ130"/>
  <sheetViews>
    <sheetView view="pageBreakPreview" zoomScaleNormal="100" zoomScaleSheetLayoutView="100" workbookViewId="0">
      <pane xSplit="5" ySplit="7" topLeftCell="M26" activePane="bottomRight" state="frozen"/>
      <selection activeCell="AP43" sqref="AP43"/>
      <selection pane="topRight" activeCell="AP43" sqref="AP43"/>
      <selection pane="bottomLeft" activeCell="AP43" sqref="AP43"/>
      <selection pane="bottomRight" activeCell="Q25" sqref="Q25"/>
    </sheetView>
  </sheetViews>
  <sheetFormatPr defaultColWidth="9" defaultRowHeight="14.25" outlineLevelCol="2"/>
  <cols>
    <col min="1" max="1" width="10.375" style="105" hidden="1" customWidth="1" outlineLevel="1"/>
    <col min="2" max="3" width="9" style="105" hidden="1" customWidth="1" outlineLevel="1"/>
    <col min="4" max="4" width="43.5" style="105" customWidth="1" collapsed="1"/>
    <col min="5" max="16" width="17.25" style="116" bestFit="1" customWidth="1"/>
    <col min="17" max="17" width="19.5" style="117" bestFit="1" customWidth="1"/>
    <col min="18" max="18" width="13.25" style="116" hidden="1" customWidth="1" outlineLevel="1"/>
    <col min="19" max="19" width="15.75" style="116" hidden="1" customWidth="1" outlineLevel="1"/>
    <col min="20" max="24" width="13.25" style="116" hidden="1" customWidth="1" outlineLevel="1"/>
    <col min="25" max="29" width="17.25" style="116" hidden="1" customWidth="1" outlineLevel="2"/>
    <col min="30" max="30" width="15.75" style="117" customWidth="1" collapsed="1"/>
    <col min="31" max="31" width="15.75" style="116" customWidth="1"/>
    <col min="32" max="32" width="9.625" style="116" bestFit="1" customWidth="1"/>
    <col min="33" max="33" width="18.25" style="109" hidden="1" customWidth="1"/>
    <col min="34" max="34" width="19.5" style="123" hidden="1" customWidth="1"/>
    <col min="35" max="35" width="18.25" style="105" bestFit="1" customWidth="1"/>
    <col min="36" max="36" width="16.125" style="160" bestFit="1" customWidth="1"/>
    <col min="37" max="16384" width="9" style="105"/>
  </cols>
  <sheetData>
    <row r="1" spans="1:36" s="100" customFormat="1">
      <c r="A1" s="100" t="s">
        <v>118</v>
      </c>
      <c r="D1" s="100" t="s">
        <v>146</v>
      </c>
      <c r="E1" s="101">
        <v>2025001</v>
      </c>
      <c r="F1" s="101">
        <v>2025002</v>
      </c>
      <c r="G1" s="101">
        <v>2025003</v>
      </c>
      <c r="H1" s="101">
        <v>2025004</v>
      </c>
      <c r="I1" s="101">
        <v>2025005</v>
      </c>
      <c r="J1" s="101">
        <v>2025006</v>
      </c>
      <c r="K1" s="101">
        <v>2025007</v>
      </c>
      <c r="L1" s="101">
        <v>2025008</v>
      </c>
      <c r="M1" s="101">
        <v>2025009</v>
      </c>
      <c r="N1" s="101">
        <v>2025010</v>
      </c>
      <c r="O1" s="101">
        <v>2025011</v>
      </c>
      <c r="P1" s="101"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02"/>
      <c r="AE1" s="101"/>
      <c r="AF1" s="101"/>
      <c r="AG1" s="103"/>
      <c r="AH1" s="104"/>
      <c r="AJ1" s="153"/>
    </row>
    <row r="2" spans="1:36" s="100" customFormat="1">
      <c r="D2" s="100" t="s">
        <v>147</v>
      </c>
      <c r="E2" s="101">
        <v>2025001</v>
      </c>
      <c r="F2" s="101">
        <v>2025002</v>
      </c>
      <c r="G2" s="101">
        <v>2025003</v>
      </c>
      <c r="H2" s="101">
        <v>2025004</v>
      </c>
      <c r="I2" s="101">
        <v>2025005</v>
      </c>
      <c r="J2" s="101">
        <v>2025006</v>
      </c>
      <c r="K2" s="101">
        <v>2025007</v>
      </c>
      <c r="L2" s="101">
        <v>2025008</v>
      </c>
      <c r="M2" s="101">
        <v>2025009</v>
      </c>
      <c r="N2" s="101">
        <v>2025010</v>
      </c>
      <c r="O2" s="101">
        <v>2025011</v>
      </c>
      <c r="P2" s="101"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02"/>
      <c r="AE2" s="101"/>
      <c r="AF2" s="101"/>
      <c r="AG2" s="103"/>
      <c r="AH2" s="104"/>
      <c r="AJ2" s="153"/>
    </row>
    <row r="3" spans="1:36" s="100" customFormat="1">
      <c r="D3" s="154" t="s">
        <v>296</v>
      </c>
      <c r="E3" s="101" t="s">
        <v>0</v>
      </c>
      <c r="F3" s="101" t="s">
        <v>0</v>
      </c>
      <c r="G3" s="101" t="s">
        <v>0</v>
      </c>
      <c r="H3" s="101" t="s">
        <v>0</v>
      </c>
      <c r="I3" s="101" t="s">
        <v>0</v>
      </c>
      <c r="J3" s="101" t="s">
        <v>0</v>
      </c>
      <c r="K3" s="101" t="s">
        <v>151</v>
      </c>
      <c r="L3" s="101" t="s">
        <v>151</v>
      </c>
      <c r="M3" s="101" t="s">
        <v>151</v>
      </c>
      <c r="N3" s="101" t="s">
        <v>151</v>
      </c>
      <c r="O3" s="101" t="s">
        <v>151</v>
      </c>
      <c r="P3" s="101" t="s">
        <v>151</v>
      </c>
      <c r="Q3" s="102"/>
      <c r="R3" s="112" t="s">
        <v>0</v>
      </c>
      <c r="S3" s="112" t="s">
        <v>0</v>
      </c>
      <c r="T3" s="112" t="s">
        <v>0</v>
      </c>
      <c r="U3" s="112" t="s">
        <v>0</v>
      </c>
      <c r="V3" s="112" t="s">
        <v>0</v>
      </c>
      <c r="W3" s="112" t="s">
        <v>0</v>
      </c>
      <c r="X3" s="112" t="s">
        <v>0</v>
      </c>
      <c r="Y3" s="112" t="s">
        <v>0</v>
      </c>
      <c r="Z3" s="112" t="s">
        <v>0</v>
      </c>
      <c r="AA3" s="112" t="s">
        <v>0</v>
      </c>
      <c r="AB3" s="112" t="s">
        <v>0</v>
      </c>
      <c r="AC3" s="112" t="s">
        <v>0</v>
      </c>
      <c r="AD3" s="102"/>
      <c r="AE3" s="101"/>
      <c r="AF3" s="101"/>
      <c r="AG3" s="103"/>
      <c r="AH3" s="104"/>
      <c r="AJ3" s="153"/>
    </row>
    <row r="4" spans="1:36" s="100" customFormat="1" ht="18">
      <c r="D4" s="18">
        <f>+'2025 Summay'!$D$7</f>
        <v>2025</v>
      </c>
      <c r="E4" s="155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2"/>
      <c r="AE4" s="101"/>
      <c r="AF4" s="101"/>
      <c r="AG4" s="103"/>
      <c r="AH4" s="104"/>
      <c r="AJ4" s="153"/>
    </row>
    <row r="5" spans="1:36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2"/>
      <c r="AE5" s="101"/>
      <c r="AF5" s="101"/>
      <c r="AG5" s="103"/>
      <c r="AH5" s="104"/>
      <c r="AJ5" s="153"/>
    </row>
    <row r="6" spans="1:36" s="100" customFormat="1">
      <c r="D6" s="100" t="s">
        <v>154</v>
      </c>
      <c r="E6" s="112">
        <f>'Rooms+Summary'!E6</f>
        <v>1</v>
      </c>
      <c r="F6" s="112">
        <f>'Rooms+Summary'!F6</f>
        <v>2</v>
      </c>
      <c r="G6" s="112">
        <f>'Rooms+Summary'!G6</f>
        <v>3</v>
      </c>
      <c r="H6" s="112">
        <f>'Rooms+Summary'!H6</f>
        <v>4</v>
      </c>
      <c r="I6" s="112">
        <f>'Rooms+Summary'!I6</f>
        <v>5</v>
      </c>
      <c r="J6" s="112">
        <f>'Rooms+Summary'!J6</f>
        <v>6</v>
      </c>
      <c r="K6" s="112">
        <f>'Rooms+Summary'!K6</f>
        <v>7</v>
      </c>
      <c r="L6" s="112">
        <f>'Rooms+Summary'!L6</f>
        <v>8</v>
      </c>
      <c r="M6" s="112">
        <f>'Rooms+Summary'!M6</f>
        <v>9</v>
      </c>
      <c r="N6" s="112">
        <f>'Rooms+Summary'!N6</f>
        <v>10</v>
      </c>
      <c r="O6" s="112">
        <f>'Rooms+Summary'!O6</f>
        <v>11</v>
      </c>
      <c r="P6" s="112">
        <f>'Rooms+Summary'!P6</f>
        <v>12</v>
      </c>
      <c r="Q6" s="156">
        <f>'Rooms+Summary'!Q6</f>
        <v>2025</v>
      </c>
      <c r="R6" s="114">
        <f>'Rooms+Summary'!R6</f>
        <v>202401</v>
      </c>
      <c r="S6" s="114">
        <f>'Rooms+Summary'!S6</f>
        <v>202402</v>
      </c>
      <c r="T6" s="114">
        <f>'Rooms+Summary'!T6</f>
        <v>202403</v>
      </c>
      <c r="U6" s="114">
        <f>'Rooms+Summary'!U6</f>
        <v>202404</v>
      </c>
      <c r="V6" s="114">
        <f>'Rooms+Summary'!V6</f>
        <v>202405</v>
      </c>
      <c r="W6" s="114">
        <f>'Rooms+Summary'!W6</f>
        <v>202406</v>
      </c>
      <c r="X6" s="114">
        <f>'Rooms+Summary'!X6</f>
        <v>202407</v>
      </c>
      <c r="Y6" s="114">
        <f>'Rooms+Summary'!Y6</f>
        <v>202408</v>
      </c>
      <c r="Z6" s="114">
        <f>'Rooms+Summary'!Z6</f>
        <v>202409</v>
      </c>
      <c r="AA6" s="114">
        <f>'Rooms+Summary'!AA6</f>
        <v>202410</v>
      </c>
      <c r="AB6" s="114">
        <f>'Rooms+Summary'!AB6</f>
        <v>202411</v>
      </c>
      <c r="AC6" s="114">
        <f>'Rooms+Summary'!AC6</f>
        <v>202412</v>
      </c>
      <c r="AD6" s="115">
        <f>'Rooms+Summary'!AD6</f>
        <v>2024</v>
      </c>
      <c r="AE6" s="114"/>
      <c r="AF6" s="114"/>
      <c r="AG6" s="157">
        <v>2019</v>
      </c>
      <c r="AH6" s="104"/>
      <c r="AJ6" s="153"/>
    </row>
    <row r="7" spans="1:36">
      <c r="D7" s="105" t="s">
        <v>154</v>
      </c>
      <c r="E7" s="116" t="str">
        <f>'Rooms+Summary'!E7</f>
        <v>Budget</v>
      </c>
      <c r="F7" s="116" t="str">
        <f>'Rooms+Summary'!F7</f>
        <v>Budget</v>
      </c>
      <c r="G7" s="116" t="str">
        <f>'Rooms+Summary'!G7</f>
        <v>Budget</v>
      </c>
      <c r="H7" s="116" t="str">
        <f>'Rooms+Summary'!H7</f>
        <v>Budget</v>
      </c>
      <c r="I7" s="116" t="str">
        <f>'Rooms+Summary'!I7</f>
        <v>Budget</v>
      </c>
      <c r="J7" s="116" t="str">
        <f>'Rooms+Summary'!J7</f>
        <v>Budget</v>
      </c>
      <c r="K7" s="116" t="str">
        <f>'Rooms+Summary'!K7</f>
        <v>Budget</v>
      </c>
      <c r="L7" s="116" t="str">
        <f>'Rooms+Summary'!L7</f>
        <v>Budget</v>
      </c>
      <c r="M7" s="116" t="str">
        <f>'Rooms+Summary'!M7</f>
        <v>Budget</v>
      </c>
      <c r="N7" s="116" t="str">
        <f>'Rooms+Summary'!N7</f>
        <v>Budget</v>
      </c>
      <c r="O7" s="116" t="str">
        <f>'Rooms+Summary'!O7</f>
        <v>Budget</v>
      </c>
      <c r="P7" s="116" t="str">
        <f>'Rooms+Summary'!P7</f>
        <v>Budget</v>
      </c>
      <c r="Q7" s="117" t="str">
        <f>'Rooms+Summary'!Q7</f>
        <v>Budget</v>
      </c>
      <c r="R7" s="118" t="str">
        <f>'Rooms+Summary'!R7</f>
        <v>Actual</v>
      </c>
      <c r="S7" s="118" t="str">
        <f>'Rooms+Summary'!S7</f>
        <v>Actual</v>
      </c>
      <c r="T7" s="118" t="str">
        <f>'Rooms+Summary'!T7</f>
        <v>Actual</v>
      </c>
      <c r="U7" s="118" t="str">
        <f>'Rooms+Summary'!U7</f>
        <v>Actual</v>
      </c>
      <c r="V7" s="118" t="str">
        <f>'Rooms+Summary'!V7</f>
        <v>Actual</v>
      </c>
      <c r="W7" s="118" t="str">
        <f>'Rooms+Summary'!W7</f>
        <v>Actual</v>
      </c>
      <c r="X7" s="118" t="str">
        <f>'Rooms+Summary'!X7</f>
        <v>Actual</v>
      </c>
      <c r="Y7" s="118" t="str">
        <f>'Rooms+Summary'!Y7</f>
        <v>Actual</v>
      </c>
      <c r="Z7" s="118" t="str">
        <f>'Rooms+Summary'!Z7</f>
        <v>Forecast</v>
      </c>
      <c r="AA7" s="118" t="str">
        <f>'Rooms+Summary'!AA7</f>
        <v>Forecast</v>
      </c>
      <c r="AB7" s="118" t="str">
        <f>'Rooms+Summary'!AB7</f>
        <v>Forecast</v>
      </c>
      <c r="AC7" s="118" t="str">
        <f>'Rooms+Summary'!AC7</f>
        <v>Forecast</v>
      </c>
      <c r="AD7" s="119" t="str">
        <f>'Rooms+Summary'!AD7</f>
        <v>Forecast</v>
      </c>
      <c r="AE7" s="118" t="s">
        <v>6</v>
      </c>
      <c r="AF7" s="120" t="s">
        <v>156</v>
      </c>
      <c r="AG7" s="158" t="s">
        <v>12</v>
      </c>
      <c r="AJ7" s="159"/>
    </row>
    <row r="8" spans="1:36">
      <c r="D8" s="105" t="s">
        <v>158</v>
      </c>
      <c r="AG8" s="129"/>
    </row>
    <row r="9" spans="1:36">
      <c r="A9" s="105" t="s">
        <v>159</v>
      </c>
      <c r="B9" s="105" t="s">
        <v>297</v>
      </c>
      <c r="C9" s="105" t="s">
        <v>298</v>
      </c>
      <c r="D9" s="105" t="s">
        <v>162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117">
        <f>SUM(E9:P9)</f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/>
      <c r="Y9" s="72"/>
      <c r="Z9" s="72"/>
      <c r="AA9" s="72"/>
      <c r="AB9" s="72"/>
      <c r="AC9" s="72"/>
      <c r="AD9" s="127">
        <f>SUM(R9:AC9)</f>
        <v>0</v>
      </c>
      <c r="AE9" s="72">
        <f>Q9-AD9</f>
        <v>0</v>
      </c>
      <c r="AF9" s="128" t="e">
        <f>AE9/AD9</f>
        <v>#DIV/0!</v>
      </c>
      <c r="AG9" s="129">
        <v>0</v>
      </c>
      <c r="AH9" s="123">
        <f t="shared" ref="AH9:AH16" si="0">Q9-AG9</f>
        <v>0</v>
      </c>
    </row>
    <row r="10" spans="1:36">
      <c r="A10" s="105" t="s">
        <v>159</v>
      </c>
      <c r="B10" s="105" t="s">
        <v>297</v>
      </c>
      <c r="C10" s="105" t="s">
        <v>299</v>
      </c>
      <c r="D10" s="105" t="s">
        <v>164</v>
      </c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117">
        <f>SUM(E10:P10)</f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/>
      <c r="Y10" s="72"/>
      <c r="Z10" s="72"/>
      <c r="AA10" s="72"/>
      <c r="AB10" s="72"/>
      <c r="AC10" s="72"/>
      <c r="AD10" s="127">
        <f t="shared" ref="AD10:AD17" si="1">SUM(R10:AC10)</f>
        <v>0</v>
      </c>
      <c r="AE10" s="72">
        <f t="shared" ref="AE10:AE15" si="2">Q10-AD10</f>
        <v>0</v>
      </c>
      <c r="AF10" s="128" t="e">
        <f t="shared" ref="AF10:AF17" si="3">AE10/AD10</f>
        <v>#DIV/0!</v>
      </c>
      <c r="AG10" s="129">
        <v>0</v>
      </c>
      <c r="AH10" s="123">
        <f t="shared" si="0"/>
        <v>0</v>
      </c>
    </row>
    <row r="11" spans="1:36">
      <c r="A11" s="105" t="s">
        <v>300</v>
      </c>
      <c r="D11" s="105" t="s">
        <v>166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117">
        <f>SUM(E11:P11)</f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/>
      <c r="Y11" s="72"/>
      <c r="Z11" s="72"/>
      <c r="AA11" s="72"/>
      <c r="AB11" s="72"/>
      <c r="AC11" s="72"/>
      <c r="AD11" s="127">
        <f t="shared" si="1"/>
        <v>0</v>
      </c>
      <c r="AE11" s="72">
        <f t="shared" si="2"/>
        <v>0</v>
      </c>
      <c r="AF11" s="128"/>
      <c r="AG11" s="129">
        <v>0</v>
      </c>
      <c r="AH11" s="123">
        <f t="shared" si="0"/>
        <v>0</v>
      </c>
    </row>
    <row r="12" spans="1:36">
      <c r="A12" s="105" t="s">
        <v>301</v>
      </c>
      <c r="D12" s="109" t="s">
        <v>168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17">
        <f>SUM(Q9:Q11)</f>
        <v>0</v>
      </c>
      <c r="R12" s="127">
        <f t="shared" ref="R12:AC12" si="4">SUM(R9:R11)</f>
        <v>0</v>
      </c>
      <c r="S12" s="127">
        <f t="shared" si="4"/>
        <v>0</v>
      </c>
      <c r="T12" s="127">
        <f t="shared" si="4"/>
        <v>0</v>
      </c>
      <c r="U12" s="127">
        <f t="shared" si="4"/>
        <v>0</v>
      </c>
      <c r="V12" s="127">
        <f t="shared" si="4"/>
        <v>0</v>
      </c>
      <c r="W12" s="127">
        <f t="shared" si="4"/>
        <v>0</v>
      </c>
      <c r="X12" s="127">
        <f t="shared" si="4"/>
        <v>0</v>
      </c>
      <c r="Y12" s="127">
        <f t="shared" si="4"/>
        <v>0</v>
      </c>
      <c r="Z12" s="127">
        <f t="shared" si="4"/>
        <v>0</v>
      </c>
      <c r="AA12" s="127">
        <f t="shared" si="4"/>
        <v>0</v>
      </c>
      <c r="AB12" s="127">
        <f t="shared" si="4"/>
        <v>0</v>
      </c>
      <c r="AC12" s="127">
        <f t="shared" si="4"/>
        <v>0</v>
      </c>
      <c r="AD12" s="127">
        <f t="shared" si="1"/>
        <v>0</v>
      </c>
      <c r="AE12" s="72">
        <f t="shared" si="2"/>
        <v>0</v>
      </c>
      <c r="AF12" s="128" t="e">
        <f t="shared" si="3"/>
        <v>#DIV/0!</v>
      </c>
      <c r="AG12" s="129">
        <v>0</v>
      </c>
      <c r="AH12" s="123">
        <f t="shared" si="0"/>
        <v>0</v>
      </c>
    </row>
    <row r="13" spans="1:36">
      <c r="A13" s="105" t="s">
        <v>169</v>
      </c>
      <c r="B13" s="105" t="s">
        <v>297</v>
      </c>
      <c r="D13" s="105" t="s">
        <v>170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117">
        <f>SUM(E13:P13)</f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/>
      <c r="Y13" s="72"/>
      <c r="Z13" s="72"/>
      <c r="AA13" s="72"/>
      <c r="AB13" s="72"/>
      <c r="AC13" s="72"/>
      <c r="AD13" s="127">
        <f t="shared" si="1"/>
        <v>0</v>
      </c>
      <c r="AE13" s="72">
        <f t="shared" si="2"/>
        <v>0</v>
      </c>
      <c r="AF13" s="128" t="e">
        <f t="shared" si="3"/>
        <v>#DIV/0!</v>
      </c>
      <c r="AG13" s="129">
        <v>0</v>
      </c>
      <c r="AH13" s="123">
        <f t="shared" si="0"/>
        <v>0</v>
      </c>
    </row>
    <row r="14" spans="1:36">
      <c r="A14" s="105" t="s">
        <v>300</v>
      </c>
      <c r="D14" s="105" t="s">
        <v>171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117">
        <f>SUM(E14:P14)</f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/>
      <c r="Y14" s="72"/>
      <c r="Z14" s="72"/>
      <c r="AA14" s="72"/>
      <c r="AB14" s="72"/>
      <c r="AC14" s="72"/>
      <c r="AD14" s="127">
        <f t="shared" si="1"/>
        <v>0</v>
      </c>
      <c r="AE14" s="72">
        <f t="shared" si="2"/>
        <v>0</v>
      </c>
      <c r="AF14" s="128"/>
      <c r="AG14" s="129">
        <v>0</v>
      </c>
      <c r="AH14" s="123">
        <f t="shared" si="0"/>
        <v>0</v>
      </c>
    </row>
    <row r="15" spans="1:36" s="109" customFormat="1">
      <c r="D15" s="109" t="s">
        <v>172</v>
      </c>
      <c r="E15" s="127">
        <f t="shared" ref="E15:P15" si="5">SUM(E12:E14)</f>
        <v>0</v>
      </c>
      <c r="F15" s="127">
        <f t="shared" si="5"/>
        <v>0</v>
      </c>
      <c r="G15" s="127">
        <f t="shared" si="5"/>
        <v>0</v>
      </c>
      <c r="H15" s="127">
        <f t="shared" si="5"/>
        <v>0</v>
      </c>
      <c r="I15" s="127">
        <f t="shared" si="5"/>
        <v>0</v>
      </c>
      <c r="J15" s="127">
        <f t="shared" si="5"/>
        <v>0</v>
      </c>
      <c r="K15" s="127">
        <f t="shared" si="5"/>
        <v>0</v>
      </c>
      <c r="L15" s="127">
        <f t="shared" si="5"/>
        <v>0</v>
      </c>
      <c r="M15" s="127">
        <f t="shared" si="5"/>
        <v>0</v>
      </c>
      <c r="N15" s="127">
        <f t="shared" si="5"/>
        <v>0</v>
      </c>
      <c r="O15" s="127">
        <f t="shared" si="5"/>
        <v>0</v>
      </c>
      <c r="P15" s="127">
        <f t="shared" si="5"/>
        <v>0</v>
      </c>
      <c r="Q15" s="117">
        <f>SUM(Q12:Q14)</f>
        <v>0</v>
      </c>
      <c r="R15" s="127">
        <f t="shared" ref="R15:AC15" si="6">SUM(R12:R14)</f>
        <v>0</v>
      </c>
      <c r="S15" s="127">
        <f t="shared" si="6"/>
        <v>0</v>
      </c>
      <c r="T15" s="127">
        <f t="shared" si="6"/>
        <v>0</v>
      </c>
      <c r="U15" s="127">
        <f t="shared" si="6"/>
        <v>0</v>
      </c>
      <c r="V15" s="127">
        <f t="shared" si="6"/>
        <v>0</v>
      </c>
      <c r="W15" s="127">
        <f t="shared" si="6"/>
        <v>0</v>
      </c>
      <c r="X15" s="127">
        <f t="shared" si="6"/>
        <v>0</v>
      </c>
      <c r="Y15" s="127">
        <f t="shared" si="6"/>
        <v>0</v>
      </c>
      <c r="Z15" s="127">
        <f t="shared" si="6"/>
        <v>0</v>
      </c>
      <c r="AA15" s="127">
        <f t="shared" si="6"/>
        <v>0</v>
      </c>
      <c r="AB15" s="127">
        <f t="shared" si="6"/>
        <v>0</v>
      </c>
      <c r="AC15" s="127">
        <f t="shared" si="6"/>
        <v>0</v>
      </c>
      <c r="AD15" s="127">
        <f t="shared" si="1"/>
        <v>0</v>
      </c>
      <c r="AE15" s="127">
        <f t="shared" si="2"/>
        <v>0</v>
      </c>
      <c r="AF15" s="132" t="e">
        <f t="shared" si="3"/>
        <v>#DIV/0!</v>
      </c>
      <c r="AG15" s="129">
        <v>0</v>
      </c>
      <c r="AH15" s="133">
        <f t="shared" si="0"/>
        <v>0</v>
      </c>
      <c r="AJ15" s="161"/>
    </row>
    <row r="16" spans="1:36">
      <c r="D16" s="105" t="s">
        <v>154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127"/>
      <c r="AE16" s="72"/>
      <c r="AF16" s="128"/>
      <c r="AG16" s="129">
        <v>0</v>
      </c>
      <c r="AH16" s="123">
        <f t="shared" si="0"/>
        <v>0</v>
      </c>
    </row>
    <row r="17" spans="1:36" s="109" customFormat="1">
      <c r="A17" s="109" t="s">
        <v>173</v>
      </c>
      <c r="B17" s="109" t="s">
        <v>297</v>
      </c>
      <c r="D17" s="109" t="s">
        <v>175</v>
      </c>
      <c r="E17" s="127">
        <f t="shared" ref="E17:AC17" si="7">E98</f>
        <v>489388.56</v>
      </c>
      <c r="F17" s="127">
        <f t="shared" si="7"/>
        <v>428553.33999999997</v>
      </c>
      <c r="G17" s="127">
        <f t="shared" si="7"/>
        <v>433733.92000000004</v>
      </c>
      <c r="H17" s="127">
        <f t="shared" si="7"/>
        <v>448217.85000000003</v>
      </c>
      <c r="I17" s="127">
        <f t="shared" si="7"/>
        <v>459324.54000000004</v>
      </c>
      <c r="J17" s="127">
        <f t="shared" si="7"/>
        <v>435537.55000000005</v>
      </c>
      <c r="K17" s="127">
        <f t="shared" si="7"/>
        <v>437484.67</v>
      </c>
      <c r="L17" s="127">
        <f t="shared" si="7"/>
        <v>444634.35</v>
      </c>
      <c r="M17" s="127">
        <f t="shared" si="7"/>
        <v>444867.35</v>
      </c>
      <c r="N17" s="127">
        <f t="shared" si="7"/>
        <v>504141.75000000006</v>
      </c>
      <c r="O17" s="127">
        <f t="shared" si="7"/>
        <v>444819.85</v>
      </c>
      <c r="P17" s="127">
        <f t="shared" si="7"/>
        <v>443768.72</v>
      </c>
      <c r="Q17" s="117">
        <f t="shared" si="7"/>
        <v>5414472.4500000002</v>
      </c>
      <c r="R17" s="127">
        <f t="shared" si="7"/>
        <v>405692.05999999994</v>
      </c>
      <c r="S17" s="127">
        <f t="shared" si="7"/>
        <v>449276.23000000004</v>
      </c>
      <c r="T17" s="127">
        <f t="shared" si="7"/>
        <v>370777.19999999995</v>
      </c>
      <c r="U17" s="127">
        <f t="shared" si="7"/>
        <v>344414.4</v>
      </c>
      <c r="V17" s="127">
        <f t="shared" si="7"/>
        <v>335033.08</v>
      </c>
      <c r="W17" s="127">
        <f t="shared" si="7"/>
        <v>325708.69999999995</v>
      </c>
      <c r="X17" s="127">
        <f t="shared" si="7"/>
        <v>317297.67000000004</v>
      </c>
      <c r="Y17" s="127">
        <f t="shared" si="7"/>
        <v>649531.85000000009</v>
      </c>
      <c r="Z17" s="127">
        <f t="shared" si="7"/>
        <v>438320.14</v>
      </c>
      <c r="AA17" s="127">
        <f t="shared" si="7"/>
        <v>505436.74000000005</v>
      </c>
      <c r="AB17" s="127">
        <f t="shared" si="7"/>
        <v>450355.54</v>
      </c>
      <c r="AC17" s="127">
        <f t="shared" si="7"/>
        <v>454859.54</v>
      </c>
      <c r="AD17" s="127">
        <f t="shared" si="1"/>
        <v>5046703.1500000004</v>
      </c>
      <c r="AE17" s="127">
        <f>AD17-Q17</f>
        <v>-367769.29999999981</v>
      </c>
      <c r="AF17" s="132">
        <f t="shared" si="3"/>
        <v>-7.287317860175703E-2</v>
      </c>
      <c r="AG17" s="129">
        <v>4819155.46</v>
      </c>
      <c r="AH17" s="133">
        <f>AG17-Q17</f>
        <v>-595316.99000000022</v>
      </c>
      <c r="AI17" s="129"/>
      <c r="AJ17" s="161"/>
    </row>
    <row r="18" spans="1:36">
      <c r="D18" s="105" t="s">
        <v>154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127"/>
      <c r="AE18" s="72"/>
      <c r="AF18" s="128"/>
      <c r="AG18" s="129"/>
      <c r="AI18" s="129"/>
    </row>
    <row r="19" spans="1:36">
      <c r="D19" s="105" t="s">
        <v>176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R19" s="72"/>
      <c r="S19" s="72"/>
      <c r="T19" s="72"/>
      <c r="U19" s="72"/>
      <c r="V19" s="72"/>
      <c r="W19" s="128"/>
      <c r="X19" s="128"/>
      <c r="Y19" s="128"/>
      <c r="Z19" s="128"/>
      <c r="AA19" s="128"/>
      <c r="AB19" s="128"/>
      <c r="AC19" s="128"/>
      <c r="AD19" s="127"/>
      <c r="AE19" s="72"/>
      <c r="AF19" s="128"/>
      <c r="AG19" s="129"/>
      <c r="AI19" s="129"/>
    </row>
    <row r="20" spans="1:36">
      <c r="A20" s="105" t="s">
        <v>177</v>
      </c>
      <c r="B20" s="105" t="s">
        <v>297</v>
      </c>
      <c r="D20" s="105" t="s">
        <v>302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117">
        <f>SUM(E20:P20)</f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127">
        <f t="shared" ref="AD20:AD43" si="8">SUM(R20:AC20)</f>
        <v>0</v>
      </c>
      <c r="AE20" s="72">
        <f t="shared" ref="AE20:AE45" si="9">Q20-AD20</f>
        <v>0</v>
      </c>
      <c r="AF20" s="128" t="e">
        <f t="shared" ref="AF20:AF45" si="10">AE20/AD20</f>
        <v>#DIV/0!</v>
      </c>
      <c r="AG20" s="129">
        <v>0</v>
      </c>
      <c r="AH20" s="133">
        <f t="shared" ref="AH20:AH44" si="11">AG20-Q20</f>
        <v>0</v>
      </c>
      <c r="AI20" s="129"/>
    </row>
    <row r="21" spans="1:36">
      <c r="A21" s="105" t="s">
        <v>179</v>
      </c>
      <c r="B21" s="105" t="s">
        <v>297</v>
      </c>
      <c r="D21" s="105" t="s">
        <v>143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117">
        <f t="shared" ref="Q21:Q43" si="12">SUM(E21:P21)</f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127">
        <f t="shared" si="8"/>
        <v>0</v>
      </c>
      <c r="AE21" s="72">
        <f t="shared" si="9"/>
        <v>0</v>
      </c>
      <c r="AF21" s="128" t="e">
        <f t="shared" si="10"/>
        <v>#DIV/0!</v>
      </c>
      <c r="AG21" s="129">
        <v>0</v>
      </c>
      <c r="AH21" s="133">
        <f t="shared" si="11"/>
        <v>0</v>
      </c>
      <c r="AI21" s="129"/>
    </row>
    <row r="22" spans="1:36">
      <c r="A22" s="105" t="s">
        <v>180</v>
      </c>
      <c r="B22" s="105" t="s">
        <v>297</v>
      </c>
      <c r="D22" s="105" t="s">
        <v>144</v>
      </c>
      <c r="E22" s="162">
        <f>+E107+E108+E109</f>
        <v>144802.24000000002</v>
      </c>
      <c r="F22" s="162">
        <f t="shared" ref="F22:P22" si="13">+F107+F108+F109</f>
        <v>121828.52</v>
      </c>
      <c r="G22" s="162">
        <f t="shared" si="13"/>
        <v>122534.03</v>
      </c>
      <c r="H22" s="162">
        <f t="shared" si="13"/>
        <v>127953.29000000001</v>
      </c>
      <c r="I22" s="162">
        <f t="shared" si="13"/>
        <v>134377.60000000001</v>
      </c>
      <c r="J22" s="162">
        <f t="shared" si="13"/>
        <v>123799.40000000001</v>
      </c>
      <c r="K22" s="162">
        <f t="shared" si="13"/>
        <v>124051.62000000001</v>
      </c>
      <c r="L22" s="162">
        <f t="shared" si="13"/>
        <v>124114.8</v>
      </c>
      <c r="M22" s="162">
        <f t="shared" si="13"/>
        <v>124234.84</v>
      </c>
      <c r="N22" s="162">
        <f t="shared" si="13"/>
        <v>147167.93</v>
      </c>
      <c r="O22" s="162">
        <f t="shared" si="13"/>
        <v>123649.34000000001</v>
      </c>
      <c r="P22" s="162">
        <f t="shared" si="13"/>
        <v>123447.04000000001</v>
      </c>
      <c r="Q22" s="117">
        <f t="shared" si="12"/>
        <v>1541960.6500000001</v>
      </c>
      <c r="R22" s="72">
        <v>179444.07</v>
      </c>
      <c r="S22" s="72">
        <v>221848.28</v>
      </c>
      <c r="T22" s="72">
        <v>206091.53</v>
      </c>
      <c r="U22" s="72">
        <v>159428.57999999999</v>
      </c>
      <c r="V22" s="72">
        <v>123764.79</v>
      </c>
      <c r="W22" s="72">
        <v>101612.4</v>
      </c>
      <c r="X22" s="72">
        <v>126329.46</v>
      </c>
      <c r="Y22" s="72">
        <v>149929.01</v>
      </c>
      <c r="Z22" s="72">
        <v>34428.690000000017</v>
      </c>
      <c r="AA22" s="72">
        <v>17229.089999999967</v>
      </c>
      <c r="AB22" s="72">
        <v>11842.290000000037</v>
      </c>
      <c r="AC22" s="72">
        <v>13412.290000000037</v>
      </c>
      <c r="AD22" s="127">
        <f t="shared" si="8"/>
        <v>1345360.48</v>
      </c>
      <c r="AE22" s="72">
        <f t="shared" si="9"/>
        <v>196600.17000000016</v>
      </c>
      <c r="AF22" s="128">
        <f t="shared" si="10"/>
        <v>0.14613196457205296</v>
      </c>
      <c r="AG22" s="129">
        <v>43238.530000000006</v>
      </c>
      <c r="AH22" s="133">
        <f t="shared" si="11"/>
        <v>-1498722.12</v>
      </c>
      <c r="AI22" s="129"/>
      <c r="AJ22" s="163"/>
    </row>
    <row r="23" spans="1:36">
      <c r="A23" s="105" t="s">
        <v>181</v>
      </c>
      <c r="B23" s="105" t="s">
        <v>297</v>
      </c>
      <c r="D23" s="105" t="s">
        <v>182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117">
        <f t="shared" si="12"/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127">
        <f t="shared" si="8"/>
        <v>0</v>
      </c>
      <c r="AE23" s="72">
        <f t="shared" si="9"/>
        <v>0</v>
      </c>
      <c r="AF23" s="128" t="e">
        <f t="shared" si="10"/>
        <v>#DIV/0!</v>
      </c>
      <c r="AG23" s="129">
        <v>0</v>
      </c>
      <c r="AH23" s="133">
        <f t="shared" si="11"/>
        <v>0</v>
      </c>
      <c r="AI23" s="129"/>
      <c r="AJ23" s="163"/>
    </row>
    <row r="24" spans="1:36">
      <c r="A24" s="105" t="s">
        <v>183</v>
      </c>
      <c r="B24" s="105" t="s">
        <v>297</v>
      </c>
      <c r="D24" s="105" t="s">
        <v>184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117">
        <f t="shared" si="12"/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72">
        <v>0</v>
      </c>
      <c r="AD24" s="127">
        <f t="shared" si="8"/>
        <v>0</v>
      </c>
      <c r="AE24" s="72">
        <f t="shared" si="9"/>
        <v>0</v>
      </c>
      <c r="AF24" s="128" t="e">
        <f t="shared" si="10"/>
        <v>#DIV/0!</v>
      </c>
      <c r="AG24" s="129">
        <v>28670.679999999997</v>
      </c>
      <c r="AH24" s="133">
        <f t="shared" si="11"/>
        <v>28670.679999999997</v>
      </c>
      <c r="AI24" s="129"/>
      <c r="AJ24" s="163"/>
    </row>
    <row r="25" spans="1:36">
      <c r="A25" s="105" t="s">
        <v>185</v>
      </c>
      <c r="B25" s="105" t="s">
        <v>297</v>
      </c>
      <c r="D25" s="105" t="s">
        <v>186</v>
      </c>
      <c r="E25" s="72">
        <v>428</v>
      </c>
      <c r="F25" s="72">
        <v>428</v>
      </c>
      <c r="G25" s="72">
        <v>428</v>
      </c>
      <c r="H25" s="72">
        <v>428</v>
      </c>
      <c r="I25" s="72">
        <v>428</v>
      </c>
      <c r="J25" s="72">
        <v>428</v>
      </c>
      <c r="K25" s="72">
        <v>428</v>
      </c>
      <c r="L25" s="72">
        <v>428</v>
      </c>
      <c r="M25" s="72">
        <v>428</v>
      </c>
      <c r="N25" s="72">
        <v>428</v>
      </c>
      <c r="O25" s="72">
        <v>428</v>
      </c>
      <c r="P25" s="72">
        <v>428</v>
      </c>
      <c r="Q25" s="117">
        <f t="shared" si="12"/>
        <v>5136</v>
      </c>
      <c r="R25" s="72">
        <v>0</v>
      </c>
      <c r="S25" s="72">
        <v>855.42</v>
      </c>
      <c r="T25" s="72">
        <v>427.71</v>
      </c>
      <c r="U25" s="72">
        <v>427.71</v>
      </c>
      <c r="V25" s="72">
        <v>427.71</v>
      </c>
      <c r="W25" s="72">
        <v>427.71</v>
      </c>
      <c r="X25" s="72">
        <v>427.71</v>
      </c>
      <c r="Y25" s="72">
        <v>427.71</v>
      </c>
      <c r="Z25" s="72">
        <v>315</v>
      </c>
      <c r="AA25" s="72">
        <v>315</v>
      </c>
      <c r="AB25" s="72">
        <v>315</v>
      </c>
      <c r="AC25" s="72">
        <v>315</v>
      </c>
      <c r="AD25" s="127">
        <f t="shared" si="8"/>
        <v>4681.68</v>
      </c>
      <c r="AE25" s="72">
        <f t="shared" si="9"/>
        <v>454.31999999999971</v>
      </c>
      <c r="AF25" s="128">
        <f t="shared" si="10"/>
        <v>9.7042087455785034E-2</v>
      </c>
      <c r="AG25" s="129">
        <v>3977.0000000000005</v>
      </c>
      <c r="AH25" s="133">
        <f t="shared" si="11"/>
        <v>-1158.9999999999995</v>
      </c>
      <c r="AI25" s="129"/>
      <c r="AJ25" s="163"/>
    </row>
    <row r="26" spans="1:36">
      <c r="A26" s="105" t="s">
        <v>187</v>
      </c>
      <c r="B26" s="105" t="s">
        <v>297</v>
      </c>
      <c r="D26" s="105" t="s">
        <v>188</v>
      </c>
      <c r="E26" s="72">
        <v>183889</v>
      </c>
      <c r="F26" s="72">
        <v>166093</v>
      </c>
      <c r="G26" s="72">
        <v>179802</v>
      </c>
      <c r="H26" s="72">
        <v>168071</v>
      </c>
      <c r="I26" s="72">
        <v>169178</v>
      </c>
      <c r="J26" s="72">
        <v>162139</v>
      </c>
      <c r="K26" s="72">
        <v>181846</v>
      </c>
      <c r="L26" s="72">
        <v>181846</v>
      </c>
      <c r="M26" s="72">
        <v>158184</v>
      </c>
      <c r="N26" s="72">
        <v>167543</v>
      </c>
      <c r="O26" s="72">
        <v>160161</v>
      </c>
      <c r="P26" s="72">
        <v>177759</v>
      </c>
      <c r="Q26" s="117">
        <f t="shared" si="12"/>
        <v>2056511</v>
      </c>
      <c r="R26" s="72">
        <v>156427.57999999999</v>
      </c>
      <c r="S26" s="72">
        <v>392578.84</v>
      </c>
      <c r="T26" s="72">
        <v>179522.97</v>
      </c>
      <c r="U26" s="72">
        <v>147781.48000000001</v>
      </c>
      <c r="V26" s="72">
        <v>183435.9</v>
      </c>
      <c r="W26" s="72">
        <v>150395.85</v>
      </c>
      <c r="X26" s="72">
        <v>182645.48</v>
      </c>
      <c r="Y26" s="72">
        <v>208930.92</v>
      </c>
      <c r="Z26" s="72">
        <v>148740</v>
      </c>
      <c r="AA26" s="72">
        <v>159592</v>
      </c>
      <c r="AB26" s="72">
        <v>156647</v>
      </c>
      <c r="AC26" s="72">
        <v>167762</v>
      </c>
      <c r="AD26" s="127">
        <f t="shared" si="8"/>
        <v>2234460.02</v>
      </c>
      <c r="AE26" s="72">
        <f t="shared" si="9"/>
        <v>-177949.02000000002</v>
      </c>
      <c r="AF26" s="128">
        <f t="shared" si="10"/>
        <v>-7.9638489123649667E-2</v>
      </c>
      <c r="AG26" s="129">
        <v>1158980.56</v>
      </c>
      <c r="AH26" s="133">
        <f t="shared" si="11"/>
        <v>-897530.44</v>
      </c>
      <c r="AI26" s="129"/>
      <c r="AJ26" s="163"/>
    </row>
    <row r="27" spans="1:36">
      <c r="A27" s="105" t="s">
        <v>189</v>
      </c>
      <c r="B27" s="105" t="s">
        <v>297</v>
      </c>
      <c r="D27" s="105" t="s">
        <v>190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0</v>
      </c>
      <c r="M27" s="72">
        <v>0</v>
      </c>
      <c r="N27" s="72">
        <v>0</v>
      </c>
      <c r="O27" s="72">
        <v>0</v>
      </c>
      <c r="P27" s="72">
        <v>0</v>
      </c>
      <c r="Q27" s="117">
        <f t="shared" si="12"/>
        <v>0</v>
      </c>
      <c r="R27" s="72">
        <v>0</v>
      </c>
      <c r="S27" s="72">
        <v>0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127">
        <f t="shared" si="8"/>
        <v>0</v>
      </c>
      <c r="AE27" s="72">
        <f t="shared" si="9"/>
        <v>0</v>
      </c>
      <c r="AF27" s="128" t="e">
        <f t="shared" si="10"/>
        <v>#DIV/0!</v>
      </c>
      <c r="AG27" s="129">
        <v>0</v>
      </c>
      <c r="AH27" s="133">
        <f t="shared" si="11"/>
        <v>0</v>
      </c>
      <c r="AI27" s="129"/>
      <c r="AJ27" s="163"/>
    </row>
    <row r="28" spans="1:36">
      <c r="A28" s="105" t="s">
        <v>273</v>
      </c>
      <c r="D28" s="105" t="s">
        <v>192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  <c r="L28" s="72">
        <v>0</v>
      </c>
      <c r="M28" s="72">
        <v>0</v>
      </c>
      <c r="N28" s="72">
        <v>0</v>
      </c>
      <c r="O28" s="72">
        <v>0</v>
      </c>
      <c r="P28" s="72">
        <v>0</v>
      </c>
      <c r="Q28" s="135">
        <f t="shared" si="12"/>
        <v>0</v>
      </c>
      <c r="R28" s="136">
        <v>0</v>
      </c>
      <c r="S28" s="136">
        <v>0</v>
      </c>
      <c r="T28" s="136">
        <v>0</v>
      </c>
      <c r="U28" s="136">
        <v>0</v>
      </c>
      <c r="V28" s="136">
        <v>0</v>
      </c>
      <c r="W28" s="136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127">
        <f t="shared" si="8"/>
        <v>0</v>
      </c>
      <c r="AE28" s="72">
        <f t="shared" si="9"/>
        <v>0</v>
      </c>
      <c r="AF28" s="128" t="e">
        <f t="shared" si="10"/>
        <v>#DIV/0!</v>
      </c>
      <c r="AG28" s="129">
        <v>0</v>
      </c>
      <c r="AH28" s="133">
        <f t="shared" si="11"/>
        <v>0</v>
      </c>
      <c r="AI28" s="129"/>
      <c r="AJ28" s="163"/>
    </row>
    <row r="29" spans="1:36">
      <c r="A29" s="106" t="s">
        <v>303</v>
      </c>
      <c r="B29" s="105" t="s">
        <v>297</v>
      </c>
      <c r="D29" s="106" t="s">
        <v>304</v>
      </c>
      <c r="E29" s="72">
        <v>52809</v>
      </c>
      <c r="F29" s="72">
        <v>27256</v>
      </c>
      <c r="G29" s="72">
        <v>27662</v>
      </c>
      <c r="H29" s="72">
        <v>25857</v>
      </c>
      <c r="I29" s="72">
        <v>22557</v>
      </c>
      <c r="J29" s="72">
        <v>21618</v>
      </c>
      <c r="K29" s="72">
        <v>27976</v>
      </c>
      <c r="L29" s="72">
        <v>27976</v>
      </c>
      <c r="M29" s="72">
        <v>21091</v>
      </c>
      <c r="N29" s="72">
        <v>27494</v>
      </c>
      <c r="O29" s="72">
        <v>24640</v>
      </c>
      <c r="P29" s="72">
        <v>27348</v>
      </c>
      <c r="Q29" s="135">
        <f t="shared" si="12"/>
        <v>334284</v>
      </c>
      <c r="R29" s="136">
        <v>28558.83</v>
      </c>
      <c r="S29" s="136">
        <v>54250.21</v>
      </c>
      <c r="T29" s="136">
        <v>29105.8</v>
      </c>
      <c r="U29" s="136">
        <v>25711.51</v>
      </c>
      <c r="V29" s="136">
        <v>22699.64</v>
      </c>
      <c r="W29" s="136">
        <v>18575.21</v>
      </c>
      <c r="X29" s="72">
        <v>21983.05</v>
      </c>
      <c r="Y29" s="72">
        <v>20680.54</v>
      </c>
      <c r="Z29" s="72">
        <v>21864</v>
      </c>
      <c r="AA29" s="72">
        <v>27700</v>
      </c>
      <c r="AB29" s="72">
        <v>26202</v>
      </c>
      <c r="AC29" s="72">
        <v>28083</v>
      </c>
      <c r="AD29" s="127">
        <f t="shared" si="8"/>
        <v>325413.78999999998</v>
      </c>
      <c r="AE29" s="72">
        <f t="shared" si="9"/>
        <v>8870.210000000021</v>
      </c>
      <c r="AF29" s="128">
        <f t="shared" si="10"/>
        <v>2.7258248643980396E-2</v>
      </c>
      <c r="AG29" s="129">
        <v>0</v>
      </c>
      <c r="AH29" s="133">
        <f t="shared" si="11"/>
        <v>-334284</v>
      </c>
      <c r="AI29" s="129"/>
      <c r="AJ29" s="163"/>
    </row>
    <row r="30" spans="1:36">
      <c r="A30" s="105" t="s">
        <v>195</v>
      </c>
      <c r="B30" s="105" t="s">
        <v>297</v>
      </c>
      <c r="D30" s="105" t="s">
        <v>196</v>
      </c>
      <c r="E30" s="72">
        <v>0</v>
      </c>
      <c r="F30" s="72">
        <v>0</v>
      </c>
      <c r="G30" s="72">
        <v>0</v>
      </c>
      <c r="H30" s="72">
        <v>0</v>
      </c>
      <c r="I30" s="72">
        <v>0</v>
      </c>
      <c r="J30" s="72">
        <v>0</v>
      </c>
      <c r="K30" s="72">
        <v>0</v>
      </c>
      <c r="L30" s="72">
        <v>0</v>
      </c>
      <c r="M30" s="72">
        <v>0</v>
      </c>
      <c r="N30" s="72">
        <v>0</v>
      </c>
      <c r="O30" s="72">
        <v>0</v>
      </c>
      <c r="P30" s="72">
        <v>0</v>
      </c>
      <c r="Q30" s="135">
        <f t="shared" si="12"/>
        <v>0</v>
      </c>
      <c r="R30" s="136">
        <v>0</v>
      </c>
      <c r="S30" s="136">
        <v>0</v>
      </c>
      <c r="T30" s="136">
        <v>0</v>
      </c>
      <c r="U30" s="136">
        <v>0</v>
      </c>
      <c r="V30" s="136">
        <v>0</v>
      </c>
      <c r="W30" s="136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72">
        <v>0</v>
      </c>
      <c r="AD30" s="127">
        <f t="shared" si="8"/>
        <v>0</v>
      </c>
      <c r="AE30" s="72">
        <f t="shared" si="9"/>
        <v>0</v>
      </c>
      <c r="AF30" s="128" t="e">
        <f t="shared" si="10"/>
        <v>#DIV/0!</v>
      </c>
      <c r="AG30" s="129">
        <v>0</v>
      </c>
      <c r="AH30" s="133">
        <f t="shared" si="11"/>
        <v>0</v>
      </c>
      <c r="AI30" s="129"/>
      <c r="AJ30" s="163"/>
    </row>
    <row r="31" spans="1:36">
      <c r="A31" s="105" t="s">
        <v>197</v>
      </c>
      <c r="B31" s="105" t="s">
        <v>297</v>
      </c>
      <c r="D31" s="105" t="s">
        <v>305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2">
        <v>0</v>
      </c>
      <c r="N31" s="72">
        <v>0</v>
      </c>
      <c r="O31" s="72">
        <v>0</v>
      </c>
      <c r="P31" s="72">
        <v>0</v>
      </c>
      <c r="Q31" s="135">
        <f t="shared" si="12"/>
        <v>0</v>
      </c>
      <c r="R31" s="136">
        <v>0</v>
      </c>
      <c r="S31" s="136">
        <v>0</v>
      </c>
      <c r="T31" s="136">
        <v>0</v>
      </c>
      <c r="U31" s="136">
        <v>0</v>
      </c>
      <c r="V31" s="136">
        <v>0</v>
      </c>
      <c r="W31" s="136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127">
        <f t="shared" si="8"/>
        <v>0</v>
      </c>
      <c r="AE31" s="72">
        <f t="shared" si="9"/>
        <v>0</v>
      </c>
      <c r="AF31" s="128" t="e">
        <f t="shared" si="10"/>
        <v>#DIV/0!</v>
      </c>
      <c r="AG31" s="129">
        <v>0</v>
      </c>
      <c r="AH31" s="133">
        <f t="shared" si="11"/>
        <v>0</v>
      </c>
      <c r="AI31" s="129"/>
      <c r="AJ31" s="163"/>
    </row>
    <row r="32" spans="1:36">
      <c r="A32" s="105" t="s">
        <v>199</v>
      </c>
      <c r="B32" s="105" t="s">
        <v>297</v>
      </c>
      <c r="D32" s="105" t="s">
        <v>200</v>
      </c>
      <c r="E32" s="72">
        <v>0</v>
      </c>
      <c r="F32" s="72">
        <v>0</v>
      </c>
      <c r="G32" s="72">
        <v>0</v>
      </c>
      <c r="H32" s="72">
        <v>0</v>
      </c>
      <c r="I32" s="72">
        <v>0</v>
      </c>
      <c r="J32" s="72">
        <v>0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135">
        <f t="shared" si="12"/>
        <v>0</v>
      </c>
      <c r="R32" s="136">
        <v>0</v>
      </c>
      <c r="S32" s="136">
        <v>0</v>
      </c>
      <c r="T32" s="136">
        <v>0</v>
      </c>
      <c r="U32" s="136">
        <v>0</v>
      </c>
      <c r="V32" s="136">
        <v>0</v>
      </c>
      <c r="W32" s="136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127">
        <f t="shared" si="8"/>
        <v>0</v>
      </c>
      <c r="AE32" s="72">
        <f t="shared" si="9"/>
        <v>0</v>
      </c>
      <c r="AF32" s="128" t="e">
        <f t="shared" si="10"/>
        <v>#DIV/0!</v>
      </c>
      <c r="AG32" s="129">
        <v>0</v>
      </c>
      <c r="AH32" s="133">
        <f t="shared" si="11"/>
        <v>0</v>
      </c>
      <c r="AI32" s="129"/>
      <c r="AJ32" s="163"/>
    </row>
    <row r="33" spans="1:36">
      <c r="A33" s="105" t="s">
        <v>201</v>
      </c>
      <c r="B33" s="105" t="s">
        <v>297</v>
      </c>
      <c r="D33" s="105" t="s">
        <v>202</v>
      </c>
      <c r="E33" s="72">
        <v>13800</v>
      </c>
      <c r="F33" s="72">
        <v>12000</v>
      </c>
      <c r="G33" s="72">
        <v>12000</v>
      </c>
      <c r="H33" s="72">
        <v>16000</v>
      </c>
      <c r="I33" s="72">
        <v>13800</v>
      </c>
      <c r="J33" s="72">
        <v>11900</v>
      </c>
      <c r="K33" s="72">
        <v>11900</v>
      </c>
      <c r="L33" s="72">
        <v>21500</v>
      </c>
      <c r="M33" s="72">
        <v>13800</v>
      </c>
      <c r="N33" s="72">
        <v>11900</v>
      </c>
      <c r="O33" s="72">
        <v>11900</v>
      </c>
      <c r="P33" s="72">
        <v>11900</v>
      </c>
      <c r="Q33" s="135">
        <f t="shared" si="12"/>
        <v>162400</v>
      </c>
      <c r="R33" s="136">
        <v>12297.05</v>
      </c>
      <c r="S33" s="136">
        <v>8770.1200000000008</v>
      </c>
      <c r="T33" s="136">
        <v>12975.12</v>
      </c>
      <c r="U33" s="136">
        <v>8178.39</v>
      </c>
      <c r="V33" s="136">
        <v>6883.33</v>
      </c>
      <c r="W33" s="136">
        <v>8770.1200000000008</v>
      </c>
      <c r="X33" s="72">
        <v>6883.33</v>
      </c>
      <c r="Y33" s="72">
        <v>35097.17</v>
      </c>
      <c r="Z33" s="72">
        <v>8922</v>
      </c>
      <c r="AA33" s="72">
        <v>12591</v>
      </c>
      <c r="AB33" s="72">
        <v>12138</v>
      </c>
      <c r="AC33" s="72">
        <v>12848</v>
      </c>
      <c r="AD33" s="127">
        <f t="shared" si="8"/>
        <v>146353.63</v>
      </c>
      <c r="AE33" s="72">
        <f t="shared" si="9"/>
        <v>16046.369999999995</v>
      </c>
      <c r="AF33" s="128">
        <f t="shared" si="10"/>
        <v>0.10964107962337521</v>
      </c>
      <c r="AG33" s="129">
        <v>124135.24</v>
      </c>
      <c r="AH33" s="133">
        <f t="shared" si="11"/>
        <v>-38264.759999999995</v>
      </c>
      <c r="AI33" s="129"/>
      <c r="AJ33" s="163"/>
    </row>
    <row r="34" spans="1:36">
      <c r="A34" s="105" t="s">
        <v>203</v>
      </c>
      <c r="B34" s="105" t="s">
        <v>297</v>
      </c>
      <c r="D34" s="105" t="s">
        <v>204</v>
      </c>
      <c r="E34" s="72">
        <v>2225</v>
      </c>
      <c r="F34" s="72">
        <v>2225</v>
      </c>
      <c r="G34" s="72">
        <v>2225</v>
      </c>
      <c r="H34" s="72">
        <v>2225</v>
      </c>
      <c r="I34" s="72">
        <v>2225</v>
      </c>
      <c r="J34" s="72">
        <v>2225</v>
      </c>
      <c r="K34" s="72">
        <v>2225</v>
      </c>
      <c r="L34" s="72">
        <v>2225</v>
      </c>
      <c r="M34" s="72">
        <v>2225</v>
      </c>
      <c r="N34" s="72">
        <v>2225</v>
      </c>
      <c r="O34" s="72">
        <v>2225</v>
      </c>
      <c r="P34" s="72">
        <v>2225</v>
      </c>
      <c r="Q34" s="135">
        <f t="shared" si="12"/>
        <v>26700</v>
      </c>
      <c r="R34" s="136">
        <v>2392</v>
      </c>
      <c r="S34" s="136">
        <v>2392</v>
      </c>
      <c r="T34" s="136">
        <v>2392</v>
      </c>
      <c r="U34" s="136">
        <v>-38.4</v>
      </c>
      <c r="V34" s="136">
        <v>0</v>
      </c>
      <c r="W34" s="136">
        <v>-109.2</v>
      </c>
      <c r="X34" s="72">
        <v>0</v>
      </c>
      <c r="Y34" s="72">
        <v>0</v>
      </c>
      <c r="Z34" s="72">
        <v>0</v>
      </c>
      <c r="AA34" s="72">
        <v>0</v>
      </c>
      <c r="AB34" s="72">
        <v>0</v>
      </c>
      <c r="AC34" s="72">
        <v>0</v>
      </c>
      <c r="AD34" s="127">
        <f t="shared" si="8"/>
        <v>7028.4000000000005</v>
      </c>
      <c r="AE34" s="72">
        <f t="shared" si="9"/>
        <v>19671.599999999999</v>
      </c>
      <c r="AF34" s="128">
        <f t="shared" si="10"/>
        <v>2.7988731432473957</v>
      </c>
      <c r="AG34" s="129">
        <v>62203.54</v>
      </c>
      <c r="AH34" s="133">
        <f t="shared" si="11"/>
        <v>35503.54</v>
      </c>
      <c r="AI34" s="129"/>
      <c r="AJ34" s="163"/>
    </row>
    <row r="35" spans="1:36">
      <c r="A35" s="105" t="s">
        <v>306</v>
      </c>
      <c r="B35" s="105" t="s">
        <v>297</v>
      </c>
      <c r="D35" s="105" t="s">
        <v>206</v>
      </c>
      <c r="E35" s="72">
        <v>0</v>
      </c>
      <c r="F35" s="72">
        <v>0</v>
      </c>
      <c r="G35" s="72">
        <v>0</v>
      </c>
      <c r="H35" s="72">
        <v>0</v>
      </c>
      <c r="I35" s="72">
        <v>0</v>
      </c>
      <c r="J35" s="72">
        <v>0</v>
      </c>
      <c r="K35" s="72">
        <v>0</v>
      </c>
      <c r="L35" s="72">
        <v>0</v>
      </c>
      <c r="M35" s="72">
        <v>0</v>
      </c>
      <c r="N35" s="72">
        <v>0</v>
      </c>
      <c r="O35" s="72">
        <v>0</v>
      </c>
      <c r="P35" s="72">
        <v>0</v>
      </c>
      <c r="Q35" s="135">
        <f t="shared" si="12"/>
        <v>0</v>
      </c>
      <c r="R35" s="136">
        <v>0</v>
      </c>
      <c r="S35" s="136">
        <v>0</v>
      </c>
      <c r="T35" s="136">
        <v>0</v>
      </c>
      <c r="U35" s="136">
        <v>0</v>
      </c>
      <c r="V35" s="136">
        <v>0</v>
      </c>
      <c r="W35" s="136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127">
        <f t="shared" si="8"/>
        <v>0</v>
      </c>
      <c r="AE35" s="72">
        <f t="shared" si="9"/>
        <v>0</v>
      </c>
      <c r="AF35" s="128" t="e">
        <f t="shared" si="10"/>
        <v>#DIV/0!</v>
      </c>
      <c r="AG35" s="129">
        <v>0</v>
      </c>
      <c r="AH35" s="133">
        <f t="shared" si="11"/>
        <v>0</v>
      </c>
      <c r="AI35" s="129"/>
      <c r="AJ35" s="163"/>
    </row>
    <row r="36" spans="1:36">
      <c r="A36" s="105" t="s">
        <v>207</v>
      </c>
      <c r="B36" s="105" t="s">
        <v>297</v>
      </c>
      <c r="D36" s="105" t="s">
        <v>208</v>
      </c>
      <c r="E36" s="72">
        <v>37721</v>
      </c>
      <c r="F36" s="72">
        <v>18739</v>
      </c>
      <c r="G36" s="72">
        <v>18441</v>
      </c>
      <c r="H36" s="72">
        <v>17238</v>
      </c>
      <c r="I36" s="72">
        <v>17352</v>
      </c>
      <c r="J36" s="72">
        <v>16630</v>
      </c>
      <c r="K36" s="72">
        <v>16651</v>
      </c>
      <c r="L36" s="72">
        <v>16651</v>
      </c>
      <c r="M36" s="72">
        <v>14224</v>
      </c>
      <c r="N36" s="72">
        <v>16902</v>
      </c>
      <c r="O36" s="72">
        <v>14427</v>
      </c>
      <c r="P36" s="72">
        <v>16232</v>
      </c>
      <c r="Q36" s="135">
        <f t="shared" si="12"/>
        <v>221208</v>
      </c>
      <c r="R36" s="136">
        <v>30035.69</v>
      </c>
      <c r="S36" s="136">
        <v>51425.51</v>
      </c>
      <c r="T36" s="136">
        <v>29148.83</v>
      </c>
      <c r="U36" s="136">
        <v>15389.38</v>
      </c>
      <c r="V36" s="136">
        <v>12367.59</v>
      </c>
      <c r="W36" s="136">
        <v>11915.88</v>
      </c>
      <c r="X36" s="72">
        <v>6236.39</v>
      </c>
      <c r="Y36" s="72">
        <v>13744.52</v>
      </c>
      <c r="Z36" s="72">
        <v>9839</v>
      </c>
      <c r="AA36" s="72">
        <v>14785</v>
      </c>
      <c r="AB36" s="72">
        <v>14528</v>
      </c>
      <c r="AC36" s="72">
        <v>15497</v>
      </c>
      <c r="AD36" s="127">
        <f t="shared" si="8"/>
        <v>224912.79</v>
      </c>
      <c r="AE36" s="72">
        <f t="shared" si="9"/>
        <v>-3704.7900000000081</v>
      </c>
      <c r="AF36" s="128">
        <f t="shared" si="10"/>
        <v>-1.6472117926241581E-2</v>
      </c>
      <c r="AG36" s="129">
        <v>17228.559999999998</v>
      </c>
      <c r="AH36" s="133">
        <f t="shared" si="11"/>
        <v>-203979.44</v>
      </c>
      <c r="AI36" s="129"/>
      <c r="AJ36" s="163"/>
    </row>
    <row r="37" spans="1:36">
      <c r="A37" s="105" t="s">
        <v>209</v>
      </c>
      <c r="B37" s="105" t="s">
        <v>297</v>
      </c>
      <c r="D37" s="105" t="s">
        <v>210</v>
      </c>
      <c r="E37" s="72">
        <v>1500</v>
      </c>
      <c r="F37" s="72">
        <v>1500</v>
      </c>
      <c r="G37" s="72">
        <v>1500</v>
      </c>
      <c r="H37" s="72">
        <v>1000</v>
      </c>
      <c r="I37" s="72">
        <v>1000</v>
      </c>
      <c r="J37" s="72">
        <v>1000</v>
      </c>
      <c r="K37" s="72">
        <v>1500</v>
      </c>
      <c r="L37" s="72">
        <v>1500</v>
      </c>
      <c r="M37" s="72">
        <v>1000</v>
      </c>
      <c r="N37" s="72">
        <v>1500</v>
      </c>
      <c r="O37" s="72">
        <v>1500</v>
      </c>
      <c r="P37" s="72">
        <v>1500</v>
      </c>
      <c r="Q37" s="135">
        <f t="shared" si="12"/>
        <v>16000</v>
      </c>
      <c r="R37" s="136">
        <v>493.39</v>
      </c>
      <c r="S37" s="136">
        <v>2500</v>
      </c>
      <c r="T37" s="136">
        <v>1135.8499999999999</v>
      </c>
      <c r="U37" s="136">
        <v>-2153.7800000000002</v>
      </c>
      <c r="V37" s="136">
        <v>2500</v>
      </c>
      <c r="W37" s="136">
        <v>-563.01</v>
      </c>
      <c r="X37" s="72">
        <v>-91.51</v>
      </c>
      <c r="Y37" s="72">
        <v>6000</v>
      </c>
      <c r="Z37" s="72">
        <v>500</v>
      </c>
      <c r="AA37" s="72">
        <v>1000</v>
      </c>
      <c r="AB37" s="72">
        <v>1000</v>
      </c>
      <c r="AC37" s="72">
        <v>1000</v>
      </c>
      <c r="AD37" s="127">
        <f t="shared" si="8"/>
        <v>13320.939999999999</v>
      </c>
      <c r="AE37" s="72">
        <f t="shared" si="9"/>
        <v>2679.0600000000013</v>
      </c>
      <c r="AF37" s="128">
        <f t="shared" si="10"/>
        <v>0.20111643772886911</v>
      </c>
      <c r="AG37" s="129">
        <v>7562.0499999999993</v>
      </c>
      <c r="AH37" s="133">
        <f t="shared" si="11"/>
        <v>-8437.9500000000007</v>
      </c>
      <c r="AI37" s="129"/>
      <c r="AJ37" s="163"/>
    </row>
    <row r="38" spans="1:36">
      <c r="A38" s="105" t="s">
        <v>211</v>
      </c>
      <c r="B38" s="105" t="s">
        <v>297</v>
      </c>
      <c r="D38" s="105" t="s">
        <v>212</v>
      </c>
      <c r="E38" s="72">
        <v>6035</v>
      </c>
      <c r="F38" s="72">
        <v>5451</v>
      </c>
      <c r="G38" s="72">
        <v>5901</v>
      </c>
      <c r="H38" s="72">
        <v>5516</v>
      </c>
      <c r="I38" s="72">
        <v>5553</v>
      </c>
      <c r="J38" s="72">
        <v>5321</v>
      </c>
      <c r="K38" s="72">
        <v>5968</v>
      </c>
      <c r="L38" s="72">
        <v>5968</v>
      </c>
      <c r="M38" s="72">
        <v>5192</v>
      </c>
      <c r="N38" s="72">
        <v>5499</v>
      </c>
      <c r="O38" s="72">
        <v>5257</v>
      </c>
      <c r="P38" s="72">
        <v>5834</v>
      </c>
      <c r="Q38" s="135">
        <f t="shared" si="12"/>
        <v>67495</v>
      </c>
      <c r="R38" s="136">
        <v>4666.6899999999996</v>
      </c>
      <c r="S38" s="136">
        <v>6368.97</v>
      </c>
      <c r="T38" s="136">
        <v>6900.35</v>
      </c>
      <c r="U38" s="136">
        <v>4441.8</v>
      </c>
      <c r="V38" s="136">
        <v>7540.91</v>
      </c>
      <c r="W38" s="136">
        <v>5994.99</v>
      </c>
      <c r="X38" s="72">
        <v>7039.54</v>
      </c>
      <c r="Y38" s="72">
        <v>5063.4399999999996</v>
      </c>
      <c r="Z38" s="72">
        <v>5210</v>
      </c>
      <c r="AA38" s="72">
        <v>5566</v>
      </c>
      <c r="AB38" s="72">
        <v>5469</v>
      </c>
      <c r="AC38" s="72">
        <v>5834</v>
      </c>
      <c r="AD38" s="127">
        <f t="shared" si="8"/>
        <v>70095.69</v>
      </c>
      <c r="AE38" s="72">
        <f t="shared" si="9"/>
        <v>-2600.6900000000023</v>
      </c>
      <c r="AF38" s="128">
        <f t="shared" si="10"/>
        <v>-3.7101995857377286E-2</v>
      </c>
      <c r="AG38" s="129">
        <v>88283.079999999987</v>
      </c>
      <c r="AH38" s="133">
        <f t="shared" si="11"/>
        <v>20788.079999999987</v>
      </c>
      <c r="AI38" s="129"/>
      <c r="AJ38" s="163"/>
    </row>
    <row r="39" spans="1:36">
      <c r="A39" s="105" t="s">
        <v>213</v>
      </c>
      <c r="B39" s="105" t="s">
        <v>297</v>
      </c>
      <c r="D39" s="105" t="s">
        <v>214</v>
      </c>
      <c r="E39" s="164">
        <f>Laundry!E121</f>
        <v>542</v>
      </c>
      <c r="F39" s="164">
        <f>Laundry!F121</f>
        <v>495</v>
      </c>
      <c r="G39" s="164">
        <f>Laundry!G121</f>
        <v>500</v>
      </c>
      <c r="H39" s="164">
        <f>Laundry!H121</f>
        <v>514</v>
      </c>
      <c r="I39" s="164">
        <f>Laundry!I121</f>
        <v>528</v>
      </c>
      <c r="J39" s="164">
        <f>Laundry!J121</f>
        <v>505</v>
      </c>
      <c r="K39" s="164">
        <f>Laundry!K121</f>
        <v>538</v>
      </c>
      <c r="L39" s="164">
        <f>Laundry!L121</f>
        <v>536</v>
      </c>
      <c r="M39" s="164">
        <f>Laundry!M121</f>
        <v>517</v>
      </c>
      <c r="N39" s="164">
        <f>Laundry!N121</f>
        <v>589</v>
      </c>
      <c r="O39" s="164">
        <f>Laundry!O121</f>
        <v>520</v>
      </c>
      <c r="P39" s="164">
        <f>Laundry!P121</f>
        <v>517</v>
      </c>
      <c r="Q39" s="135">
        <f t="shared" si="12"/>
        <v>6301</v>
      </c>
      <c r="R39" s="136">
        <v>917.18</v>
      </c>
      <c r="S39" s="136">
        <v>750.92</v>
      </c>
      <c r="T39" s="136">
        <v>547.20000000000005</v>
      </c>
      <c r="U39" s="136">
        <v>538.82000000000005</v>
      </c>
      <c r="V39" s="136">
        <v>191.48</v>
      </c>
      <c r="W39" s="136">
        <v>571.98</v>
      </c>
      <c r="X39" s="72">
        <v>445.26</v>
      </c>
      <c r="Y39" s="72">
        <v>248.15</v>
      </c>
      <c r="Z39" s="72">
        <v>820</v>
      </c>
      <c r="AA39" s="72">
        <v>917</v>
      </c>
      <c r="AB39" s="72">
        <v>770</v>
      </c>
      <c r="AC39" s="72">
        <v>788</v>
      </c>
      <c r="AD39" s="127">
        <f t="shared" si="8"/>
        <v>7505.99</v>
      </c>
      <c r="AE39" s="72">
        <f t="shared" si="9"/>
        <v>-1204.9899999999998</v>
      </c>
      <c r="AF39" s="128">
        <f t="shared" si="10"/>
        <v>-0.16053711768867263</v>
      </c>
      <c r="AG39" s="129">
        <v>6041.67</v>
      </c>
      <c r="AH39" s="133">
        <f t="shared" si="11"/>
        <v>-259.32999999999993</v>
      </c>
      <c r="AI39" s="129"/>
      <c r="AJ39" s="163"/>
    </row>
    <row r="40" spans="1:36">
      <c r="A40" s="105" t="s">
        <v>215</v>
      </c>
      <c r="B40" s="105" t="s">
        <v>297</v>
      </c>
      <c r="D40" s="105" t="s">
        <v>216</v>
      </c>
      <c r="E40" s="72">
        <f>1300-230</f>
        <v>1070</v>
      </c>
      <c r="F40" s="72">
        <f t="shared" ref="F40:P40" si="14">1300-230</f>
        <v>1070</v>
      </c>
      <c r="G40" s="72">
        <f t="shared" si="14"/>
        <v>1070</v>
      </c>
      <c r="H40" s="72">
        <f t="shared" si="14"/>
        <v>1070</v>
      </c>
      <c r="I40" s="72">
        <f t="shared" si="14"/>
        <v>1070</v>
      </c>
      <c r="J40" s="72">
        <f t="shared" si="14"/>
        <v>1070</v>
      </c>
      <c r="K40" s="72">
        <f t="shared" si="14"/>
        <v>1070</v>
      </c>
      <c r="L40" s="72">
        <f t="shared" si="14"/>
        <v>1070</v>
      </c>
      <c r="M40" s="72">
        <f t="shared" si="14"/>
        <v>1070</v>
      </c>
      <c r="N40" s="72">
        <f t="shared" si="14"/>
        <v>1070</v>
      </c>
      <c r="O40" s="72">
        <f t="shared" si="14"/>
        <v>1070</v>
      </c>
      <c r="P40" s="72">
        <f t="shared" si="14"/>
        <v>1070</v>
      </c>
      <c r="Q40" s="135">
        <f t="shared" si="12"/>
        <v>12840</v>
      </c>
      <c r="R40" s="136">
        <v>1082.1600000000001</v>
      </c>
      <c r="S40" s="136">
        <v>1437.07</v>
      </c>
      <c r="T40" s="136">
        <v>1168.02</v>
      </c>
      <c r="U40" s="136">
        <v>1180.45</v>
      </c>
      <c r="V40" s="136">
        <v>1548.9</v>
      </c>
      <c r="W40" s="136">
        <v>1390.81</v>
      </c>
      <c r="X40" s="72">
        <v>2224.77</v>
      </c>
      <c r="Y40" s="72">
        <v>1807</v>
      </c>
      <c r="Z40" s="72">
        <v>1500</v>
      </c>
      <c r="AA40" s="72">
        <v>1500</v>
      </c>
      <c r="AB40" s="72">
        <v>1500</v>
      </c>
      <c r="AC40" s="72">
        <v>1500</v>
      </c>
      <c r="AD40" s="127">
        <f t="shared" si="8"/>
        <v>17839.18</v>
      </c>
      <c r="AE40" s="72">
        <f t="shared" si="9"/>
        <v>-4999.18</v>
      </c>
      <c r="AF40" s="128">
        <f t="shared" si="10"/>
        <v>-0.2802359749719438</v>
      </c>
      <c r="AG40" s="129">
        <v>17514.05</v>
      </c>
      <c r="AH40" s="133">
        <f t="shared" si="11"/>
        <v>4674.0499999999993</v>
      </c>
      <c r="AI40" s="129"/>
      <c r="AJ40" s="163"/>
    </row>
    <row r="41" spans="1:36">
      <c r="A41" s="105" t="s">
        <v>217</v>
      </c>
      <c r="B41" s="105" t="s">
        <v>297</v>
      </c>
      <c r="D41" s="105" t="s">
        <v>218</v>
      </c>
      <c r="E41" s="72">
        <v>1450</v>
      </c>
      <c r="F41" s="72">
        <v>1450</v>
      </c>
      <c r="G41" s="72">
        <v>1450</v>
      </c>
      <c r="H41" s="72">
        <v>1450</v>
      </c>
      <c r="I41" s="72">
        <v>1450</v>
      </c>
      <c r="J41" s="72">
        <v>1450</v>
      </c>
      <c r="K41" s="72">
        <v>1450</v>
      </c>
      <c r="L41" s="72">
        <v>1450</v>
      </c>
      <c r="M41" s="72">
        <v>1450</v>
      </c>
      <c r="N41" s="72">
        <v>1450</v>
      </c>
      <c r="O41" s="72">
        <v>1450</v>
      </c>
      <c r="P41" s="72">
        <v>1450</v>
      </c>
      <c r="Q41" s="135">
        <f t="shared" si="12"/>
        <v>17400</v>
      </c>
      <c r="R41" s="136">
        <v>-99.69</v>
      </c>
      <c r="S41" s="136">
        <v>2479.92</v>
      </c>
      <c r="T41" s="136">
        <v>3435.67</v>
      </c>
      <c r="U41" s="136">
        <v>819.37</v>
      </c>
      <c r="V41" s="136">
        <v>1090.23</v>
      </c>
      <c r="W41" s="136">
        <v>902.48</v>
      </c>
      <c r="X41" s="72">
        <v>403</v>
      </c>
      <c r="Y41" s="72">
        <v>403</v>
      </c>
      <c r="Z41" s="72">
        <v>1500</v>
      </c>
      <c r="AA41" s="72">
        <v>1500</v>
      </c>
      <c r="AB41" s="72">
        <v>1500</v>
      </c>
      <c r="AC41" s="72">
        <v>1500</v>
      </c>
      <c r="AD41" s="127">
        <f t="shared" si="8"/>
        <v>15433.98</v>
      </c>
      <c r="AE41" s="72">
        <f t="shared" si="9"/>
        <v>1966.0200000000004</v>
      </c>
      <c r="AF41" s="128">
        <f t="shared" si="10"/>
        <v>0.12738256755548474</v>
      </c>
      <c r="AG41" s="129">
        <v>3822.6899999999996</v>
      </c>
      <c r="AH41" s="133">
        <f t="shared" si="11"/>
        <v>-13577.310000000001</v>
      </c>
      <c r="AI41" s="129"/>
      <c r="AJ41" s="163"/>
    </row>
    <row r="42" spans="1:36">
      <c r="A42" s="105" t="s">
        <v>219</v>
      </c>
      <c r="B42" s="105" t="s">
        <v>297</v>
      </c>
      <c r="D42" s="105" t="s">
        <v>220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72">
        <v>0</v>
      </c>
      <c r="Q42" s="135">
        <f t="shared" si="12"/>
        <v>0</v>
      </c>
      <c r="R42" s="136">
        <v>0</v>
      </c>
      <c r="S42" s="136">
        <v>0</v>
      </c>
      <c r="T42" s="136">
        <v>0</v>
      </c>
      <c r="U42" s="136">
        <v>0</v>
      </c>
      <c r="V42" s="136">
        <v>0</v>
      </c>
      <c r="W42" s="136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127">
        <f t="shared" si="8"/>
        <v>0</v>
      </c>
      <c r="AE42" s="72">
        <f t="shared" si="9"/>
        <v>0</v>
      </c>
      <c r="AF42" s="128" t="e">
        <f t="shared" si="10"/>
        <v>#DIV/0!</v>
      </c>
      <c r="AG42" s="129">
        <v>0</v>
      </c>
      <c r="AH42" s="133">
        <f t="shared" si="11"/>
        <v>0</v>
      </c>
      <c r="AI42" s="129"/>
      <c r="AJ42" s="163"/>
    </row>
    <row r="43" spans="1:36">
      <c r="A43" s="105" t="s">
        <v>221</v>
      </c>
      <c r="B43" s="105" t="s">
        <v>297</v>
      </c>
      <c r="D43" s="105" t="s">
        <v>222</v>
      </c>
      <c r="E43" s="72">
        <v>500</v>
      </c>
      <c r="F43" s="72">
        <v>500</v>
      </c>
      <c r="G43" s="72">
        <v>500</v>
      </c>
      <c r="H43" s="72">
        <v>500</v>
      </c>
      <c r="I43" s="72">
        <v>500</v>
      </c>
      <c r="J43" s="72">
        <v>500</v>
      </c>
      <c r="K43" s="72">
        <v>500</v>
      </c>
      <c r="L43" s="72">
        <v>500</v>
      </c>
      <c r="M43" s="72">
        <v>500</v>
      </c>
      <c r="N43" s="72">
        <v>500</v>
      </c>
      <c r="O43" s="72">
        <v>500</v>
      </c>
      <c r="P43" s="72">
        <v>500</v>
      </c>
      <c r="Q43" s="135">
        <f t="shared" si="12"/>
        <v>6000</v>
      </c>
      <c r="R43" s="136">
        <v>48</v>
      </c>
      <c r="S43" s="136">
        <v>0</v>
      </c>
      <c r="T43" s="136">
        <v>625.38</v>
      </c>
      <c r="U43" s="136">
        <v>761.36</v>
      </c>
      <c r="V43" s="136">
        <v>116.48</v>
      </c>
      <c r="W43" s="136">
        <v>116.48</v>
      </c>
      <c r="X43" s="72">
        <v>623.84</v>
      </c>
      <c r="Y43" s="72">
        <v>145.6</v>
      </c>
      <c r="Z43" s="72">
        <v>1000</v>
      </c>
      <c r="AA43" s="72">
        <v>1000</v>
      </c>
      <c r="AB43" s="72">
        <v>1000</v>
      </c>
      <c r="AC43" s="72">
        <v>1000</v>
      </c>
      <c r="AD43" s="127">
        <f t="shared" si="8"/>
        <v>6437.1399999999994</v>
      </c>
      <c r="AE43" s="72">
        <f t="shared" si="9"/>
        <v>-437.13999999999942</v>
      </c>
      <c r="AF43" s="128">
        <f t="shared" si="10"/>
        <v>-6.7909040350217553E-2</v>
      </c>
      <c r="AG43" s="129">
        <v>42313.739999999991</v>
      </c>
      <c r="AH43" s="133">
        <f t="shared" si="11"/>
        <v>36313.739999999991</v>
      </c>
      <c r="AI43" s="129"/>
      <c r="AJ43" s="163"/>
    </row>
    <row r="44" spans="1:36" s="109" customFormat="1">
      <c r="D44" s="109" t="s">
        <v>223</v>
      </c>
      <c r="E44" s="137">
        <f t="shared" ref="E44:J44" si="15">SUM(E20:E43)</f>
        <v>446771.24</v>
      </c>
      <c r="F44" s="137">
        <f t="shared" si="15"/>
        <v>359035.52</v>
      </c>
      <c r="G44" s="137">
        <f t="shared" si="15"/>
        <v>374013.03</v>
      </c>
      <c r="H44" s="137">
        <f t="shared" si="15"/>
        <v>367822.29000000004</v>
      </c>
      <c r="I44" s="137">
        <f t="shared" si="15"/>
        <v>370018.6</v>
      </c>
      <c r="J44" s="137">
        <f t="shared" si="15"/>
        <v>348585.4</v>
      </c>
      <c r="K44" s="137">
        <f t="shared" ref="K44:AD44" si="16">SUM(K20:K43)</f>
        <v>376103.62</v>
      </c>
      <c r="L44" s="137">
        <f t="shared" si="16"/>
        <v>385764.8</v>
      </c>
      <c r="M44" s="137">
        <f t="shared" si="16"/>
        <v>343915.83999999997</v>
      </c>
      <c r="N44" s="137">
        <f t="shared" si="16"/>
        <v>384267.93</v>
      </c>
      <c r="O44" s="137">
        <f t="shared" si="16"/>
        <v>347727.34</v>
      </c>
      <c r="P44" s="137">
        <f t="shared" si="16"/>
        <v>370210.04000000004</v>
      </c>
      <c r="Q44" s="135">
        <f t="shared" si="16"/>
        <v>4474235.6500000004</v>
      </c>
      <c r="R44" s="137">
        <f t="shared" si="16"/>
        <v>416262.95</v>
      </c>
      <c r="S44" s="137">
        <f t="shared" si="16"/>
        <v>745657.26</v>
      </c>
      <c r="T44" s="137">
        <f t="shared" si="16"/>
        <v>473476.42999999993</v>
      </c>
      <c r="U44" s="137">
        <f t="shared" si="16"/>
        <v>362466.67</v>
      </c>
      <c r="V44" s="137">
        <f t="shared" si="16"/>
        <v>362566.96</v>
      </c>
      <c r="W44" s="137">
        <f t="shared" si="16"/>
        <v>300001.69999999995</v>
      </c>
      <c r="X44" s="137">
        <f t="shared" si="16"/>
        <v>355150.32000000007</v>
      </c>
      <c r="Y44" s="137">
        <f t="shared" si="16"/>
        <v>442477.06</v>
      </c>
      <c r="Z44" s="137">
        <f t="shared" si="16"/>
        <v>234638.69</v>
      </c>
      <c r="AA44" s="137">
        <f t="shared" si="16"/>
        <v>243695.08999999997</v>
      </c>
      <c r="AB44" s="137">
        <f t="shared" si="16"/>
        <v>232911.29000000004</v>
      </c>
      <c r="AC44" s="137">
        <f t="shared" si="16"/>
        <v>249539.29000000004</v>
      </c>
      <c r="AD44" s="137">
        <f t="shared" si="16"/>
        <v>4418843.71</v>
      </c>
      <c r="AE44" s="127">
        <f t="shared" si="9"/>
        <v>55391.94000000041</v>
      </c>
      <c r="AF44" s="132">
        <f t="shared" si="10"/>
        <v>1.2535392431881329E-2</v>
      </c>
      <c r="AG44" s="129">
        <v>1603971.3900000001</v>
      </c>
      <c r="AH44" s="133">
        <f t="shared" si="11"/>
        <v>-2870264.2600000002</v>
      </c>
      <c r="AI44" s="129"/>
      <c r="AJ44" s="163"/>
    </row>
    <row r="45" spans="1:36" s="109" customFormat="1">
      <c r="D45" s="109" t="s">
        <v>224</v>
      </c>
      <c r="E45" s="137">
        <f>E15-E17-E44</f>
        <v>-936159.8</v>
      </c>
      <c r="F45" s="137">
        <f>F15-F17-F44</f>
        <v>-787588.86</v>
      </c>
      <c r="G45" s="137">
        <f>G15-G17-G44</f>
        <v>-807746.95000000007</v>
      </c>
      <c r="H45" s="137">
        <f t="shared" ref="H45:AD45" si="17">H15-H17-H44</f>
        <v>-816040.14000000013</v>
      </c>
      <c r="I45" s="137">
        <f t="shared" si="17"/>
        <v>-829343.14</v>
      </c>
      <c r="J45" s="137">
        <f>J15-J17-J44</f>
        <v>-784122.95000000007</v>
      </c>
      <c r="K45" s="137">
        <f t="shared" si="17"/>
        <v>-813588.29</v>
      </c>
      <c r="L45" s="137">
        <f t="shared" si="17"/>
        <v>-830399.14999999991</v>
      </c>
      <c r="M45" s="137">
        <f t="shared" si="17"/>
        <v>-788783.19</v>
      </c>
      <c r="N45" s="137">
        <f t="shared" si="17"/>
        <v>-888409.68</v>
      </c>
      <c r="O45" s="137">
        <f t="shared" si="17"/>
        <v>-792547.19</v>
      </c>
      <c r="P45" s="137">
        <f t="shared" si="17"/>
        <v>-813978.76</v>
      </c>
      <c r="Q45" s="133">
        <f t="shared" si="17"/>
        <v>-9888708.1000000015</v>
      </c>
      <c r="R45" s="137">
        <f t="shared" si="17"/>
        <v>-821955.01</v>
      </c>
      <c r="S45" s="137">
        <f t="shared" si="17"/>
        <v>-1194933.49</v>
      </c>
      <c r="T45" s="137">
        <f t="shared" si="17"/>
        <v>-844253.62999999989</v>
      </c>
      <c r="U45" s="137">
        <f t="shared" si="17"/>
        <v>-706881.07000000007</v>
      </c>
      <c r="V45" s="137">
        <f t="shared" si="17"/>
        <v>-697600.04</v>
      </c>
      <c r="W45" s="137">
        <f t="shared" si="17"/>
        <v>-625710.39999999991</v>
      </c>
      <c r="X45" s="137">
        <f t="shared" si="17"/>
        <v>-672447.99000000011</v>
      </c>
      <c r="Y45" s="137">
        <f t="shared" si="17"/>
        <v>-1092008.9100000001</v>
      </c>
      <c r="Z45" s="137">
        <f t="shared" si="17"/>
        <v>-672958.83000000007</v>
      </c>
      <c r="AA45" s="137">
        <f t="shared" si="17"/>
        <v>-749131.83000000007</v>
      </c>
      <c r="AB45" s="137">
        <f t="shared" si="17"/>
        <v>-683266.83000000007</v>
      </c>
      <c r="AC45" s="137">
        <f t="shared" si="17"/>
        <v>-704398.83000000007</v>
      </c>
      <c r="AD45" s="137">
        <f t="shared" si="17"/>
        <v>-9465546.8599999994</v>
      </c>
      <c r="AE45" s="127">
        <f t="shared" si="9"/>
        <v>-423161.24000000209</v>
      </c>
      <c r="AF45" s="132">
        <f t="shared" si="10"/>
        <v>4.4705419164762561E-2</v>
      </c>
      <c r="AG45" s="129">
        <v>-6423126.8499999996</v>
      </c>
      <c r="AH45" s="133">
        <f>Q45-AG45</f>
        <v>-3465581.2500000019</v>
      </c>
      <c r="AI45" s="129"/>
      <c r="AJ45" s="163"/>
    </row>
    <row r="46" spans="1:36" s="109" customFormat="1">
      <c r="D46" s="109" t="s">
        <v>225</v>
      </c>
      <c r="E46" s="139">
        <f t="shared" ref="E46:AD46" si="18">E45/E105</f>
        <v>-3.1796127328953212E-2</v>
      </c>
      <c r="F46" s="139">
        <f t="shared" si="18"/>
        <v>-2.2935396631885287E-2</v>
      </c>
      <c r="G46" s="139">
        <f t="shared" si="18"/>
        <v>-3.9694261871172212E-2</v>
      </c>
      <c r="H46" s="139">
        <f t="shared" si="18"/>
        <v>-4.3626243487259041E-2</v>
      </c>
      <c r="I46" s="139">
        <f t="shared" si="18"/>
        <v>-4.7589525684555184E-2</v>
      </c>
      <c r="J46" s="139">
        <f t="shared" si="18"/>
        <v>-5.025829933097721E-2</v>
      </c>
      <c r="K46" s="139">
        <f t="shared" si="18"/>
        <v>-3.5099578367580361E-2</v>
      </c>
      <c r="L46" s="139">
        <f t="shared" si="18"/>
        <v>-3.094840715608109E-2</v>
      </c>
      <c r="M46" s="139">
        <f t="shared" si="18"/>
        <v>-5.5154047951481301E-2</v>
      </c>
      <c r="N46" s="139">
        <f t="shared" si="18"/>
        <v>-5.1077163909857955E-2</v>
      </c>
      <c r="O46" s="139">
        <f t="shared" si="18"/>
        <v>-5.2316246577367984E-2</v>
      </c>
      <c r="P46" s="139">
        <f t="shared" si="18"/>
        <v>-4.1640519677014605E-2</v>
      </c>
      <c r="Q46" s="139">
        <f t="shared" si="18"/>
        <v>-3.9199159298495025E-2</v>
      </c>
      <c r="R46" s="139">
        <f t="shared" si="18"/>
        <v>-2.4653768856231842E-2</v>
      </c>
      <c r="S46" s="139">
        <f t="shared" si="18"/>
        <v>-2.2668922634702628E-2</v>
      </c>
      <c r="T46" s="139">
        <f t="shared" si="18"/>
        <v>-3.8060556526255236E-2</v>
      </c>
      <c r="U46" s="139">
        <f t="shared" si="18"/>
        <v>-3.7843380187358715E-2</v>
      </c>
      <c r="V46" s="139">
        <f t="shared" si="18"/>
        <v>-4.0008549464067476E-2</v>
      </c>
      <c r="W46" s="139">
        <f t="shared" si="18"/>
        <v>-4.018015627266517E-2</v>
      </c>
      <c r="X46" s="139">
        <f t="shared" si="18"/>
        <v>-2.8981941840463387E-2</v>
      </c>
      <c r="Y46" s="139">
        <f t="shared" si="18"/>
        <v>-4.0437545005171556E-2</v>
      </c>
      <c r="Z46" s="139">
        <f t="shared" si="18"/>
        <v>-5.1759872569088858E-2</v>
      </c>
      <c r="AA46" s="139">
        <f t="shared" si="18"/>
        <v>-4.6789814232155939E-2</v>
      </c>
      <c r="AB46" s="139">
        <f t="shared" si="18"/>
        <v>-4.7265481995390553E-2</v>
      </c>
      <c r="AC46" s="139">
        <f t="shared" si="18"/>
        <v>-3.9544087464211536E-2</v>
      </c>
      <c r="AD46" s="139">
        <f t="shared" si="18"/>
        <v>-3.4875400391250221E-2</v>
      </c>
      <c r="AE46" s="132"/>
      <c r="AF46" s="132"/>
      <c r="AG46" s="129">
        <v>-7.0812565469343391E-2</v>
      </c>
      <c r="AH46" s="133">
        <f>Q46-AG46</f>
        <v>3.1613406170848367E-2</v>
      </c>
      <c r="AI46" s="129"/>
      <c r="AJ46" s="163"/>
    </row>
    <row r="47" spans="1:36">
      <c r="D47" s="105" t="s">
        <v>154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35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35"/>
      <c r="AF47" s="128"/>
      <c r="AG47" s="129"/>
      <c r="AI47" s="129"/>
    </row>
    <row r="48" spans="1:36">
      <c r="A48" s="105" t="s">
        <v>226</v>
      </c>
      <c r="B48" s="105" t="s">
        <v>160</v>
      </c>
      <c r="D48" s="105" t="s">
        <v>227</v>
      </c>
      <c r="E48" s="136">
        <f>'Rooms+Summary'!E48</f>
        <v>20956</v>
      </c>
      <c r="F48" s="136">
        <f>'Rooms+Summary'!F48</f>
        <v>18928</v>
      </c>
      <c r="G48" s="136">
        <f>'Rooms+Summary'!G48</f>
        <v>20956</v>
      </c>
      <c r="H48" s="136">
        <f>'Rooms+Summary'!H48</f>
        <v>20280</v>
      </c>
      <c r="I48" s="136">
        <f>'Rooms+Summary'!I48</f>
        <v>20956</v>
      </c>
      <c r="J48" s="136">
        <f>'Rooms+Summary'!J48</f>
        <v>20280</v>
      </c>
      <c r="K48" s="136">
        <f>'Rooms+Summary'!K48</f>
        <v>20956</v>
      </c>
      <c r="L48" s="136">
        <f>'Rooms+Summary'!L48</f>
        <v>20956</v>
      </c>
      <c r="M48" s="136">
        <f>'Rooms+Summary'!M48</f>
        <v>20280</v>
      </c>
      <c r="N48" s="136">
        <f>'Rooms+Summary'!N48</f>
        <v>20956</v>
      </c>
      <c r="O48" s="136">
        <f>'Rooms+Summary'!O48</f>
        <v>20280</v>
      </c>
      <c r="P48" s="136">
        <f>'Rooms+Summary'!P48</f>
        <v>20956</v>
      </c>
      <c r="Q48" s="137">
        <f t="shared" ref="Q48:Q54" si="19">SUM(E48:P48)</f>
        <v>246740</v>
      </c>
      <c r="R48" s="136">
        <v>20956</v>
      </c>
      <c r="S48" s="136">
        <v>19604</v>
      </c>
      <c r="T48" s="136">
        <v>20956</v>
      </c>
      <c r="U48" s="136">
        <v>20280</v>
      </c>
      <c r="V48" s="136">
        <v>20956</v>
      </c>
      <c r="W48" s="136">
        <v>20280</v>
      </c>
      <c r="X48" s="136">
        <f>+'Rooms+Summary'!X48</f>
        <v>20956</v>
      </c>
      <c r="Y48" s="136">
        <f>+'Rooms+Summary'!Y48</f>
        <v>20956</v>
      </c>
      <c r="Z48" s="136">
        <f>+'Rooms+Summary'!Z48</f>
        <v>20280</v>
      </c>
      <c r="AA48" s="136">
        <f>+'Rooms+Summary'!AA48</f>
        <v>20956</v>
      </c>
      <c r="AB48" s="136">
        <f>+'Rooms+Summary'!AB48</f>
        <v>20280</v>
      </c>
      <c r="AC48" s="136">
        <f>+'Rooms+Summary'!AC48</f>
        <v>20956</v>
      </c>
      <c r="AD48" s="127">
        <f t="shared" ref="AD48:AD54" si="20">SUM(R48:AC48)</f>
        <v>247416</v>
      </c>
      <c r="AE48" s="72">
        <f t="shared" ref="AE48:AE60" si="21">Q48-AD48</f>
        <v>-676</v>
      </c>
      <c r="AF48" s="128">
        <f t="shared" ref="AF48:AF60" si="22">AE48/AD48</f>
        <v>-2.7322404371584699E-3</v>
      </c>
      <c r="AG48" s="129">
        <v>246740</v>
      </c>
      <c r="AH48" s="123">
        <f t="shared" ref="AH48:AH59" si="23">Q48-AG48</f>
        <v>0</v>
      </c>
      <c r="AI48" s="129"/>
    </row>
    <row r="49" spans="1:35">
      <c r="A49" s="105" t="s">
        <v>228</v>
      </c>
      <c r="B49" s="105" t="s">
        <v>160</v>
      </c>
      <c r="D49" s="105" t="s">
        <v>229</v>
      </c>
      <c r="E49" s="136">
        <f>E48-E50-E51</f>
        <v>20956</v>
      </c>
      <c r="F49" s="136">
        <f>F48-F50-F51</f>
        <v>18928</v>
      </c>
      <c r="G49" s="136">
        <f>G48-G50-G51</f>
        <v>20956</v>
      </c>
      <c r="H49" s="136">
        <f>H48-H50-H51</f>
        <v>20280</v>
      </c>
      <c r="I49" s="136">
        <f>I48-I50-I51</f>
        <v>20956</v>
      </c>
      <c r="J49" s="136">
        <f t="shared" ref="J49:P49" si="24">J48-J50-J51</f>
        <v>20280</v>
      </c>
      <c r="K49" s="136">
        <f t="shared" si="24"/>
        <v>20956</v>
      </c>
      <c r="L49" s="136">
        <f t="shared" si="24"/>
        <v>20956</v>
      </c>
      <c r="M49" s="136">
        <f t="shared" si="24"/>
        <v>20280</v>
      </c>
      <c r="N49" s="136">
        <f t="shared" si="24"/>
        <v>20956</v>
      </c>
      <c r="O49" s="136">
        <f t="shared" si="24"/>
        <v>20280</v>
      </c>
      <c r="P49" s="136">
        <f t="shared" si="24"/>
        <v>20956</v>
      </c>
      <c r="Q49" s="137">
        <f t="shared" si="19"/>
        <v>246740</v>
      </c>
      <c r="R49" s="136">
        <f t="shared" ref="R49:W49" si="25">R48-R50-R51</f>
        <v>20494</v>
      </c>
      <c r="S49" s="136">
        <f t="shared" si="25"/>
        <v>19227</v>
      </c>
      <c r="T49" s="136">
        <f t="shared" si="25"/>
        <v>20477</v>
      </c>
      <c r="U49" s="136">
        <f t="shared" si="25"/>
        <v>19399</v>
      </c>
      <c r="V49" s="136">
        <f t="shared" si="25"/>
        <v>19203</v>
      </c>
      <c r="W49" s="136">
        <f t="shared" si="25"/>
        <v>18839</v>
      </c>
      <c r="X49" s="136">
        <f>+'Rooms+Summary'!X49</f>
        <v>20556</v>
      </c>
      <c r="Y49" s="136">
        <f>+'Rooms+Summary'!Y49</f>
        <v>20436</v>
      </c>
      <c r="Z49" s="136">
        <f>+'Rooms+Summary'!Z49</f>
        <v>19680</v>
      </c>
      <c r="AA49" s="136">
        <f>+'Rooms+Summary'!AA49</f>
        <v>20356</v>
      </c>
      <c r="AB49" s="136">
        <f>+'Rooms+Summary'!AB49</f>
        <v>19680</v>
      </c>
      <c r="AC49" s="136">
        <f>+'Rooms+Summary'!AC49</f>
        <v>20356</v>
      </c>
      <c r="AD49" s="127">
        <f t="shared" si="20"/>
        <v>238703</v>
      </c>
      <c r="AE49" s="72">
        <f t="shared" si="21"/>
        <v>8037</v>
      </c>
      <c r="AF49" s="128">
        <f t="shared" si="22"/>
        <v>3.3669455348277984E-2</v>
      </c>
      <c r="AG49" s="129">
        <v>238727</v>
      </c>
      <c r="AH49" s="123">
        <f t="shared" si="23"/>
        <v>8013</v>
      </c>
      <c r="AI49" s="129"/>
    </row>
    <row r="50" spans="1:35">
      <c r="A50" s="105" t="s">
        <v>230</v>
      </c>
      <c r="B50" s="105" t="s">
        <v>160</v>
      </c>
      <c r="D50" s="105" t="s">
        <v>231</v>
      </c>
      <c r="E50" s="136">
        <f>'Rooms+Summary'!E50</f>
        <v>0</v>
      </c>
      <c r="F50" s="136">
        <f>'Rooms+Summary'!F50</f>
        <v>0</v>
      </c>
      <c r="G50" s="136">
        <f>'Rooms+Summary'!G50</f>
        <v>0</v>
      </c>
      <c r="H50" s="136">
        <f>'Rooms+Summary'!H50</f>
        <v>0</v>
      </c>
      <c r="I50" s="136">
        <f>'Rooms+Summary'!I50</f>
        <v>0</v>
      </c>
      <c r="J50" s="136">
        <f>'Rooms+Summary'!J50</f>
        <v>0</v>
      </c>
      <c r="K50" s="136">
        <f>'Rooms+Summary'!K50</f>
        <v>0</v>
      </c>
      <c r="L50" s="136">
        <f>'Rooms+Summary'!L50</f>
        <v>0</v>
      </c>
      <c r="M50" s="136">
        <f>'Rooms+Summary'!M50</f>
        <v>0</v>
      </c>
      <c r="N50" s="136">
        <f>'Rooms+Summary'!N50</f>
        <v>0</v>
      </c>
      <c r="O50" s="136">
        <f>'Rooms+Summary'!O50</f>
        <v>0</v>
      </c>
      <c r="P50" s="136">
        <f>'Rooms+Summary'!P50</f>
        <v>0</v>
      </c>
      <c r="Q50" s="137">
        <f t="shared" si="19"/>
        <v>0</v>
      </c>
      <c r="R50" s="136">
        <v>450</v>
      </c>
      <c r="S50" s="136">
        <v>370</v>
      </c>
      <c r="T50" s="136">
        <v>473</v>
      </c>
      <c r="U50" s="136">
        <v>871</v>
      </c>
      <c r="V50" s="136">
        <v>1729</v>
      </c>
      <c r="W50" s="136">
        <v>1433</v>
      </c>
      <c r="X50" s="136">
        <f>+'Rooms+Summary'!X50</f>
        <v>400</v>
      </c>
      <c r="Y50" s="136">
        <f>+'Rooms+Summary'!Y50</f>
        <v>520</v>
      </c>
      <c r="Z50" s="136">
        <f>+'Rooms+Summary'!Z50</f>
        <v>600</v>
      </c>
      <c r="AA50" s="136">
        <f>+'Rooms+Summary'!AA50</f>
        <v>600</v>
      </c>
      <c r="AB50" s="136">
        <f>+'Rooms+Summary'!AB50</f>
        <v>600</v>
      </c>
      <c r="AC50" s="136">
        <f>+'Rooms+Summary'!AC50</f>
        <v>600</v>
      </c>
      <c r="AD50" s="127">
        <f t="shared" si="20"/>
        <v>8646</v>
      </c>
      <c r="AE50" s="72">
        <f t="shared" si="21"/>
        <v>-8646</v>
      </c>
      <c r="AF50" s="128">
        <f t="shared" si="22"/>
        <v>-1</v>
      </c>
      <c r="AG50" s="129">
        <v>6262</v>
      </c>
      <c r="AH50" s="123">
        <f t="shared" si="23"/>
        <v>-6262</v>
      </c>
      <c r="AI50" s="129"/>
    </row>
    <row r="51" spans="1:35">
      <c r="A51" s="105" t="s">
        <v>232</v>
      </c>
      <c r="B51" s="105" t="s">
        <v>160</v>
      </c>
      <c r="D51" s="105" t="s">
        <v>233</v>
      </c>
      <c r="E51" s="136">
        <f>'Rooms+Summary'!E51</f>
        <v>0</v>
      </c>
      <c r="F51" s="136">
        <f>'Rooms+Summary'!F51</f>
        <v>0</v>
      </c>
      <c r="G51" s="136">
        <f>'Rooms+Summary'!G51</f>
        <v>0</v>
      </c>
      <c r="H51" s="136">
        <f>'Rooms+Summary'!H51</f>
        <v>0</v>
      </c>
      <c r="I51" s="136">
        <f>'Rooms+Summary'!I51</f>
        <v>0</v>
      </c>
      <c r="J51" s="136">
        <f>'Rooms+Summary'!J51</f>
        <v>0</v>
      </c>
      <c r="K51" s="136">
        <f>'Rooms+Summary'!K51</f>
        <v>0</v>
      </c>
      <c r="L51" s="136">
        <f>'Rooms+Summary'!L51</f>
        <v>0</v>
      </c>
      <c r="M51" s="136">
        <f>'Rooms+Summary'!M51</f>
        <v>0</v>
      </c>
      <c r="N51" s="136">
        <f>'Rooms+Summary'!N51</f>
        <v>0</v>
      </c>
      <c r="O51" s="136">
        <f>'Rooms+Summary'!O51</f>
        <v>0</v>
      </c>
      <c r="P51" s="136">
        <f>'Rooms+Summary'!P51</f>
        <v>0</v>
      </c>
      <c r="Q51" s="137">
        <f t="shared" si="19"/>
        <v>0</v>
      </c>
      <c r="R51" s="136">
        <v>12</v>
      </c>
      <c r="S51" s="136">
        <v>7</v>
      </c>
      <c r="T51" s="136">
        <v>6</v>
      </c>
      <c r="U51" s="136">
        <v>10</v>
      </c>
      <c r="V51" s="136">
        <v>24</v>
      </c>
      <c r="W51" s="136">
        <v>8</v>
      </c>
      <c r="X51" s="136">
        <f>+'Rooms+Summary'!X51</f>
        <v>9</v>
      </c>
      <c r="Y51" s="136">
        <f>+'Rooms+Summary'!Y51</f>
        <v>14</v>
      </c>
      <c r="Z51" s="136">
        <f>+'Rooms+Summary'!Z51</f>
        <v>5</v>
      </c>
      <c r="AA51" s="136">
        <f>+'Rooms+Summary'!AA51</f>
        <v>5</v>
      </c>
      <c r="AB51" s="136">
        <f>+'Rooms+Summary'!AB51</f>
        <v>5</v>
      </c>
      <c r="AC51" s="136">
        <f>+'Rooms+Summary'!AC51</f>
        <v>5</v>
      </c>
      <c r="AD51" s="127">
        <f t="shared" si="20"/>
        <v>110</v>
      </c>
      <c r="AE51" s="72">
        <f t="shared" si="21"/>
        <v>-110</v>
      </c>
      <c r="AF51" s="128">
        <f t="shared" si="22"/>
        <v>-1</v>
      </c>
      <c r="AG51" s="129">
        <v>1751</v>
      </c>
      <c r="AH51" s="123">
        <f t="shared" si="23"/>
        <v>-1751</v>
      </c>
      <c r="AI51" s="129"/>
    </row>
    <row r="52" spans="1:35">
      <c r="A52" s="105" t="s">
        <v>234</v>
      </c>
      <c r="B52" s="105" t="s">
        <v>160</v>
      </c>
      <c r="D52" s="105" t="s">
        <v>235</v>
      </c>
      <c r="E52" s="136">
        <f>'Rooms+Summary'!E52</f>
        <v>18860</v>
      </c>
      <c r="F52" s="136">
        <f>'Rooms+Summary'!F52</f>
        <v>17035</v>
      </c>
      <c r="G52" s="136">
        <f>'Rooms+Summary'!G52</f>
        <v>17813</v>
      </c>
      <c r="H52" s="136">
        <f>'Rooms+Summary'!H52</f>
        <v>17005</v>
      </c>
      <c r="I52" s="136">
        <f>'Rooms+Summary'!I52</f>
        <v>17603</v>
      </c>
      <c r="J52" s="136">
        <f>'Rooms+Summary'!J52</f>
        <v>16867</v>
      </c>
      <c r="K52" s="136">
        <f>'Rooms+Summary'!K52</f>
        <v>18860</v>
      </c>
      <c r="L52" s="136">
        <f>'Rooms+Summary'!L52</f>
        <v>18860</v>
      </c>
      <c r="M52" s="136">
        <f>'Rooms+Summary'!M52</f>
        <v>16630</v>
      </c>
      <c r="N52" s="136">
        <f>'Rooms+Summary'!N52</f>
        <v>17393</v>
      </c>
      <c r="O52" s="136">
        <f>'Rooms+Summary'!O52</f>
        <v>16832</v>
      </c>
      <c r="P52" s="136">
        <f>'Rooms+Summary'!P52</f>
        <v>18441</v>
      </c>
      <c r="Q52" s="137">
        <f t="shared" si="19"/>
        <v>212199</v>
      </c>
      <c r="R52" s="136">
        <v>19715</v>
      </c>
      <c r="S52" s="136">
        <v>18855</v>
      </c>
      <c r="T52" s="136">
        <v>19772</v>
      </c>
      <c r="U52" s="136">
        <v>18249</v>
      </c>
      <c r="V52" s="136">
        <v>17477</v>
      </c>
      <c r="W52" s="136">
        <v>17897</v>
      </c>
      <c r="X52" s="136">
        <f>+'Rooms+Summary'!X52</f>
        <v>19826</v>
      </c>
      <c r="Y52" s="136">
        <f>+'Rooms+Summary'!Y52</f>
        <v>19726</v>
      </c>
      <c r="Z52" s="136">
        <f>+'Rooms+Summary'!Z52</f>
        <v>16224</v>
      </c>
      <c r="AA52" s="136">
        <f>+'Rooms+Summary'!AA52</f>
        <v>16765</v>
      </c>
      <c r="AB52" s="136">
        <f>+'Rooms+Summary'!AB52</f>
        <v>16832</v>
      </c>
      <c r="AC52" s="136">
        <f>+'Rooms+Summary'!AC52</f>
        <v>17813</v>
      </c>
      <c r="AD52" s="127">
        <f t="shared" si="20"/>
        <v>219151</v>
      </c>
      <c r="AE52" s="72">
        <f t="shared" si="21"/>
        <v>-6952</v>
      </c>
      <c r="AF52" s="128">
        <f t="shared" si="22"/>
        <v>-3.1722419701484365E-2</v>
      </c>
      <c r="AG52" s="129">
        <v>213673</v>
      </c>
      <c r="AH52" s="123">
        <f t="shared" si="23"/>
        <v>-1474</v>
      </c>
      <c r="AI52" s="129"/>
    </row>
    <row r="53" spans="1:35">
      <c r="A53" s="105" t="s">
        <v>236</v>
      </c>
      <c r="B53" s="105" t="s">
        <v>160</v>
      </c>
      <c r="D53" s="105" t="s">
        <v>237</v>
      </c>
      <c r="E53" s="136">
        <f>'Rooms+Summary'!E53</f>
        <v>62</v>
      </c>
      <c r="F53" s="136">
        <f>'Rooms+Summary'!F53</f>
        <v>62</v>
      </c>
      <c r="G53" s="136">
        <f>'Rooms+Summary'!G53</f>
        <v>62</v>
      </c>
      <c r="H53" s="136">
        <f>'Rooms+Summary'!H53</f>
        <v>62</v>
      </c>
      <c r="I53" s="136">
        <f>'Rooms+Summary'!I53</f>
        <v>62</v>
      </c>
      <c r="J53" s="136">
        <f>'Rooms+Summary'!J53</f>
        <v>62</v>
      </c>
      <c r="K53" s="136">
        <f>'Rooms+Summary'!K53</f>
        <v>62</v>
      </c>
      <c r="L53" s="136">
        <f>'Rooms+Summary'!L53</f>
        <v>62</v>
      </c>
      <c r="M53" s="136">
        <f>'Rooms+Summary'!M53</f>
        <v>62</v>
      </c>
      <c r="N53" s="136">
        <f>'Rooms+Summary'!N53</f>
        <v>62</v>
      </c>
      <c r="O53" s="136">
        <f>'Rooms+Summary'!O53</f>
        <v>62</v>
      </c>
      <c r="P53" s="136">
        <f>'Rooms+Summary'!P53</f>
        <v>62</v>
      </c>
      <c r="Q53" s="137">
        <f t="shared" si="19"/>
        <v>744</v>
      </c>
      <c r="R53" s="136">
        <v>96</v>
      </c>
      <c r="S53" s="136">
        <v>29</v>
      </c>
      <c r="T53" s="136">
        <v>74</v>
      </c>
      <c r="U53" s="136">
        <v>49</v>
      </c>
      <c r="V53" s="136">
        <v>53</v>
      </c>
      <c r="W53" s="136">
        <v>61</v>
      </c>
      <c r="X53" s="136">
        <f>+'Rooms+Summary'!X53</f>
        <v>73</v>
      </c>
      <c r="Y53" s="136">
        <f>+'Rooms+Summary'!Y53</f>
        <v>93</v>
      </c>
      <c r="Z53" s="136">
        <f>+'Rooms+Summary'!Z53</f>
        <v>200</v>
      </c>
      <c r="AA53" s="136">
        <f>+'Rooms+Summary'!AA53</f>
        <v>150</v>
      </c>
      <c r="AB53" s="136">
        <f>+'Rooms+Summary'!AB53</f>
        <v>200</v>
      </c>
      <c r="AC53" s="136">
        <f>+'Rooms+Summary'!AC53</f>
        <v>150</v>
      </c>
      <c r="AD53" s="127">
        <f t="shared" si="20"/>
        <v>1228</v>
      </c>
      <c r="AE53" s="72">
        <f t="shared" si="21"/>
        <v>-484</v>
      </c>
      <c r="AF53" s="128">
        <f t="shared" si="22"/>
        <v>-0.39413680781758959</v>
      </c>
      <c r="AG53" s="129">
        <v>1723</v>
      </c>
      <c r="AH53" s="123">
        <f t="shared" si="23"/>
        <v>-979</v>
      </c>
      <c r="AI53" s="129"/>
    </row>
    <row r="54" spans="1:35">
      <c r="A54" s="105" t="s">
        <v>238</v>
      </c>
      <c r="B54" s="105" t="s">
        <v>160</v>
      </c>
      <c r="D54" s="105" t="s">
        <v>239</v>
      </c>
      <c r="E54" s="136">
        <f>'Rooms+Summary'!E54</f>
        <v>54</v>
      </c>
      <c r="F54" s="136">
        <f>'Rooms+Summary'!F54</f>
        <v>54</v>
      </c>
      <c r="G54" s="136">
        <f>'Rooms+Summary'!G54</f>
        <v>54</v>
      </c>
      <c r="H54" s="136">
        <f>'Rooms+Summary'!H54</f>
        <v>54</v>
      </c>
      <c r="I54" s="136">
        <f>'Rooms+Summary'!I54</f>
        <v>54</v>
      </c>
      <c r="J54" s="136">
        <f>'Rooms+Summary'!J54</f>
        <v>54</v>
      </c>
      <c r="K54" s="136">
        <f>'Rooms+Summary'!K54</f>
        <v>54</v>
      </c>
      <c r="L54" s="136">
        <f>'Rooms+Summary'!L54</f>
        <v>54</v>
      </c>
      <c r="M54" s="136">
        <f>'Rooms+Summary'!M54</f>
        <v>54</v>
      </c>
      <c r="N54" s="136">
        <f>'Rooms+Summary'!N54</f>
        <v>54</v>
      </c>
      <c r="O54" s="136">
        <f>'Rooms+Summary'!O54</f>
        <v>54</v>
      </c>
      <c r="P54" s="136">
        <f>'Rooms+Summary'!P54</f>
        <v>54</v>
      </c>
      <c r="Q54" s="137">
        <f t="shared" si="19"/>
        <v>648</v>
      </c>
      <c r="R54" s="136">
        <v>59</v>
      </c>
      <c r="S54" s="136">
        <v>43</v>
      </c>
      <c r="T54" s="136">
        <v>57</v>
      </c>
      <c r="U54" s="136">
        <v>65</v>
      </c>
      <c r="V54" s="136">
        <v>63</v>
      </c>
      <c r="W54" s="136">
        <v>57</v>
      </c>
      <c r="X54" s="136">
        <f>+'Rooms+Summary'!X54</f>
        <v>40</v>
      </c>
      <c r="Y54" s="136">
        <f>+'Rooms+Summary'!Y54</f>
        <v>44</v>
      </c>
      <c r="Z54" s="136">
        <f>+'Rooms+Summary'!Z54</f>
        <v>60</v>
      </c>
      <c r="AA54" s="136">
        <f>+'Rooms+Summary'!AA54</f>
        <v>60</v>
      </c>
      <c r="AB54" s="136">
        <f>+'Rooms+Summary'!AB54</f>
        <v>60</v>
      </c>
      <c r="AC54" s="136">
        <f>+'Rooms+Summary'!AC54</f>
        <v>60</v>
      </c>
      <c r="AD54" s="127">
        <f t="shared" si="20"/>
        <v>668</v>
      </c>
      <c r="AE54" s="72">
        <f t="shared" si="21"/>
        <v>-20</v>
      </c>
      <c r="AF54" s="128">
        <f t="shared" si="22"/>
        <v>-2.9940119760479042E-2</v>
      </c>
      <c r="AG54" s="129">
        <v>711</v>
      </c>
      <c r="AH54" s="123">
        <f t="shared" si="23"/>
        <v>-63</v>
      </c>
      <c r="AI54" s="129"/>
    </row>
    <row r="55" spans="1:35">
      <c r="D55" s="105" t="s">
        <v>240</v>
      </c>
      <c r="E55" s="137">
        <f t="shared" ref="E55:Q55" si="26">SUM(E52:E54)</f>
        <v>18976</v>
      </c>
      <c r="F55" s="137">
        <f t="shared" si="26"/>
        <v>17151</v>
      </c>
      <c r="G55" s="137">
        <f t="shared" si="26"/>
        <v>17929</v>
      </c>
      <c r="H55" s="137">
        <f t="shared" si="26"/>
        <v>17121</v>
      </c>
      <c r="I55" s="137">
        <f t="shared" si="26"/>
        <v>17719</v>
      </c>
      <c r="J55" s="137">
        <f t="shared" si="26"/>
        <v>16983</v>
      </c>
      <c r="K55" s="137">
        <f t="shared" si="26"/>
        <v>18976</v>
      </c>
      <c r="L55" s="137">
        <f t="shared" si="26"/>
        <v>18976</v>
      </c>
      <c r="M55" s="137">
        <f t="shared" si="26"/>
        <v>16746</v>
      </c>
      <c r="N55" s="137">
        <f t="shared" si="26"/>
        <v>17509</v>
      </c>
      <c r="O55" s="137">
        <f t="shared" si="26"/>
        <v>16948</v>
      </c>
      <c r="P55" s="137">
        <f t="shared" si="26"/>
        <v>18557</v>
      </c>
      <c r="Q55" s="137">
        <f t="shared" si="26"/>
        <v>213591</v>
      </c>
      <c r="R55" s="137">
        <f t="shared" ref="R55:AD55" si="27">SUM(R52:R54)</f>
        <v>19870</v>
      </c>
      <c r="S55" s="137">
        <f t="shared" si="27"/>
        <v>18927</v>
      </c>
      <c r="T55" s="137">
        <f t="shared" si="27"/>
        <v>19903</v>
      </c>
      <c r="U55" s="137">
        <f t="shared" si="27"/>
        <v>18363</v>
      </c>
      <c r="V55" s="137">
        <f t="shared" si="27"/>
        <v>17593</v>
      </c>
      <c r="W55" s="137">
        <f t="shared" si="27"/>
        <v>18015</v>
      </c>
      <c r="X55" s="137">
        <f t="shared" si="27"/>
        <v>19939</v>
      </c>
      <c r="Y55" s="137">
        <f t="shared" si="27"/>
        <v>19863</v>
      </c>
      <c r="Z55" s="137">
        <f t="shared" si="27"/>
        <v>16484</v>
      </c>
      <c r="AA55" s="137">
        <f t="shared" si="27"/>
        <v>16975</v>
      </c>
      <c r="AB55" s="137">
        <f t="shared" si="27"/>
        <v>17092</v>
      </c>
      <c r="AC55" s="137">
        <f t="shared" si="27"/>
        <v>18023</v>
      </c>
      <c r="AD55" s="137">
        <f t="shared" si="27"/>
        <v>221047</v>
      </c>
      <c r="AE55" s="72">
        <f t="shared" si="21"/>
        <v>-7456</v>
      </c>
      <c r="AF55" s="128">
        <f t="shared" si="22"/>
        <v>-3.3730383131189291E-2</v>
      </c>
      <c r="AG55" s="129">
        <v>216107</v>
      </c>
      <c r="AH55" s="123">
        <f t="shared" si="23"/>
        <v>-2516</v>
      </c>
      <c r="AI55" s="129"/>
    </row>
    <row r="56" spans="1:35">
      <c r="D56" s="105" t="s">
        <v>241</v>
      </c>
      <c r="E56" s="138">
        <f t="shared" ref="E56:AD56" si="28">E55/E48</f>
        <v>0.90551631990837944</v>
      </c>
      <c r="F56" s="138">
        <f t="shared" si="28"/>
        <v>0.90611792054099749</v>
      </c>
      <c r="G56" s="138">
        <f t="shared" si="28"/>
        <v>0.85555449513265891</v>
      </c>
      <c r="H56" s="138">
        <f t="shared" si="28"/>
        <v>0.84423076923076923</v>
      </c>
      <c r="I56" s="138">
        <f t="shared" si="28"/>
        <v>0.84553349875930517</v>
      </c>
      <c r="J56" s="138">
        <f t="shared" si="28"/>
        <v>0.83742603550295858</v>
      </c>
      <c r="K56" s="138">
        <f t="shared" si="28"/>
        <v>0.90551631990837944</v>
      </c>
      <c r="L56" s="138">
        <f t="shared" si="28"/>
        <v>0.90551631990837944</v>
      </c>
      <c r="M56" s="138">
        <f t="shared" si="28"/>
        <v>0.82573964497041419</v>
      </c>
      <c r="N56" s="138">
        <f t="shared" si="28"/>
        <v>0.83551250238595154</v>
      </c>
      <c r="O56" s="138">
        <f t="shared" si="28"/>
        <v>0.83570019723865874</v>
      </c>
      <c r="P56" s="138">
        <f t="shared" si="28"/>
        <v>0.88552204619202135</v>
      </c>
      <c r="Q56" s="139">
        <f t="shared" si="28"/>
        <v>0.86565210342871035</v>
      </c>
      <c r="R56" s="138">
        <f t="shared" si="28"/>
        <v>0.94817713304065665</v>
      </c>
      <c r="S56" s="138">
        <f t="shared" si="28"/>
        <v>0.96546623138135079</v>
      </c>
      <c r="T56" s="138">
        <f t="shared" si="28"/>
        <v>0.94975186104218368</v>
      </c>
      <c r="U56" s="138">
        <f t="shared" si="28"/>
        <v>0.9054733727810651</v>
      </c>
      <c r="V56" s="138">
        <f t="shared" si="28"/>
        <v>0.83952090093529297</v>
      </c>
      <c r="W56" s="138">
        <f t="shared" si="28"/>
        <v>0.88831360946745563</v>
      </c>
      <c r="X56" s="138">
        <f t="shared" si="28"/>
        <v>0.95146974613475854</v>
      </c>
      <c r="Y56" s="138">
        <f t="shared" si="28"/>
        <v>0.94784309982821147</v>
      </c>
      <c r="Z56" s="138">
        <f t="shared" si="28"/>
        <v>0.81282051282051282</v>
      </c>
      <c r="AA56" s="138">
        <f t="shared" si="28"/>
        <v>0.81003054017942355</v>
      </c>
      <c r="AB56" s="138">
        <f t="shared" si="28"/>
        <v>0.84280078895463506</v>
      </c>
      <c r="AC56" s="138">
        <f t="shared" si="28"/>
        <v>0.86004008398549336</v>
      </c>
      <c r="AD56" s="139">
        <f t="shared" si="28"/>
        <v>0.89342241407184664</v>
      </c>
      <c r="AE56" s="128">
        <f t="shared" si="21"/>
        <v>-2.7770310643136287E-2</v>
      </c>
      <c r="AF56" s="128">
        <f t="shared" si="22"/>
        <v>-3.1083069112370704E-2</v>
      </c>
      <c r="AG56" s="129">
        <v>0.87584907189754402</v>
      </c>
      <c r="AH56" s="123">
        <f t="shared" si="23"/>
        <v>-1.0196968468833667E-2</v>
      </c>
      <c r="AI56" s="129"/>
    </row>
    <row r="57" spans="1:35">
      <c r="D57" s="105" t="s">
        <v>242</v>
      </c>
      <c r="E57" s="138">
        <f t="shared" ref="E57:AD57" si="29">E52/E48</f>
        <v>0.89998091238786027</v>
      </c>
      <c r="F57" s="138">
        <f t="shared" si="29"/>
        <v>0.89998943364327977</v>
      </c>
      <c r="G57" s="138">
        <f t="shared" si="29"/>
        <v>0.85001908761213973</v>
      </c>
      <c r="H57" s="138">
        <f t="shared" si="29"/>
        <v>0.83851084812623278</v>
      </c>
      <c r="I57" s="138">
        <f t="shared" si="29"/>
        <v>0.83999809123878599</v>
      </c>
      <c r="J57" s="138">
        <f t="shared" si="29"/>
        <v>0.83170611439842212</v>
      </c>
      <c r="K57" s="138">
        <f t="shared" si="29"/>
        <v>0.89998091238786027</v>
      </c>
      <c r="L57" s="138">
        <f t="shared" si="29"/>
        <v>0.89998091238786027</v>
      </c>
      <c r="M57" s="138">
        <f t="shared" si="29"/>
        <v>0.82001972386587774</v>
      </c>
      <c r="N57" s="138">
        <f t="shared" si="29"/>
        <v>0.82997709486543236</v>
      </c>
      <c r="O57" s="138">
        <f t="shared" si="29"/>
        <v>0.82998027613412229</v>
      </c>
      <c r="P57" s="138">
        <f t="shared" si="29"/>
        <v>0.87998663867150217</v>
      </c>
      <c r="Q57" s="139">
        <f t="shared" si="29"/>
        <v>0.86001053740779765</v>
      </c>
      <c r="R57" s="138">
        <f t="shared" si="29"/>
        <v>0.94078068333651466</v>
      </c>
      <c r="S57" s="138">
        <f t="shared" si="29"/>
        <v>0.96179351152825954</v>
      </c>
      <c r="T57" s="138">
        <f t="shared" si="29"/>
        <v>0.94350066806642485</v>
      </c>
      <c r="U57" s="138">
        <f t="shared" si="29"/>
        <v>0.89985207100591713</v>
      </c>
      <c r="V57" s="138">
        <f t="shared" si="29"/>
        <v>0.83398549341477379</v>
      </c>
      <c r="W57" s="138">
        <f t="shared" si="29"/>
        <v>0.88249506903353059</v>
      </c>
      <c r="X57" s="138">
        <f t="shared" si="29"/>
        <v>0.94607749570528732</v>
      </c>
      <c r="Y57" s="138">
        <f t="shared" si="29"/>
        <v>0.94130559267035696</v>
      </c>
      <c r="Z57" s="138">
        <f t="shared" si="29"/>
        <v>0.8</v>
      </c>
      <c r="AA57" s="138">
        <f t="shared" si="29"/>
        <v>0.80000954380606981</v>
      </c>
      <c r="AB57" s="138">
        <f t="shared" si="29"/>
        <v>0.82998027613412229</v>
      </c>
      <c r="AC57" s="138">
        <f t="shared" si="29"/>
        <v>0.85001908761213973</v>
      </c>
      <c r="AD57" s="139">
        <f t="shared" si="29"/>
        <v>0.88575920716526013</v>
      </c>
      <c r="AE57" s="128">
        <f t="shared" si="21"/>
        <v>-2.5748669757462483E-2</v>
      </c>
      <c r="AF57" s="128">
        <f t="shared" si="22"/>
        <v>-2.9069604412995321E-2</v>
      </c>
      <c r="AG57" s="129">
        <v>0.86598443705925265</v>
      </c>
      <c r="AH57" s="123">
        <f t="shared" si="23"/>
        <v>-5.9738996514550058E-3</v>
      </c>
      <c r="AI57" s="129"/>
    </row>
    <row r="58" spans="1:35">
      <c r="D58" s="105" t="s">
        <v>243</v>
      </c>
      <c r="E58" s="136">
        <f t="shared" ref="E58:AD58" si="30">E15/E52</f>
        <v>0</v>
      </c>
      <c r="F58" s="136">
        <f t="shared" si="30"/>
        <v>0</v>
      </c>
      <c r="G58" s="136">
        <f t="shared" si="30"/>
        <v>0</v>
      </c>
      <c r="H58" s="136">
        <f t="shared" si="30"/>
        <v>0</v>
      </c>
      <c r="I58" s="136">
        <f t="shared" si="30"/>
        <v>0</v>
      </c>
      <c r="J58" s="136">
        <f t="shared" si="30"/>
        <v>0</v>
      </c>
      <c r="K58" s="136">
        <f t="shared" si="30"/>
        <v>0</v>
      </c>
      <c r="L58" s="136">
        <f t="shared" si="30"/>
        <v>0</v>
      </c>
      <c r="M58" s="136">
        <f t="shared" si="30"/>
        <v>0</v>
      </c>
      <c r="N58" s="136">
        <f t="shared" si="30"/>
        <v>0</v>
      </c>
      <c r="O58" s="136">
        <f t="shared" si="30"/>
        <v>0</v>
      </c>
      <c r="P58" s="136">
        <f t="shared" si="30"/>
        <v>0</v>
      </c>
      <c r="Q58" s="137">
        <f t="shared" si="30"/>
        <v>0</v>
      </c>
      <c r="R58" s="136">
        <f t="shared" si="30"/>
        <v>0</v>
      </c>
      <c r="S58" s="136">
        <f t="shared" si="30"/>
        <v>0</v>
      </c>
      <c r="T58" s="136">
        <f t="shared" si="30"/>
        <v>0</v>
      </c>
      <c r="U58" s="136">
        <f t="shared" si="30"/>
        <v>0</v>
      </c>
      <c r="V58" s="136">
        <f t="shared" si="30"/>
        <v>0</v>
      </c>
      <c r="W58" s="136">
        <f t="shared" si="30"/>
        <v>0</v>
      </c>
      <c r="X58" s="136">
        <f t="shared" si="30"/>
        <v>0</v>
      </c>
      <c r="Y58" s="136">
        <f t="shared" si="30"/>
        <v>0</v>
      </c>
      <c r="Z58" s="136">
        <f t="shared" si="30"/>
        <v>0</v>
      </c>
      <c r="AA58" s="136">
        <f t="shared" si="30"/>
        <v>0</v>
      </c>
      <c r="AB58" s="136">
        <f t="shared" si="30"/>
        <v>0</v>
      </c>
      <c r="AC58" s="136">
        <f t="shared" si="30"/>
        <v>0</v>
      </c>
      <c r="AD58" s="137">
        <f t="shared" si="30"/>
        <v>0</v>
      </c>
      <c r="AE58" s="72">
        <f t="shared" si="21"/>
        <v>0</v>
      </c>
      <c r="AF58" s="128" t="e">
        <f t="shared" si="22"/>
        <v>#DIV/0!</v>
      </c>
      <c r="AG58" s="129">
        <v>0</v>
      </c>
      <c r="AH58" s="123">
        <f t="shared" si="23"/>
        <v>0</v>
      </c>
      <c r="AI58" s="129"/>
    </row>
    <row r="59" spans="1:35">
      <c r="D59" s="105" t="s">
        <v>244</v>
      </c>
      <c r="E59" s="136">
        <f t="shared" ref="E59:AD59" si="31">E15/E48</f>
        <v>0</v>
      </c>
      <c r="F59" s="136">
        <f t="shared" si="31"/>
        <v>0</v>
      </c>
      <c r="G59" s="136">
        <f t="shared" si="31"/>
        <v>0</v>
      </c>
      <c r="H59" s="136">
        <f t="shared" si="31"/>
        <v>0</v>
      </c>
      <c r="I59" s="136">
        <f t="shared" si="31"/>
        <v>0</v>
      </c>
      <c r="J59" s="136">
        <f t="shared" si="31"/>
        <v>0</v>
      </c>
      <c r="K59" s="136">
        <f t="shared" si="31"/>
        <v>0</v>
      </c>
      <c r="L59" s="136">
        <f t="shared" si="31"/>
        <v>0</v>
      </c>
      <c r="M59" s="136">
        <f t="shared" si="31"/>
        <v>0</v>
      </c>
      <c r="N59" s="136">
        <f t="shared" si="31"/>
        <v>0</v>
      </c>
      <c r="O59" s="136">
        <f t="shared" si="31"/>
        <v>0</v>
      </c>
      <c r="P59" s="136">
        <f t="shared" si="31"/>
        <v>0</v>
      </c>
      <c r="Q59" s="137">
        <f t="shared" si="31"/>
        <v>0</v>
      </c>
      <c r="R59" s="136">
        <f t="shared" si="31"/>
        <v>0</v>
      </c>
      <c r="S59" s="136">
        <f t="shared" si="31"/>
        <v>0</v>
      </c>
      <c r="T59" s="136">
        <f t="shared" si="31"/>
        <v>0</v>
      </c>
      <c r="U59" s="136">
        <f t="shared" si="31"/>
        <v>0</v>
      </c>
      <c r="V59" s="136">
        <f t="shared" si="31"/>
        <v>0</v>
      </c>
      <c r="W59" s="136">
        <f t="shared" si="31"/>
        <v>0</v>
      </c>
      <c r="X59" s="136">
        <f t="shared" si="31"/>
        <v>0</v>
      </c>
      <c r="Y59" s="136">
        <f t="shared" si="31"/>
        <v>0</v>
      </c>
      <c r="Z59" s="136">
        <f t="shared" si="31"/>
        <v>0</v>
      </c>
      <c r="AA59" s="136">
        <f t="shared" si="31"/>
        <v>0</v>
      </c>
      <c r="AB59" s="136">
        <f t="shared" si="31"/>
        <v>0</v>
      </c>
      <c r="AC59" s="136">
        <f t="shared" si="31"/>
        <v>0</v>
      </c>
      <c r="AD59" s="137">
        <f t="shared" si="31"/>
        <v>0</v>
      </c>
      <c r="AE59" s="72">
        <f t="shared" si="21"/>
        <v>0</v>
      </c>
      <c r="AF59" s="128" t="e">
        <f t="shared" si="22"/>
        <v>#DIV/0!</v>
      </c>
      <c r="AG59" s="129">
        <v>0</v>
      </c>
      <c r="AH59" s="123">
        <f t="shared" si="23"/>
        <v>0</v>
      </c>
      <c r="AI59" s="129"/>
    </row>
    <row r="60" spans="1:35">
      <c r="D60" s="105" t="s">
        <v>245</v>
      </c>
      <c r="E60" s="135">
        <f t="shared" ref="E60:AD60" si="32">(E44+E17)/E55</f>
        <v>49.333884907251267</v>
      </c>
      <c r="F60" s="135">
        <f t="shared" si="32"/>
        <v>45.920871086234037</v>
      </c>
      <c r="G60" s="135">
        <f t="shared" si="32"/>
        <v>45.052537787941326</v>
      </c>
      <c r="H60" s="135">
        <f t="shared" si="32"/>
        <v>47.663111967758901</v>
      </c>
      <c r="I60" s="135">
        <f t="shared" si="32"/>
        <v>46.805301653592188</v>
      </c>
      <c r="J60" s="135">
        <f t="shared" si="32"/>
        <v>46.171050462226937</v>
      </c>
      <c r="K60" s="135">
        <f t="shared" si="32"/>
        <v>42.874593697301854</v>
      </c>
      <c r="L60" s="135">
        <f t="shared" si="32"/>
        <v>43.760494835581781</v>
      </c>
      <c r="M60" s="135">
        <f t="shared" si="32"/>
        <v>47.102782156932996</v>
      </c>
      <c r="N60" s="135">
        <f t="shared" si="32"/>
        <v>50.740172482723175</v>
      </c>
      <c r="O60" s="135">
        <f t="shared" si="32"/>
        <v>46.763464125560532</v>
      </c>
      <c r="P60" s="135">
        <f t="shared" si="32"/>
        <v>43.863704262542434</v>
      </c>
      <c r="Q60" s="135">
        <f t="shared" si="32"/>
        <v>46.297400639540065</v>
      </c>
      <c r="R60" s="135">
        <f t="shared" si="32"/>
        <v>41.366633618520382</v>
      </c>
      <c r="S60" s="135">
        <f t="shared" si="32"/>
        <v>63.133803032704598</v>
      </c>
      <c r="T60" s="135">
        <f t="shared" si="32"/>
        <v>42.418410792342854</v>
      </c>
      <c r="U60" s="135">
        <f t="shared" si="32"/>
        <v>38.494857594075043</v>
      </c>
      <c r="V60" s="135">
        <f t="shared" si="32"/>
        <v>39.65213664525664</v>
      </c>
      <c r="W60" s="135">
        <f t="shared" si="32"/>
        <v>34.732744934776569</v>
      </c>
      <c r="X60" s="135">
        <f t="shared" si="32"/>
        <v>33.72526154772055</v>
      </c>
      <c r="Y60" s="135">
        <f t="shared" si="32"/>
        <v>54.977038211750497</v>
      </c>
      <c r="Z60" s="135">
        <f t="shared" si="32"/>
        <v>40.824971487503035</v>
      </c>
      <c r="AA60" s="135">
        <f t="shared" si="32"/>
        <v>44.131477466863039</v>
      </c>
      <c r="AB60" s="135">
        <f t="shared" si="32"/>
        <v>39.975826702550904</v>
      </c>
      <c r="AC60" s="135">
        <f t="shared" si="32"/>
        <v>39.083328524662932</v>
      </c>
      <c r="AD60" s="135">
        <f t="shared" si="32"/>
        <v>42.821421960035643</v>
      </c>
      <c r="AE60" s="117">
        <f t="shared" si="21"/>
        <v>3.4759786795044221</v>
      </c>
      <c r="AF60" s="128">
        <f t="shared" si="22"/>
        <v>8.1173826566256532E-2</v>
      </c>
      <c r="AG60" s="129">
        <v>29.721974993868777</v>
      </c>
      <c r="AH60" s="133">
        <f t="shared" ref="AH60:AH101" si="33">AG60-Q60</f>
        <v>-16.575425645671288</v>
      </c>
      <c r="AI60" s="129"/>
    </row>
    <row r="61" spans="1:35">
      <c r="D61" s="105" t="s">
        <v>154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35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35"/>
      <c r="AF61" s="128"/>
      <c r="AG61" s="129"/>
      <c r="AH61" s="133">
        <f t="shared" si="33"/>
        <v>0</v>
      </c>
      <c r="AI61" s="129"/>
    </row>
    <row r="62" spans="1:35">
      <c r="D62" s="109" t="s">
        <v>246</v>
      </c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35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35"/>
      <c r="AF62" s="128"/>
      <c r="AG62" s="129"/>
      <c r="AH62" s="133">
        <f t="shared" si="33"/>
        <v>0</v>
      </c>
      <c r="AI62" s="129"/>
    </row>
    <row r="63" spans="1:35">
      <c r="D63" s="105" t="s">
        <v>247</v>
      </c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35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35"/>
      <c r="AF63" s="128"/>
      <c r="AG63" s="129"/>
      <c r="AH63" s="133">
        <f t="shared" si="33"/>
        <v>0</v>
      </c>
      <c r="AI63" s="129"/>
    </row>
    <row r="64" spans="1:35">
      <c r="A64" s="105" t="s">
        <v>248</v>
      </c>
      <c r="B64" s="105" t="s">
        <v>297</v>
      </c>
      <c r="D64" s="105" t="s">
        <v>250</v>
      </c>
      <c r="E64" s="136">
        <v>96572.92</v>
      </c>
      <c r="F64" s="136">
        <v>96572.92</v>
      </c>
      <c r="G64" s="136">
        <v>96967.92</v>
      </c>
      <c r="H64" s="136">
        <v>96967.92</v>
      </c>
      <c r="I64" s="136">
        <v>96967.92</v>
      </c>
      <c r="J64" s="136">
        <v>96967.92</v>
      </c>
      <c r="K64" s="136">
        <v>96967.92</v>
      </c>
      <c r="L64" s="136">
        <v>103170.42</v>
      </c>
      <c r="M64" s="136">
        <v>103170.42</v>
      </c>
      <c r="N64" s="136">
        <v>103170.42</v>
      </c>
      <c r="O64" s="136">
        <v>103170.42</v>
      </c>
      <c r="P64" s="136">
        <v>103170.42</v>
      </c>
      <c r="Q64" s="135">
        <f>SUM(E64:P64)</f>
        <v>1193837.54</v>
      </c>
      <c r="R64" s="136">
        <v>76709.679999999993</v>
      </c>
      <c r="S64" s="136">
        <v>77471.259999999995</v>
      </c>
      <c r="T64" s="136">
        <v>78000</v>
      </c>
      <c r="U64" s="136">
        <v>76928.09</v>
      </c>
      <c r="V64" s="136">
        <v>72500</v>
      </c>
      <c r="W64" s="136">
        <v>68040.570000000007</v>
      </c>
      <c r="X64" s="72">
        <v>67000</v>
      </c>
      <c r="Y64" s="72">
        <v>67000</v>
      </c>
      <c r="Z64" s="72">
        <v>90500</v>
      </c>
      <c r="AA64" s="72">
        <v>90500</v>
      </c>
      <c r="AB64" s="72">
        <v>90500</v>
      </c>
      <c r="AC64" s="72">
        <v>90500</v>
      </c>
      <c r="AD64" s="127">
        <f>SUM(R64:AC64)</f>
        <v>945649.60000000009</v>
      </c>
      <c r="AE64" s="72">
        <f t="shared" ref="AE64:AE69" si="34">Q64-AD64</f>
        <v>248187.93999999994</v>
      </c>
      <c r="AF64" s="128">
        <f t="shared" ref="AF64:AF69" si="35">AE64/AD64</f>
        <v>0.26245232906564958</v>
      </c>
      <c r="AG64" s="129">
        <v>821789.58000000007</v>
      </c>
      <c r="AH64" s="133">
        <f t="shared" si="33"/>
        <v>-372047.95999999996</v>
      </c>
      <c r="AI64" s="129"/>
    </row>
    <row r="65" spans="1:36">
      <c r="A65" s="105" t="s">
        <v>251</v>
      </c>
      <c r="B65" s="105" t="s">
        <v>297</v>
      </c>
      <c r="D65" s="105" t="s">
        <v>253</v>
      </c>
      <c r="E65" s="136">
        <v>57466</v>
      </c>
      <c r="F65" s="136">
        <v>57466</v>
      </c>
      <c r="G65" s="136">
        <v>57466</v>
      </c>
      <c r="H65" s="136">
        <v>57466</v>
      </c>
      <c r="I65" s="136">
        <v>57466</v>
      </c>
      <c r="J65" s="136">
        <v>57466</v>
      </c>
      <c r="K65" s="136">
        <v>57466</v>
      </c>
      <c r="L65" s="136">
        <v>57466</v>
      </c>
      <c r="M65" s="136">
        <v>57466</v>
      </c>
      <c r="N65" s="136">
        <v>57466</v>
      </c>
      <c r="O65" s="136">
        <v>57466</v>
      </c>
      <c r="P65" s="136">
        <v>57466</v>
      </c>
      <c r="Q65" s="135">
        <f>SUM(E65:P65)</f>
        <v>689592</v>
      </c>
      <c r="R65" s="136">
        <v>80094.25</v>
      </c>
      <c r="S65" s="136">
        <v>78603.81</v>
      </c>
      <c r="T65" s="136">
        <v>77075.86</v>
      </c>
      <c r="U65" s="136">
        <v>77623.47</v>
      </c>
      <c r="V65" s="136">
        <v>78064.37</v>
      </c>
      <c r="W65" s="136">
        <v>78974.86</v>
      </c>
      <c r="X65" s="72">
        <v>80158.149999999994</v>
      </c>
      <c r="Y65" s="72">
        <v>79443.16</v>
      </c>
      <c r="Z65" s="72">
        <v>49595</v>
      </c>
      <c r="AA65" s="72">
        <v>49595</v>
      </c>
      <c r="AB65" s="72">
        <v>49595</v>
      </c>
      <c r="AC65" s="72">
        <v>49595</v>
      </c>
      <c r="AD65" s="127">
        <f>SUM(R65:AC65)</f>
        <v>828417.93</v>
      </c>
      <c r="AE65" s="72">
        <f t="shared" si="34"/>
        <v>-138825.93000000005</v>
      </c>
      <c r="AF65" s="128">
        <f t="shared" si="35"/>
        <v>-0.16757958148008703</v>
      </c>
      <c r="AG65" s="129">
        <v>1049366.1599999999</v>
      </c>
      <c r="AH65" s="133">
        <f t="shared" si="33"/>
        <v>359774.15999999992</v>
      </c>
      <c r="AI65" s="129"/>
    </row>
    <row r="66" spans="1:36">
      <c r="A66" s="105" t="s">
        <v>307</v>
      </c>
      <c r="D66" s="105" t="s">
        <v>255</v>
      </c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5">
        <f>SUM(E66:P66)</f>
        <v>0</v>
      </c>
      <c r="R66" s="136">
        <v>0</v>
      </c>
      <c r="S66" s="136">
        <v>0</v>
      </c>
      <c r="T66" s="136">
        <v>0</v>
      </c>
      <c r="U66" s="136">
        <v>0</v>
      </c>
      <c r="V66" s="136">
        <v>0</v>
      </c>
      <c r="W66" s="136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127">
        <f>SUM(R66:AC66)</f>
        <v>0</v>
      </c>
      <c r="AE66" s="72">
        <f t="shared" si="34"/>
        <v>0</v>
      </c>
      <c r="AF66" s="128" t="e">
        <f t="shared" si="35"/>
        <v>#DIV/0!</v>
      </c>
      <c r="AG66" s="129">
        <v>0</v>
      </c>
      <c r="AH66" s="133">
        <f t="shared" si="33"/>
        <v>0</v>
      </c>
      <c r="AI66" s="129"/>
    </row>
    <row r="67" spans="1:36">
      <c r="A67" s="105" t="s">
        <v>273</v>
      </c>
      <c r="D67" s="105" t="s">
        <v>257</v>
      </c>
      <c r="E67" s="136"/>
      <c r="F67" s="136"/>
      <c r="G67" s="136"/>
      <c r="H67" s="136"/>
      <c r="I67" s="136"/>
      <c r="J67" s="136"/>
      <c r="K67" s="136"/>
      <c r="L67" s="136"/>
      <c r="M67" s="136"/>
      <c r="N67" s="72"/>
      <c r="O67" s="136"/>
      <c r="P67" s="136"/>
      <c r="Q67" s="135">
        <f>SUM(E67:P67)</f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136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127">
        <f>SUM(R67:AC67)</f>
        <v>0</v>
      </c>
      <c r="AE67" s="72">
        <f t="shared" si="34"/>
        <v>0</v>
      </c>
      <c r="AF67" s="128" t="e">
        <f t="shared" si="35"/>
        <v>#DIV/0!</v>
      </c>
      <c r="AG67" s="129">
        <v>0</v>
      </c>
      <c r="AH67" s="133">
        <f t="shared" si="33"/>
        <v>0</v>
      </c>
      <c r="AI67" s="129"/>
    </row>
    <row r="68" spans="1:36">
      <c r="A68" s="105" t="s">
        <v>307</v>
      </c>
      <c r="D68" s="105" t="s">
        <v>308</v>
      </c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5">
        <f>SUM(E68:P68)</f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136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127">
        <f>SUM(R68:AC68)</f>
        <v>0</v>
      </c>
      <c r="AE68" s="72">
        <f t="shared" si="34"/>
        <v>0</v>
      </c>
      <c r="AF68" s="128" t="e">
        <f t="shared" si="35"/>
        <v>#DIV/0!</v>
      </c>
      <c r="AG68" s="129">
        <v>0</v>
      </c>
      <c r="AH68" s="133">
        <f t="shared" si="33"/>
        <v>0</v>
      </c>
      <c r="AI68" s="129"/>
    </row>
    <row r="69" spans="1:36">
      <c r="D69" s="109" t="s">
        <v>259</v>
      </c>
      <c r="E69" s="137">
        <f t="shared" ref="E69:AD69" si="36">SUM(E64:E68)</f>
        <v>154038.91999999998</v>
      </c>
      <c r="F69" s="137">
        <f t="shared" si="36"/>
        <v>154038.91999999998</v>
      </c>
      <c r="G69" s="137">
        <f t="shared" si="36"/>
        <v>154433.91999999998</v>
      </c>
      <c r="H69" s="137">
        <f t="shared" si="36"/>
        <v>154433.91999999998</v>
      </c>
      <c r="I69" s="137">
        <f t="shared" si="36"/>
        <v>154433.91999999998</v>
      </c>
      <c r="J69" s="137">
        <f t="shared" si="36"/>
        <v>154433.91999999998</v>
      </c>
      <c r="K69" s="137">
        <f t="shared" si="36"/>
        <v>154433.91999999998</v>
      </c>
      <c r="L69" s="137">
        <f t="shared" si="36"/>
        <v>160636.41999999998</v>
      </c>
      <c r="M69" s="137">
        <f t="shared" si="36"/>
        <v>160636.41999999998</v>
      </c>
      <c r="N69" s="137">
        <f t="shared" si="36"/>
        <v>160636.41999999998</v>
      </c>
      <c r="O69" s="137">
        <f t="shared" si="36"/>
        <v>160636.41999999998</v>
      </c>
      <c r="P69" s="137">
        <f t="shared" si="36"/>
        <v>160636.41999999998</v>
      </c>
      <c r="Q69" s="135">
        <f t="shared" si="36"/>
        <v>1883429.54</v>
      </c>
      <c r="R69" s="137">
        <f t="shared" si="36"/>
        <v>156803.93</v>
      </c>
      <c r="S69" s="137">
        <f t="shared" si="36"/>
        <v>156075.07</v>
      </c>
      <c r="T69" s="137">
        <f t="shared" si="36"/>
        <v>155075.85999999999</v>
      </c>
      <c r="U69" s="137">
        <f t="shared" si="36"/>
        <v>154551.56</v>
      </c>
      <c r="V69" s="137">
        <f t="shared" si="36"/>
        <v>150564.37</v>
      </c>
      <c r="W69" s="137">
        <f t="shared" si="36"/>
        <v>147015.43</v>
      </c>
      <c r="X69" s="137">
        <f t="shared" si="36"/>
        <v>147158.15</v>
      </c>
      <c r="Y69" s="137">
        <f t="shared" si="36"/>
        <v>146443.16</v>
      </c>
      <c r="Z69" s="137">
        <f t="shared" si="36"/>
        <v>140095</v>
      </c>
      <c r="AA69" s="137">
        <f t="shared" si="36"/>
        <v>140095</v>
      </c>
      <c r="AB69" s="137">
        <f t="shared" si="36"/>
        <v>140095</v>
      </c>
      <c r="AC69" s="137">
        <f t="shared" si="36"/>
        <v>140095</v>
      </c>
      <c r="AD69" s="137">
        <f t="shared" si="36"/>
        <v>1774067.5300000003</v>
      </c>
      <c r="AE69" s="127">
        <f t="shared" si="34"/>
        <v>109362.00999999978</v>
      </c>
      <c r="AF69" s="128">
        <f t="shared" si="35"/>
        <v>6.1644784175718365E-2</v>
      </c>
      <c r="AG69" s="129">
        <v>1871155.74</v>
      </c>
      <c r="AH69" s="133">
        <f t="shared" si="33"/>
        <v>-12273.800000000047</v>
      </c>
      <c r="AI69" s="129"/>
    </row>
    <row r="70" spans="1:36">
      <c r="D70" s="105" t="s">
        <v>154</v>
      </c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5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7"/>
      <c r="AE70" s="72"/>
      <c r="AF70" s="128"/>
      <c r="AG70" s="129"/>
      <c r="AH70" s="133">
        <f t="shared" si="33"/>
        <v>0</v>
      </c>
      <c r="AI70" s="129"/>
    </row>
    <row r="71" spans="1:36">
      <c r="A71" s="105" t="s">
        <v>119</v>
      </c>
      <c r="B71" s="105" t="s">
        <v>297</v>
      </c>
      <c r="D71" s="105" t="s">
        <v>260</v>
      </c>
      <c r="E71" s="136">
        <v>51544.83</v>
      </c>
      <c r="F71" s="136">
        <v>0</v>
      </c>
      <c r="G71" s="136">
        <v>0</v>
      </c>
      <c r="H71" s="136">
        <v>12266.93</v>
      </c>
      <c r="I71" s="136">
        <v>19779.320000000003</v>
      </c>
      <c r="J71" s="136">
        <v>0</v>
      </c>
      <c r="K71" s="136">
        <v>0</v>
      </c>
      <c r="L71" s="136">
        <v>0</v>
      </c>
      <c r="M71" s="136">
        <v>0</v>
      </c>
      <c r="N71" s="136">
        <v>52013.77</v>
      </c>
      <c r="O71" s="136">
        <v>0</v>
      </c>
      <c r="P71" s="136">
        <v>0</v>
      </c>
      <c r="Q71" s="135">
        <f>SUM(E71:P71)</f>
        <v>135604.85</v>
      </c>
      <c r="R71" s="136">
        <v>12151.74</v>
      </c>
      <c r="S71" s="136">
        <v>33058.61</v>
      </c>
      <c r="T71" s="136">
        <v>0</v>
      </c>
      <c r="U71" s="136">
        <v>10896.54</v>
      </c>
      <c r="V71" s="136">
        <v>11724.15</v>
      </c>
      <c r="W71" s="136">
        <v>10648.29</v>
      </c>
      <c r="X71" s="72">
        <v>0</v>
      </c>
      <c r="Y71" s="72">
        <v>0</v>
      </c>
      <c r="Z71" s="72">
        <v>19240</v>
      </c>
      <c r="AA71" s="72">
        <v>57721</v>
      </c>
      <c r="AB71" s="72">
        <v>0</v>
      </c>
      <c r="AC71" s="72">
        <v>0</v>
      </c>
      <c r="AD71" s="127">
        <f>SUM(R71:AC71)</f>
        <v>155440.32999999999</v>
      </c>
      <c r="AE71" s="72">
        <f t="shared" ref="AE71:AE76" si="37">Q71-AD71</f>
        <v>-19835.479999999981</v>
      </c>
      <c r="AF71" s="128">
        <f t="shared" ref="AF71:AF76" si="38">AE71/AD71</f>
        <v>-0.12760832404305872</v>
      </c>
      <c r="AG71" s="129">
        <v>125106.5</v>
      </c>
      <c r="AH71" s="133">
        <f t="shared" si="33"/>
        <v>-10498.350000000006</v>
      </c>
      <c r="AI71" s="129"/>
    </row>
    <row r="72" spans="1:36">
      <c r="A72" s="105" t="s">
        <v>120</v>
      </c>
      <c r="B72" s="105" t="s">
        <v>297</v>
      </c>
      <c r="D72" s="105" t="s">
        <v>261</v>
      </c>
      <c r="E72" s="136">
        <v>32044.570000000007</v>
      </c>
      <c r="F72" s="136">
        <v>32177.910000000003</v>
      </c>
      <c r="G72" s="136">
        <v>33344.570000000007</v>
      </c>
      <c r="H72" s="136">
        <v>33344.570000000007</v>
      </c>
      <c r="I72" s="136">
        <v>33344.570000000007</v>
      </c>
      <c r="J72" s="136">
        <v>33344.570000000007</v>
      </c>
      <c r="K72" s="136">
        <v>33344.570000000007</v>
      </c>
      <c r="L72" s="136">
        <v>34261.240000000005</v>
      </c>
      <c r="M72" s="136">
        <v>34261.240000000005</v>
      </c>
      <c r="N72" s="136">
        <v>34261.240000000005</v>
      </c>
      <c r="O72" s="136">
        <v>34261.240000000005</v>
      </c>
      <c r="P72" s="136">
        <v>34261.240000000005</v>
      </c>
      <c r="Q72" s="135">
        <f>SUM(E72:P72)</f>
        <v>402251.53</v>
      </c>
      <c r="R72" s="136">
        <v>39335.300000000003</v>
      </c>
      <c r="S72" s="136">
        <v>41168.300000000003</v>
      </c>
      <c r="T72" s="136">
        <v>39807.300000000003</v>
      </c>
      <c r="U72" s="136">
        <v>27096.93</v>
      </c>
      <c r="V72" s="136">
        <v>25593.55</v>
      </c>
      <c r="W72" s="136">
        <v>26189.72</v>
      </c>
      <c r="X72" s="72">
        <v>24633.54</v>
      </c>
      <c r="Y72" s="72">
        <v>25876.99</v>
      </c>
      <c r="Z72" s="72">
        <v>20015.830000000002</v>
      </c>
      <c r="AA72" s="72">
        <v>20015.830000000002</v>
      </c>
      <c r="AB72" s="72">
        <v>20015.830000000002</v>
      </c>
      <c r="AC72" s="72">
        <v>20015.830000000002</v>
      </c>
      <c r="AD72" s="127">
        <f>SUM(R72:AC72)</f>
        <v>329764.95000000007</v>
      </c>
      <c r="AE72" s="72">
        <f t="shared" si="37"/>
        <v>72486.579999999958</v>
      </c>
      <c r="AF72" s="128">
        <f t="shared" si="38"/>
        <v>0.21981286974252401</v>
      </c>
      <c r="AG72" s="129">
        <v>313785.03000000003</v>
      </c>
      <c r="AH72" s="133">
        <f t="shared" si="33"/>
        <v>-88466.5</v>
      </c>
      <c r="AI72" s="129"/>
    </row>
    <row r="73" spans="1:36">
      <c r="A73" s="105" t="s">
        <v>121</v>
      </c>
      <c r="B73" s="105" t="s">
        <v>297</v>
      </c>
      <c r="D73" s="105" t="s">
        <v>262</v>
      </c>
      <c r="E73" s="136">
        <v>19210</v>
      </c>
      <c r="F73" s="136">
        <v>18970</v>
      </c>
      <c r="G73" s="136">
        <v>19630</v>
      </c>
      <c r="H73" s="136">
        <v>19630</v>
      </c>
      <c r="I73" s="136">
        <v>19630</v>
      </c>
      <c r="J73" s="136">
        <v>19630</v>
      </c>
      <c r="K73" s="136">
        <v>19630</v>
      </c>
      <c r="L73" s="136">
        <v>19630</v>
      </c>
      <c r="M73" s="136">
        <v>19630</v>
      </c>
      <c r="N73" s="136">
        <v>19630</v>
      </c>
      <c r="O73" s="136">
        <v>19630</v>
      </c>
      <c r="P73" s="136">
        <v>19630</v>
      </c>
      <c r="Q73" s="135">
        <f>SUM(E73:P73)</f>
        <v>234480</v>
      </c>
      <c r="R73" s="136">
        <v>14206.69</v>
      </c>
      <c r="S73" s="136">
        <v>13914.48</v>
      </c>
      <c r="T73" s="136">
        <v>13855.86</v>
      </c>
      <c r="U73" s="136">
        <v>13597.88</v>
      </c>
      <c r="V73" s="136">
        <v>13713</v>
      </c>
      <c r="W73" s="136">
        <v>13579.02</v>
      </c>
      <c r="X73" s="72">
        <v>14402</v>
      </c>
      <c r="Y73" s="72">
        <v>14651.61</v>
      </c>
      <c r="Z73" s="72">
        <v>23620</v>
      </c>
      <c r="AA73" s="72">
        <v>23700</v>
      </c>
      <c r="AB73" s="72">
        <v>23780</v>
      </c>
      <c r="AC73" s="72">
        <v>23780</v>
      </c>
      <c r="AD73" s="127">
        <f>SUM(R73:AC73)</f>
        <v>206800.54</v>
      </c>
      <c r="AE73" s="72">
        <f t="shared" si="37"/>
        <v>27679.459999999992</v>
      </c>
      <c r="AF73" s="128">
        <f t="shared" si="38"/>
        <v>0.13384616887364023</v>
      </c>
      <c r="AG73" s="129">
        <v>91368</v>
      </c>
      <c r="AH73" s="133">
        <f t="shared" si="33"/>
        <v>-143112</v>
      </c>
      <c r="AI73" s="129"/>
    </row>
    <row r="74" spans="1:36">
      <c r="A74" s="105" t="s">
        <v>122</v>
      </c>
      <c r="B74" s="105" t="s">
        <v>297</v>
      </c>
      <c r="D74" s="105" t="s">
        <v>263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0</v>
      </c>
      <c r="L74" s="136">
        <v>0</v>
      </c>
      <c r="M74" s="136">
        <v>0</v>
      </c>
      <c r="N74" s="136">
        <v>0</v>
      </c>
      <c r="O74" s="136">
        <v>0</v>
      </c>
      <c r="P74" s="136">
        <v>0</v>
      </c>
      <c r="Q74" s="135">
        <f>SUM(E74:P74)</f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72">
        <v>0</v>
      </c>
      <c r="AD74" s="127">
        <f>SUM(R74:AC74)</f>
        <v>0</v>
      </c>
      <c r="AE74" s="72">
        <f t="shared" si="37"/>
        <v>0</v>
      </c>
      <c r="AF74" s="128" t="e">
        <f t="shared" si="38"/>
        <v>#DIV/0!</v>
      </c>
      <c r="AG74" s="129">
        <v>0</v>
      </c>
      <c r="AH74" s="133">
        <f t="shared" si="33"/>
        <v>0</v>
      </c>
      <c r="AI74" s="129"/>
    </row>
    <row r="75" spans="1:36">
      <c r="A75" s="105" t="s">
        <v>123</v>
      </c>
      <c r="B75" s="105" t="s">
        <v>297</v>
      </c>
      <c r="D75" s="105" t="s">
        <v>264</v>
      </c>
      <c r="E75" s="165">
        <v>79662.5</v>
      </c>
      <c r="F75" s="165">
        <v>79662.5</v>
      </c>
      <c r="G75" s="165">
        <v>79662.5</v>
      </c>
      <c r="H75" s="165">
        <v>79662.5</v>
      </c>
      <c r="I75" s="165">
        <v>79662.5</v>
      </c>
      <c r="J75" s="165">
        <v>79662.5</v>
      </c>
      <c r="K75" s="165">
        <v>79662.5</v>
      </c>
      <c r="L75" s="165">
        <v>79662.5</v>
      </c>
      <c r="M75" s="165">
        <v>79662.5</v>
      </c>
      <c r="N75" s="165">
        <v>79662.5</v>
      </c>
      <c r="O75" s="165">
        <v>79662.5</v>
      </c>
      <c r="P75" s="165">
        <v>79662.5</v>
      </c>
      <c r="Q75" s="135">
        <f>SUM(E75:P75)</f>
        <v>955950</v>
      </c>
      <c r="R75" s="136">
        <v>46470.35</v>
      </c>
      <c r="S75" s="136">
        <v>72517.56</v>
      </c>
      <c r="T75" s="136">
        <v>31528.04</v>
      </c>
      <c r="U75" s="136">
        <v>4942.3500000000004</v>
      </c>
      <c r="V75" s="136">
        <v>18957.080000000002</v>
      </c>
      <c r="W75" s="136">
        <v>12023.61</v>
      </c>
      <c r="X75" s="72">
        <v>24540.95</v>
      </c>
      <c r="Y75" s="72">
        <v>351064.83</v>
      </c>
      <c r="Z75" s="72">
        <v>72314.2</v>
      </c>
      <c r="AA75" s="166">
        <v>79400</v>
      </c>
      <c r="AB75" s="166">
        <v>83900</v>
      </c>
      <c r="AC75" s="166">
        <v>88400</v>
      </c>
      <c r="AD75" s="127">
        <f>SUM(R75:AC75)</f>
        <v>886058.97</v>
      </c>
      <c r="AE75" s="72">
        <f t="shared" si="37"/>
        <v>69891.030000000028</v>
      </c>
      <c r="AF75" s="128">
        <f t="shared" si="38"/>
        <v>7.8878531075646158E-2</v>
      </c>
      <c r="AG75" s="129">
        <v>675886.27999999991</v>
      </c>
      <c r="AH75" s="133">
        <f t="shared" si="33"/>
        <v>-280063.72000000009</v>
      </c>
      <c r="AI75" s="129"/>
      <c r="AJ75" s="167"/>
    </row>
    <row r="76" spans="1:36">
      <c r="D76" s="109" t="s">
        <v>265</v>
      </c>
      <c r="E76" s="137">
        <f t="shared" ref="E76:AD76" si="39">SUM(E71:E75)</f>
        <v>182461.90000000002</v>
      </c>
      <c r="F76" s="137">
        <f t="shared" si="39"/>
        <v>130810.41</v>
      </c>
      <c r="G76" s="137">
        <f t="shared" si="39"/>
        <v>132637.07</v>
      </c>
      <c r="H76" s="137">
        <f t="shared" si="39"/>
        <v>144904</v>
      </c>
      <c r="I76" s="137">
        <f t="shared" si="39"/>
        <v>152416.39000000001</v>
      </c>
      <c r="J76" s="137">
        <f t="shared" si="39"/>
        <v>132637.07</v>
      </c>
      <c r="K76" s="137">
        <f t="shared" si="39"/>
        <v>132637.07</v>
      </c>
      <c r="L76" s="137">
        <f t="shared" si="39"/>
        <v>133553.74</v>
      </c>
      <c r="M76" s="137">
        <f t="shared" si="39"/>
        <v>133553.74</v>
      </c>
      <c r="N76" s="137">
        <f t="shared" si="39"/>
        <v>185567.51</v>
      </c>
      <c r="O76" s="137">
        <f t="shared" si="39"/>
        <v>133553.74</v>
      </c>
      <c r="P76" s="137">
        <f t="shared" si="39"/>
        <v>133553.74</v>
      </c>
      <c r="Q76" s="135">
        <f t="shared" si="39"/>
        <v>1728286.38</v>
      </c>
      <c r="R76" s="137">
        <f t="shared" si="39"/>
        <v>112164.07999999999</v>
      </c>
      <c r="S76" s="137">
        <f t="shared" si="39"/>
        <v>160658.95000000001</v>
      </c>
      <c r="T76" s="137">
        <f t="shared" si="39"/>
        <v>85191.200000000012</v>
      </c>
      <c r="U76" s="137">
        <f t="shared" si="39"/>
        <v>56533.7</v>
      </c>
      <c r="V76" s="137">
        <f t="shared" si="39"/>
        <v>69987.78</v>
      </c>
      <c r="W76" s="137">
        <f t="shared" si="39"/>
        <v>62440.639999999999</v>
      </c>
      <c r="X76" s="137">
        <f t="shared" si="39"/>
        <v>63576.490000000005</v>
      </c>
      <c r="Y76" s="137">
        <f t="shared" si="39"/>
        <v>391593.43000000005</v>
      </c>
      <c r="Z76" s="137">
        <f t="shared" si="39"/>
        <v>135190.03</v>
      </c>
      <c r="AA76" s="137">
        <f t="shared" si="39"/>
        <v>180836.83000000002</v>
      </c>
      <c r="AB76" s="137">
        <f t="shared" si="39"/>
        <v>127695.83</v>
      </c>
      <c r="AC76" s="137">
        <f t="shared" si="39"/>
        <v>132195.83000000002</v>
      </c>
      <c r="AD76" s="137">
        <f t="shared" si="39"/>
        <v>1578064.79</v>
      </c>
      <c r="AE76" s="127">
        <f t="shared" si="37"/>
        <v>150221.58999999985</v>
      </c>
      <c r="AF76" s="128">
        <f t="shared" si="38"/>
        <v>9.5193550323114329E-2</v>
      </c>
      <c r="AG76" s="129">
        <v>1206145.81</v>
      </c>
      <c r="AH76" s="133">
        <f t="shared" si="33"/>
        <v>-522140.56999999983</v>
      </c>
      <c r="AI76" s="129"/>
    </row>
    <row r="77" spans="1:36">
      <c r="D77" s="105" t="s">
        <v>154</v>
      </c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5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7"/>
      <c r="AE77" s="72"/>
      <c r="AF77" s="128"/>
      <c r="AG77" s="129"/>
      <c r="AH77" s="133">
        <f t="shared" si="33"/>
        <v>0</v>
      </c>
      <c r="AI77" s="129"/>
    </row>
    <row r="78" spans="1:36">
      <c r="A78" s="105" t="s">
        <v>124</v>
      </c>
      <c r="B78" s="105" t="s">
        <v>297</v>
      </c>
      <c r="D78" s="105" t="s">
        <v>266</v>
      </c>
      <c r="E78" s="136">
        <v>47682.13</v>
      </c>
      <c r="F78" s="136">
        <v>47682.13</v>
      </c>
      <c r="G78" s="136">
        <v>49336.61</v>
      </c>
      <c r="H78" s="136">
        <v>49336.61</v>
      </c>
      <c r="I78" s="136">
        <v>49336.61</v>
      </c>
      <c r="J78" s="136">
        <v>49336.61</v>
      </c>
      <c r="K78" s="136">
        <v>50164.490000000013</v>
      </c>
      <c r="L78" s="136">
        <v>50531.290000000008</v>
      </c>
      <c r="M78" s="136">
        <v>50531.290000000008</v>
      </c>
      <c r="N78" s="136">
        <v>50531.290000000008</v>
      </c>
      <c r="O78" s="136">
        <v>50531.290000000008</v>
      </c>
      <c r="P78" s="136">
        <v>50531.290000000008</v>
      </c>
      <c r="Q78" s="135">
        <f t="shared" ref="Q78:Q85" si="40">SUM(E78:P78)</f>
        <v>595531.64000000013</v>
      </c>
      <c r="R78" s="136">
        <v>41220.94</v>
      </c>
      <c r="S78" s="136">
        <v>40518.89</v>
      </c>
      <c r="T78" s="136">
        <v>39536.379999999997</v>
      </c>
      <c r="U78" s="136">
        <v>40415.21</v>
      </c>
      <c r="V78" s="136">
        <v>37927.089999999997</v>
      </c>
      <c r="W78" s="136">
        <v>36843.49</v>
      </c>
      <c r="X78" s="72">
        <v>36803.21</v>
      </c>
      <c r="Y78" s="72">
        <v>36365.71</v>
      </c>
      <c r="Z78" s="72">
        <v>45727.109999999986</v>
      </c>
      <c r="AA78" s="72">
        <v>61873.910000000033</v>
      </c>
      <c r="AB78" s="72">
        <v>66844.709999999963</v>
      </c>
      <c r="AC78" s="72">
        <v>66844.709999999963</v>
      </c>
      <c r="AD78" s="127">
        <f t="shared" ref="AD78:AD85" si="41">SUM(R78:AC78)</f>
        <v>550921.35999999987</v>
      </c>
      <c r="AE78" s="72">
        <f t="shared" ref="AE78:AE86" si="42">Q78-AD78</f>
        <v>44610.280000000261</v>
      </c>
      <c r="AF78" s="128">
        <f t="shared" ref="AF78:AF86" si="43">AE78/AD78</f>
        <v>8.0973952434881577E-2</v>
      </c>
      <c r="AG78" s="129">
        <v>352888.30000000005</v>
      </c>
      <c r="AH78" s="133">
        <f t="shared" si="33"/>
        <v>-242643.34000000008</v>
      </c>
      <c r="AI78" s="129"/>
    </row>
    <row r="79" spans="1:36">
      <c r="A79" s="105" t="s">
        <v>125</v>
      </c>
      <c r="B79" s="105" t="s">
        <v>297</v>
      </c>
      <c r="D79" s="105" t="s">
        <v>267</v>
      </c>
      <c r="E79" s="136">
        <v>19334.320000000003</v>
      </c>
      <c r="F79" s="136">
        <v>19334.320000000003</v>
      </c>
      <c r="G79" s="136">
        <v>19999.600000000006</v>
      </c>
      <c r="H79" s="136">
        <v>19999.600000000006</v>
      </c>
      <c r="I79" s="136">
        <v>19999.600000000006</v>
      </c>
      <c r="J79" s="136">
        <v>19999.600000000006</v>
      </c>
      <c r="K79" s="136">
        <v>20267.070000000003</v>
      </c>
      <c r="L79" s="136">
        <v>20416.080000000002</v>
      </c>
      <c r="M79" s="136">
        <v>20416.080000000002</v>
      </c>
      <c r="N79" s="136">
        <v>20416.080000000002</v>
      </c>
      <c r="O79" s="136">
        <v>20416.080000000002</v>
      </c>
      <c r="P79" s="136">
        <v>20416.080000000002</v>
      </c>
      <c r="Q79" s="135">
        <f t="shared" si="40"/>
        <v>241014.51000000013</v>
      </c>
      <c r="R79" s="136">
        <v>21898.6</v>
      </c>
      <c r="S79" s="136">
        <v>21525.64</v>
      </c>
      <c r="T79" s="136">
        <v>21003.68</v>
      </c>
      <c r="U79" s="136">
        <v>21470.560000000001</v>
      </c>
      <c r="V79" s="136">
        <v>20148.75</v>
      </c>
      <c r="W79" s="136">
        <v>19573.080000000002</v>
      </c>
      <c r="X79" s="72">
        <v>14977.54</v>
      </c>
      <c r="Y79" s="72">
        <v>14773.59</v>
      </c>
      <c r="Z79" s="72">
        <v>18088</v>
      </c>
      <c r="AA79" s="72">
        <v>18088</v>
      </c>
      <c r="AB79" s="72">
        <v>18088</v>
      </c>
      <c r="AC79" s="72">
        <v>18088</v>
      </c>
      <c r="AD79" s="127">
        <f t="shared" si="41"/>
        <v>227723.44</v>
      </c>
      <c r="AE79" s="72">
        <f t="shared" si="42"/>
        <v>13291.070000000123</v>
      </c>
      <c r="AF79" s="128">
        <f t="shared" si="43"/>
        <v>5.8364962342041395E-2</v>
      </c>
      <c r="AG79" s="129">
        <v>171236.55</v>
      </c>
      <c r="AH79" s="133">
        <f t="shared" si="33"/>
        <v>-69777.960000000137</v>
      </c>
      <c r="AI79" s="129"/>
    </row>
    <row r="80" spans="1:36">
      <c r="A80" s="105" t="s">
        <v>126</v>
      </c>
      <c r="B80" s="105" t="s">
        <v>297</v>
      </c>
      <c r="D80" s="105" t="s">
        <v>268</v>
      </c>
      <c r="E80" s="136">
        <v>1487.2599999999995</v>
      </c>
      <c r="F80" s="136">
        <v>1487.2599999999998</v>
      </c>
      <c r="G80" s="136">
        <v>1538.4399999999998</v>
      </c>
      <c r="H80" s="136">
        <v>1538.4399999999998</v>
      </c>
      <c r="I80" s="136">
        <v>1538.4399999999998</v>
      </c>
      <c r="J80" s="136">
        <v>1538.4399999999998</v>
      </c>
      <c r="K80" s="136">
        <v>1559.0599999999997</v>
      </c>
      <c r="L80" s="136">
        <v>1570.52</v>
      </c>
      <c r="M80" s="136">
        <v>1570.52</v>
      </c>
      <c r="N80" s="136">
        <v>1570.52</v>
      </c>
      <c r="O80" s="136">
        <v>1570.52</v>
      </c>
      <c r="P80" s="136">
        <v>1570.52</v>
      </c>
      <c r="Q80" s="135">
        <f t="shared" si="40"/>
        <v>18539.939999999999</v>
      </c>
      <c r="R80" s="136">
        <v>1288.1600000000001</v>
      </c>
      <c r="S80" s="136">
        <v>1266.22</v>
      </c>
      <c r="T80" s="136">
        <v>1235.52</v>
      </c>
      <c r="U80" s="136">
        <v>1262.98</v>
      </c>
      <c r="V80" s="136">
        <v>1185.22</v>
      </c>
      <c r="W80" s="136">
        <v>1151.3599999999999</v>
      </c>
      <c r="X80" s="72">
        <v>1150.0999999999999</v>
      </c>
      <c r="Y80" s="72">
        <v>1136.44</v>
      </c>
      <c r="Z80" s="72">
        <v>1131</v>
      </c>
      <c r="AA80" s="72">
        <v>1131</v>
      </c>
      <c r="AB80" s="72">
        <v>1131</v>
      </c>
      <c r="AC80" s="72">
        <v>1131</v>
      </c>
      <c r="AD80" s="127">
        <f t="shared" si="41"/>
        <v>14200</v>
      </c>
      <c r="AE80" s="72">
        <f t="shared" si="42"/>
        <v>4339.9399999999987</v>
      </c>
      <c r="AF80" s="128">
        <f t="shared" si="43"/>
        <v>0.30562957746478864</v>
      </c>
      <c r="AG80" s="129">
        <v>10485.650000000001</v>
      </c>
      <c r="AH80" s="133">
        <f t="shared" si="33"/>
        <v>-8054.2899999999972</v>
      </c>
      <c r="AI80" s="129"/>
    </row>
    <row r="81" spans="1:35">
      <c r="A81" s="105" t="s">
        <v>127</v>
      </c>
      <c r="B81" s="105" t="s">
        <v>297</v>
      </c>
      <c r="D81" s="105" t="s">
        <v>269</v>
      </c>
      <c r="E81" s="136">
        <v>356.96000000000004</v>
      </c>
      <c r="F81" s="136">
        <v>356.96</v>
      </c>
      <c r="G81" s="136">
        <v>369.23999999999995</v>
      </c>
      <c r="H81" s="136">
        <v>369.23999999999995</v>
      </c>
      <c r="I81" s="136">
        <v>369.23999999999995</v>
      </c>
      <c r="J81" s="136">
        <v>369.23999999999995</v>
      </c>
      <c r="K81" s="136">
        <v>374.2600000000001</v>
      </c>
      <c r="L81" s="136">
        <v>377.0100000000001</v>
      </c>
      <c r="M81" s="136">
        <v>377.0100000000001</v>
      </c>
      <c r="N81" s="136">
        <v>377.0100000000001</v>
      </c>
      <c r="O81" s="136">
        <v>377.0100000000001</v>
      </c>
      <c r="P81" s="136">
        <v>377.0100000000001</v>
      </c>
      <c r="Q81" s="135">
        <f t="shared" si="40"/>
        <v>4450.1900000000014</v>
      </c>
      <c r="R81" s="136">
        <v>309.2</v>
      </c>
      <c r="S81" s="136">
        <v>303.93</v>
      </c>
      <c r="T81" s="136">
        <v>296.56</v>
      </c>
      <c r="U81" s="136">
        <v>303.14999999999998</v>
      </c>
      <c r="V81" s="136">
        <v>284.48</v>
      </c>
      <c r="W81" s="136">
        <v>276.36</v>
      </c>
      <c r="X81" s="72">
        <v>276.06</v>
      </c>
      <c r="Y81" s="72">
        <v>272.79000000000002</v>
      </c>
      <c r="Z81" s="72">
        <v>304</v>
      </c>
      <c r="AA81" s="72">
        <v>304</v>
      </c>
      <c r="AB81" s="72">
        <v>304</v>
      </c>
      <c r="AC81" s="72">
        <v>304</v>
      </c>
      <c r="AD81" s="127">
        <f t="shared" si="41"/>
        <v>3538.53</v>
      </c>
      <c r="AE81" s="72">
        <f t="shared" si="42"/>
        <v>911.66000000000122</v>
      </c>
      <c r="AF81" s="128">
        <f t="shared" si="43"/>
        <v>0.25763805874190726</v>
      </c>
      <c r="AG81" s="129">
        <v>3355.42</v>
      </c>
      <c r="AH81" s="133">
        <f t="shared" si="33"/>
        <v>-1094.7700000000013</v>
      </c>
      <c r="AI81" s="129"/>
    </row>
    <row r="82" spans="1:35">
      <c r="A82" s="105" t="s">
        <v>128</v>
      </c>
      <c r="B82" s="105" t="s">
        <v>297</v>
      </c>
      <c r="D82" s="105" t="s">
        <v>270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5">
        <f t="shared" si="40"/>
        <v>0</v>
      </c>
      <c r="R82" s="136">
        <v>0</v>
      </c>
      <c r="S82" s="136">
        <v>0</v>
      </c>
      <c r="T82" s="136">
        <v>0</v>
      </c>
      <c r="U82" s="136">
        <v>0</v>
      </c>
      <c r="V82" s="136">
        <v>0</v>
      </c>
      <c r="W82" s="136">
        <v>0</v>
      </c>
      <c r="X82" s="72">
        <v>0</v>
      </c>
      <c r="Y82" s="72">
        <v>0</v>
      </c>
      <c r="Z82" s="72">
        <v>0</v>
      </c>
      <c r="AA82" s="72">
        <v>0</v>
      </c>
      <c r="AB82" s="72">
        <v>0</v>
      </c>
      <c r="AC82" s="72">
        <v>0</v>
      </c>
      <c r="AD82" s="127">
        <f t="shared" si="41"/>
        <v>0</v>
      </c>
      <c r="AE82" s="72">
        <f t="shared" si="42"/>
        <v>0</v>
      </c>
      <c r="AF82" s="128" t="e">
        <f t="shared" si="43"/>
        <v>#DIV/0!</v>
      </c>
      <c r="AG82" s="129">
        <v>7014.09</v>
      </c>
      <c r="AH82" s="133">
        <f t="shared" si="33"/>
        <v>7014.09</v>
      </c>
      <c r="AI82" s="129"/>
    </row>
    <row r="83" spans="1:35">
      <c r="A83" s="105" t="s">
        <v>129</v>
      </c>
      <c r="B83" s="105" t="s">
        <v>297</v>
      </c>
      <c r="D83" s="105" t="s">
        <v>271</v>
      </c>
      <c r="E83" s="136">
        <v>14223.749999999998</v>
      </c>
      <c r="F83" s="136">
        <v>14250.019999999999</v>
      </c>
      <c r="G83" s="136">
        <v>14600.019999999999</v>
      </c>
      <c r="H83" s="136">
        <v>14600.019999999999</v>
      </c>
      <c r="I83" s="136">
        <v>14600.019999999999</v>
      </c>
      <c r="J83" s="136">
        <v>14600.019999999999</v>
      </c>
      <c r="K83" s="136">
        <v>15590.149999999998</v>
      </c>
      <c r="L83" s="136">
        <v>14714.639999999998</v>
      </c>
      <c r="M83" s="136">
        <v>14714.639999999998</v>
      </c>
      <c r="N83" s="136">
        <v>14714.639999999998</v>
      </c>
      <c r="O83" s="136">
        <v>15704.77</v>
      </c>
      <c r="P83" s="136">
        <v>14714.639999999998</v>
      </c>
      <c r="Q83" s="135">
        <f t="shared" si="40"/>
        <v>177027.32999999993</v>
      </c>
      <c r="R83" s="136">
        <v>12827</v>
      </c>
      <c r="S83" s="136">
        <v>12608</v>
      </c>
      <c r="T83" s="136">
        <v>12413</v>
      </c>
      <c r="U83" s="136">
        <v>12484</v>
      </c>
      <c r="V83" s="136">
        <v>11637</v>
      </c>
      <c r="W83" s="136">
        <v>11182</v>
      </c>
      <c r="X83" s="72">
        <v>11182</v>
      </c>
      <c r="Y83" s="72">
        <v>10978</v>
      </c>
      <c r="Z83" s="72">
        <v>10199</v>
      </c>
      <c r="AA83" s="72">
        <v>10199</v>
      </c>
      <c r="AB83" s="72">
        <v>10199</v>
      </c>
      <c r="AC83" s="72">
        <v>10199</v>
      </c>
      <c r="AD83" s="127">
        <f t="shared" si="41"/>
        <v>136107</v>
      </c>
      <c r="AE83" s="72">
        <f t="shared" si="42"/>
        <v>40920.329999999929</v>
      </c>
      <c r="AF83" s="128">
        <f t="shared" si="43"/>
        <v>0.30064823998765627</v>
      </c>
      <c r="AG83" s="129">
        <v>92993</v>
      </c>
      <c r="AH83" s="133">
        <f t="shared" si="33"/>
        <v>-84034.329999999929</v>
      </c>
      <c r="AI83" s="129"/>
    </row>
    <row r="84" spans="1:35">
      <c r="A84" s="105" t="s">
        <v>130</v>
      </c>
      <c r="B84" s="105" t="s">
        <v>297</v>
      </c>
      <c r="D84" s="105" t="s">
        <v>272</v>
      </c>
      <c r="E84" s="136">
        <v>5926</v>
      </c>
      <c r="F84" s="136">
        <v>4893</v>
      </c>
      <c r="G84" s="136">
        <v>4938</v>
      </c>
      <c r="H84" s="136">
        <v>5183</v>
      </c>
      <c r="I84" s="136">
        <v>5333</v>
      </c>
      <c r="J84" s="136">
        <v>4938</v>
      </c>
      <c r="K84" s="136">
        <v>4938</v>
      </c>
      <c r="L84" s="136">
        <v>5080</v>
      </c>
      <c r="M84" s="136">
        <v>5080</v>
      </c>
      <c r="N84" s="136">
        <v>6120</v>
      </c>
      <c r="O84" s="136">
        <v>5080</v>
      </c>
      <c r="P84" s="136">
        <v>5080</v>
      </c>
      <c r="Q84" s="135">
        <f t="shared" si="40"/>
        <v>62589</v>
      </c>
      <c r="R84" s="136">
        <v>5279.98</v>
      </c>
      <c r="S84" s="136">
        <v>5072.57</v>
      </c>
      <c r="T84" s="136">
        <v>8302.4500000000007</v>
      </c>
      <c r="U84" s="136">
        <v>8226.17</v>
      </c>
      <c r="V84" s="136">
        <v>4564.6400000000003</v>
      </c>
      <c r="W84" s="136">
        <v>4621.38</v>
      </c>
      <c r="X84" s="72">
        <v>4174.25</v>
      </c>
      <c r="Y84" s="72">
        <v>4708.07</v>
      </c>
      <c r="Z84" s="72">
        <v>6695</v>
      </c>
      <c r="AA84" s="72">
        <v>6695</v>
      </c>
      <c r="AB84" s="72">
        <v>6695</v>
      </c>
      <c r="AC84" s="72">
        <v>6695</v>
      </c>
      <c r="AD84" s="127">
        <f t="shared" si="41"/>
        <v>71729.509999999995</v>
      </c>
      <c r="AE84" s="72">
        <f t="shared" si="42"/>
        <v>-9140.5099999999948</v>
      </c>
      <c r="AF84" s="128">
        <f t="shared" si="43"/>
        <v>-0.12743025848078421</v>
      </c>
      <c r="AG84" s="129">
        <v>64036.58</v>
      </c>
      <c r="AH84" s="133">
        <f t="shared" si="33"/>
        <v>1447.5800000000017</v>
      </c>
      <c r="AI84" s="129"/>
    </row>
    <row r="85" spans="1:35">
      <c r="A85" s="105" t="s">
        <v>309</v>
      </c>
      <c r="D85" s="105" t="s">
        <v>274</v>
      </c>
      <c r="E85" s="136">
        <v>0</v>
      </c>
      <c r="F85" s="136">
        <v>0</v>
      </c>
      <c r="G85" s="136">
        <v>0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0</v>
      </c>
      <c r="O85" s="136">
        <v>0</v>
      </c>
      <c r="P85" s="136">
        <v>0</v>
      </c>
      <c r="Q85" s="135">
        <f t="shared" si="40"/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136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72">
        <v>0</v>
      </c>
      <c r="AD85" s="127">
        <f t="shared" si="41"/>
        <v>0</v>
      </c>
      <c r="AE85" s="72">
        <f t="shared" si="42"/>
        <v>0</v>
      </c>
      <c r="AF85" s="128" t="e">
        <f t="shared" si="43"/>
        <v>#DIV/0!</v>
      </c>
      <c r="AG85" s="129">
        <v>0</v>
      </c>
      <c r="AH85" s="133">
        <f t="shared" si="33"/>
        <v>0</v>
      </c>
      <c r="AI85" s="129"/>
    </row>
    <row r="86" spans="1:35">
      <c r="D86" s="109" t="s">
        <v>275</v>
      </c>
      <c r="E86" s="137">
        <f t="shared" ref="E86:AD86" si="44">SUM(E78:E85)</f>
        <v>89010.42</v>
      </c>
      <c r="F86" s="137">
        <f t="shared" si="44"/>
        <v>88003.69</v>
      </c>
      <c r="G86" s="137">
        <f t="shared" si="44"/>
        <v>90781.910000000018</v>
      </c>
      <c r="H86" s="137">
        <f t="shared" si="44"/>
        <v>91026.910000000018</v>
      </c>
      <c r="I86" s="137">
        <f t="shared" si="44"/>
        <v>91176.910000000018</v>
      </c>
      <c r="J86" s="137">
        <f t="shared" si="44"/>
        <v>90781.910000000018</v>
      </c>
      <c r="K86" s="137">
        <f t="shared" si="44"/>
        <v>92893.03</v>
      </c>
      <c r="L86" s="137">
        <f t="shared" si="44"/>
        <v>92689.540000000008</v>
      </c>
      <c r="M86" s="137">
        <f t="shared" si="44"/>
        <v>92689.540000000008</v>
      </c>
      <c r="N86" s="137">
        <f t="shared" si="44"/>
        <v>93729.540000000008</v>
      </c>
      <c r="O86" s="137">
        <f t="shared" si="44"/>
        <v>93679.670000000013</v>
      </c>
      <c r="P86" s="137">
        <f t="shared" si="44"/>
        <v>92689.540000000008</v>
      </c>
      <c r="Q86" s="135">
        <f t="shared" si="44"/>
        <v>1099152.6100000001</v>
      </c>
      <c r="R86" s="137">
        <f t="shared" si="44"/>
        <v>82823.87999999999</v>
      </c>
      <c r="S86" s="137">
        <f t="shared" si="44"/>
        <v>81295.25</v>
      </c>
      <c r="T86" s="137">
        <f t="shared" si="44"/>
        <v>82787.589999999982</v>
      </c>
      <c r="U86" s="137">
        <f t="shared" si="44"/>
        <v>84162.07</v>
      </c>
      <c r="V86" s="137">
        <f t="shared" si="44"/>
        <v>75747.180000000008</v>
      </c>
      <c r="W86" s="137">
        <f t="shared" si="44"/>
        <v>73647.670000000013</v>
      </c>
      <c r="X86" s="137">
        <f t="shared" si="44"/>
        <v>68563.16</v>
      </c>
      <c r="Y86" s="137">
        <f t="shared" si="44"/>
        <v>68234.600000000006</v>
      </c>
      <c r="Z86" s="137">
        <f t="shared" si="44"/>
        <v>82144.109999999986</v>
      </c>
      <c r="AA86" s="137">
        <f t="shared" si="44"/>
        <v>98290.910000000033</v>
      </c>
      <c r="AB86" s="137">
        <f t="shared" si="44"/>
        <v>103261.70999999996</v>
      </c>
      <c r="AC86" s="137">
        <f t="shared" si="44"/>
        <v>103261.70999999996</v>
      </c>
      <c r="AD86" s="137">
        <f t="shared" si="44"/>
        <v>1004219.8399999999</v>
      </c>
      <c r="AE86" s="127">
        <f t="shared" si="42"/>
        <v>94932.770000000251</v>
      </c>
      <c r="AF86" s="128">
        <f t="shared" si="43"/>
        <v>9.4533852268842117E-2</v>
      </c>
      <c r="AG86" s="129">
        <v>702009.59</v>
      </c>
      <c r="AH86" s="133">
        <f t="shared" si="33"/>
        <v>-397143.02000000014</v>
      </c>
      <c r="AI86" s="129"/>
    </row>
    <row r="87" spans="1:35">
      <c r="D87" s="105" t="s">
        <v>154</v>
      </c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5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7"/>
      <c r="AE87" s="72"/>
      <c r="AF87" s="128"/>
      <c r="AG87" s="129"/>
      <c r="AH87" s="133">
        <f t="shared" si="33"/>
        <v>0</v>
      </c>
      <c r="AI87" s="129"/>
    </row>
    <row r="88" spans="1:35">
      <c r="A88" s="105" t="s">
        <v>273</v>
      </c>
      <c r="D88" s="105" t="s">
        <v>276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5">
        <f t="shared" ref="Q88:Q94" si="45">SUM(E88:P88)</f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136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72">
        <v>0</v>
      </c>
      <c r="AD88" s="127">
        <f t="shared" ref="AD88:AD96" si="46">SUM(R88:AC88)</f>
        <v>0</v>
      </c>
      <c r="AE88" s="72">
        <f t="shared" ref="AE88:AE98" si="47">Q88-AD88</f>
        <v>0</v>
      </c>
      <c r="AF88" s="128" t="e">
        <f t="shared" ref="AF88:AF98" si="48">AE88/AD88</f>
        <v>#DIV/0!</v>
      </c>
      <c r="AG88" s="129">
        <v>0</v>
      </c>
      <c r="AH88" s="133">
        <f t="shared" si="33"/>
        <v>0</v>
      </c>
      <c r="AI88" s="129"/>
    </row>
    <row r="89" spans="1:35">
      <c r="A89" s="105" t="s">
        <v>309</v>
      </c>
      <c r="D89" s="105" t="s">
        <v>277</v>
      </c>
      <c r="E89" s="136">
        <v>0</v>
      </c>
      <c r="F89" s="136">
        <v>0</v>
      </c>
      <c r="G89" s="136">
        <v>0</v>
      </c>
      <c r="H89" s="136">
        <v>0</v>
      </c>
      <c r="I89" s="136">
        <v>0</v>
      </c>
      <c r="J89" s="136">
        <v>0</v>
      </c>
      <c r="K89" s="136">
        <v>0</v>
      </c>
      <c r="L89" s="136">
        <v>0</v>
      </c>
      <c r="M89" s="136">
        <v>0</v>
      </c>
      <c r="N89" s="136">
        <v>0</v>
      </c>
      <c r="O89" s="136">
        <v>0</v>
      </c>
      <c r="P89" s="136">
        <v>0</v>
      </c>
      <c r="Q89" s="135">
        <f t="shared" si="45"/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136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72">
        <v>0</v>
      </c>
      <c r="AD89" s="127">
        <f t="shared" si="46"/>
        <v>0</v>
      </c>
      <c r="AE89" s="72">
        <f t="shared" si="47"/>
        <v>0</v>
      </c>
      <c r="AF89" s="128" t="e">
        <f t="shared" si="48"/>
        <v>#DIV/0!</v>
      </c>
      <c r="AG89" s="129">
        <v>0</v>
      </c>
      <c r="AH89" s="133">
        <f t="shared" si="33"/>
        <v>0</v>
      </c>
      <c r="AI89" s="129"/>
    </row>
    <row r="90" spans="1:35">
      <c r="A90" s="105" t="s">
        <v>310</v>
      </c>
      <c r="D90" s="105" t="s">
        <v>278</v>
      </c>
      <c r="E90" s="136">
        <v>0</v>
      </c>
      <c r="F90" s="136">
        <v>0</v>
      </c>
      <c r="G90" s="136">
        <v>0</v>
      </c>
      <c r="H90" s="136">
        <v>0</v>
      </c>
      <c r="I90" s="136">
        <v>0</v>
      </c>
      <c r="J90" s="136">
        <v>0</v>
      </c>
      <c r="K90" s="136">
        <v>0</v>
      </c>
      <c r="L90" s="136">
        <v>0</v>
      </c>
      <c r="M90" s="136">
        <v>0</v>
      </c>
      <c r="N90" s="136">
        <v>0</v>
      </c>
      <c r="O90" s="136">
        <v>0</v>
      </c>
      <c r="P90" s="136">
        <v>0</v>
      </c>
      <c r="Q90" s="135">
        <f t="shared" si="45"/>
        <v>0</v>
      </c>
      <c r="R90" s="136">
        <v>0</v>
      </c>
      <c r="S90" s="136">
        <v>0</v>
      </c>
      <c r="T90" s="136">
        <v>0</v>
      </c>
      <c r="U90" s="136">
        <v>0</v>
      </c>
      <c r="V90" s="136">
        <v>0</v>
      </c>
      <c r="W90" s="136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127">
        <f t="shared" si="46"/>
        <v>0</v>
      </c>
      <c r="AE90" s="72">
        <f t="shared" si="47"/>
        <v>0</v>
      </c>
      <c r="AF90" s="128" t="e">
        <f t="shared" si="48"/>
        <v>#DIV/0!</v>
      </c>
      <c r="AG90" s="129">
        <v>0</v>
      </c>
      <c r="AH90" s="133">
        <f t="shared" si="33"/>
        <v>0</v>
      </c>
      <c r="AI90" s="129"/>
    </row>
    <row r="91" spans="1:35">
      <c r="A91" s="105" t="s">
        <v>134</v>
      </c>
      <c r="B91" s="105" t="s">
        <v>297</v>
      </c>
      <c r="D91" s="105" t="s">
        <v>279</v>
      </c>
      <c r="E91" s="136">
        <v>266.66000000000003</v>
      </c>
      <c r="F91" s="136">
        <v>266.66000000000003</v>
      </c>
      <c r="G91" s="136">
        <v>266.66000000000003</v>
      </c>
      <c r="H91" s="136">
        <v>266.66000000000003</v>
      </c>
      <c r="I91" s="136">
        <v>266.66000000000003</v>
      </c>
      <c r="J91" s="136">
        <v>266.66000000000003</v>
      </c>
      <c r="K91" s="136">
        <v>266.66000000000003</v>
      </c>
      <c r="L91" s="136">
        <v>266.66000000000003</v>
      </c>
      <c r="M91" s="136">
        <v>266.66000000000003</v>
      </c>
      <c r="N91" s="136">
        <v>266.66000000000003</v>
      </c>
      <c r="O91" s="136">
        <v>266.66000000000003</v>
      </c>
      <c r="P91" s="136">
        <v>266.66000000000003</v>
      </c>
      <c r="Q91" s="135">
        <f t="shared" si="45"/>
        <v>3199.9199999999996</v>
      </c>
      <c r="R91" s="136">
        <v>263.19</v>
      </c>
      <c r="S91" s="136">
        <v>254</v>
      </c>
      <c r="T91" s="136">
        <v>272</v>
      </c>
      <c r="U91" s="136">
        <v>264</v>
      </c>
      <c r="V91" s="136">
        <v>272</v>
      </c>
      <c r="W91" s="136">
        <v>264</v>
      </c>
      <c r="X91" s="72">
        <v>272</v>
      </c>
      <c r="Y91" s="72">
        <v>272</v>
      </c>
      <c r="Z91" s="72">
        <v>267</v>
      </c>
      <c r="AA91" s="72">
        <v>267</v>
      </c>
      <c r="AB91" s="72">
        <v>267</v>
      </c>
      <c r="AC91" s="72">
        <v>267</v>
      </c>
      <c r="AD91" s="127">
        <f t="shared" si="46"/>
        <v>3201.19</v>
      </c>
      <c r="AE91" s="72">
        <f t="shared" si="47"/>
        <v>-1.2700000000004366</v>
      </c>
      <c r="AF91" s="128">
        <f t="shared" si="48"/>
        <v>-3.9672746697335569E-4</v>
      </c>
      <c r="AG91" s="129">
        <v>3458.63</v>
      </c>
      <c r="AH91" s="133">
        <f t="shared" si="33"/>
        <v>258.71000000000049</v>
      </c>
      <c r="AI91" s="129"/>
    </row>
    <row r="92" spans="1:35">
      <c r="A92" s="105" t="s">
        <v>135</v>
      </c>
      <c r="B92" s="105" t="s">
        <v>297</v>
      </c>
      <c r="D92" s="105" t="s">
        <v>280</v>
      </c>
      <c r="E92" s="136">
        <v>4663.05</v>
      </c>
      <c r="F92" s="136">
        <v>4663.05</v>
      </c>
      <c r="G92" s="136">
        <v>4663.05</v>
      </c>
      <c r="H92" s="136">
        <v>4663.05</v>
      </c>
      <c r="I92" s="136">
        <v>4663.05</v>
      </c>
      <c r="J92" s="136">
        <v>4663.05</v>
      </c>
      <c r="K92" s="136">
        <v>4663.05</v>
      </c>
      <c r="L92" s="136">
        <v>4663.05</v>
      </c>
      <c r="M92" s="136">
        <v>4663.05</v>
      </c>
      <c r="N92" s="136">
        <v>4663.05</v>
      </c>
      <c r="O92" s="136">
        <v>4663.05</v>
      </c>
      <c r="P92" s="136">
        <v>4663.05</v>
      </c>
      <c r="Q92" s="135">
        <f t="shared" si="45"/>
        <v>55956.600000000013</v>
      </c>
      <c r="R92" s="136">
        <v>640.23</v>
      </c>
      <c r="S92" s="136">
        <v>608.32000000000005</v>
      </c>
      <c r="T92" s="136">
        <v>799.67</v>
      </c>
      <c r="U92" s="136">
        <v>659.08</v>
      </c>
      <c r="V92" s="136">
        <v>609.89</v>
      </c>
      <c r="W92" s="136">
        <v>632.33000000000004</v>
      </c>
      <c r="X92" s="72">
        <v>636.38</v>
      </c>
      <c r="Y92" s="72">
        <v>626.83000000000004</v>
      </c>
      <c r="Z92" s="72">
        <v>636</v>
      </c>
      <c r="AA92" s="72">
        <v>636</v>
      </c>
      <c r="AB92" s="72">
        <v>636</v>
      </c>
      <c r="AC92" s="72">
        <v>636</v>
      </c>
      <c r="AD92" s="127">
        <f t="shared" si="46"/>
        <v>7756.73</v>
      </c>
      <c r="AE92" s="72">
        <f t="shared" si="47"/>
        <v>48199.87000000001</v>
      </c>
      <c r="AF92" s="128">
        <f t="shared" si="48"/>
        <v>6.2139419575001336</v>
      </c>
      <c r="AG92" s="129">
        <v>66514.689999999988</v>
      </c>
      <c r="AH92" s="133">
        <f t="shared" si="33"/>
        <v>10558.089999999975</v>
      </c>
      <c r="AI92" s="129"/>
    </row>
    <row r="93" spans="1:35">
      <c r="A93" s="105" t="s">
        <v>281</v>
      </c>
      <c r="B93" s="105" t="s">
        <v>297</v>
      </c>
      <c r="D93" s="105" t="s">
        <v>282</v>
      </c>
      <c r="E93" s="164">
        <v>12205</v>
      </c>
      <c r="F93" s="164">
        <v>11220</v>
      </c>
      <c r="G93" s="164">
        <v>11373</v>
      </c>
      <c r="H93" s="164">
        <v>12823</v>
      </c>
      <c r="I93" s="164">
        <v>13263</v>
      </c>
      <c r="J93" s="164">
        <v>12573</v>
      </c>
      <c r="K93" s="164">
        <v>12635</v>
      </c>
      <c r="L93" s="164">
        <v>12901</v>
      </c>
      <c r="M93" s="164">
        <v>12903</v>
      </c>
      <c r="N93" s="164">
        <v>12962</v>
      </c>
      <c r="O93" s="164">
        <v>12031</v>
      </c>
      <c r="P93" s="164">
        <v>12003</v>
      </c>
      <c r="Q93" s="135">
        <f t="shared" si="45"/>
        <v>148892</v>
      </c>
      <c r="R93" s="136">
        <v>8971.49</v>
      </c>
      <c r="S93" s="136">
        <v>11363.84</v>
      </c>
      <c r="T93" s="136">
        <v>9313.74</v>
      </c>
      <c r="U93" s="136">
        <v>11186.47</v>
      </c>
      <c r="V93" s="136">
        <v>11840.52</v>
      </c>
      <c r="W93" s="136">
        <v>11428.87</v>
      </c>
      <c r="X93" s="72">
        <v>9017.35</v>
      </c>
      <c r="Y93" s="72">
        <v>10988.69</v>
      </c>
      <c r="Z93" s="72">
        <v>21341</v>
      </c>
      <c r="AA93" s="72">
        <v>20293</v>
      </c>
      <c r="AB93" s="72">
        <v>18980</v>
      </c>
      <c r="AC93" s="72">
        <v>18984</v>
      </c>
      <c r="AD93" s="127">
        <f t="shared" si="46"/>
        <v>163708.97</v>
      </c>
      <c r="AE93" s="72">
        <f t="shared" si="47"/>
        <v>-14816.970000000001</v>
      </c>
      <c r="AF93" s="128">
        <f t="shared" si="48"/>
        <v>-9.0507991101526089E-2</v>
      </c>
      <c r="AG93" s="129">
        <v>176279.28</v>
      </c>
      <c r="AH93" s="133">
        <f t="shared" si="33"/>
        <v>27387.279999999999</v>
      </c>
      <c r="AI93" s="129"/>
    </row>
    <row r="94" spans="1:35">
      <c r="A94" s="105" t="s">
        <v>137</v>
      </c>
      <c r="B94" s="105" t="s">
        <v>297</v>
      </c>
      <c r="D94" s="105" t="s">
        <v>283</v>
      </c>
      <c r="E94" s="164">
        <v>46742.61</v>
      </c>
      <c r="F94" s="164">
        <v>39550.61</v>
      </c>
      <c r="G94" s="164">
        <v>39578.31</v>
      </c>
      <c r="H94" s="164">
        <v>40100.31</v>
      </c>
      <c r="I94" s="164">
        <v>43104.61</v>
      </c>
      <c r="J94" s="164">
        <v>40181.94</v>
      </c>
      <c r="K94" s="164">
        <v>39955.94</v>
      </c>
      <c r="L94" s="164">
        <v>39923.94</v>
      </c>
      <c r="M94" s="164">
        <v>40154.94</v>
      </c>
      <c r="N94" s="164">
        <v>46316.57</v>
      </c>
      <c r="O94" s="164">
        <v>39989.31</v>
      </c>
      <c r="P94" s="164">
        <v>39956.31</v>
      </c>
      <c r="Q94" s="135">
        <f t="shared" si="45"/>
        <v>495555.4</v>
      </c>
      <c r="R94" s="136">
        <v>44025.26</v>
      </c>
      <c r="S94" s="136">
        <v>39020.800000000003</v>
      </c>
      <c r="T94" s="136">
        <v>37337.14</v>
      </c>
      <c r="U94" s="136">
        <v>37057.519999999997</v>
      </c>
      <c r="V94" s="136">
        <v>26011.34</v>
      </c>
      <c r="W94" s="136">
        <v>30279.759999999998</v>
      </c>
      <c r="X94" s="72">
        <v>28074.14</v>
      </c>
      <c r="Y94" s="72">
        <v>31373.14</v>
      </c>
      <c r="Z94" s="72">
        <v>58647</v>
      </c>
      <c r="AA94" s="72">
        <v>65018</v>
      </c>
      <c r="AB94" s="72">
        <v>59420</v>
      </c>
      <c r="AC94" s="72">
        <v>59420</v>
      </c>
      <c r="AD94" s="127">
        <f t="shared" si="46"/>
        <v>515684.10000000003</v>
      </c>
      <c r="AE94" s="72">
        <f t="shared" si="47"/>
        <v>-20128.700000000012</v>
      </c>
      <c r="AF94" s="128">
        <f t="shared" si="48"/>
        <v>-3.9033004895826749E-2</v>
      </c>
      <c r="AG94" s="129">
        <v>793591.72</v>
      </c>
      <c r="AH94" s="133">
        <f t="shared" si="33"/>
        <v>298036.31999999995</v>
      </c>
      <c r="AI94" s="129"/>
    </row>
    <row r="95" spans="1:35">
      <c r="A95" s="105" t="s">
        <v>310</v>
      </c>
      <c r="D95" s="105" t="s">
        <v>139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0</v>
      </c>
      <c r="M95" s="136">
        <v>0</v>
      </c>
      <c r="N95" s="136">
        <v>0</v>
      </c>
      <c r="O95" s="136">
        <v>0</v>
      </c>
      <c r="P95" s="136">
        <v>0</v>
      </c>
      <c r="Q95" s="135"/>
      <c r="R95" s="136"/>
      <c r="S95" s="136"/>
      <c r="T95" s="136"/>
      <c r="U95" s="136"/>
      <c r="V95" s="136"/>
      <c r="W95" s="136"/>
      <c r="X95" s="72">
        <v>0</v>
      </c>
      <c r="Y95" s="72">
        <v>0</v>
      </c>
      <c r="Z95" s="72">
        <v>0</v>
      </c>
      <c r="AA95" s="72">
        <v>0</v>
      </c>
      <c r="AB95" s="72">
        <v>0</v>
      </c>
      <c r="AC95" s="72">
        <v>0</v>
      </c>
      <c r="AD95" s="127">
        <f t="shared" si="46"/>
        <v>0</v>
      </c>
      <c r="AE95" s="72">
        <f t="shared" si="47"/>
        <v>0</v>
      </c>
      <c r="AF95" s="128" t="e">
        <f t="shared" si="48"/>
        <v>#DIV/0!</v>
      </c>
      <c r="AG95" s="129">
        <v>0</v>
      </c>
      <c r="AH95" s="133">
        <f t="shared" si="33"/>
        <v>0</v>
      </c>
      <c r="AI95" s="129"/>
    </row>
    <row r="96" spans="1:35">
      <c r="A96" s="105" t="s">
        <v>310</v>
      </c>
      <c r="D96" s="105" t="s">
        <v>285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6">
        <v>0</v>
      </c>
      <c r="O96" s="136">
        <v>0</v>
      </c>
      <c r="P96" s="136">
        <v>0</v>
      </c>
      <c r="Q96" s="135"/>
      <c r="R96" s="136"/>
      <c r="S96" s="136"/>
      <c r="T96" s="136"/>
      <c r="U96" s="136"/>
      <c r="V96" s="136"/>
      <c r="W96" s="136"/>
      <c r="X96" s="72">
        <v>0</v>
      </c>
      <c r="Y96" s="72">
        <v>0</v>
      </c>
      <c r="Z96" s="72">
        <v>0</v>
      </c>
      <c r="AA96" s="72">
        <v>0</v>
      </c>
      <c r="AB96" s="72">
        <v>0</v>
      </c>
      <c r="AC96" s="72">
        <v>0</v>
      </c>
      <c r="AD96" s="127">
        <f t="shared" si="46"/>
        <v>0</v>
      </c>
      <c r="AE96" s="72">
        <f t="shared" si="47"/>
        <v>0</v>
      </c>
      <c r="AF96" s="128" t="e">
        <f t="shared" si="48"/>
        <v>#DIV/0!</v>
      </c>
      <c r="AG96" s="129">
        <v>0</v>
      </c>
      <c r="AH96" s="133">
        <f t="shared" si="33"/>
        <v>0</v>
      </c>
      <c r="AI96" s="129"/>
    </row>
    <row r="97" spans="1:36">
      <c r="D97" s="109" t="s">
        <v>286</v>
      </c>
      <c r="E97" s="137">
        <f t="shared" ref="E97:P97" si="49">SUM(E88:E96)</f>
        <v>63877.32</v>
      </c>
      <c r="F97" s="137">
        <f t="shared" si="49"/>
        <v>55700.32</v>
      </c>
      <c r="G97" s="137">
        <f t="shared" si="49"/>
        <v>55881.02</v>
      </c>
      <c r="H97" s="137">
        <f t="shared" si="49"/>
        <v>57853.02</v>
      </c>
      <c r="I97" s="137">
        <f t="shared" si="49"/>
        <v>61297.32</v>
      </c>
      <c r="J97" s="137">
        <f t="shared" si="49"/>
        <v>57684.65</v>
      </c>
      <c r="K97" s="137">
        <f t="shared" si="49"/>
        <v>57520.65</v>
      </c>
      <c r="L97" s="137">
        <f t="shared" si="49"/>
        <v>57754.65</v>
      </c>
      <c r="M97" s="137">
        <f t="shared" si="49"/>
        <v>57987.65</v>
      </c>
      <c r="N97" s="137">
        <f t="shared" si="49"/>
        <v>64208.28</v>
      </c>
      <c r="O97" s="137">
        <f t="shared" si="49"/>
        <v>56950.02</v>
      </c>
      <c r="P97" s="137">
        <f t="shared" si="49"/>
        <v>56889.02</v>
      </c>
      <c r="Q97" s="135">
        <f>SUM(Q88:Q96)</f>
        <v>703603.92</v>
      </c>
      <c r="R97" s="137">
        <f t="shared" ref="R97:AD97" si="50">SUM(R88:R96)</f>
        <v>53900.17</v>
      </c>
      <c r="S97" s="137">
        <f t="shared" si="50"/>
        <v>51246.960000000006</v>
      </c>
      <c r="T97" s="137">
        <f t="shared" si="50"/>
        <v>47722.55</v>
      </c>
      <c r="U97" s="137">
        <f t="shared" si="50"/>
        <v>49167.069999999992</v>
      </c>
      <c r="V97" s="137">
        <f t="shared" si="50"/>
        <v>38733.75</v>
      </c>
      <c r="W97" s="137">
        <f t="shared" si="50"/>
        <v>42604.959999999999</v>
      </c>
      <c r="X97" s="137">
        <f t="shared" si="50"/>
        <v>37999.869999999995</v>
      </c>
      <c r="Y97" s="137">
        <f t="shared" si="50"/>
        <v>43260.66</v>
      </c>
      <c r="Z97" s="137">
        <f t="shared" si="50"/>
        <v>80891</v>
      </c>
      <c r="AA97" s="137">
        <f t="shared" si="50"/>
        <v>86214</v>
      </c>
      <c r="AB97" s="137">
        <f t="shared" si="50"/>
        <v>79303</v>
      </c>
      <c r="AC97" s="137">
        <f t="shared" si="50"/>
        <v>79307</v>
      </c>
      <c r="AD97" s="137">
        <f t="shared" si="50"/>
        <v>690350.99</v>
      </c>
      <c r="AE97" s="127">
        <f t="shared" si="47"/>
        <v>13252.930000000051</v>
      </c>
      <c r="AF97" s="128">
        <f t="shared" si="48"/>
        <v>1.9197379582232586E-2</v>
      </c>
      <c r="AG97" s="129">
        <v>1039844.32</v>
      </c>
      <c r="AH97" s="133">
        <f t="shared" si="33"/>
        <v>336240.39999999991</v>
      </c>
      <c r="AI97" s="129"/>
    </row>
    <row r="98" spans="1:36">
      <c r="D98" s="109" t="s">
        <v>287</v>
      </c>
      <c r="E98" s="137">
        <f t="shared" ref="E98:AD98" si="51">E76+E86+E97+E69</f>
        <v>489388.56</v>
      </c>
      <c r="F98" s="137">
        <f t="shared" si="51"/>
        <v>428553.33999999997</v>
      </c>
      <c r="G98" s="137">
        <f t="shared" si="51"/>
        <v>433733.92000000004</v>
      </c>
      <c r="H98" s="137">
        <f t="shared" si="51"/>
        <v>448217.85000000003</v>
      </c>
      <c r="I98" s="137">
        <f t="shared" si="51"/>
        <v>459324.54000000004</v>
      </c>
      <c r="J98" s="137">
        <f t="shared" si="51"/>
        <v>435537.55000000005</v>
      </c>
      <c r="K98" s="137">
        <f t="shared" si="51"/>
        <v>437484.67</v>
      </c>
      <c r="L98" s="137">
        <f t="shared" si="51"/>
        <v>444634.35</v>
      </c>
      <c r="M98" s="137">
        <f t="shared" si="51"/>
        <v>444867.35</v>
      </c>
      <c r="N98" s="137">
        <f t="shared" si="51"/>
        <v>504141.75000000006</v>
      </c>
      <c r="O98" s="137">
        <f t="shared" si="51"/>
        <v>444819.85</v>
      </c>
      <c r="P98" s="137">
        <f t="shared" si="51"/>
        <v>443768.72</v>
      </c>
      <c r="Q98" s="135">
        <f t="shared" si="51"/>
        <v>5414472.4500000002</v>
      </c>
      <c r="R98" s="137">
        <f t="shared" si="51"/>
        <v>405692.05999999994</v>
      </c>
      <c r="S98" s="137">
        <f t="shared" si="51"/>
        <v>449276.23000000004</v>
      </c>
      <c r="T98" s="137">
        <f t="shared" si="51"/>
        <v>370777.19999999995</v>
      </c>
      <c r="U98" s="137">
        <f t="shared" si="51"/>
        <v>344414.4</v>
      </c>
      <c r="V98" s="137">
        <f t="shared" si="51"/>
        <v>335033.08</v>
      </c>
      <c r="W98" s="137">
        <f t="shared" si="51"/>
        <v>325708.69999999995</v>
      </c>
      <c r="X98" s="137">
        <f t="shared" si="51"/>
        <v>317297.67000000004</v>
      </c>
      <c r="Y98" s="137">
        <f t="shared" si="51"/>
        <v>649531.85000000009</v>
      </c>
      <c r="Z98" s="137">
        <f t="shared" si="51"/>
        <v>438320.14</v>
      </c>
      <c r="AA98" s="137">
        <f t="shared" si="51"/>
        <v>505436.74000000005</v>
      </c>
      <c r="AB98" s="137">
        <f t="shared" si="51"/>
        <v>450355.54</v>
      </c>
      <c r="AC98" s="137">
        <f t="shared" si="51"/>
        <v>454859.54</v>
      </c>
      <c r="AD98" s="137">
        <f t="shared" si="51"/>
        <v>5046703.1500000004</v>
      </c>
      <c r="AE98" s="127">
        <f t="shared" si="47"/>
        <v>367769.29999999981</v>
      </c>
      <c r="AF98" s="128">
        <f t="shared" si="48"/>
        <v>7.287317860175703E-2</v>
      </c>
      <c r="AG98" s="129">
        <v>4819155.46</v>
      </c>
      <c r="AH98" s="133">
        <f t="shared" si="33"/>
        <v>-595316.99000000022</v>
      </c>
      <c r="AI98" s="129"/>
    </row>
    <row r="99" spans="1:36">
      <c r="D99" s="105" t="s">
        <v>154</v>
      </c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35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35"/>
      <c r="AF99" s="128"/>
      <c r="AG99" s="129"/>
      <c r="AH99" s="133">
        <f t="shared" si="33"/>
        <v>0</v>
      </c>
      <c r="AI99" s="129"/>
    </row>
    <row r="100" spans="1:36">
      <c r="D100" s="105" t="s">
        <v>154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35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35"/>
      <c r="AF100" s="128"/>
      <c r="AG100" s="129"/>
      <c r="AH100" s="133">
        <f t="shared" si="33"/>
        <v>0</v>
      </c>
      <c r="AI100" s="129"/>
    </row>
    <row r="101" spans="1:36" s="109" customFormat="1">
      <c r="A101" s="109" t="s">
        <v>141</v>
      </c>
      <c r="B101" s="109" t="s">
        <v>297</v>
      </c>
      <c r="D101" s="109" t="s">
        <v>288</v>
      </c>
      <c r="E101" s="136">
        <v>38</v>
      </c>
      <c r="F101" s="136">
        <v>38</v>
      </c>
      <c r="G101" s="136">
        <v>38</v>
      </c>
      <c r="H101" s="136">
        <v>38</v>
      </c>
      <c r="I101" s="136">
        <v>38</v>
      </c>
      <c r="J101" s="136">
        <v>38</v>
      </c>
      <c r="K101" s="136">
        <v>38</v>
      </c>
      <c r="L101" s="136">
        <v>38</v>
      </c>
      <c r="M101" s="136">
        <v>38</v>
      </c>
      <c r="N101" s="136">
        <v>38</v>
      </c>
      <c r="O101" s="136">
        <v>38</v>
      </c>
      <c r="P101" s="136">
        <v>38</v>
      </c>
      <c r="Q101" s="137">
        <f>SUM(E101:P101)/12</f>
        <v>38</v>
      </c>
      <c r="R101" s="137">
        <v>32</v>
      </c>
      <c r="S101" s="137">
        <v>32</v>
      </c>
      <c r="T101" s="137">
        <v>32</v>
      </c>
      <c r="U101" s="137">
        <v>33</v>
      </c>
      <c r="V101" s="137">
        <v>31</v>
      </c>
      <c r="W101" s="137">
        <v>32</v>
      </c>
      <c r="X101" s="127">
        <v>30</v>
      </c>
      <c r="Y101" s="127">
        <v>32</v>
      </c>
      <c r="Z101" s="127">
        <v>28</v>
      </c>
      <c r="AA101" s="127">
        <v>28</v>
      </c>
      <c r="AB101" s="127">
        <v>28</v>
      </c>
      <c r="AC101" s="127">
        <v>28</v>
      </c>
      <c r="AD101" s="127">
        <f>SUM(R101:AC101)/12</f>
        <v>30.5</v>
      </c>
      <c r="AE101" s="127">
        <f t="shared" ref="AE101" si="52">Q101-AD101</f>
        <v>7.5</v>
      </c>
      <c r="AF101" s="132">
        <f t="shared" ref="AF101" si="53">AE101/AD101</f>
        <v>0.24590163934426229</v>
      </c>
      <c r="AG101" s="129">
        <v>48.916666666666664</v>
      </c>
      <c r="AH101" s="133">
        <f t="shared" si="33"/>
        <v>10.916666666666664</v>
      </c>
      <c r="AI101" s="129"/>
      <c r="AJ101" s="161"/>
    </row>
    <row r="102" spans="1:36">
      <c r="D102" s="105" t="s">
        <v>154</v>
      </c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35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35"/>
      <c r="AG102" s="168"/>
      <c r="AH102" s="133"/>
    </row>
    <row r="103" spans="1:36">
      <c r="Q103" s="117">
        <f>Q98/Q101</f>
        <v>142486.11710526317</v>
      </c>
      <c r="AD103" s="117">
        <f>AD98/AD101</f>
        <v>165465.67704918035</v>
      </c>
      <c r="AH103" s="133"/>
    </row>
    <row r="104" spans="1:36">
      <c r="AH104" s="133"/>
    </row>
    <row r="105" spans="1:36">
      <c r="D105" s="105" t="s">
        <v>172</v>
      </c>
      <c r="E105" s="116">
        <f>'Rooms+Summary'!E15</f>
        <v>29442573</v>
      </c>
      <c r="F105" s="116">
        <f>'Rooms+Summary'!F15</f>
        <v>34339448</v>
      </c>
      <c r="G105" s="116">
        <f>'Rooms+Summary'!G15</f>
        <v>20349212</v>
      </c>
      <c r="H105" s="116">
        <f>'Rooms+Summary'!H15</f>
        <v>18705258</v>
      </c>
      <c r="I105" s="116">
        <f>'Rooms+Summary'!I15</f>
        <v>17427010</v>
      </c>
      <c r="J105" s="116">
        <f>'Rooms+Summary'!J15</f>
        <v>15601860</v>
      </c>
      <c r="K105" s="116">
        <f>'Rooms+Summary'!K15</f>
        <v>23179432</v>
      </c>
      <c r="L105" s="116">
        <f>'Rooms+Summary'!L15</f>
        <v>26831725</v>
      </c>
      <c r="M105" s="116">
        <f>'Rooms+Summary'!M15</f>
        <v>14301456</v>
      </c>
      <c r="N105" s="116">
        <f>'Rooms+Summary'!N15</f>
        <v>17393481</v>
      </c>
      <c r="O105" s="116">
        <f>'Rooms+Summary'!O15</f>
        <v>15149160</v>
      </c>
      <c r="P105" s="116">
        <f>'Rooms+Summary'!P15</f>
        <v>19547757</v>
      </c>
      <c r="Q105" s="135">
        <f>SUM(E105:P105)</f>
        <v>252268372</v>
      </c>
      <c r="R105" s="169">
        <f>'Rooms+Summary'!R15</f>
        <v>33339933.330000002</v>
      </c>
      <c r="S105" s="169">
        <f>'Rooms+Summary'!S15</f>
        <v>52712407.609999999</v>
      </c>
      <c r="T105" s="169">
        <f>'Rooms+Summary'!T15</f>
        <v>22181851.949999999</v>
      </c>
      <c r="U105" s="169">
        <f>'Rooms+Summary'!U15</f>
        <v>18679120.800000001</v>
      </c>
      <c r="V105" s="169">
        <f>'Rooms+Summary'!V15</f>
        <v>17436274.23</v>
      </c>
      <c r="W105" s="169">
        <f>'Rooms+Summary'!W15</f>
        <v>15572622.360000001</v>
      </c>
      <c r="X105" s="169">
        <f>'Rooms+Summary'!X15</f>
        <v>23202309.690000001</v>
      </c>
      <c r="Y105" s="116">
        <f>'Rooms+Summary'!Y15</f>
        <v>27004827.07</v>
      </c>
      <c r="Z105" s="116">
        <f>'Rooms+Summary'!Z15</f>
        <v>13001555</v>
      </c>
      <c r="AA105" s="116">
        <f>'Rooms+Summary'!AA15</f>
        <v>16010575</v>
      </c>
      <c r="AB105" s="116">
        <f>'Rooms+Summary'!AB15</f>
        <v>14455937</v>
      </c>
      <c r="AC105" s="116">
        <f>'Rooms+Summary'!AC15</f>
        <v>17813000</v>
      </c>
      <c r="AD105" s="127">
        <f>SUM(R105:AC105)</f>
        <v>271410414.03999996</v>
      </c>
      <c r="AH105" s="133"/>
    </row>
    <row r="106" spans="1:36">
      <c r="AH106" s="133"/>
    </row>
    <row r="107" spans="1:36">
      <c r="D107" s="151" t="s">
        <v>311</v>
      </c>
      <c r="E107" s="170">
        <v>16520</v>
      </c>
      <c r="F107" s="170">
        <v>16520</v>
      </c>
      <c r="G107" s="170">
        <v>16520</v>
      </c>
      <c r="H107" s="170">
        <v>16520</v>
      </c>
      <c r="I107" s="170">
        <v>16520</v>
      </c>
      <c r="J107" s="170">
        <v>16520</v>
      </c>
      <c r="K107" s="170">
        <v>16520</v>
      </c>
      <c r="L107" s="170">
        <v>16520</v>
      </c>
      <c r="M107" s="170">
        <v>16520</v>
      </c>
      <c r="N107" s="170">
        <v>16520</v>
      </c>
      <c r="O107" s="170">
        <v>16520</v>
      </c>
      <c r="P107" s="170">
        <v>16520</v>
      </c>
      <c r="Q107" s="135">
        <f t="shared" ref="Q107:Q109" si="54">SUM(E107:P107)</f>
        <v>198240</v>
      </c>
      <c r="AH107" s="133"/>
    </row>
    <row r="108" spans="1:36">
      <c r="D108" s="152" t="s">
        <v>312</v>
      </c>
      <c r="E108" s="116">
        <v>35011.420000000006</v>
      </c>
      <c r="F108" s="116">
        <v>31483.699999999997</v>
      </c>
      <c r="G108" s="116">
        <v>31957.21</v>
      </c>
      <c r="H108" s="116">
        <v>32501.469999999998</v>
      </c>
      <c r="I108" s="116">
        <v>33828.78</v>
      </c>
      <c r="J108" s="116">
        <v>32060.579999999998</v>
      </c>
      <c r="K108" s="116">
        <v>32362.799999999999</v>
      </c>
      <c r="L108" s="116">
        <v>32218.979999999996</v>
      </c>
      <c r="M108" s="116">
        <v>32232.019999999997</v>
      </c>
      <c r="N108" s="116">
        <v>36551.11</v>
      </c>
      <c r="O108" s="116">
        <v>32336.52</v>
      </c>
      <c r="P108" s="116">
        <v>32172.219999999998</v>
      </c>
      <c r="Q108" s="135">
        <f t="shared" si="54"/>
        <v>394716.80999999994</v>
      </c>
      <c r="X108" s="171"/>
      <c r="AH108" s="133"/>
    </row>
    <row r="109" spans="1:36">
      <c r="D109" s="151" t="s">
        <v>313</v>
      </c>
      <c r="E109" s="116">
        <v>93270.82</v>
      </c>
      <c r="F109" s="116">
        <v>73824.820000000007</v>
      </c>
      <c r="G109" s="116">
        <v>74056.820000000007</v>
      </c>
      <c r="H109" s="116">
        <v>78931.820000000007</v>
      </c>
      <c r="I109" s="116">
        <v>84028.82</v>
      </c>
      <c r="J109" s="116">
        <v>75218.820000000007</v>
      </c>
      <c r="K109" s="116">
        <v>75168.820000000007</v>
      </c>
      <c r="L109" s="116">
        <v>75375.820000000007</v>
      </c>
      <c r="M109" s="116">
        <v>75482.820000000007</v>
      </c>
      <c r="N109" s="116">
        <v>94096.82</v>
      </c>
      <c r="O109" s="116">
        <v>74792.820000000007</v>
      </c>
      <c r="P109" s="116">
        <v>74754.820000000007</v>
      </c>
      <c r="Q109" s="135">
        <f t="shared" si="54"/>
        <v>949003.84000000032</v>
      </c>
      <c r="AH109" s="133"/>
    </row>
    <row r="110" spans="1:36">
      <c r="AH110" s="133"/>
    </row>
    <row r="111" spans="1:36">
      <c r="AH111" s="133"/>
    </row>
    <row r="112" spans="1:36">
      <c r="AH112" s="133"/>
    </row>
    <row r="113" spans="34:34">
      <c r="AH113" s="133"/>
    </row>
    <row r="114" spans="34:34">
      <c r="AH114" s="133"/>
    </row>
    <row r="115" spans="34:34">
      <c r="AH115" s="133"/>
    </row>
    <row r="116" spans="34:34">
      <c r="AH116" s="133"/>
    </row>
    <row r="117" spans="34:34">
      <c r="AH117" s="133"/>
    </row>
    <row r="118" spans="34:34">
      <c r="AH118" s="133"/>
    </row>
    <row r="119" spans="34:34">
      <c r="AH119" s="133"/>
    </row>
    <row r="120" spans="34:34">
      <c r="AH120" s="133"/>
    </row>
    <row r="121" spans="34:34">
      <c r="AH121" s="133"/>
    </row>
    <row r="122" spans="34:34">
      <c r="AH122" s="133"/>
    </row>
    <row r="123" spans="34:34">
      <c r="AH123" s="133"/>
    </row>
    <row r="124" spans="34:34">
      <c r="AH124" s="133"/>
    </row>
    <row r="125" spans="34:34">
      <c r="AH125" s="133"/>
    </row>
    <row r="126" spans="34:34">
      <c r="AH126" s="133"/>
    </row>
    <row r="127" spans="34:34">
      <c r="AH127" s="133"/>
    </row>
    <row r="128" spans="34:34">
      <c r="AH128" s="133"/>
    </row>
    <row r="129" spans="34:34">
      <c r="AH129" s="133"/>
    </row>
    <row r="130" spans="34:34">
      <c r="AH130" s="133"/>
    </row>
  </sheetData>
  <phoneticPr fontId="7" type="noConversion"/>
  <dataValidations count="231">
    <dataValidation type="textLength" errorStyle="information" allowBlank="1" showInputMessage="1" showErrorMessage="1" error="XLBVal:6=10648.29_x000d__x000a_" sqref="W71">
      <formula1>0</formula1>
      <formula2>300</formula2>
    </dataValidation>
    <dataValidation type="textLength" errorStyle="information" allowBlank="1" showInputMessage="1" showErrorMessage="1" error="XLBVal:6=59_x000d__x000a_" sqref="R54">
      <formula1>0</formula1>
      <formula2>300</formula2>
    </dataValidation>
    <dataValidation type="textLength" errorStyle="information" allowBlank="1" showInputMessage="1" showErrorMessage="1" error="XLBVal:6=49_x000d__x000a_" sqref="U53">
      <formula1>0</formula1>
      <formula2>300</formula2>
    </dataValidation>
    <dataValidation type="textLength" errorStyle="information" allowBlank="1" showInputMessage="1" showErrorMessage="1" error="XLBVal:6=96_x000d__x000a_" sqref="R53">
      <formula1>0</formula1>
      <formula2>300</formula2>
    </dataValidation>
    <dataValidation type="textLength" errorStyle="information" allowBlank="1" showInputMessage="1" showErrorMessage="1" error="XLBVal:6=855.42_x000d__x000a_" sqref="S25">
      <formula1>0</formula1>
      <formula2>300</formula2>
    </dataValidation>
    <dataValidation type="textLength" errorStyle="information" allowBlank="1" showInputMessage="1" showErrorMessage="1" error="XLBVal:6=31_x000d__x000a_" sqref="V101">
      <formula1>0</formula1>
      <formula2>300</formula2>
    </dataValidation>
    <dataValidation type="textLength" errorStyle="information" allowBlank="1" showInputMessage="1" showErrorMessage="1" error="XLBVal:6=33_x000d__x000a_" sqref="U101">
      <formula1>0</formula1>
      <formula2>300</formula2>
    </dataValidation>
    <dataValidation type="textLength" errorStyle="information" allowBlank="1" showInputMessage="1" showErrorMessage="1" error="XLBVal:6=799.67_x000d__x000a_" sqref="T92">
      <formula1>0</formula1>
      <formula2>300</formula2>
    </dataValidation>
    <dataValidation type="textLength" errorStyle="information" allowBlank="1" showInputMessage="1" showErrorMessage="1" error="XLBVal:6=26189.72_x000d__x000a_" sqref="W72">
      <formula1>0</formula1>
      <formula2>300</formula2>
    </dataValidation>
    <dataValidation type="textLength" errorStyle="information" allowBlank="1" showInputMessage="1" showErrorMessage="1" error="XLBVal:6=25593.55_x000d__x000a_" sqref="V72">
      <formula1>0</formula1>
      <formula2>300</formula2>
    </dataValidation>
    <dataValidation type="textLength" errorStyle="information" allowBlank="1" showInputMessage="1" showErrorMessage="1" error="XLBVal:6=27096.93_x000d__x000a_" sqref="U72">
      <formula1>0</formula1>
      <formula2>300</formula2>
    </dataValidation>
    <dataValidation type="textLength" errorStyle="information" allowBlank="1" showInputMessage="1" showErrorMessage="1" error="XLBVal:6=39807.3_x000d__x000a_" sqref="T72">
      <formula1>0</formula1>
      <formula2>300</formula2>
    </dataValidation>
    <dataValidation type="textLength" errorStyle="information" allowBlank="1" showInputMessage="1" showErrorMessage="1" error="XLBVal:6=12151.74_x000d__x000a_" sqref="R71">
      <formula1>0</formula1>
      <formula2>300</formula2>
    </dataValidation>
    <dataValidation type="textLength" errorStyle="information" allowBlank="1" showInputMessage="1" showErrorMessage="1" error="XLBVal:6=63_x000d__x000a_" sqref="V54">
      <formula1>0</formula1>
      <formula2>300</formula2>
    </dataValidation>
    <dataValidation type="textLength" errorStyle="information" allowBlank="1" showInputMessage="1" showErrorMessage="1" error="XLBVal:6=65_x000d__x000a_" sqref="U54">
      <formula1>0</formula1>
      <formula2>300</formula2>
    </dataValidation>
    <dataValidation type="textLength" errorStyle="information" allowBlank="1" showInputMessage="1" showErrorMessage="1" error="XLBVal:6=43_x000d__x000a_" sqref="S54">
      <formula1>0</formula1>
      <formula2>300</formula2>
    </dataValidation>
    <dataValidation type="textLength" errorStyle="information" allowBlank="1" showInputMessage="1" showErrorMessage="1" error="XLBVal:6=53_x000d__x000a_" sqref="V53">
      <formula1>0</formula1>
      <formula2>300</formula2>
    </dataValidation>
    <dataValidation type="textLength" errorStyle="information" allowBlank="1" showInputMessage="1" showErrorMessage="1" error="XLBVal:6=74_x000d__x000a_" sqref="T53">
      <formula1>0</formula1>
      <formula2>300</formula2>
    </dataValidation>
    <dataValidation type="textLength" errorStyle="information" allowBlank="1" showInputMessage="1" showErrorMessage="1" error="XLBVal:6=24_x000d__x000a_" sqref="V51">
      <formula1>0</formula1>
      <formula2>300</formula2>
    </dataValidation>
    <dataValidation type="textLength" errorStyle="information" allowBlank="1" showInputMessage="1" showErrorMessage="1" error="XLBVal:6=7540.91_x000d__x000a_" sqref="V38">
      <formula1>0</formula1>
      <formula2>300</formula2>
    </dataValidation>
    <dataValidation type="textLength" errorStyle="information" allowBlank="1" showInputMessage="1" showErrorMessage="1" error="XLBVal:6=4441.8_x000d__x000a_" sqref="U38">
      <formula1>0</formula1>
      <formula2>300</formula2>
    </dataValidation>
    <dataValidation type="textLength" errorStyle="information" allowBlank="1" showInputMessage="1" showErrorMessage="1" error="XLBVal:6=427.71_x000d__x000a_" sqref="T25:W25">
      <formula1>0</formula1>
      <formula2>300</formula2>
    </dataValidation>
    <dataValidation type="textLength" errorStyle="information" allowBlank="1" showInputMessage="1" showErrorMessage="1" error="XLBVal:6=640.23_x000d__x000a_" sqref="R92">
      <formula1>0</formula1>
      <formula2>300</formula2>
    </dataValidation>
    <dataValidation type="textLength" errorStyle="information" allowBlank="1" showInputMessage="1" showErrorMessage="1" error="XLBVal:6=4621.38_x000d__x000a_" sqref="W84">
      <formula1>0</formula1>
      <formula2>300</formula2>
    </dataValidation>
    <dataValidation type="textLength" errorStyle="information" allowBlank="1" showInputMessage="1" showErrorMessage="1" error="XLBVal:6=5279.98_x000d__x000a_" sqref="R84">
      <formula1>0</formula1>
      <formula2>300</formula2>
    </dataValidation>
    <dataValidation type="textLength" errorStyle="information" allowBlank="1" showInputMessage="1" showErrorMessage="1" error="XLBVal:6=13579.02_x000d__x000a_" sqref="W73">
      <formula1>0</formula1>
      <formula2>300</formula2>
    </dataValidation>
    <dataValidation type="textLength" errorStyle="information" allowBlank="1" showInputMessage="1" showErrorMessage="1" error="XLBVal:6=13713_x000d__x000a_" sqref="V73">
      <formula1>0</formula1>
      <formula2>300</formula2>
    </dataValidation>
    <dataValidation type="textLength" errorStyle="information" allowBlank="1" showInputMessage="1" showErrorMessage="1" error="XLBVal:6=13597.88_x000d__x000a_" sqref="U73">
      <formula1>0</formula1>
      <formula2>300</formula2>
    </dataValidation>
    <dataValidation type="textLength" errorStyle="information" allowBlank="1" showInputMessage="1" showErrorMessage="1" error="XLBVal:6=13855.86_x000d__x000a_" sqref="T73">
      <formula1>0</formula1>
      <formula2>300</formula2>
    </dataValidation>
    <dataValidation type="textLength" errorStyle="information" allowBlank="1" showInputMessage="1" showErrorMessage="1" error="XLBVal:6=13914.48_x000d__x000a_" sqref="S73">
      <formula1>0</formula1>
      <formula2>300</formula2>
    </dataValidation>
    <dataValidation type="textLength" errorStyle="information" allowBlank="1" showInputMessage="1" showErrorMessage="1" error="XLBVal:6=41168.3_x000d__x000a_" sqref="S72">
      <formula1>0</formula1>
      <formula2>300</formula2>
    </dataValidation>
    <dataValidation type="textLength" errorStyle="information" allowBlank="1" showInputMessage="1" showErrorMessage="1" error="XLBVal:6=11724.15_x000d__x000a_" sqref="V71">
      <formula1>0</formula1>
      <formula2>300</formula2>
    </dataValidation>
    <dataValidation type="textLength" errorStyle="information" allowBlank="1" showInputMessage="1" showErrorMessage="1" error="XLBVal:6=10896.54_x000d__x000a_" sqref="U71">
      <formula1>0</formula1>
      <formula2>300</formula2>
    </dataValidation>
    <dataValidation type="textLength" errorStyle="information" allowBlank="1" showInputMessage="1" showErrorMessage="1" error="XLBVal:6=33058.61_x000d__x000a_" sqref="S71">
      <formula1>0</formula1>
      <formula2>300</formula2>
    </dataValidation>
    <dataValidation type="textLength" errorStyle="information" allowBlank="1" showInputMessage="1" showErrorMessage="1" error="XLBVal:6=7_x000d__x000a_" sqref="S51">
      <formula1>0</formula1>
      <formula2>300</formula2>
    </dataValidation>
    <dataValidation type="textLength" errorStyle="information" allowBlank="1" showInputMessage="1" showErrorMessage="1" error="XLBVal:6=116.48_x000d__x000a_" sqref="V43:W43">
      <formula1>0</formula1>
      <formula2>300</formula2>
    </dataValidation>
    <dataValidation type="textLength" errorStyle="information" allowBlank="1" showInputMessage="1" showErrorMessage="1" error="XLBVal:6=761.36_x000d__x000a_" sqref="U43">
      <formula1>0</formula1>
      <formula2>300</formula2>
    </dataValidation>
    <dataValidation type="textLength" errorStyle="information" allowBlank="1" showInputMessage="1" showErrorMessage="1" error="XLBVal:6=625.38_x000d__x000a_" sqref="T43">
      <formula1>0</formula1>
      <formula2>300</formula2>
    </dataValidation>
    <dataValidation type="textLength" errorStyle="information" allowBlank="1" showInputMessage="1" showErrorMessage="1" error="XLBVal:6=0_x000d__x000a_" sqref="S43">
      <formula1>0</formula1>
      <formula2>300</formula2>
    </dataValidation>
    <dataValidation type="textLength" errorStyle="information" allowBlank="1" showInputMessage="1" showErrorMessage="1" error="XLBVal:6=48_x000d__x000a_" sqref="R43">
      <formula1>0</formula1>
      <formula2>300</formula2>
    </dataValidation>
    <dataValidation type="textLength" errorStyle="information" allowBlank="1" showInputMessage="1" showErrorMessage="1" error="XLBVal:6=902.48_x000d__x000a_" sqref="W41">
      <formula1>0</formula1>
      <formula2>300</formula2>
    </dataValidation>
    <dataValidation type="textLength" errorStyle="information" allowBlank="1" showInputMessage="1" showErrorMessage="1" error="XLBVal:6=1090.23_x000d__x000a_" sqref="V41">
      <formula1>0</formula1>
      <formula2>300</formula2>
    </dataValidation>
    <dataValidation type="textLength" errorStyle="information" allowBlank="1" showInputMessage="1" showErrorMessage="1" error="XLBVal:6=819.37_x000d__x000a_" sqref="U41">
      <formula1>0</formula1>
      <formula2>300</formula2>
    </dataValidation>
    <dataValidation type="textLength" errorStyle="information" allowBlank="1" showInputMessage="1" showErrorMessage="1" error="XLBVal:6=3435.67_x000d__x000a_" sqref="T41">
      <formula1>0</formula1>
      <formula2>300</formula2>
    </dataValidation>
    <dataValidation type="textLength" errorStyle="information" allowBlank="1" showInputMessage="1" showErrorMessage="1" error="XLBVal:6=2479.92_x000d__x000a_" sqref="S41">
      <formula1>0</formula1>
      <formula2>300</formula2>
    </dataValidation>
    <dataValidation type="textLength" errorStyle="information" allowBlank="1" showInputMessage="1" showErrorMessage="1" error="XLBVal:6=-99.69_x000d__x000a_" sqref="R41">
      <formula1>0</formula1>
      <formula2>300</formula2>
    </dataValidation>
    <dataValidation type="textLength" errorStyle="information" allowBlank="1" showInputMessage="1" showErrorMessage="1" error="XLBVal:6=1390.81_x000d__x000a_" sqref="W40">
      <formula1>0</formula1>
      <formula2>300</formula2>
    </dataValidation>
    <dataValidation type="textLength" errorStyle="information" allowBlank="1" showInputMessage="1" showErrorMessage="1" error="XLBVal:6=1548.9_x000d__x000a_" sqref="V40">
      <formula1>0</formula1>
      <formula2>300</formula2>
    </dataValidation>
    <dataValidation type="textLength" errorStyle="information" allowBlank="1" showInputMessage="1" showErrorMessage="1" error="XLBVal:6=1180.45_x000d__x000a_" sqref="U40">
      <formula1>0</formula1>
      <formula2>300</formula2>
    </dataValidation>
    <dataValidation type="textLength" errorStyle="information" allowBlank="1" showInputMessage="1" showErrorMessage="1" error="XLBVal:6=1168.02_x000d__x000a_" sqref="T40">
      <formula1>0</formula1>
      <formula2>300</formula2>
    </dataValidation>
    <dataValidation type="textLength" errorStyle="information" allowBlank="1" showInputMessage="1" showErrorMessage="1" error="XLBVal:6=1437.07_x000d__x000a_" sqref="S40">
      <formula1>0</formula1>
      <formula2>300</formula2>
    </dataValidation>
    <dataValidation type="textLength" errorStyle="information" allowBlank="1" showInputMessage="1" showErrorMessage="1" error="XLBVal:6=1082.16_x000d__x000a_" sqref="R40">
      <formula1>0</formula1>
      <formula2>300</formula2>
    </dataValidation>
    <dataValidation type="textLength" errorStyle="information" allowBlank="1" showInputMessage="1" showErrorMessage="1" error="XLBVal:6=5994.99_x000d__x000a_" sqref="W38">
      <formula1>0</formula1>
      <formula2>300</formula2>
    </dataValidation>
    <dataValidation type="textLength" errorStyle="information" allowBlank="1" showInputMessage="1" showErrorMessage="1" error="XLBVal:6=6900.35_x000d__x000a_" sqref="T38">
      <formula1>0</formula1>
      <formula2>300</formula2>
    </dataValidation>
    <dataValidation type="textLength" errorStyle="information" allowBlank="1" showInputMessage="1" showErrorMessage="1" error="XLBVal:6=6368.97_x000d__x000a_" sqref="S38">
      <formula1>0</formula1>
      <formula2>300</formula2>
    </dataValidation>
    <dataValidation type="textLength" errorStyle="information" allowBlank="1" showInputMessage="1" showErrorMessage="1" error="XLBVal:6=4666.69_x000d__x000a_" sqref="R38">
      <formula1>0</formula1>
      <formula2>300</formula2>
    </dataValidation>
    <dataValidation type="textLength" errorStyle="information" allowBlank="1" showInputMessage="1" showErrorMessage="1" error="XLBVal:6=493.39_x000d__x000a_" sqref="R37">
      <formula1>0</formula1>
      <formula2>300</formula2>
    </dataValidation>
    <dataValidation type="textLength" errorStyle="information" allowBlank="1" showInputMessage="1" showErrorMessage="1" error="XLBVal:6=51425.51_x000d__x000a_" sqref="S36">
      <formula1>0</formula1>
      <formula2>300</formula2>
    </dataValidation>
    <dataValidation type="textLength" errorStyle="information" allowBlank="1" showInputMessage="1" showErrorMessage="1" error="XLBVal:6=25711.51_x000d__x000a_" sqref="U29">
      <formula1>0</formula1>
      <formula2>300</formula2>
    </dataValidation>
    <dataValidation type="textLength" errorStyle="information" allowBlank="1" showInputMessage="1" showErrorMessage="1" error="XLBVal:6=29105.8_x000d__x000a_" sqref="T29">
      <formula1>0</formula1>
      <formula2>300</formula2>
    </dataValidation>
    <dataValidation type="textLength" errorStyle="information" allowBlank="1" showInputMessage="1" showErrorMessage="1" error="XLBVal:6=54250.21_x000d__x000a_" sqref="S29">
      <formula1>0</formula1>
      <formula2>300</formula2>
    </dataValidation>
    <dataValidation type="textLength" errorStyle="information" allowBlank="1" showInputMessage="1" showErrorMessage="1" error="XLBVal:6=28558.83_x000d__x000a_" sqref="R29">
      <formula1>0</formula1>
      <formula2>300</formula2>
    </dataValidation>
    <dataValidation type="textLength" errorStyle="information" allowBlank="1" showInputMessage="1" showErrorMessage="1" error="XLBVal:6=156427.58_x000d__x000a_" sqref="R26">
      <formula1>0</formula1>
      <formula2>300</formula2>
    </dataValidation>
    <dataValidation type="textLength" errorStyle="information" allowBlank="1" showInputMessage="1" showErrorMessage="1" error="XLBVal:6=221848.28_x000d__x000a_" sqref="S22">
      <formula1>0</formula1>
      <formula2>300</formula2>
    </dataValidation>
    <dataValidation type="textLength" errorStyle="information" allowBlank="1" showInputMessage="1" showErrorMessage="1" error="XLBVal:6=179444.07_x000d__x000a_" sqref="R22">
      <formula1>0</formula1>
      <formula2>300</formula2>
    </dataValidation>
    <dataValidation type="textLength" errorStyle="information" allowBlank="1" showInputMessage="1" showErrorMessage="1" error="XLBVal:6=12827_x000d__x000a_" sqref="R83">
      <formula1>0</formula1>
      <formula2>300</formula2>
    </dataValidation>
    <dataValidation type="textLength" errorStyle="information" allowBlank="1" showInputMessage="1" showErrorMessage="1" error="XLBVal:6=309.2_x000d__x000a_" sqref="R81">
      <formula1>0</formula1>
      <formula2>300</formula2>
    </dataValidation>
    <dataValidation type="textLength" errorStyle="information" allowBlank="1" showInputMessage="1" showErrorMessage="1" error="XLBVal:6=1288.16_x000d__x000a_" sqref="R80">
      <formula1>0</formula1>
      <formula2>300</formula2>
    </dataValidation>
    <dataValidation type="textLength" errorStyle="information" allowBlank="1" showInputMessage="1" showErrorMessage="1" error="XLBVal:6=21898.6_x000d__x000a_" sqref="R79">
      <formula1>0</formula1>
      <formula2>300</formula2>
    </dataValidation>
    <dataValidation type="textLength" errorStyle="information" allowBlank="1" showInputMessage="1" showErrorMessage="1" error="XLBVal:6=41220.94_x000d__x000a_" sqref="R78">
      <formula1>0</formula1>
      <formula2>300</formula2>
    </dataValidation>
    <dataValidation type="textLength" errorStyle="information" allowBlank="1" showInputMessage="1" showErrorMessage="1" error="XLBVal:6=14206.69_x000d__x000a_" sqref="R73">
      <formula1>0</formula1>
      <formula2>300</formula2>
    </dataValidation>
    <dataValidation type="textLength" errorStyle="information" allowBlank="1" showInputMessage="1" showErrorMessage="1" error="XLBVal:6=80094.25_x000d__x000a_" sqref="R65">
      <formula1>0</formula1>
      <formula2>300</formula2>
    </dataValidation>
    <dataValidation type="textLength" errorStyle="information" allowBlank="1" showInputMessage="1" showErrorMessage="1" error="XLBVal:6=76709.68_x000d__x000a_" sqref="R64">
      <formula1>0</formula1>
      <formula2>300</formula2>
    </dataValidation>
    <dataValidation type="textLength" errorStyle="information" allowBlank="1" showInputMessage="1" showErrorMessage="1" error="XLBVal:6=12297.05_x000d__x000a_" sqref="R33">
      <formula1>0</formula1>
      <formula2>300</formula2>
    </dataValidation>
    <dataValidation type="textLength" errorStyle="information" allowBlank="1" showInputMessage="1" showErrorMessage="1" error="XLBVal:6=39335.3_x000d__x000a_" sqref="R72">
      <formula1>0</formula1>
      <formula2>300</formula2>
    </dataValidation>
    <dataValidation type="textLength" errorStyle="information" allowBlank="1" showInputMessage="1" showErrorMessage="1" error="XLBVal:6=13682.01_x000d__x000a_" sqref="X22:AC43 X64:AC68 X101:AC101 X78:AC85 X88:AC96 X71:AC75">
      <formula1>0</formula1>
      <formula2>300</formula2>
    </dataValidation>
    <dataValidation type="textLength" errorStyle="information" allowBlank="1" showInputMessage="1" showErrorMessage="1" error="XLBVal:6=18575.21_x000d__x000a_" sqref="W29">
      <formula1>0</formula1>
      <formula2>300</formula2>
    </dataValidation>
    <dataValidation type="textLength" errorStyle="information" allowBlank="1" showInputMessage="1" showErrorMessage="1" error="XLBVal:6=22699.64_x000d__x000a_" sqref="V29">
      <formula1>0</formula1>
      <formula2>300</formula2>
    </dataValidation>
    <dataValidation type="textLength" errorStyle="information" allowBlank="1" showInputMessage="1" showErrorMessage="1" error="XLBVal:6=1235.52_x000d__x000a_" sqref="T80">
      <formula1>0</formula1>
      <formula2>300</formula2>
    </dataValidation>
    <dataValidation type="textLength" errorStyle="information" allowBlank="1" showInputMessage="1" showErrorMessage="1" error="XLBVal:6=39536.38_x000d__x000a_" sqref="T78">
      <formula1>0</formula1>
      <formula2>300</formula2>
    </dataValidation>
    <dataValidation type="textLength" errorStyle="information" allowBlank="1" showInputMessage="1" showErrorMessage="1" error="XLBVal:6=303.93_x000d__x000a_" sqref="S81">
      <formula1>0</formula1>
      <formula2>300</formula2>
    </dataValidation>
    <dataValidation type="textLength" errorStyle="information" allowBlank="1" showInputMessage="1" showErrorMessage="1" error="XLBVal:6=1151.36_x000d__x000a_" sqref="W80">
      <formula1>0</formula1>
      <formula2>300</formula2>
    </dataValidation>
    <dataValidation type="textLength" errorStyle="information" allowBlank="1" showInputMessage="1" showErrorMessage="1" error="XLBVal:6=1262.98_x000d__x000a_" sqref="U80">
      <formula1>0</formula1>
      <formula2>300</formula2>
    </dataValidation>
    <dataValidation type="textLength" errorStyle="information" allowBlank="1" showInputMessage="1" showErrorMessage="1" error="XLBVal:6=1266.22_x000d__x000a_" sqref="S80">
      <formula1>0</formula1>
      <formula2>300</formula2>
    </dataValidation>
    <dataValidation type="textLength" errorStyle="information" allowBlank="1" showInputMessage="1" showErrorMessage="1" error="XLBVal:6=21525.64_x000d__x000a_" sqref="S79">
      <formula1>0</formula1>
      <formula2>300</formula2>
    </dataValidation>
    <dataValidation type="textLength" errorStyle="information" allowBlank="1" showInputMessage="1" showErrorMessage="1" error="XLBVal:6=40518.89_x000d__x000a_" sqref="S78">
      <formula1>0</formula1>
      <formula2>300</formula2>
    </dataValidation>
    <dataValidation type="textLength" errorStyle="information" allowBlank="1" showInputMessage="1" showErrorMessage="1" error="XLBVal:6=473_x000d__x000a_" sqref="T50">
      <formula1>0</formula1>
      <formula2>300</formula2>
    </dataValidation>
    <dataValidation type="textLength" errorStyle="information" allowBlank="1" showInputMessage="1" showErrorMessage="1" error="XLBVal:8=Oct 2016_x000d__x000a_" sqref="D4">
      <formula1>0</formula1>
      <formula2>300</formula2>
    </dataValidation>
    <dataValidation type="textLength" errorStyle="information" allowBlank="1" showInputMessage="1" showErrorMessage="1" error="XLBVal:6=10_x000d__x000a_" sqref="U51">
      <formula1>0</formula1>
      <formula2>300</formula2>
    </dataValidation>
    <dataValidation type="textLength" errorStyle="information" allowBlank="1" showInputMessage="1" showErrorMessage="1" error="XLBVal:6=30279.76_x000d__x000a_" sqref="W94">
      <formula1>0</formula1>
      <formula2>300</formula2>
    </dataValidation>
    <dataValidation type="textLength" errorStyle="information" allowBlank="1" showInputMessage="1" showErrorMessage="1" error="XLBVal:6=26011.34_x000d__x000a_" sqref="V94">
      <formula1>0</formula1>
      <formula2>300</formula2>
    </dataValidation>
    <dataValidation type="textLength" errorStyle="information" allowBlank="1" showInputMessage="1" showErrorMessage="1" error="XLBVal:6=37057.52_x000d__x000a_" sqref="U94">
      <formula1>0</formula1>
      <formula2>300</formula2>
    </dataValidation>
    <dataValidation type="textLength" errorStyle="information" allowBlank="1" showInputMessage="1" showErrorMessage="1" error="XLBVal:6=37337.14_x000d__x000a_" sqref="T94">
      <formula1>0</formula1>
      <formula2>300</formula2>
    </dataValidation>
    <dataValidation type="textLength" errorStyle="information" allowBlank="1" showInputMessage="1" showErrorMessage="1" error="XLBVal:6=39020.8_x000d__x000a_" sqref="S94">
      <formula1>0</formula1>
      <formula2>300</formula2>
    </dataValidation>
    <dataValidation type="textLength" errorStyle="information" allowBlank="1" showInputMessage="1" showErrorMessage="1" error="XLBVal:6=44025.26_x000d__x000a_" sqref="R94">
      <formula1>0</formula1>
      <formula2>300</formula2>
    </dataValidation>
    <dataValidation type="textLength" errorStyle="information" allowBlank="1" showInputMessage="1" showErrorMessage="1" error="XLBVal:6=11428.87_x000d__x000a_" sqref="W93">
      <formula1>0</formula1>
      <formula2>300</formula2>
    </dataValidation>
    <dataValidation type="textLength" errorStyle="information" allowBlank="1" showInputMessage="1" showErrorMessage="1" error="XLBVal:6=11840.52_x000d__x000a_" sqref="V93">
      <formula1>0</formula1>
      <formula2>300</formula2>
    </dataValidation>
    <dataValidation type="textLength" errorStyle="information" allowBlank="1" showInputMessage="1" showErrorMessage="1" error="XLBVal:6=11186.47_x000d__x000a_" sqref="U93">
      <formula1>0</formula1>
      <formula2>300</formula2>
    </dataValidation>
    <dataValidation type="textLength" errorStyle="information" allowBlank="1" showInputMessage="1" showErrorMessage="1" error="XLBVal:6=9313.74_x000d__x000a_" sqref="T93">
      <formula1>0</formula1>
      <formula2>300</formula2>
    </dataValidation>
    <dataValidation type="textLength" errorStyle="information" allowBlank="1" showInputMessage="1" showErrorMessage="1" error="XLBVal:6=11363.84_x000d__x000a_" sqref="S93">
      <formula1>0</formula1>
      <formula2>300</formula2>
    </dataValidation>
    <dataValidation type="textLength" errorStyle="information" allowBlank="1" showInputMessage="1" showErrorMessage="1" error="XLBVal:6=8971.49_x000d__x000a_" sqref="R93">
      <formula1>0</formula1>
      <formula2>300</formula2>
    </dataValidation>
    <dataValidation type="textLength" errorStyle="information" allowBlank="1" showInputMessage="1" showErrorMessage="1" error="XLBVal:6=632.33_x000d__x000a_" sqref="W92">
      <formula1>0</formula1>
      <formula2>300</formula2>
    </dataValidation>
    <dataValidation type="textLength" errorStyle="information" allowBlank="1" showInputMessage="1" showErrorMessage="1" error="XLBVal:6=609.89_x000d__x000a_" sqref="V92">
      <formula1>0</formula1>
      <formula2>300</formula2>
    </dataValidation>
    <dataValidation type="textLength" errorStyle="information" allowBlank="1" showInputMessage="1" showErrorMessage="1" error="XLBVal:6=659.08_x000d__x000a_" sqref="U92">
      <formula1>0</formula1>
      <formula2>300</formula2>
    </dataValidation>
    <dataValidation type="textLength" errorStyle="information" allowBlank="1" showInputMessage="1" showErrorMessage="1" error="XLBVal:6=608.32_x000d__x000a_" sqref="S92">
      <formula1>0</formula1>
      <formula2>300</formula2>
    </dataValidation>
    <dataValidation type="textLength" errorStyle="information" allowBlank="1" showInputMessage="1" showErrorMessage="1" error="XLBVal:6=254_x000d__x000a_" sqref="S91">
      <formula1>0</formula1>
      <formula2>300</formula2>
    </dataValidation>
    <dataValidation type="textLength" errorStyle="information" allowBlank="1" showInputMessage="1" showErrorMessage="1" error="XLBVal:6=263.19_x000d__x000a_" sqref="R91">
      <formula1>0</formula1>
      <formula2>300</formula2>
    </dataValidation>
    <dataValidation type="textLength" errorStyle="information" allowBlank="1" showInputMessage="1" showErrorMessage="1" error="XLBVal:6=4564.64_x000d__x000a_" sqref="V84">
      <formula1>0</formula1>
      <formula2>300</formula2>
    </dataValidation>
    <dataValidation type="textLength" errorStyle="information" allowBlank="1" showInputMessage="1" showErrorMessage="1" error="XLBVal:6=8226.17_x000d__x000a_" sqref="U84">
      <formula1>0</formula1>
      <formula2>300</formula2>
    </dataValidation>
    <dataValidation type="textLength" errorStyle="information" allowBlank="1" showInputMessage="1" showErrorMessage="1" error="XLBVal:6=8302.45_x000d__x000a_" sqref="T84">
      <formula1>0</formula1>
      <formula2>300</formula2>
    </dataValidation>
    <dataValidation type="textLength" errorStyle="information" allowBlank="1" showInputMessage="1" showErrorMessage="1" error="XLBVal:6=5072.57_x000d__x000a_" sqref="S84">
      <formula1>0</formula1>
      <formula2>300</formula2>
    </dataValidation>
    <dataValidation type="textLength" errorStyle="information" allowBlank="1" showInputMessage="1" showErrorMessage="1" error="XLBVal:6=11637_x000d__x000a_" sqref="V83">
      <formula1>0</formula1>
      <formula2>300</formula2>
    </dataValidation>
    <dataValidation type="textLength" errorStyle="information" allowBlank="1" showInputMessage="1" showErrorMessage="1" error="XLBVal:6=12484_x000d__x000a_" sqref="U83">
      <formula1>0</formula1>
      <formula2>300</formula2>
    </dataValidation>
    <dataValidation type="textLength" errorStyle="information" allowBlank="1" showInputMessage="1" showErrorMessage="1" error="XLBVal:6=12413_x000d__x000a_" sqref="T83">
      <formula1>0</formula1>
      <formula2>300</formula2>
    </dataValidation>
    <dataValidation type="textLength" errorStyle="information" allowBlank="1" showInputMessage="1" showErrorMessage="1" error="XLBVal:6=12608_x000d__x000a_" sqref="S83">
      <formula1>0</formula1>
      <formula2>300</formula2>
    </dataValidation>
    <dataValidation type="textLength" errorStyle="information" allowBlank="1" showInputMessage="1" showErrorMessage="1" error="XLBVal:6=276.36_x000d__x000a_" sqref="W81">
      <formula1>0</formula1>
      <formula2>300</formula2>
    </dataValidation>
    <dataValidation type="textLength" errorStyle="information" allowBlank="1" showInputMessage="1" showErrorMessage="1" error="XLBVal:6=284.48_x000d__x000a_" sqref="V81">
      <formula1>0</formula1>
      <formula2>300</formula2>
    </dataValidation>
    <dataValidation type="textLength" errorStyle="information" allowBlank="1" showInputMessage="1" showErrorMessage="1" error="XLBVal:6=303.15_x000d__x000a_" sqref="U81">
      <formula1>0</formula1>
      <formula2>300</formula2>
    </dataValidation>
    <dataValidation type="textLength" errorStyle="information" allowBlank="1" showInputMessage="1" showErrorMessage="1" error="XLBVal:6=296.56_x000d__x000a_" sqref="T81">
      <formula1>0</formula1>
      <formula2>300</formula2>
    </dataValidation>
    <dataValidation type="textLength" errorStyle="information" allowBlank="1" showInputMessage="1" showErrorMessage="1" error="XLBVal:6=19573.08_x000d__x000a_" sqref="W79">
      <formula1>0</formula1>
      <formula2>300</formula2>
    </dataValidation>
    <dataValidation type="textLength" errorStyle="information" allowBlank="1" showInputMessage="1" showErrorMessage="1" error="XLBVal:6=20148.75_x000d__x000a_" sqref="V79">
      <formula1>0</formula1>
      <formula2>300</formula2>
    </dataValidation>
    <dataValidation type="textLength" errorStyle="information" allowBlank="1" showInputMessage="1" showErrorMessage="1" error="XLBVal:6=21470.56_x000d__x000a_" sqref="U79">
      <formula1>0</formula1>
      <formula2>300</formula2>
    </dataValidation>
    <dataValidation type="textLength" errorStyle="information" allowBlank="1" showInputMessage="1" showErrorMessage="1" error="XLBVal:6=21003.68_x000d__x000a_" sqref="T79">
      <formula1>0</formula1>
      <formula2>300</formula2>
    </dataValidation>
    <dataValidation type="textLength" errorStyle="information" allowBlank="1" showInputMessage="1" showErrorMessage="1" error="XLBVal:6=36843.49_x000d__x000a_" sqref="W78">
      <formula1>0</formula1>
      <formula2>300</formula2>
    </dataValidation>
    <dataValidation type="textLength" errorStyle="information" allowBlank="1" showInputMessage="1" showErrorMessage="1" error="XLBVal:6=37927.09_x000d__x000a_" sqref="V78">
      <formula1>0</formula1>
      <formula2>300</formula2>
    </dataValidation>
    <dataValidation type="textLength" errorStyle="information" allowBlank="1" showInputMessage="1" showErrorMessage="1" error="XLBVal:6=40415.21_x000d__x000a_" sqref="U78">
      <formula1>0</formula1>
      <formula2>300</formula2>
    </dataValidation>
    <dataValidation type="textLength" errorStyle="information" allowBlank="1" showInputMessage="1" showErrorMessage="1" error="XLBVal:6=1185.22_x000d__x000a_" sqref="V80">
      <formula1>0</formula1>
      <formula2>300</formula2>
    </dataValidation>
    <dataValidation type="textLength" errorStyle="information" allowBlank="1" showInputMessage="1" showErrorMessage="1" error="XLBVal:6=12023.61_x000d__x000a_" sqref="W75">
      <formula1>0</formula1>
      <formula2>300</formula2>
    </dataValidation>
    <dataValidation type="textLength" errorStyle="information" allowBlank="1" showInputMessage="1" showErrorMessage="1" error="XLBVal:6=18957.08_x000d__x000a_" sqref="V75">
      <formula1>0</formula1>
      <formula2>300</formula2>
    </dataValidation>
    <dataValidation type="textLength" errorStyle="information" allowBlank="1" showInputMessage="1" showErrorMessage="1" error="XLBVal:6=4942.35_x000d__x000a_" sqref="U75">
      <formula1>0</formula1>
      <formula2>300</formula2>
    </dataValidation>
    <dataValidation type="textLength" errorStyle="information" allowBlank="1" showInputMessage="1" showErrorMessage="1" error="XLBVal:6=31528.04_x000d__x000a_" sqref="T75">
      <formula1>0</formula1>
      <formula2>300</formula2>
    </dataValidation>
    <dataValidation type="textLength" errorStyle="information" allowBlank="1" showInputMessage="1" showErrorMessage="1" error="XLBVal:6=72517.56_x000d__x000a_" sqref="S75">
      <formula1>0</formula1>
      <formula2>300</formula2>
    </dataValidation>
    <dataValidation type="textLength" errorStyle="information" allowBlank="1" showInputMessage="1" showErrorMessage="1" error="XLBVal:6=46470.35_x000d__x000a_" sqref="R75">
      <formula1>0</formula1>
      <formula2>300</formula2>
    </dataValidation>
    <dataValidation type="textLength" errorStyle="information" allowBlank="1" showInputMessage="1" showErrorMessage="1" error="XLBVal:6=78974.86_x000d__x000a_" sqref="W65">
      <formula1>0</formula1>
      <formula2>300</formula2>
    </dataValidation>
    <dataValidation type="textLength" errorStyle="information" allowBlank="1" showInputMessage="1" showErrorMessage="1" error="XLBVal:6=78064.37_x000d__x000a_" sqref="V65">
      <formula1>0</formula1>
      <formula2>300</formula2>
    </dataValidation>
    <dataValidation type="textLength" errorStyle="information" allowBlank="1" showInputMessage="1" showErrorMessage="1" error="XLBVal:6=77623.47_x000d__x000a_" sqref="U65">
      <formula1>0</formula1>
      <formula2>300</formula2>
    </dataValidation>
    <dataValidation type="textLength" errorStyle="information" allowBlank="1" showInputMessage="1" showErrorMessage="1" error="XLBVal:6=77075.86_x000d__x000a_" sqref="T65">
      <formula1>0</formula1>
      <formula2>300</formula2>
    </dataValidation>
    <dataValidation type="textLength" errorStyle="information" allowBlank="1" showInputMessage="1" showErrorMessage="1" error="XLBVal:6=78603.81_x000d__x000a_" sqref="S65">
      <formula1>0</formula1>
      <formula2>300</formula2>
    </dataValidation>
    <dataValidation type="textLength" errorStyle="information" allowBlank="1" showInputMessage="1" showErrorMessage="1" error="XLBVal:6=68040.57_x000d__x000a_" sqref="W64">
      <formula1>0</formula1>
      <formula2>300</formula2>
    </dataValidation>
    <dataValidation type="textLength" errorStyle="information" allowBlank="1" showInputMessage="1" showErrorMessage="1" error="XLBVal:6=72500_x000d__x000a_" sqref="V64">
      <formula1>0</formula1>
      <formula2>300</formula2>
    </dataValidation>
    <dataValidation type="textLength" errorStyle="information" allowBlank="1" showInputMessage="1" showErrorMessage="1" error="XLBVal:6=76928.09_x000d__x000a_" sqref="U64">
      <formula1>0</formula1>
      <formula2>300</formula2>
    </dataValidation>
    <dataValidation type="textLength" errorStyle="information" allowBlank="1" showInputMessage="1" showErrorMessage="1" error="XLBVal:6=78000_x000d__x000a_" sqref="T64">
      <formula1>0</formula1>
      <formula2>300</formula2>
    </dataValidation>
    <dataValidation type="textLength" errorStyle="information" allowBlank="1" showInputMessage="1" showErrorMessage="1" error="XLBVal:6=77471.26_x000d__x000a_" sqref="S64">
      <formula1>0</formula1>
      <formula2>300</formula2>
    </dataValidation>
    <dataValidation type="textLength" errorStyle="information" allowBlank="1" showInputMessage="1" showErrorMessage="1" error="XLBVal:6=75234.2_x000d__x000a_" sqref="E64:P65 E101:P101 E78:P85 E88:P92 E71:P74">
      <formula1>0</formula1>
      <formula2>300</formula2>
    </dataValidation>
    <dataValidation type="textLength" errorStyle="information" allowBlank="1" showInputMessage="1" showErrorMessage="1" error="XLBVal:6=32_x000d__x000a_" sqref="R101:T101 W101">
      <formula1>0</formula1>
      <formula2>300</formula2>
    </dataValidation>
    <dataValidation type="textLength" errorStyle="information" allowBlank="1" showInputMessage="1" showErrorMessage="1" error="XLBVal:6=57_x000d__x000a_" sqref="W54 T54">
      <formula1>0</formula1>
      <formula2>300</formula2>
    </dataValidation>
    <dataValidation type="textLength" errorStyle="information" allowBlank="1" showInputMessage="1" showErrorMessage="1" error="XLBVal:6=29_x000d__x000a_" sqref="S53">
      <formula1>0</formula1>
      <formula2>300</formula2>
    </dataValidation>
    <dataValidation type="textLength" errorStyle="information" allowBlank="1" showInputMessage="1" showErrorMessage="1" error="XLBVal:6=61_x000d__x000a_" sqref="W53">
      <formula1>0</formula1>
      <formula2>300</formula2>
    </dataValidation>
    <dataValidation type="textLength" errorStyle="information" allowBlank="1" showInputMessage="1" showErrorMessage="1" error="XLBVal:6=17897_x000d__x000a_" sqref="W52">
      <formula1>0</formula1>
      <formula2>300</formula2>
    </dataValidation>
    <dataValidation type="textLength" errorStyle="information" allowBlank="1" showInputMessage="1" showErrorMessage="1" error="XLBVal:6=17477_x000d__x000a_" sqref="V52">
      <formula1>0</formula1>
      <formula2>300</formula2>
    </dataValidation>
    <dataValidation type="textLength" errorStyle="information" allowBlank="1" showInputMessage="1" showErrorMessage="1" error="XLBVal:6=18249_x000d__x000a_" sqref="U52">
      <formula1>0</formula1>
      <formula2>300</formula2>
    </dataValidation>
    <dataValidation type="textLength" errorStyle="information" allowBlank="1" showInputMessage="1" showErrorMessage="1" error="XLBVal:6=19772_x000d__x000a_" sqref="T52">
      <formula1>0</formula1>
      <formula2>300</formula2>
    </dataValidation>
    <dataValidation type="textLength" errorStyle="information" allowBlank="1" showInputMessage="1" showErrorMessage="1" error="XLBVal:6=18855_x000d__x000a_" sqref="S52">
      <formula1>0</formula1>
      <formula2>300</formula2>
    </dataValidation>
    <dataValidation type="textLength" errorStyle="information" allowBlank="1" showInputMessage="1" showErrorMessage="1" error="XLBVal:6=19715_x000d__x000a_" sqref="R52">
      <formula1>0</formula1>
      <formula2>300</formula2>
    </dataValidation>
    <dataValidation type="textLength" errorStyle="information" allowBlank="1" showInputMessage="1" showErrorMessage="1" error="XLBVal:6=8_x000d__x000a_" sqref="W51">
      <formula1>0</formula1>
      <formula2>300</formula2>
    </dataValidation>
    <dataValidation type="textLength" errorStyle="information" allowBlank="1" showInputMessage="1" showErrorMessage="1" error="XLBVal:6=11182_x000d__x000a_" sqref="W83">
      <formula1>0</formula1>
      <formula2>300</formula2>
    </dataValidation>
    <dataValidation type="textLength" errorStyle="information" allowBlank="1" showInputMessage="1" showErrorMessage="1" error="XLBVal:6=6_x000d__x000a_" sqref="T51">
      <formula1>0</formula1>
      <formula2>300</formula2>
    </dataValidation>
    <dataValidation type="textLength" errorStyle="information" allowBlank="1" showInputMessage="1" showErrorMessage="1" error="XLBVal:6=12_x000d__x000a_" sqref="R51">
      <formula1>0</formula1>
      <formula2>300</formula2>
    </dataValidation>
    <dataValidation type="textLength" errorStyle="information" allowBlank="1" showInputMessage="1" showErrorMessage="1" error="XLBVal:6=1433_x000d__x000a_" sqref="W50">
      <formula1>0</formula1>
      <formula2>300</formula2>
    </dataValidation>
    <dataValidation type="textLength" errorStyle="information" allowBlank="1" showInputMessage="1" showErrorMessage="1" error="XLBVal:6=1729_x000d__x000a_" sqref="V50">
      <formula1>0</formula1>
      <formula2>300</formula2>
    </dataValidation>
    <dataValidation type="textLength" errorStyle="information" allowBlank="1" showInputMessage="1" showErrorMessage="1" error="XLBVal:6=871_x000d__x000a_" sqref="U50">
      <formula1>0</formula1>
      <formula2>300</formula2>
    </dataValidation>
    <dataValidation type="textLength" errorStyle="information" allowBlank="1" showInputMessage="1" showErrorMessage="1" error="XLBVal:6=370_x000d__x000a_" sqref="S50">
      <formula1>0</formula1>
      <formula2>300</formula2>
    </dataValidation>
    <dataValidation type="textLength" errorStyle="information" allowBlank="1" showInputMessage="1" showErrorMessage="1" error="XLBVal:6=450_x000d__x000a_" sqref="R50">
      <formula1>0</formula1>
      <formula2>300</formula2>
    </dataValidation>
    <dataValidation type="textLength" errorStyle="information" allowBlank="1" showInputMessage="1" showErrorMessage="1" error="XLBVal:6=19604_x000d__x000a_" sqref="S48">
      <formula1>0</formula1>
      <formula2>300</formula2>
    </dataValidation>
    <dataValidation type="textLength" errorStyle="information" allowBlank="1" showInputMessage="1" showErrorMessage="1" error="XLBVal:6=571.98_x000d__x000a_" sqref="W39">
      <formula1>0</formula1>
      <formula2>300</formula2>
    </dataValidation>
    <dataValidation type="textLength" errorStyle="information" allowBlank="1" showInputMessage="1" showErrorMessage="1" error="XLBVal:6=191.48_x000d__x000a_" sqref="V39">
      <formula1>0</formula1>
      <formula2>300</formula2>
    </dataValidation>
    <dataValidation type="textLength" errorStyle="information" allowBlank="1" showInputMessage="1" showErrorMessage="1" error="XLBVal:6=538.82_x000d__x000a_" sqref="U39">
      <formula1>0</formula1>
      <formula2>300</formula2>
    </dataValidation>
    <dataValidation type="textLength" errorStyle="information" allowBlank="1" showInputMessage="1" showErrorMessage="1" error="XLBVal:6=547.2_x000d__x000a_" sqref="T39">
      <formula1>0</formula1>
      <formula2>300</formula2>
    </dataValidation>
    <dataValidation type="textLength" errorStyle="information" allowBlank="1" showInputMessage="1" showErrorMessage="1" error="XLBVal:6=750.92_x000d__x000a_" sqref="S39">
      <formula1>0</formula1>
      <formula2>300</formula2>
    </dataValidation>
    <dataValidation type="textLength" errorStyle="information" allowBlank="1" showInputMessage="1" showErrorMessage="1" error="XLBVal:6=917.18_x000d__x000a_" sqref="R39">
      <formula1>0</formula1>
      <formula2>300</formula2>
    </dataValidation>
    <dataValidation type="textLength" errorStyle="information" allowBlank="1" showInputMessage="1" showErrorMessage="1" error="XLBVal:6=-563.01_x000d__x000a_" sqref="W37">
      <formula1>0</formula1>
      <formula2>300</formula2>
    </dataValidation>
    <dataValidation type="textLength" errorStyle="information" allowBlank="1" showInputMessage="1" showErrorMessage="1" error="XLBVal:6=-2153.78_x000d__x000a_" sqref="U37">
      <formula1>0</formula1>
      <formula2>300</formula2>
    </dataValidation>
    <dataValidation type="textLength" errorStyle="information" allowBlank="1" showInputMessage="1" showErrorMessage="1" error="XLBVal:6=1135.85_x000d__x000a_" sqref="T37">
      <formula1>0</formula1>
      <formula2>300</formula2>
    </dataValidation>
    <dataValidation type="textLength" errorStyle="information" allowBlank="1" showInputMessage="1" showErrorMessage="1" error="XLBVal:6=2500_x000d__x000a_" sqref="S37 V37">
      <formula1>0</formula1>
      <formula2>300</formula2>
    </dataValidation>
    <dataValidation type="textLength" errorStyle="information" allowBlank="1" showInputMessage="1" showErrorMessage="1" error="XLBVal:6=11915.88_x000d__x000a_" sqref="W36">
      <formula1>0</formula1>
      <formula2>300</formula2>
    </dataValidation>
    <dataValidation type="textLength" errorStyle="information" allowBlank="1" showInputMessage="1" showErrorMessage="1" error="XLBVal:6=12367.59_x000d__x000a_" sqref="V36">
      <formula1>0</formula1>
      <formula2>300</formula2>
    </dataValidation>
    <dataValidation type="textLength" errorStyle="information" allowBlank="1" showInputMessage="1" showErrorMessage="1" error="XLBVal:6=15389.38_x000d__x000a_" sqref="U36">
      <formula1>0</formula1>
      <formula2>300</formula2>
    </dataValidation>
    <dataValidation type="textLength" errorStyle="information" allowBlank="1" showInputMessage="1" showErrorMessage="1" error="XLBVal:6=29148.83_x000d__x000a_" sqref="T36">
      <formula1>0</formula1>
      <formula2>300</formula2>
    </dataValidation>
    <dataValidation type="textLength" errorStyle="information" allowBlank="1" showInputMessage="1" showErrorMessage="1" error="XLBVal:6=30035.69_x000d__x000a_" sqref="R36">
      <formula1>0</formula1>
      <formula2>300</formula2>
    </dataValidation>
    <dataValidation type="textLength" errorStyle="information" allowBlank="1" showInputMessage="1" showErrorMessage="1" error="XLBVal:6=-109.2_x000d__x000a_" sqref="W34">
      <formula1>0</formula1>
      <formula2>300</formula2>
    </dataValidation>
    <dataValidation type="textLength" errorStyle="information" allowBlank="1" showInputMessage="1" showErrorMessage="1" error="XLBVal:6=-38.4_x000d__x000a_" sqref="U34">
      <formula1>0</formula1>
      <formula2>300</formula2>
    </dataValidation>
    <dataValidation type="textLength" errorStyle="information" allowBlank="1" showInputMessage="1" showErrorMessage="1" error="XLBVal:6=2392_x000d__x000a_" sqref="R34:T34">
      <formula1>0</formula1>
      <formula2>300</formula2>
    </dataValidation>
    <dataValidation type="textLength" errorStyle="information" allowBlank="1" showInputMessage="1" showErrorMessage="1" error="XLBVal:6=8770.12_x000d__x000a_" sqref="W33 S33">
      <formula1>0</formula1>
      <formula2>300</formula2>
    </dataValidation>
    <dataValidation type="textLength" errorStyle="information" allowBlank="1" showInputMessage="1" showErrorMessage="1" error="XLBVal:6=6883.33_x000d__x000a_" sqref="V33">
      <formula1>0</formula1>
      <formula2>300</formula2>
    </dataValidation>
    <dataValidation type="textLength" errorStyle="information" allowBlank="1" showInputMessage="1" showErrorMessage="1" error="XLBVal:6=12975.12_x000d__x000a_" sqref="T33">
      <formula1>0</formula1>
      <formula2>300</formula2>
    </dataValidation>
    <dataValidation type="textLength" errorStyle="information" allowBlank="1" showInputMessage="1" showErrorMessage="1" error="XLBVal:6=8178.39_x000d__x000a_" sqref="U33">
      <formula1>0</formula1>
      <formula2>300</formula2>
    </dataValidation>
    <dataValidation type="textLength" errorStyle="information" allowBlank="1" showInputMessage="1" showErrorMessage="1" error="XLBVal:6=150395.85_x000d__x000a_" sqref="W26">
      <formula1>0</formula1>
      <formula2>300</formula2>
    </dataValidation>
    <dataValidation type="textLength" errorStyle="information" allowBlank="1" showInputMessage="1" showErrorMessage="1" error="XLBVal:6=183435.9_x000d__x000a_" sqref="V26">
      <formula1>0</formula1>
      <formula2>300</formula2>
    </dataValidation>
    <dataValidation type="textLength" errorStyle="information" allowBlank="1" showInputMessage="1" showErrorMessage="1" error="XLBVal:6=147781.48_x000d__x000a_" sqref="U26">
      <formula1>0</formula1>
      <formula2>300</formula2>
    </dataValidation>
    <dataValidation type="textLength" errorStyle="information" allowBlank="1" showInputMessage="1" showErrorMessage="1" error="XLBVal:6=179522.97_x000d__x000a_" sqref="T26">
      <formula1>0</formula1>
      <formula2>300</formula2>
    </dataValidation>
    <dataValidation type="textLength" errorStyle="information" allowBlank="1" showInputMessage="1" showErrorMessage="1" error="XLBVal:6=392578.84_x000d__x000a_" sqref="S26">
      <formula1>0</formula1>
      <formula2>300</formula2>
    </dataValidation>
    <dataValidation type="textLength" errorStyle="information" allowBlank="1" showInputMessage="1" showErrorMessage="1" error="XLBVal:6=101612.4_x000d__x000a_" sqref="W22">
      <formula1>0</formula1>
      <formula2>300</formula2>
    </dataValidation>
    <dataValidation type="textLength" errorStyle="information" allowBlank="1" showInputMessage="1" showErrorMessage="1" error="XLBVal:6=123764.79_x000d__x000a_" sqref="V22">
      <formula1>0</formula1>
      <formula2>300</formula2>
    </dataValidation>
    <dataValidation type="textLength" errorStyle="information" allowBlank="1" showInputMessage="1" showErrorMessage="1" error="XLBVal:6=159428.58_x000d__x000a_" sqref="U22">
      <formula1>0</formula1>
      <formula2>300</formula2>
    </dataValidation>
    <dataValidation type="textLength" errorStyle="information" allowBlank="1" showInputMessage="1" showErrorMessage="1" error="XLBVal:6=206091.53_x000d__x000a_" sqref="T22">
      <formula1>0</formula1>
      <formula2>300</formula2>
    </dataValidation>
    <dataValidation type="textLength" errorStyle="information" allowBlank="1" showInputMessage="1" showErrorMessage="1" error="XLBVal:6=2012.89_x000d__x000a_" sqref="E40:P43 E23:P38">
      <formula1>0</formula1>
      <formula2>300</formula2>
    </dataValidation>
    <dataValidation type="textLength" errorStyle="information" allowBlank="1" showInputMessage="1" showErrorMessage="1" error="XLBVal:6=264_x000d__x000a_" sqref="W91 U91">
      <formula1>0</formula1>
      <formula2>300</formula2>
    </dataValidation>
    <dataValidation type="textLength" errorStyle="information" allowBlank="1" showInputMessage="1" showErrorMessage="1" error="XLBVal:6=20280_x000d__x000a_" sqref="U48 W48">
      <formula1>0</formula1>
      <formula2>300</formula2>
    </dataValidation>
    <dataValidation type="textLength" errorStyle="information" allowBlank="1" showInputMessage="1" showErrorMessage="1" error="XLBVal:6=272_x000d__x000a_" sqref="T91 V91">
      <formula1>0</formula1>
      <formula2>300</formula2>
    </dataValidation>
    <dataValidation type="textLength" errorStyle="information" allowBlank="1" showInputMessage="1" showErrorMessage="1" error="XLBVal:6=2198801.83_x000d__x000a_" sqref="E95:J96 R95:W96">
      <formula1>0</formula1>
      <formula2>300</formula2>
    </dataValidation>
    <dataValidation type="textLength" errorStyle="information" allowBlank="1" showInputMessage="1" showErrorMessage="1" error="XLBVal:6=20956_x000d__x000a_" sqref="T48 V48 R48 X48:AC54">
      <formula1>0</formula1>
      <formula2>300</formula2>
    </dataValidation>
    <dataValidation type="textLength" errorStyle="information" allowBlank="1" showInputMessage="1" showErrorMessage="1" error="XLBVal:2=0_x000d__x000a_" sqref="D21 Q32 D32 Q35:Q37 R9:AC11 E49:P49 R27:W28 R13:AC14 E66:J68 E9:J11 E13:J14 E20:J21 R66:W68 R85:W85 R30:W32 R82:W82 R20:AC21 R88:W90 R49:W49 T71 R74:W74 Q23:W24 D36:D37 R42:W42 R25 W35 R35:U35 V34:V35">
      <formula1>0</formula1>
      <formula2>300</formula2>
    </dataValidation>
    <dataValidation type="textLength" errorStyle="information" allowBlank="1" showInputMessage="1" showErrorMessage="1" error="XLBVal:6=-8082962_x000d__x000a_" sqref="Q40">
      <formula1>0</formula1>
      <formula2>300</formula2>
    </dataValidation>
    <dataValidation type="textLength" errorStyle="information" allowBlank="1" showInputMessage="1" showErrorMessage="1" error="XLBVal:6=17592_x000d__x000a_" sqref="Q39">
      <formula1>0</formula1>
      <formula2>300</formula2>
    </dataValidation>
    <dataValidation type="textLength" errorStyle="information" allowBlank="1" showInputMessage="1" showErrorMessage="1" error="XLBVal:6=56560_x000d__x000a_" sqref="Q38">
      <formula1>0</formula1>
      <formula2>300</formula2>
    </dataValidation>
    <dataValidation type="textLength" errorStyle="information" allowBlank="1" showInputMessage="1" showErrorMessage="1" error="XLBVal:6=-1006046.71_x000d__x000a_" sqref="D40">
      <formula1>0</formula1>
      <formula2>300</formula2>
    </dataValidation>
    <dataValidation type="textLength" errorStyle="information" allowBlank="1" showInputMessage="1" showErrorMessage="1" error="XLBVal:6=2429.09_x000d__x000a_" sqref="D39">
      <formula1>0</formula1>
      <formula2>300</formula2>
    </dataValidation>
    <dataValidation type="textLength" errorStyle="information" allowBlank="1" showInputMessage="1" showErrorMessage="1" error="XLBVal:6=-29556.62_x000d__x000a_" sqref="D38">
      <formula1>0</formula1>
      <formula2>300</formula2>
    </dataValidation>
    <dataValidation type="textLength" errorStyle="information" allowBlank="1" showInputMessage="1" showErrorMessage="1" error="XLBVal:6=23680_x000d__x000a_" sqref="Q31">
      <formula1>0</formula1>
      <formula2>300</formula2>
    </dataValidation>
    <dataValidation type="textLength" errorStyle="information" allowBlank="1" showInputMessage="1" showErrorMessage="1" error="XLBVal:6=59208_x000d__x000a_" sqref="Q30">
      <formula1>0</formula1>
      <formula2>300</formula2>
    </dataValidation>
    <dataValidation type="textLength" errorStyle="information" allowBlank="1" showInputMessage="1" showErrorMessage="1" error="XLBVal:6=6424_x000d__x000a_" sqref="Q27 Q29">
      <formula1>0</formula1>
      <formula2>300</formula2>
    </dataValidation>
    <dataValidation type="textLength" errorStyle="information" allowBlank="1" showInputMessage="1" showErrorMessage="1" error="XLBVal:6=5168_x000d__x000a_" sqref="Q28">
      <formula1>0</formula1>
      <formula2>300</formula2>
    </dataValidation>
    <dataValidation type="textLength" errorStyle="information" allowBlank="1" showInputMessage="1" showErrorMessage="1" error="XLBVal:6=103048_x000d__x000a_" sqref="Q26">
      <formula1>0</formula1>
      <formula2>300</formula2>
    </dataValidation>
    <dataValidation type="textLength" errorStyle="information" allowBlank="1" showInputMessage="1" showErrorMessage="1" error="XLBVal:6=234832_x000d__x000a_" sqref="Q25">
      <formula1>0</formula1>
      <formula2>300</formula2>
    </dataValidation>
    <dataValidation type="textLength" errorStyle="information" allowBlank="1" showInputMessage="1" showErrorMessage="1" error="XLBVal:6=3240.19_x000d__x000a_" sqref="D31">
      <formula1>0</formula1>
      <formula2>300</formula2>
    </dataValidation>
    <dataValidation type="textLength" errorStyle="information" allowBlank="1" showInputMessage="1" showErrorMessage="1" error="XLBVal:6=8774_x000d__x000a_" sqref="D30">
      <formula1>0</formula1>
      <formula2>300</formula2>
    </dataValidation>
    <dataValidation type="textLength" errorStyle="information" allowBlank="1" showInputMessage="1" showErrorMessage="1" error="XLBVal:6=964.51_x000d__x000a_" sqref="D29 D27">
      <formula1>0</formula1>
      <formula2>300</formula2>
    </dataValidation>
    <dataValidation type="textLength" errorStyle="information" allowBlank="1" showInputMessage="1" showErrorMessage="1" error="XLBVal:6=33.13_x000d__x000a_" sqref="D28">
      <formula1>0</formula1>
      <formula2>300</formula2>
    </dataValidation>
    <dataValidation type="textLength" errorStyle="information" allowBlank="1" showInputMessage="1" showErrorMessage="1" error="XLBVal:6=15431.21_x000d__x000a_" sqref="D26">
      <formula1>0</formula1>
      <formula2>300</formula2>
    </dataValidation>
    <dataValidation type="textLength" errorStyle="information" allowBlank="1" showInputMessage="1" showErrorMessage="1" error="XLBVal:6=36649.11_x000d__x000a_" sqref="D25">
      <formula1>0</formula1>
      <formula2>300</formula2>
    </dataValidation>
    <dataValidation type="textLength" errorStyle="information" allowBlank="1" showInputMessage="1" showErrorMessage="1" error="XLBVal:6=221984_x000d__x000a_" sqref="Q22">
      <formula1>0</formula1>
      <formula2>300</formula2>
    </dataValidation>
    <dataValidation type="textLength" errorStyle="information" allowBlank="1" showInputMessage="1" showErrorMessage="1" error="XLBVal:6=96963_x000d__x000a_" sqref="Q21">
      <formula1>0</formula1>
      <formula2>300</formula2>
    </dataValidation>
    <dataValidation type="textLength" errorStyle="information" allowBlank="1" showInputMessage="1" showErrorMessage="1" error="XLBVal:6=7135.64_x000d__x000a_" sqref="D24">
      <formula1>0</formula1>
      <formula2>300</formula2>
    </dataValidation>
    <dataValidation type="textLength" errorStyle="information" allowBlank="1" showInputMessage="1" showErrorMessage="1" error="XLBVal:6=132795_x000d__x000a_" sqref="D23">
      <formula1>0</formula1>
      <formula2>300</formula2>
    </dataValidation>
    <dataValidation type="textLength" errorStyle="information" allowBlank="1" showInputMessage="1" showErrorMessage="1" error="XLBVal:6=27748_x000d__x000a_" sqref="D22">
      <formula1>0</formula1>
      <formula2>300</formula2>
    </dataValidation>
    <dataValidation type="textLength" errorStyle="information" allowBlank="1" showInputMessage="1" showErrorMessage="1" error="XLBVal:6=1183968_x000d__x000a_" sqref="Q18">
      <formula1>0</formula1>
      <formula2>300</formula2>
    </dataValidation>
    <dataValidation type="textLength" errorStyle="information" allowBlank="1" showInputMessage="1" showErrorMessage="1" error="XLBVal:6=1046342.1_x000d__x000a_" sqref="O18">
      <formula1>0</formula1>
      <formula2>300</formula2>
    </dataValidation>
    <dataValidation type="textLength" errorStyle="information" allowBlank="1" showInputMessage="1" showErrorMessage="1" error="XLBVal:6=52996.83_x000d__x000a_" sqref="D18">
      <formula1>0</formula1>
      <formula2>300</formula2>
    </dataValidation>
    <dataValidation type="textLength" errorStyle="information" allowBlank="1" showInputMessage="1" showErrorMessage="1" error="XLBVal:6=260430337_x000d__x000a_" sqref="Q14">
      <formula1>0</formula1>
      <formula2>300</formula2>
    </dataValidation>
    <dataValidation type="textLength" errorStyle="information" allowBlank="1" showInputMessage="1" showErrorMessage="1" error="XLBVal:6=266264227.77_x000d__x000a_" sqref="O14">
      <formula1>0</formula1>
      <formula2>300</formula2>
    </dataValidation>
    <dataValidation type="textLength" errorStyle="information" allowBlank="1" showInputMessage="1" showErrorMessage="1" error="XLBVal:6=31830625.91_x000d__x000a_" sqref="D14">
      <formula1>0</formula1>
      <formula2>300</formula2>
    </dataValidation>
  </dataValidations>
  <printOptions horizontalCentered="1"/>
  <pageMargins left="0.11811023622047245" right="0.11811023622047245" top="0.59055118110236227" bottom="0.39370078740157483" header="0.31496062992125984" footer="0.31496062992125984"/>
  <pageSetup paperSize="9" scale="4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AL130"/>
  <sheetViews>
    <sheetView view="pageBreakPreview" zoomScaleNormal="100" zoomScaleSheetLayoutView="100" workbookViewId="0">
      <pane xSplit="5" ySplit="7" topLeftCell="O8" activePane="bottomRight" state="frozen"/>
      <selection activeCell="AP43" sqref="AP43"/>
      <selection pane="topRight" activeCell="AP43" sqref="AP43"/>
      <selection pane="bottomLeft" activeCell="AP43" sqref="AP43"/>
      <selection pane="bottomRight" activeCell="AJ24" sqref="AJ24"/>
    </sheetView>
  </sheetViews>
  <sheetFormatPr defaultColWidth="9" defaultRowHeight="14.25" outlineLevelCol="2"/>
  <cols>
    <col min="1" max="1" width="10.375" style="105" hidden="1" customWidth="1" outlineLevel="1"/>
    <col min="2" max="3" width="9" style="105" hidden="1" customWidth="1" outlineLevel="1"/>
    <col min="4" max="4" width="45.125" style="105" customWidth="1" collapsed="1"/>
    <col min="5" max="16" width="19.5" style="116" customWidth="1"/>
    <col min="17" max="17" width="20.75" style="117" bestFit="1" customWidth="1"/>
    <col min="18" max="24" width="20.75" style="116" hidden="1" customWidth="1" outlineLevel="1"/>
    <col min="25" max="29" width="18.25" style="116" hidden="1" customWidth="1" outlineLevel="2"/>
    <col min="30" max="30" width="18.25" style="117" customWidth="1" collapsed="1"/>
    <col min="31" max="31" width="19.5" style="116" bestFit="1" customWidth="1"/>
    <col min="32" max="32" width="9.5" style="116" customWidth="1"/>
    <col min="33" max="33" width="19.75" style="109" hidden="1" customWidth="1"/>
    <col min="34" max="34" width="18.75" style="123" hidden="1" customWidth="1"/>
    <col min="35" max="35" width="8.5" style="105" bestFit="1" customWidth="1"/>
    <col min="36" max="36" width="18.125" style="105" bestFit="1" customWidth="1"/>
    <col min="37" max="37" width="19.5" style="105" bestFit="1" customWidth="1"/>
    <col min="38" max="38" width="17.25" style="105" bestFit="1" customWidth="1"/>
    <col min="39" max="16384" width="9" style="105"/>
  </cols>
  <sheetData>
    <row r="1" spans="1:34" s="100" customFormat="1">
      <c r="A1" s="100" t="s">
        <v>314</v>
      </c>
      <c r="D1" s="100" t="s">
        <v>146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02"/>
      <c r="AE1" s="101"/>
      <c r="AF1" s="101"/>
      <c r="AG1" s="103"/>
      <c r="AH1" s="104"/>
    </row>
    <row r="2" spans="1:34" s="100" customFormat="1">
      <c r="D2" s="100" t="s">
        <v>147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02"/>
      <c r="AE2" s="101"/>
      <c r="AF2" s="101"/>
      <c r="AG2" s="103"/>
      <c r="AH2" s="104"/>
    </row>
    <row r="3" spans="1:34">
      <c r="D3" s="106" t="s">
        <v>315</v>
      </c>
      <c r="E3" s="2" t="s">
        <v>316</v>
      </c>
      <c r="F3" s="2" t="s">
        <v>0</v>
      </c>
      <c r="G3" s="2" t="s">
        <v>317</v>
      </c>
      <c r="H3" s="2" t="s">
        <v>318</v>
      </c>
      <c r="I3" s="2" t="s">
        <v>316</v>
      </c>
      <c r="J3" s="2" t="s">
        <v>317</v>
      </c>
      <c r="K3" s="2" t="s">
        <v>319</v>
      </c>
      <c r="L3" s="2" t="s">
        <v>151</v>
      </c>
      <c r="M3" s="2" t="s">
        <v>319</v>
      </c>
      <c r="N3" s="2" t="s">
        <v>319</v>
      </c>
      <c r="O3" s="2" t="s">
        <v>320</v>
      </c>
      <c r="P3" s="2" t="s">
        <v>319</v>
      </c>
      <c r="Q3" s="107"/>
      <c r="R3" s="108" t="s">
        <v>318</v>
      </c>
      <c r="S3" s="108" t="s">
        <v>317</v>
      </c>
      <c r="T3" s="108" t="s">
        <v>0</v>
      </c>
      <c r="U3" s="108" t="s">
        <v>316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321</v>
      </c>
      <c r="AA3" s="108" t="s">
        <v>0</v>
      </c>
      <c r="AB3" s="108" t="s">
        <v>0</v>
      </c>
      <c r="AC3" s="108" t="s">
        <v>0</v>
      </c>
      <c r="AD3" s="107"/>
      <c r="AE3" s="2"/>
      <c r="AF3" s="2"/>
      <c r="AH3" s="110"/>
    </row>
    <row r="4" spans="1:34" s="100" customFormat="1" ht="18">
      <c r="D4" s="18">
        <f>+'2025 Summay'!$D$7</f>
        <v>2025</v>
      </c>
      <c r="E4" s="155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2"/>
      <c r="AE4" s="101"/>
      <c r="AF4" s="101"/>
      <c r="AG4" s="103"/>
      <c r="AH4" s="104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2"/>
      <c r="AE5" s="101"/>
      <c r="AF5" s="101"/>
      <c r="AG5" s="103"/>
      <c r="AH5" s="104"/>
    </row>
    <row r="6" spans="1:34" s="100" customFormat="1">
      <c r="D6" s="100" t="s">
        <v>154</v>
      </c>
      <c r="E6" s="112">
        <f>'Rooms+Summary'!E6</f>
        <v>1</v>
      </c>
      <c r="F6" s="112">
        <f>'Rooms+Summary'!F6</f>
        <v>2</v>
      </c>
      <c r="G6" s="112">
        <f>'Rooms+Summary'!G6</f>
        <v>3</v>
      </c>
      <c r="H6" s="112">
        <f>'Rooms+Summary'!H6</f>
        <v>4</v>
      </c>
      <c r="I6" s="112">
        <f>'Rooms+Summary'!I6</f>
        <v>5</v>
      </c>
      <c r="J6" s="112">
        <f>'Rooms+Summary'!J6</f>
        <v>6</v>
      </c>
      <c r="K6" s="112">
        <f>'Rooms+Summary'!K6</f>
        <v>7</v>
      </c>
      <c r="L6" s="112">
        <f>'Rooms+Summary'!L6</f>
        <v>8</v>
      </c>
      <c r="M6" s="112">
        <f>'Rooms+Summary'!M6</f>
        <v>9</v>
      </c>
      <c r="N6" s="112">
        <f>'Rooms+Summary'!N6</f>
        <v>10</v>
      </c>
      <c r="O6" s="112">
        <f>'Rooms+Summary'!O6</f>
        <v>11</v>
      </c>
      <c r="P6" s="112">
        <f>'Rooms+Summary'!P6</f>
        <v>12</v>
      </c>
      <c r="Q6" s="156">
        <f>'Rooms+Summary'!Q6</f>
        <v>2025</v>
      </c>
      <c r="R6" s="114">
        <f>'Rooms+Summary'!R6</f>
        <v>202401</v>
      </c>
      <c r="S6" s="114">
        <f>'Rooms+Summary'!S6</f>
        <v>202402</v>
      </c>
      <c r="T6" s="114">
        <f>'Rooms+Summary'!T6</f>
        <v>202403</v>
      </c>
      <c r="U6" s="114">
        <f>'Rooms+Summary'!U6</f>
        <v>202404</v>
      </c>
      <c r="V6" s="114">
        <f>'Rooms+Summary'!V6</f>
        <v>202405</v>
      </c>
      <c r="W6" s="114">
        <f>'Rooms+Summary'!W6</f>
        <v>202406</v>
      </c>
      <c r="X6" s="114">
        <f>'Rooms+Summary'!X6</f>
        <v>202407</v>
      </c>
      <c r="Y6" s="114">
        <f>'Rooms+Summary'!Y6</f>
        <v>202408</v>
      </c>
      <c r="Z6" s="114">
        <f>'Rooms+Summary'!Z6</f>
        <v>202409</v>
      </c>
      <c r="AA6" s="114">
        <f>'Rooms+Summary'!AA6</f>
        <v>202410</v>
      </c>
      <c r="AB6" s="114">
        <f>'Rooms+Summary'!AB6</f>
        <v>202411</v>
      </c>
      <c r="AC6" s="114">
        <f>'Rooms+Summary'!AC6</f>
        <v>202412</v>
      </c>
      <c r="AD6" s="115">
        <f>'Rooms+Summary'!AD6</f>
        <v>2024</v>
      </c>
      <c r="AE6" s="114"/>
      <c r="AF6" s="114"/>
      <c r="AG6" s="172">
        <v>2019</v>
      </c>
      <c r="AH6" s="104"/>
    </row>
    <row r="7" spans="1:34">
      <c r="D7" s="105" t="s">
        <v>154</v>
      </c>
      <c r="E7" s="116" t="str">
        <f>'Rooms+Summary'!E7</f>
        <v>Budget</v>
      </c>
      <c r="F7" s="116" t="str">
        <f>'Rooms+Summary'!F7</f>
        <v>Budget</v>
      </c>
      <c r="G7" s="116" t="str">
        <f>'Rooms+Summary'!G7</f>
        <v>Budget</v>
      </c>
      <c r="H7" s="116" t="str">
        <f>'Rooms+Summary'!H7</f>
        <v>Budget</v>
      </c>
      <c r="I7" s="116" t="str">
        <f>'Rooms+Summary'!I7</f>
        <v>Budget</v>
      </c>
      <c r="J7" s="116" t="str">
        <f>'Rooms+Summary'!J7</f>
        <v>Budget</v>
      </c>
      <c r="K7" s="116" t="str">
        <f>'Rooms+Summary'!K7</f>
        <v>Budget</v>
      </c>
      <c r="L7" s="116" t="str">
        <f>'Rooms+Summary'!L7</f>
        <v>Budget</v>
      </c>
      <c r="M7" s="116" t="str">
        <f>'Rooms+Summary'!M7</f>
        <v>Budget</v>
      </c>
      <c r="N7" s="116" t="str">
        <f>'Rooms+Summary'!N7</f>
        <v>Budget</v>
      </c>
      <c r="O7" s="116" t="str">
        <f>'Rooms+Summary'!O7</f>
        <v>Budget</v>
      </c>
      <c r="P7" s="116" t="str">
        <f>'Rooms+Summary'!P7</f>
        <v>Budget</v>
      </c>
      <c r="Q7" s="117" t="str">
        <f>'Rooms+Summary'!Q7</f>
        <v>Budget</v>
      </c>
      <c r="R7" s="118" t="str">
        <f>'Rooms+Summary'!R7</f>
        <v>Actual</v>
      </c>
      <c r="S7" s="118" t="str">
        <f>'Rooms+Summary'!S7</f>
        <v>Actual</v>
      </c>
      <c r="T7" s="118" t="str">
        <f>'Rooms+Summary'!T7</f>
        <v>Actual</v>
      </c>
      <c r="U7" s="118" t="str">
        <f>'Rooms+Summary'!U7</f>
        <v>Actual</v>
      </c>
      <c r="V7" s="118" t="str">
        <f>'Rooms+Summary'!V7</f>
        <v>Actual</v>
      </c>
      <c r="W7" s="118" t="str">
        <f>'Rooms+Summary'!W7</f>
        <v>Actual</v>
      </c>
      <c r="X7" s="118" t="str">
        <f>'Rooms+Summary'!X7</f>
        <v>Actual</v>
      </c>
      <c r="Y7" s="118" t="str">
        <f>'Rooms+Summary'!Y7</f>
        <v>Actual</v>
      </c>
      <c r="Z7" s="118" t="str">
        <f>'Rooms+Summary'!Z7</f>
        <v>Forecast</v>
      </c>
      <c r="AA7" s="118" t="str">
        <f>'Rooms+Summary'!AA7</f>
        <v>Forecast</v>
      </c>
      <c r="AB7" s="118" t="str">
        <f>'Rooms+Summary'!AB7</f>
        <v>Forecast</v>
      </c>
      <c r="AC7" s="118" t="str">
        <f>'Rooms+Summary'!AC7</f>
        <v>Forecast</v>
      </c>
      <c r="AD7" s="119" t="str">
        <f>'Rooms+Summary'!AD7</f>
        <v>Forecast</v>
      </c>
      <c r="AE7" s="118" t="s">
        <v>322</v>
      </c>
      <c r="AF7" s="120" t="s">
        <v>156</v>
      </c>
      <c r="AG7" s="129" t="s">
        <v>12</v>
      </c>
    </row>
    <row r="8" spans="1:34">
      <c r="D8" s="105" t="s">
        <v>158</v>
      </c>
      <c r="AG8" s="129"/>
    </row>
    <row r="9" spans="1:34">
      <c r="A9" s="105" t="s">
        <v>159</v>
      </c>
      <c r="B9" s="105" t="s">
        <v>254</v>
      </c>
      <c r="C9" s="105" t="s">
        <v>323</v>
      </c>
      <c r="D9" s="105" t="s">
        <v>162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117">
        <f>SUM(E9:P9)</f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72">
        <v>0</v>
      </c>
      <c r="AD9" s="127">
        <f>SUM(R9:AC9)</f>
        <v>0</v>
      </c>
      <c r="AE9" s="72">
        <f>Q9-AD9</f>
        <v>0</v>
      </c>
      <c r="AF9" s="128" t="e">
        <f>AE9/AD9</f>
        <v>#DIV/0!</v>
      </c>
      <c r="AG9" s="129">
        <v>0</v>
      </c>
      <c r="AH9" s="123">
        <f t="shared" ref="AH9:AH16" si="0">Q9-AG9</f>
        <v>0</v>
      </c>
    </row>
    <row r="10" spans="1:34">
      <c r="A10" s="105" t="s">
        <v>159</v>
      </c>
      <c r="B10" s="105" t="s">
        <v>254</v>
      </c>
      <c r="C10" s="105" t="s">
        <v>299</v>
      </c>
      <c r="D10" s="105" t="s">
        <v>164</v>
      </c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117">
        <f>SUM(E10:P10)</f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72">
        <v>0</v>
      </c>
      <c r="AD10" s="127">
        <f t="shared" ref="AD10:AD17" si="1">SUM(R10:AC10)</f>
        <v>0</v>
      </c>
      <c r="AE10" s="72">
        <f t="shared" ref="AE10:AE15" si="2">Q10-AD10</f>
        <v>0</v>
      </c>
      <c r="AF10" s="128" t="e">
        <f t="shared" ref="AF10:AF15" si="3">AE10/AD10</f>
        <v>#DIV/0!</v>
      </c>
      <c r="AG10" s="129">
        <v>0</v>
      </c>
      <c r="AH10" s="123">
        <f t="shared" si="0"/>
        <v>0</v>
      </c>
    </row>
    <row r="11" spans="1:34">
      <c r="A11" s="105" t="s">
        <v>300</v>
      </c>
      <c r="D11" s="105" t="s">
        <v>166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117">
        <f>SUM(E11:P11)</f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72">
        <v>0</v>
      </c>
      <c r="AD11" s="127">
        <f t="shared" si="1"/>
        <v>0</v>
      </c>
      <c r="AE11" s="72">
        <f t="shared" si="2"/>
        <v>0</v>
      </c>
      <c r="AF11" s="128"/>
      <c r="AG11" s="129">
        <v>0</v>
      </c>
      <c r="AH11" s="123">
        <f t="shared" si="0"/>
        <v>0</v>
      </c>
    </row>
    <row r="12" spans="1:34">
      <c r="A12" s="105" t="s">
        <v>300</v>
      </c>
      <c r="D12" s="105" t="s">
        <v>168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17">
        <f>SUM(Q9:Q11)</f>
        <v>0</v>
      </c>
      <c r="R12" s="127">
        <f t="shared" ref="R12:AC12" si="4">SUM(R9:R11)</f>
        <v>0</v>
      </c>
      <c r="S12" s="127">
        <f t="shared" si="4"/>
        <v>0</v>
      </c>
      <c r="T12" s="127">
        <f t="shared" si="4"/>
        <v>0</v>
      </c>
      <c r="U12" s="127">
        <f t="shared" si="4"/>
        <v>0</v>
      </c>
      <c r="V12" s="127">
        <f t="shared" si="4"/>
        <v>0</v>
      </c>
      <c r="W12" s="127">
        <f t="shared" si="4"/>
        <v>0</v>
      </c>
      <c r="X12" s="127">
        <f t="shared" si="4"/>
        <v>0</v>
      </c>
      <c r="Y12" s="127">
        <f t="shared" si="4"/>
        <v>0</v>
      </c>
      <c r="Z12" s="127">
        <f t="shared" si="4"/>
        <v>0</v>
      </c>
      <c r="AA12" s="127">
        <f t="shared" si="4"/>
        <v>0</v>
      </c>
      <c r="AB12" s="127">
        <f t="shared" si="4"/>
        <v>0</v>
      </c>
      <c r="AC12" s="127">
        <f t="shared" si="4"/>
        <v>0</v>
      </c>
      <c r="AD12" s="127">
        <f t="shared" si="1"/>
        <v>0</v>
      </c>
      <c r="AE12" s="72">
        <f t="shared" si="2"/>
        <v>0</v>
      </c>
      <c r="AF12" s="128" t="e">
        <f t="shared" si="3"/>
        <v>#DIV/0!</v>
      </c>
      <c r="AG12" s="129">
        <v>0</v>
      </c>
      <c r="AH12" s="123">
        <f t="shared" si="0"/>
        <v>0</v>
      </c>
    </row>
    <row r="13" spans="1:34">
      <c r="A13" s="105" t="s">
        <v>169</v>
      </c>
      <c r="B13" s="105" t="s">
        <v>254</v>
      </c>
      <c r="D13" s="105" t="s">
        <v>170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117">
        <f>SUM(E13:P13)</f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72">
        <v>0</v>
      </c>
      <c r="AD13" s="127">
        <f t="shared" si="1"/>
        <v>0</v>
      </c>
      <c r="AE13" s="72">
        <f t="shared" si="2"/>
        <v>0</v>
      </c>
      <c r="AF13" s="128" t="e">
        <f t="shared" si="3"/>
        <v>#DIV/0!</v>
      </c>
      <c r="AG13" s="129">
        <v>0</v>
      </c>
      <c r="AH13" s="123">
        <f t="shared" si="0"/>
        <v>0</v>
      </c>
    </row>
    <row r="14" spans="1:34">
      <c r="A14" s="105" t="s">
        <v>300</v>
      </c>
      <c r="D14" s="105" t="s">
        <v>171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117">
        <f>SUM(E14:P14)</f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  <c r="Z14" s="72">
        <v>0</v>
      </c>
      <c r="AA14" s="72">
        <v>0</v>
      </c>
      <c r="AB14" s="72">
        <v>0</v>
      </c>
      <c r="AC14" s="72">
        <v>0</v>
      </c>
      <c r="AD14" s="127">
        <f t="shared" si="1"/>
        <v>0</v>
      </c>
      <c r="AE14" s="72">
        <f t="shared" si="2"/>
        <v>0</v>
      </c>
      <c r="AF14" s="128"/>
      <c r="AG14" s="129">
        <v>0</v>
      </c>
      <c r="AH14" s="123">
        <f t="shared" si="0"/>
        <v>0</v>
      </c>
    </row>
    <row r="15" spans="1:34">
      <c r="D15" s="105" t="s">
        <v>172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17">
        <f>SUM(Q12:Q14)</f>
        <v>0</v>
      </c>
      <c r="R15" s="127">
        <f t="shared" ref="R15:AC15" si="5">SUM(R12:R14)</f>
        <v>0</v>
      </c>
      <c r="S15" s="127">
        <f t="shared" si="5"/>
        <v>0</v>
      </c>
      <c r="T15" s="127">
        <f t="shared" si="5"/>
        <v>0</v>
      </c>
      <c r="U15" s="127">
        <f t="shared" si="5"/>
        <v>0</v>
      </c>
      <c r="V15" s="127">
        <f t="shared" si="5"/>
        <v>0</v>
      </c>
      <c r="W15" s="127">
        <f t="shared" si="5"/>
        <v>0</v>
      </c>
      <c r="X15" s="127">
        <f t="shared" si="5"/>
        <v>0</v>
      </c>
      <c r="Y15" s="127">
        <f t="shared" si="5"/>
        <v>0</v>
      </c>
      <c r="Z15" s="127">
        <f t="shared" si="5"/>
        <v>0</v>
      </c>
      <c r="AA15" s="127">
        <f t="shared" si="5"/>
        <v>0</v>
      </c>
      <c r="AB15" s="127">
        <f t="shared" si="5"/>
        <v>0</v>
      </c>
      <c r="AC15" s="127">
        <f t="shared" si="5"/>
        <v>0</v>
      </c>
      <c r="AD15" s="127">
        <f t="shared" si="1"/>
        <v>0</v>
      </c>
      <c r="AE15" s="72">
        <f t="shared" si="2"/>
        <v>0</v>
      </c>
      <c r="AF15" s="128" t="e">
        <f t="shared" si="3"/>
        <v>#DIV/0!</v>
      </c>
      <c r="AG15" s="129">
        <v>0</v>
      </c>
      <c r="AH15" s="123">
        <f t="shared" si="0"/>
        <v>0</v>
      </c>
    </row>
    <row r="16" spans="1:34">
      <c r="D16" s="105" t="s">
        <v>154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127">
        <f t="shared" si="1"/>
        <v>0</v>
      </c>
      <c r="AE16" s="72"/>
      <c r="AF16" s="128"/>
      <c r="AG16" s="129">
        <v>0</v>
      </c>
      <c r="AH16" s="123">
        <f t="shared" si="0"/>
        <v>0</v>
      </c>
    </row>
    <row r="17" spans="1:38" s="109" customFormat="1">
      <c r="A17" s="109" t="s">
        <v>173</v>
      </c>
      <c r="B17" s="109" t="s">
        <v>254</v>
      </c>
      <c r="D17" s="109" t="s">
        <v>175</v>
      </c>
      <c r="E17" s="127">
        <f t="shared" ref="E17:AC17" si="6">E98</f>
        <v>371368.44</v>
      </c>
      <c r="F17" s="127">
        <f t="shared" si="6"/>
        <v>320954.76</v>
      </c>
      <c r="G17" s="127">
        <f t="shared" si="6"/>
        <v>326904.01</v>
      </c>
      <c r="H17" s="127">
        <f t="shared" si="6"/>
        <v>353571.13</v>
      </c>
      <c r="I17" s="127">
        <f t="shared" si="6"/>
        <v>369101.85</v>
      </c>
      <c r="J17" s="127">
        <f t="shared" si="6"/>
        <v>348387.79000000004</v>
      </c>
      <c r="K17" s="127">
        <f t="shared" si="6"/>
        <v>350427.08</v>
      </c>
      <c r="L17" s="127">
        <f t="shared" si="6"/>
        <v>349589.51</v>
      </c>
      <c r="M17" s="127">
        <f t="shared" si="6"/>
        <v>349853.51</v>
      </c>
      <c r="N17" s="127">
        <f t="shared" si="6"/>
        <v>400691.96</v>
      </c>
      <c r="O17" s="127">
        <f t="shared" si="6"/>
        <v>349980.96</v>
      </c>
      <c r="P17" s="127">
        <f t="shared" si="6"/>
        <v>348880.39</v>
      </c>
      <c r="Q17" s="117">
        <f t="shared" si="6"/>
        <v>4239711.3900000006</v>
      </c>
      <c r="R17" s="127">
        <f t="shared" si="6"/>
        <v>385194.91000000003</v>
      </c>
      <c r="S17" s="127">
        <f t="shared" si="6"/>
        <v>413465.06</v>
      </c>
      <c r="T17" s="127">
        <f t="shared" si="6"/>
        <v>371931.95</v>
      </c>
      <c r="U17" s="127">
        <f t="shared" si="6"/>
        <v>354684.91</v>
      </c>
      <c r="V17" s="127">
        <f t="shared" si="6"/>
        <v>471504</v>
      </c>
      <c r="W17" s="127">
        <f t="shared" si="6"/>
        <v>311874.66000000003</v>
      </c>
      <c r="X17" s="127">
        <f t="shared" si="6"/>
        <v>294951.31</v>
      </c>
      <c r="Y17" s="127">
        <f t="shared" si="6"/>
        <v>307144.15000000002</v>
      </c>
      <c r="Z17" s="127">
        <f t="shared" si="6"/>
        <v>616359.28</v>
      </c>
      <c r="AA17" s="127">
        <f t="shared" si="6"/>
        <v>694469.78</v>
      </c>
      <c r="AB17" s="127">
        <f t="shared" si="6"/>
        <v>627882.17999999993</v>
      </c>
      <c r="AC17" s="127">
        <f t="shared" si="6"/>
        <v>626759.27</v>
      </c>
      <c r="AD17" s="127">
        <f t="shared" si="1"/>
        <v>5476221.459999999</v>
      </c>
      <c r="AE17" s="127">
        <f t="shared" ref="AE17" si="7">Q17-AD17</f>
        <v>-1236510.0699999984</v>
      </c>
      <c r="AF17" s="132">
        <f t="shared" ref="AF17" si="8">AE17/AD17</f>
        <v>-0.22579621350813645</v>
      </c>
      <c r="AG17" s="129">
        <v>8676149.0099999998</v>
      </c>
      <c r="AH17" s="133">
        <f>AG17-Q17</f>
        <v>4436437.6199999992</v>
      </c>
      <c r="AI17" s="124"/>
      <c r="AJ17" s="124"/>
      <c r="AK17" s="129"/>
    </row>
    <row r="18" spans="1:38">
      <c r="D18" s="105" t="s">
        <v>154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>
        <v>37.22932614201909</v>
      </c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127"/>
      <c r="AE18" s="72"/>
      <c r="AF18" s="128"/>
      <c r="AG18" s="129"/>
      <c r="AK18" s="129"/>
    </row>
    <row r="19" spans="1:38">
      <c r="D19" s="105" t="s">
        <v>176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R19" s="72"/>
      <c r="S19" s="72"/>
      <c r="T19" s="72"/>
      <c r="U19" s="72"/>
      <c r="V19" s="72"/>
      <c r="W19" s="148"/>
      <c r="X19" s="148"/>
      <c r="Y19" s="148"/>
      <c r="Z19" s="148"/>
      <c r="AA19" s="148"/>
      <c r="AB19" s="148"/>
      <c r="AC19" s="148"/>
      <c r="AD19" s="173"/>
      <c r="AE19" s="72"/>
      <c r="AF19" s="128"/>
      <c r="AG19" s="129"/>
      <c r="AK19" s="129"/>
    </row>
    <row r="20" spans="1:38">
      <c r="A20" s="105" t="s">
        <v>177</v>
      </c>
      <c r="B20" s="105" t="s">
        <v>254</v>
      </c>
      <c r="D20" s="105" t="s">
        <v>302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117">
        <f>SUM(E20:P20)</f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127">
        <f t="shared" ref="AD20:AD43" si="9">SUM(R20:AC20)</f>
        <v>0</v>
      </c>
      <c r="AE20" s="72">
        <f t="shared" ref="AE20:AE45" si="10">Q20-AD20</f>
        <v>0</v>
      </c>
      <c r="AF20" s="128" t="e">
        <f t="shared" ref="AF20:AF45" si="11">AE20/AD20</f>
        <v>#DIV/0!</v>
      </c>
      <c r="AG20" s="129">
        <v>0</v>
      </c>
      <c r="AH20" s="133">
        <f t="shared" ref="AH20:AH44" si="12">AG20-Q20</f>
        <v>0</v>
      </c>
      <c r="AK20" s="129"/>
    </row>
    <row r="21" spans="1:38">
      <c r="A21" s="105" t="s">
        <v>179</v>
      </c>
      <c r="B21" s="105" t="s">
        <v>254</v>
      </c>
      <c r="D21" s="105" t="s">
        <v>143</v>
      </c>
      <c r="E21" s="111">
        <f>ROUND(E55*45,0)</f>
        <v>853920</v>
      </c>
      <c r="F21" s="111">
        <f>ROUND(F55*39,0)</f>
        <v>668889</v>
      </c>
      <c r="G21" s="111">
        <f>ROUND(G55*39,0)</f>
        <v>699231</v>
      </c>
      <c r="H21" s="111">
        <f t="shared" ref="H21:O21" si="13">ROUND(H55*39,0)</f>
        <v>667719</v>
      </c>
      <c r="I21" s="111">
        <f t="shared" si="13"/>
        <v>691041</v>
      </c>
      <c r="J21" s="111">
        <f t="shared" si="13"/>
        <v>662337</v>
      </c>
      <c r="K21" s="111">
        <f t="shared" si="13"/>
        <v>740064</v>
      </c>
      <c r="L21" s="111">
        <f t="shared" si="13"/>
        <v>740064</v>
      </c>
      <c r="M21" s="111">
        <f t="shared" si="13"/>
        <v>653094</v>
      </c>
      <c r="N21" s="111">
        <f t="shared" si="13"/>
        <v>682851</v>
      </c>
      <c r="O21" s="111">
        <f t="shared" si="13"/>
        <v>660972</v>
      </c>
      <c r="P21" s="111">
        <f>ROUND(P55*39,0)-8</f>
        <v>723715</v>
      </c>
      <c r="Q21" s="117">
        <f t="shared" ref="Q21:Q43" si="14">SUM(E21:P21)</f>
        <v>8443897</v>
      </c>
      <c r="R21" s="72">
        <v>758692.87</v>
      </c>
      <c r="S21" s="72">
        <v>835794.58</v>
      </c>
      <c r="T21" s="72">
        <v>760190.19</v>
      </c>
      <c r="U21" s="72">
        <v>794134.29</v>
      </c>
      <c r="V21" s="72">
        <v>754914.49</v>
      </c>
      <c r="W21" s="72">
        <v>754840.44</v>
      </c>
      <c r="X21" s="72">
        <v>793814.79</v>
      </c>
      <c r="Y21" s="72">
        <v>785569.6</v>
      </c>
      <c r="Z21" s="72">
        <v>540372.39</v>
      </c>
      <c r="AA21" s="72">
        <v>560012.39</v>
      </c>
      <c r="AB21" s="72">
        <v>564692.39</v>
      </c>
      <c r="AC21" s="72">
        <v>601932.39</v>
      </c>
      <c r="AD21" s="127">
        <f t="shared" si="9"/>
        <v>8504960.8099999987</v>
      </c>
      <c r="AE21" s="72">
        <f t="shared" si="10"/>
        <v>-61063.809999998659</v>
      </c>
      <c r="AF21" s="128">
        <f t="shared" si="11"/>
        <v>-7.1797873457806879E-3</v>
      </c>
      <c r="AG21" s="129">
        <v>5318127.25</v>
      </c>
      <c r="AH21" s="133">
        <f t="shared" si="12"/>
        <v>-3125769.75</v>
      </c>
      <c r="AI21" s="124"/>
      <c r="AJ21" s="124"/>
      <c r="AK21" s="129"/>
      <c r="AL21" s="124"/>
    </row>
    <row r="22" spans="1:38">
      <c r="A22" s="105" t="s">
        <v>180</v>
      </c>
      <c r="B22" s="105" t="s">
        <v>254</v>
      </c>
      <c r="D22" s="105" t="s">
        <v>144</v>
      </c>
      <c r="E22" s="174">
        <f t="shared" ref="E22:P22" si="15">+E107+E108+E109</f>
        <v>179843.40000000002</v>
      </c>
      <c r="F22" s="174">
        <f t="shared" si="15"/>
        <v>153271.77000000002</v>
      </c>
      <c r="G22" s="174">
        <f t="shared" si="15"/>
        <v>155058.43</v>
      </c>
      <c r="H22" s="174">
        <f t="shared" si="15"/>
        <v>165167.51999999999</v>
      </c>
      <c r="I22" s="174">
        <f t="shared" si="15"/>
        <v>174623.29</v>
      </c>
      <c r="J22" s="174">
        <f t="shared" si="15"/>
        <v>159022.13</v>
      </c>
      <c r="K22" s="174">
        <f t="shared" si="15"/>
        <v>160595.96</v>
      </c>
      <c r="L22" s="174">
        <f t="shared" si="15"/>
        <v>159352.09</v>
      </c>
      <c r="M22" s="174">
        <f t="shared" si="15"/>
        <v>159560.70000000001</v>
      </c>
      <c r="N22" s="174">
        <f t="shared" si="15"/>
        <v>190247.67999999999</v>
      </c>
      <c r="O22" s="174">
        <f t="shared" si="15"/>
        <v>160393.66999999998</v>
      </c>
      <c r="P22" s="174">
        <f t="shared" si="15"/>
        <v>158923.54</v>
      </c>
      <c r="Q22" s="117">
        <f t="shared" si="14"/>
        <v>1976060.18</v>
      </c>
      <c r="R22" s="72">
        <v>212412.4</v>
      </c>
      <c r="S22" s="72">
        <v>252728.14</v>
      </c>
      <c r="T22" s="72">
        <v>204435.12</v>
      </c>
      <c r="U22" s="72">
        <v>164599.65</v>
      </c>
      <c r="V22" s="72">
        <v>156983.29</v>
      </c>
      <c r="W22" s="72">
        <v>170097.98</v>
      </c>
      <c r="X22" s="72">
        <v>178862.04</v>
      </c>
      <c r="Y22" s="72">
        <v>187252.05</v>
      </c>
      <c r="Z22" s="72">
        <v>63443</v>
      </c>
      <c r="AA22" s="72">
        <v>39512.5</v>
      </c>
      <c r="AB22" s="72">
        <v>33359.100000000006</v>
      </c>
      <c r="AC22" s="72">
        <v>42315.01</v>
      </c>
      <c r="AD22" s="127">
        <f t="shared" si="9"/>
        <v>1706000.2800000003</v>
      </c>
      <c r="AE22" s="72">
        <f t="shared" si="10"/>
        <v>270059.89999999967</v>
      </c>
      <c r="AF22" s="128">
        <f t="shared" si="11"/>
        <v>0.15830003263539888</v>
      </c>
      <c r="AG22" s="129">
        <v>99832.050000000017</v>
      </c>
      <c r="AH22" s="133">
        <f t="shared" si="12"/>
        <v>-1876228.13</v>
      </c>
      <c r="AI22" s="124"/>
      <c r="AJ22" s="124"/>
      <c r="AK22" s="129"/>
      <c r="AL22" s="124"/>
    </row>
    <row r="23" spans="1:38">
      <c r="A23" s="105" t="s">
        <v>181</v>
      </c>
      <c r="B23" s="105" t="s">
        <v>254</v>
      </c>
      <c r="D23" s="105" t="s">
        <v>182</v>
      </c>
      <c r="E23" s="111">
        <v>85000</v>
      </c>
      <c r="F23" s="111">
        <v>0</v>
      </c>
      <c r="G23" s="111">
        <v>0</v>
      </c>
      <c r="H23" s="111">
        <v>0</v>
      </c>
      <c r="I23" s="111">
        <v>0</v>
      </c>
      <c r="J23" s="111">
        <v>0</v>
      </c>
      <c r="K23" s="111">
        <v>0</v>
      </c>
      <c r="L23" s="111">
        <v>0</v>
      </c>
      <c r="M23" s="111">
        <v>0</v>
      </c>
      <c r="N23" s="111">
        <v>0</v>
      </c>
      <c r="O23" s="111">
        <v>0</v>
      </c>
      <c r="P23" s="111">
        <v>20000</v>
      </c>
      <c r="Q23" s="117">
        <f t="shared" si="14"/>
        <v>105000</v>
      </c>
      <c r="R23" s="72">
        <v>42862.61</v>
      </c>
      <c r="S23" s="72">
        <v>84205.42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100000</v>
      </c>
      <c r="AD23" s="127">
        <f t="shared" si="9"/>
        <v>227068.03</v>
      </c>
      <c r="AE23" s="72">
        <f t="shared" si="10"/>
        <v>-122068.03</v>
      </c>
      <c r="AF23" s="128">
        <f t="shared" si="11"/>
        <v>-0.53758351627043222</v>
      </c>
      <c r="AG23" s="129">
        <v>476526.92</v>
      </c>
      <c r="AH23" s="133">
        <f t="shared" si="12"/>
        <v>371526.92</v>
      </c>
      <c r="AJ23" s="124"/>
      <c r="AK23" s="129"/>
      <c r="AL23" s="124"/>
    </row>
    <row r="24" spans="1:38">
      <c r="A24" s="105" t="s">
        <v>183</v>
      </c>
      <c r="B24" s="105" t="s">
        <v>254</v>
      </c>
      <c r="D24" s="105" t="s">
        <v>184</v>
      </c>
      <c r="E24" s="111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11">
        <v>0</v>
      </c>
      <c r="P24" s="111">
        <v>0</v>
      </c>
      <c r="Q24" s="117">
        <f t="shared" si="14"/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11.27</v>
      </c>
      <c r="Z24" s="72">
        <v>0</v>
      </c>
      <c r="AA24" s="72">
        <v>0</v>
      </c>
      <c r="AB24" s="72">
        <v>0</v>
      </c>
      <c r="AC24" s="72">
        <v>0</v>
      </c>
      <c r="AD24" s="127">
        <f t="shared" si="9"/>
        <v>11.27</v>
      </c>
      <c r="AE24" s="72">
        <f t="shared" si="10"/>
        <v>-11.27</v>
      </c>
      <c r="AF24" s="128">
        <f t="shared" si="11"/>
        <v>-1</v>
      </c>
      <c r="AG24" s="129">
        <v>948.92</v>
      </c>
      <c r="AH24" s="133">
        <f t="shared" si="12"/>
        <v>948.92</v>
      </c>
      <c r="AJ24" s="124"/>
      <c r="AK24" s="129"/>
      <c r="AL24" s="124"/>
    </row>
    <row r="25" spans="1:38">
      <c r="A25" s="105" t="s">
        <v>185</v>
      </c>
      <c r="B25" s="105" t="s">
        <v>254</v>
      </c>
      <c r="D25" s="105" t="s">
        <v>186</v>
      </c>
      <c r="E25" s="111">
        <v>1200</v>
      </c>
      <c r="F25" s="111">
        <v>1200</v>
      </c>
      <c r="G25" s="111">
        <v>1200</v>
      </c>
      <c r="H25" s="111">
        <v>1200</v>
      </c>
      <c r="I25" s="111">
        <v>1200</v>
      </c>
      <c r="J25" s="111">
        <v>1200</v>
      </c>
      <c r="K25" s="111">
        <v>1200</v>
      </c>
      <c r="L25" s="111">
        <v>1200</v>
      </c>
      <c r="M25" s="111">
        <v>1200</v>
      </c>
      <c r="N25" s="111">
        <v>1200</v>
      </c>
      <c r="O25" s="111">
        <v>1200</v>
      </c>
      <c r="P25" s="111">
        <v>1200</v>
      </c>
      <c r="Q25" s="117">
        <f t="shared" si="14"/>
        <v>14400</v>
      </c>
      <c r="R25" s="72">
        <v>0</v>
      </c>
      <c r="S25" s="72">
        <v>2334.2199999999998</v>
      </c>
      <c r="T25" s="72">
        <v>1167.1099999999999</v>
      </c>
      <c r="U25" s="72">
        <v>1167.1099999999999</v>
      </c>
      <c r="V25" s="72">
        <v>1167.1099999999999</v>
      </c>
      <c r="W25" s="72">
        <v>1167.1099999999999</v>
      </c>
      <c r="X25" s="72">
        <v>1167.1099999999999</v>
      </c>
      <c r="Y25" s="72">
        <v>1167.1099999999999</v>
      </c>
      <c r="Z25" s="72">
        <v>1500</v>
      </c>
      <c r="AA25" s="72">
        <v>1500</v>
      </c>
      <c r="AB25" s="72">
        <v>1500</v>
      </c>
      <c r="AC25" s="72">
        <v>1500</v>
      </c>
      <c r="AD25" s="127">
        <f t="shared" si="9"/>
        <v>15336.88</v>
      </c>
      <c r="AE25" s="72">
        <f t="shared" si="10"/>
        <v>-936.8799999999992</v>
      </c>
      <c r="AF25" s="128">
        <f t="shared" si="11"/>
        <v>-6.1086739936675467E-2</v>
      </c>
      <c r="AG25" s="129">
        <v>22690.91</v>
      </c>
      <c r="AH25" s="133">
        <f t="shared" si="12"/>
        <v>8290.91</v>
      </c>
      <c r="AJ25" s="124"/>
      <c r="AK25" s="129"/>
      <c r="AL25" s="124"/>
    </row>
    <row r="26" spans="1:38">
      <c r="A26" s="105" t="s">
        <v>187</v>
      </c>
      <c r="B26" s="105" t="s">
        <v>254</v>
      </c>
      <c r="D26" s="105" t="s">
        <v>188</v>
      </c>
      <c r="E26" s="111">
        <f>ROUND(E55*45,0)</f>
        <v>853920</v>
      </c>
      <c r="F26" s="111">
        <f>ROUND(F55*43,0)</f>
        <v>737493</v>
      </c>
      <c r="G26" s="111">
        <f>ROUND(G55*33,0)</f>
        <v>591657</v>
      </c>
      <c r="H26" s="111">
        <f>ROUND(H55*33,0)</f>
        <v>564993</v>
      </c>
      <c r="I26" s="111">
        <f t="shared" ref="I26:J26" si="16">ROUND(I55*33,0)</f>
        <v>584727</v>
      </c>
      <c r="J26" s="111">
        <f t="shared" si="16"/>
        <v>560439</v>
      </c>
      <c r="K26" s="111">
        <f>ROUND(K55*36,0)</f>
        <v>683136</v>
      </c>
      <c r="L26" s="111">
        <f>ROUND(L55*36,0)</f>
        <v>683136</v>
      </c>
      <c r="M26" s="111">
        <f>ROUND(M55*33,0)</f>
        <v>552618</v>
      </c>
      <c r="N26" s="111">
        <f>ROUND(N55*35,0)</f>
        <v>612815</v>
      </c>
      <c r="O26" s="111">
        <f>ROUND(O55*33,0)</f>
        <v>559284</v>
      </c>
      <c r="P26" s="111">
        <f>ROUND(P55*35,0)</f>
        <v>649495</v>
      </c>
      <c r="Q26" s="117">
        <f t="shared" si="14"/>
        <v>7633713</v>
      </c>
      <c r="R26" s="72">
        <v>1036735.71</v>
      </c>
      <c r="S26" s="72">
        <v>1178844.44</v>
      </c>
      <c r="T26" s="72">
        <v>961807.51</v>
      </c>
      <c r="U26" s="72">
        <v>834167.11</v>
      </c>
      <c r="V26" s="72">
        <v>896568.96</v>
      </c>
      <c r="W26" s="72">
        <v>580238</v>
      </c>
      <c r="X26" s="72">
        <v>701306.13</v>
      </c>
      <c r="Y26" s="72">
        <v>801207.21</v>
      </c>
      <c r="Z26" s="72">
        <v>675844</v>
      </c>
      <c r="AA26" s="72">
        <v>763875</v>
      </c>
      <c r="AB26" s="72">
        <v>769140</v>
      </c>
      <c r="AC26" s="72">
        <v>811035</v>
      </c>
      <c r="AD26" s="127">
        <f t="shared" si="9"/>
        <v>10010769.07</v>
      </c>
      <c r="AE26" s="72">
        <f t="shared" si="10"/>
        <v>-2377056.0700000003</v>
      </c>
      <c r="AF26" s="128">
        <f t="shared" si="11"/>
        <v>-0.23744989554533799</v>
      </c>
      <c r="AG26" s="129">
        <v>5521542.2199999997</v>
      </c>
      <c r="AH26" s="133">
        <f t="shared" si="12"/>
        <v>-2112170.7800000003</v>
      </c>
      <c r="AI26" s="124"/>
      <c r="AJ26" s="124"/>
      <c r="AK26" s="129"/>
      <c r="AL26" s="124"/>
    </row>
    <row r="27" spans="1:38">
      <c r="A27" s="105" t="s">
        <v>189</v>
      </c>
      <c r="B27" s="105" t="s">
        <v>254</v>
      </c>
      <c r="D27" s="105" t="s">
        <v>190</v>
      </c>
      <c r="E27" s="111">
        <v>44998</v>
      </c>
      <c r="F27" s="111">
        <v>44998</v>
      </c>
      <c r="G27" s="111">
        <v>44998</v>
      </c>
      <c r="H27" s="111">
        <v>44998</v>
      </c>
      <c r="I27" s="111">
        <v>44998</v>
      </c>
      <c r="J27" s="111">
        <v>44998</v>
      </c>
      <c r="K27" s="111">
        <v>44998</v>
      </c>
      <c r="L27" s="111">
        <v>44998</v>
      </c>
      <c r="M27" s="111">
        <v>44998</v>
      </c>
      <c r="N27" s="111">
        <v>44998</v>
      </c>
      <c r="O27" s="111">
        <v>44998</v>
      </c>
      <c r="P27" s="111">
        <v>44998</v>
      </c>
      <c r="Q27" s="117">
        <f t="shared" si="14"/>
        <v>539976</v>
      </c>
      <c r="R27" s="136">
        <v>43288.87</v>
      </c>
      <c r="S27" s="136">
        <v>43288.87</v>
      </c>
      <c r="T27" s="136">
        <v>43288.87</v>
      </c>
      <c r="U27" s="136">
        <v>14040</v>
      </c>
      <c r="V27" s="136">
        <v>14040</v>
      </c>
      <c r="W27" s="136">
        <v>14039.99</v>
      </c>
      <c r="X27" s="72">
        <v>14040</v>
      </c>
      <c r="Y27" s="72">
        <v>14040</v>
      </c>
      <c r="Z27" s="72">
        <v>14040</v>
      </c>
      <c r="AA27" s="72">
        <v>14040</v>
      </c>
      <c r="AB27" s="72">
        <v>14040</v>
      </c>
      <c r="AC27" s="72">
        <v>14040</v>
      </c>
      <c r="AD27" s="127">
        <f t="shared" si="9"/>
        <v>256226.6</v>
      </c>
      <c r="AE27" s="72">
        <f t="shared" si="10"/>
        <v>283749.40000000002</v>
      </c>
      <c r="AF27" s="128">
        <f t="shared" si="11"/>
        <v>1.1074158576822235</v>
      </c>
      <c r="AG27" s="129">
        <v>692424.2799999998</v>
      </c>
      <c r="AH27" s="133">
        <f t="shared" si="12"/>
        <v>152448.2799999998</v>
      </c>
      <c r="AI27" s="106"/>
      <c r="AJ27" s="124"/>
      <c r="AK27" s="129"/>
      <c r="AL27" s="124"/>
    </row>
    <row r="28" spans="1:38">
      <c r="A28" s="105" t="s">
        <v>307</v>
      </c>
      <c r="D28" s="105" t="s">
        <v>192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35">
        <f t="shared" si="14"/>
        <v>0</v>
      </c>
      <c r="R28" s="136">
        <v>0</v>
      </c>
      <c r="S28" s="136">
        <v>0</v>
      </c>
      <c r="T28" s="136">
        <v>0</v>
      </c>
      <c r="U28" s="136">
        <v>0</v>
      </c>
      <c r="V28" s="136">
        <v>0</v>
      </c>
      <c r="W28" s="136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127">
        <f t="shared" si="9"/>
        <v>0</v>
      </c>
      <c r="AE28" s="72">
        <f t="shared" si="10"/>
        <v>0</v>
      </c>
      <c r="AF28" s="128" t="e">
        <f t="shared" si="11"/>
        <v>#DIV/0!</v>
      </c>
      <c r="AG28" s="129">
        <v>0</v>
      </c>
      <c r="AH28" s="133">
        <f t="shared" si="12"/>
        <v>0</v>
      </c>
      <c r="AJ28" s="124"/>
      <c r="AK28" s="129"/>
      <c r="AL28" s="124"/>
    </row>
    <row r="29" spans="1:38">
      <c r="A29" s="175" t="s">
        <v>324</v>
      </c>
      <c r="B29" s="105" t="s">
        <v>254</v>
      </c>
      <c r="D29" s="105" t="s">
        <v>325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  <c r="Q29" s="135">
        <f t="shared" si="14"/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127">
        <f t="shared" si="9"/>
        <v>0</v>
      </c>
      <c r="AE29" s="72">
        <f t="shared" si="10"/>
        <v>0</v>
      </c>
      <c r="AF29" s="128" t="e">
        <f t="shared" si="11"/>
        <v>#DIV/0!</v>
      </c>
      <c r="AG29" s="129">
        <v>0</v>
      </c>
      <c r="AH29" s="133">
        <f t="shared" si="12"/>
        <v>0</v>
      </c>
      <c r="AJ29" s="124"/>
      <c r="AK29" s="129"/>
      <c r="AL29" s="124"/>
    </row>
    <row r="30" spans="1:38">
      <c r="A30" s="105" t="s">
        <v>195</v>
      </c>
      <c r="B30" s="105" t="s">
        <v>254</v>
      </c>
      <c r="D30" s="105" t="s">
        <v>196</v>
      </c>
      <c r="E30" s="111">
        <v>7255</v>
      </c>
      <c r="F30" s="111">
        <v>6633</v>
      </c>
      <c r="G30" s="111">
        <v>6920</v>
      </c>
      <c r="H30" s="111">
        <v>6771</v>
      </c>
      <c r="I30" s="111">
        <v>6467</v>
      </c>
      <c r="J30" s="111">
        <v>6793</v>
      </c>
      <c r="K30" s="111">
        <v>7339</v>
      </c>
      <c r="L30" s="111">
        <v>7339</v>
      </c>
      <c r="M30" s="111">
        <v>6698</v>
      </c>
      <c r="N30" s="111">
        <v>6417</v>
      </c>
      <c r="O30" s="111">
        <v>6536</v>
      </c>
      <c r="P30" s="111">
        <v>7339</v>
      </c>
      <c r="Q30" s="135">
        <f t="shared" si="14"/>
        <v>82507</v>
      </c>
      <c r="R30" s="136">
        <v>11823</v>
      </c>
      <c r="S30" s="136">
        <v>11191</v>
      </c>
      <c r="T30" s="136">
        <v>11205</v>
      </c>
      <c r="U30" s="136">
        <v>0</v>
      </c>
      <c r="V30" s="136">
        <v>0</v>
      </c>
      <c r="W30" s="136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72">
        <v>0</v>
      </c>
      <c r="AD30" s="127">
        <f t="shared" si="9"/>
        <v>34219</v>
      </c>
      <c r="AE30" s="72">
        <f t="shared" si="10"/>
        <v>48288</v>
      </c>
      <c r="AF30" s="128">
        <f t="shared" si="11"/>
        <v>1.4111458546421578</v>
      </c>
      <c r="AG30" s="129">
        <v>27597</v>
      </c>
      <c r="AH30" s="133">
        <f t="shared" si="12"/>
        <v>-54910</v>
      </c>
      <c r="AJ30" s="124"/>
      <c r="AK30" s="129"/>
      <c r="AL30" s="124"/>
    </row>
    <row r="31" spans="1:38">
      <c r="A31" s="105" t="s">
        <v>197</v>
      </c>
      <c r="B31" s="105" t="s">
        <v>254</v>
      </c>
      <c r="D31" s="105" t="s">
        <v>305</v>
      </c>
      <c r="E31" s="111">
        <v>84872</v>
      </c>
      <c r="F31" s="111">
        <v>76658</v>
      </c>
      <c r="G31" s="111">
        <v>82986</v>
      </c>
      <c r="H31" s="111">
        <v>77571</v>
      </c>
      <c r="I31" s="111">
        <v>78082</v>
      </c>
      <c r="J31" s="111">
        <v>74833</v>
      </c>
      <c r="K31" s="111">
        <v>83929</v>
      </c>
      <c r="L31" s="111">
        <v>83929</v>
      </c>
      <c r="M31" s="111">
        <v>73008</v>
      </c>
      <c r="N31" s="111">
        <v>77328</v>
      </c>
      <c r="O31" s="111">
        <v>73921</v>
      </c>
      <c r="P31" s="111">
        <v>82043</v>
      </c>
      <c r="Q31" s="135">
        <f t="shared" si="14"/>
        <v>949160</v>
      </c>
      <c r="R31" s="136">
        <v>85680.73</v>
      </c>
      <c r="S31" s="136">
        <v>55292.73</v>
      </c>
      <c r="T31" s="136">
        <v>90870.68</v>
      </c>
      <c r="U31" s="136">
        <v>84802.96</v>
      </c>
      <c r="V31" s="136">
        <v>43763.24</v>
      </c>
      <c r="W31" s="136">
        <v>81104.08</v>
      </c>
      <c r="X31" s="72">
        <v>72387.95</v>
      </c>
      <c r="Y31" s="72">
        <v>88169.51</v>
      </c>
      <c r="Z31" s="72">
        <v>79314</v>
      </c>
      <c r="AA31" s="72">
        <v>101103</v>
      </c>
      <c r="AB31" s="72">
        <v>94261</v>
      </c>
      <c r="AC31" s="72">
        <v>101215</v>
      </c>
      <c r="AD31" s="127">
        <f t="shared" si="9"/>
        <v>977964.88</v>
      </c>
      <c r="AE31" s="72">
        <f t="shared" si="10"/>
        <v>-28804.880000000005</v>
      </c>
      <c r="AF31" s="128">
        <f t="shared" si="11"/>
        <v>-2.945390022594677E-2</v>
      </c>
      <c r="AG31" s="129">
        <v>911171.85</v>
      </c>
      <c r="AH31" s="133">
        <f t="shared" si="12"/>
        <v>-37988.150000000023</v>
      </c>
      <c r="AJ31" s="124"/>
      <c r="AK31" s="129"/>
      <c r="AL31" s="124"/>
    </row>
    <row r="32" spans="1:38">
      <c r="A32" s="105" t="s">
        <v>199</v>
      </c>
      <c r="B32" s="105" t="s">
        <v>254</v>
      </c>
      <c r="D32" s="105" t="s">
        <v>200</v>
      </c>
      <c r="E32" s="111">
        <v>21124</v>
      </c>
      <c r="F32" s="111">
        <v>19931</v>
      </c>
      <c r="G32" s="111">
        <v>20654</v>
      </c>
      <c r="H32" s="111">
        <f>344760-250000</f>
        <v>94760</v>
      </c>
      <c r="I32" s="111">
        <v>19434</v>
      </c>
      <c r="J32" s="111">
        <v>18625</v>
      </c>
      <c r="K32" s="111">
        <v>20889</v>
      </c>
      <c r="L32" s="111">
        <v>21821</v>
      </c>
      <c r="M32" s="111">
        <v>22876</v>
      </c>
      <c r="N32" s="111">
        <v>115304</v>
      </c>
      <c r="O32" s="111">
        <v>110224</v>
      </c>
      <c r="P32" s="111">
        <v>22243</v>
      </c>
      <c r="Q32" s="135">
        <f t="shared" si="14"/>
        <v>507885</v>
      </c>
      <c r="R32" s="136">
        <v>22198</v>
      </c>
      <c r="S32" s="136">
        <v>22198</v>
      </c>
      <c r="T32" s="136">
        <v>22198</v>
      </c>
      <c r="U32" s="136">
        <v>0</v>
      </c>
      <c r="V32" s="136">
        <v>0</v>
      </c>
      <c r="W32" s="136">
        <v>0</v>
      </c>
      <c r="X32" s="72">
        <v>0</v>
      </c>
      <c r="Y32" s="72">
        <v>100000</v>
      </c>
      <c r="Z32" s="72">
        <v>0</v>
      </c>
      <c r="AA32" s="72">
        <v>0</v>
      </c>
      <c r="AB32" s="72">
        <v>0</v>
      </c>
      <c r="AC32" s="72">
        <v>0</v>
      </c>
      <c r="AD32" s="127">
        <f t="shared" si="9"/>
        <v>166594</v>
      </c>
      <c r="AE32" s="72">
        <f t="shared" si="10"/>
        <v>341291</v>
      </c>
      <c r="AF32" s="128">
        <f t="shared" si="11"/>
        <v>2.0486392066941188</v>
      </c>
      <c r="AG32" s="129">
        <v>630173</v>
      </c>
      <c r="AH32" s="133">
        <f t="shared" si="12"/>
        <v>122288</v>
      </c>
      <c r="AJ32" s="124"/>
      <c r="AK32" s="129"/>
      <c r="AL32" s="124"/>
    </row>
    <row r="33" spans="1:38">
      <c r="A33" s="105" t="s">
        <v>201</v>
      </c>
      <c r="B33" s="105" t="s">
        <v>254</v>
      </c>
      <c r="D33" s="105" t="s">
        <v>202</v>
      </c>
      <c r="E33" s="111">
        <v>32648</v>
      </c>
      <c r="F33" s="111">
        <v>16583</v>
      </c>
      <c r="G33" s="111">
        <v>17300</v>
      </c>
      <c r="H33" s="111">
        <v>16928</v>
      </c>
      <c r="I33" s="111">
        <v>48504</v>
      </c>
      <c r="J33" s="111">
        <v>50949</v>
      </c>
      <c r="K33" s="111">
        <v>18348</v>
      </c>
      <c r="L33" s="111">
        <v>18348</v>
      </c>
      <c r="M33" s="111">
        <v>75357</v>
      </c>
      <c r="N33" s="111">
        <v>72189</v>
      </c>
      <c r="O33" s="111">
        <v>16340</v>
      </c>
      <c r="P33" s="111">
        <v>18348</v>
      </c>
      <c r="Q33" s="135">
        <f t="shared" si="14"/>
        <v>401842</v>
      </c>
      <c r="R33" s="136">
        <v>37130.32</v>
      </c>
      <c r="S33" s="136">
        <v>798.65</v>
      </c>
      <c r="T33" s="136">
        <v>1215</v>
      </c>
      <c r="U33" s="136">
        <v>-15168.49</v>
      </c>
      <c r="V33" s="136">
        <v>140257.38</v>
      </c>
      <c r="W33" s="136">
        <v>13837.24</v>
      </c>
      <c r="X33" s="72">
        <v>105.4</v>
      </c>
      <c r="Y33" s="72">
        <v>6315.89</v>
      </c>
      <c r="Z33" s="72">
        <v>9890</v>
      </c>
      <c r="AA33" s="72">
        <v>33950</v>
      </c>
      <c r="AB33" s="72">
        <v>34184</v>
      </c>
      <c r="AC33" s="72">
        <v>36046</v>
      </c>
      <c r="AD33" s="127">
        <f t="shared" si="9"/>
        <v>298561.39</v>
      </c>
      <c r="AE33" s="72">
        <f t="shared" si="10"/>
        <v>103280.60999999999</v>
      </c>
      <c r="AF33" s="128">
        <f t="shared" si="11"/>
        <v>0.34592754943966458</v>
      </c>
      <c r="AG33" s="129">
        <v>836168.96000000008</v>
      </c>
      <c r="AH33" s="133">
        <f t="shared" si="12"/>
        <v>434326.96000000008</v>
      </c>
      <c r="AI33" s="124"/>
      <c r="AJ33" s="124"/>
      <c r="AK33" s="129"/>
      <c r="AL33" s="124"/>
    </row>
    <row r="34" spans="1:38">
      <c r="A34" s="105" t="s">
        <v>203</v>
      </c>
      <c r="B34" s="105" t="s">
        <v>254</v>
      </c>
      <c r="D34" s="105" t="s">
        <v>204</v>
      </c>
      <c r="E34" s="111">
        <v>1673</v>
      </c>
      <c r="F34" s="111">
        <v>1673</v>
      </c>
      <c r="G34" s="111">
        <v>1673</v>
      </c>
      <c r="H34" s="111">
        <v>1673</v>
      </c>
      <c r="I34" s="111">
        <v>1673</v>
      </c>
      <c r="J34" s="111">
        <v>1673</v>
      </c>
      <c r="K34" s="111">
        <v>1673</v>
      </c>
      <c r="L34" s="111">
        <v>1673</v>
      </c>
      <c r="M34" s="111">
        <v>1673</v>
      </c>
      <c r="N34" s="111">
        <v>1673</v>
      </c>
      <c r="O34" s="111">
        <v>1673</v>
      </c>
      <c r="P34" s="111">
        <v>1673</v>
      </c>
      <c r="Q34" s="135">
        <f t="shared" si="14"/>
        <v>20076</v>
      </c>
      <c r="R34" s="136">
        <v>4629</v>
      </c>
      <c r="S34" s="136">
        <v>4629</v>
      </c>
      <c r="T34" s="136">
        <v>4465.3999999999996</v>
      </c>
      <c r="U34" s="136">
        <v>-10.199999999999999</v>
      </c>
      <c r="V34" s="136">
        <v>0</v>
      </c>
      <c r="W34" s="136">
        <v>0</v>
      </c>
      <c r="X34" s="72">
        <v>0</v>
      </c>
      <c r="Y34" s="72">
        <v>-38.4</v>
      </c>
      <c r="Z34" s="72">
        <v>0</v>
      </c>
      <c r="AA34" s="72">
        <v>0</v>
      </c>
      <c r="AB34" s="72">
        <v>0</v>
      </c>
      <c r="AC34" s="72">
        <v>0</v>
      </c>
      <c r="AD34" s="127">
        <f t="shared" si="9"/>
        <v>13674.8</v>
      </c>
      <c r="AE34" s="72">
        <f t="shared" si="10"/>
        <v>6401.2000000000007</v>
      </c>
      <c r="AF34" s="128">
        <f t="shared" si="11"/>
        <v>0.46810191008278007</v>
      </c>
      <c r="AG34" s="129">
        <v>171309.5</v>
      </c>
      <c r="AH34" s="133">
        <f t="shared" si="12"/>
        <v>151233.5</v>
      </c>
      <c r="AJ34" s="124"/>
      <c r="AK34" s="129"/>
      <c r="AL34" s="124"/>
    </row>
    <row r="35" spans="1:38">
      <c r="A35" s="105" t="s">
        <v>306</v>
      </c>
      <c r="B35" s="105" t="s">
        <v>254</v>
      </c>
      <c r="D35" s="105" t="s">
        <v>206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35">
        <f t="shared" si="14"/>
        <v>0</v>
      </c>
      <c r="R35" s="136">
        <v>0</v>
      </c>
      <c r="S35" s="136">
        <v>0</v>
      </c>
      <c r="T35" s="136">
        <v>0</v>
      </c>
      <c r="U35" s="136">
        <v>0</v>
      </c>
      <c r="V35" s="136">
        <v>0</v>
      </c>
      <c r="W35" s="136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127">
        <f t="shared" si="9"/>
        <v>0</v>
      </c>
      <c r="AE35" s="72">
        <f t="shared" si="10"/>
        <v>0</v>
      </c>
      <c r="AF35" s="128" t="e">
        <f t="shared" si="11"/>
        <v>#DIV/0!</v>
      </c>
      <c r="AG35" s="129">
        <v>0</v>
      </c>
      <c r="AH35" s="133">
        <f t="shared" si="12"/>
        <v>0</v>
      </c>
      <c r="AJ35" s="124"/>
      <c r="AK35" s="129"/>
      <c r="AL35" s="124"/>
    </row>
    <row r="36" spans="1:38">
      <c r="A36" s="105" t="s">
        <v>207</v>
      </c>
      <c r="B36" s="105" t="s">
        <v>254</v>
      </c>
      <c r="D36" s="105" t="s">
        <v>208</v>
      </c>
      <c r="E36" s="111">
        <v>28000</v>
      </c>
      <c r="F36" s="111">
        <v>28000</v>
      </c>
      <c r="G36" s="111">
        <v>21000</v>
      </c>
      <c r="H36" s="111">
        <v>21000</v>
      </c>
      <c r="I36" s="111">
        <v>21000</v>
      </c>
      <c r="J36" s="111">
        <v>21000</v>
      </c>
      <c r="K36" s="111">
        <v>21000</v>
      </c>
      <c r="L36" s="111">
        <v>21000</v>
      </c>
      <c r="M36" s="111">
        <v>21000</v>
      </c>
      <c r="N36" s="111">
        <v>21000</v>
      </c>
      <c r="O36" s="111">
        <v>21000</v>
      </c>
      <c r="P36" s="111">
        <v>23000</v>
      </c>
      <c r="Q36" s="135">
        <f t="shared" si="14"/>
        <v>268000</v>
      </c>
      <c r="R36" s="136">
        <v>28365.68</v>
      </c>
      <c r="S36" s="136">
        <v>28520.36</v>
      </c>
      <c r="T36" s="136">
        <v>21153.64</v>
      </c>
      <c r="U36" s="136">
        <v>21032.51</v>
      </c>
      <c r="V36" s="136">
        <v>20901.78</v>
      </c>
      <c r="W36" s="136">
        <v>20591.86</v>
      </c>
      <c r="X36" s="72">
        <v>21224.39</v>
      </c>
      <c r="Y36" s="72">
        <v>20698.89</v>
      </c>
      <c r="Z36" s="72">
        <v>21000</v>
      </c>
      <c r="AA36" s="72">
        <v>21000</v>
      </c>
      <c r="AB36" s="72">
        <v>21000</v>
      </c>
      <c r="AC36" s="72">
        <v>21000</v>
      </c>
      <c r="AD36" s="127">
        <f t="shared" si="9"/>
        <v>266489.11</v>
      </c>
      <c r="AE36" s="72">
        <f t="shared" si="10"/>
        <v>1510.890000000014</v>
      </c>
      <c r="AF36" s="128">
        <f t="shared" si="11"/>
        <v>5.6696125406400814E-3</v>
      </c>
      <c r="AG36" s="129">
        <v>154413.38</v>
      </c>
      <c r="AH36" s="133">
        <f t="shared" si="12"/>
        <v>-113586.62</v>
      </c>
      <c r="AJ36" s="124"/>
      <c r="AK36" s="129"/>
      <c r="AL36" s="124"/>
    </row>
    <row r="37" spans="1:38">
      <c r="A37" s="105" t="s">
        <v>209</v>
      </c>
      <c r="B37" s="105" t="s">
        <v>254</v>
      </c>
      <c r="D37" s="105" t="s">
        <v>210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0</v>
      </c>
      <c r="Q37" s="135">
        <f t="shared" si="14"/>
        <v>0</v>
      </c>
      <c r="R37" s="136">
        <v>0</v>
      </c>
      <c r="S37" s="136">
        <v>0</v>
      </c>
      <c r="T37" s="136">
        <v>0</v>
      </c>
      <c r="U37" s="136">
        <v>5.66</v>
      </c>
      <c r="V37" s="136">
        <v>0</v>
      </c>
      <c r="W37" s="136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72">
        <v>0</v>
      </c>
      <c r="AD37" s="127">
        <f t="shared" si="9"/>
        <v>5.66</v>
      </c>
      <c r="AE37" s="72">
        <f t="shared" si="10"/>
        <v>-5.66</v>
      </c>
      <c r="AF37" s="128">
        <f t="shared" si="11"/>
        <v>-1</v>
      </c>
      <c r="AG37" s="129">
        <v>3525.2200000000003</v>
      </c>
      <c r="AH37" s="133">
        <f t="shared" si="12"/>
        <v>3525.2200000000003</v>
      </c>
      <c r="AJ37" s="124"/>
      <c r="AK37" s="129"/>
      <c r="AL37" s="124"/>
    </row>
    <row r="38" spans="1:38">
      <c r="A38" s="105" t="s">
        <v>211</v>
      </c>
      <c r="B38" s="105" t="s">
        <v>254</v>
      </c>
      <c r="D38" s="105" t="s">
        <v>212</v>
      </c>
      <c r="E38" s="111">
        <v>3395</v>
      </c>
      <c r="F38" s="111">
        <v>3066</v>
      </c>
      <c r="G38" s="111">
        <v>3319</v>
      </c>
      <c r="H38" s="111">
        <v>3103</v>
      </c>
      <c r="I38" s="111">
        <v>3123</v>
      </c>
      <c r="J38" s="111">
        <v>2993</v>
      </c>
      <c r="K38" s="111">
        <v>3357</v>
      </c>
      <c r="L38" s="111">
        <v>3357</v>
      </c>
      <c r="M38" s="111">
        <v>2920</v>
      </c>
      <c r="N38" s="111">
        <v>3093</v>
      </c>
      <c r="O38" s="111">
        <v>2957</v>
      </c>
      <c r="P38" s="111">
        <v>3282</v>
      </c>
      <c r="Q38" s="135">
        <f t="shared" si="14"/>
        <v>37965</v>
      </c>
      <c r="R38" s="136">
        <v>5512.36</v>
      </c>
      <c r="S38" s="136">
        <v>3037.13</v>
      </c>
      <c r="T38" s="136">
        <v>2254.36</v>
      </c>
      <c r="U38" s="136">
        <v>1889.37</v>
      </c>
      <c r="V38" s="136">
        <v>2075.0100000000002</v>
      </c>
      <c r="W38" s="136">
        <v>1902.71</v>
      </c>
      <c r="X38" s="72">
        <v>2134.9299999999998</v>
      </c>
      <c r="Y38" s="72">
        <v>2935.14</v>
      </c>
      <c r="Z38" s="72">
        <v>2884</v>
      </c>
      <c r="AA38" s="72">
        <v>3218</v>
      </c>
      <c r="AB38" s="72">
        <v>3128</v>
      </c>
      <c r="AC38" s="72">
        <v>3470</v>
      </c>
      <c r="AD38" s="127">
        <f t="shared" si="9"/>
        <v>34441.01</v>
      </c>
      <c r="AE38" s="72">
        <f t="shared" si="10"/>
        <v>3523.989999999998</v>
      </c>
      <c r="AF38" s="128">
        <f t="shared" si="11"/>
        <v>0.1023195893500219</v>
      </c>
      <c r="AG38" s="129">
        <v>39669.94</v>
      </c>
      <c r="AH38" s="133">
        <f t="shared" si="12"/>
        <v>1704.9400000000023</v>
      </c>
      <c r="AJ38" s="124"/>
      <c r="AK38" s="129"/>
      <c r="AL38" s="124"/>
    </row>
    <row r="39" spans="1:38">
      <c r="A39" s="105" t="s">
        <v>213</v>
      </c>
      <c r="B39" s="105" t="s">
        <v>254</v>
      </c>
      <c r="D39" s="105" t="s">
        <v>214</v>
      </c>
      <c r="E39" s="164">
        <f>Laundry!E120</f>
        <v>210015.04</v>
      </c>
      <c r="F39" s="164">
        <f>Laundry!F120</f>
        <v>191446.08</v>
      </c>
      <c r="G39" s="164">
        <f>Laundry!G120</f>
        <v>193657.58</v>
      </c>
      <c r="H39" s="164">
        <f>Laundry!H120</f>
        <v>198977.53</v>
      </c>
      <c r="I39" s="164">
        <f>Laundry!I120</f>
        <v>204583.99</v>
      </c>
      <c r="J39" s="164">
        <f>Laundry!J120</f>
        <v>195476.25</v>
      </c>
      <c r="K39" s="164">
        <f>Laundry!K120</f>
        <v>208444.92</v>
      </c>
      <c r="L39" s="164">
        <f>Laundry!L120</f>
        <v>207440.53</v>
      </c>
      <c r="M39" s="164">
        <f>Laundry!M120</f>
        <v>200231.53</v>
      </c>
      <c r="N39" s="164">
        <f>Laundry!N120</f>
        <v>227832.67</v>
      </c>
      <c r="O39" s="164">
        <f>Laundry!O120</f>
        <v>201241.92</v>
      </c>
      <c r="P39" s="164">
        <f>Laundry!P120</f>
        <v>200258.53</v>
      </c>
      <c r="Q39" s="135">
        <f t="shared" si="14"/>
        <v>2439606.5699999998</v>
      </c>
      <c r="R39" s="136">
        <v>258422.78</v>
      </c>
      <c r="S39" s="136">
        <v>292732.71000000002</v>
      </c>
      <c r="T39" s="136">
        <v>203383.23</v>
      </c>
      <c r="U39" s="136">
        <v>190606.83</v>
      </c>
      <c r="V39" s="136">
        <v>72285.25</v>
      </c>
      <c r="W39" s="136">
        <v>215573.62</v>
      </c>
      <c r="X39" s="72">
        <v>196133.24</v>
      </c>
      <c r="Y39" s="72">
        <v>158251.57</v>
      </c>
      <c r="Z39" s="72">
        <v>212814</v>
      </c>
      <c r="AA39" s="72">
        <v>238057</v>
      </c>
      <c r="AB39" s="72">
        <v>200035</v>
      </c>
      <c r="AC39" s="72">
        <v>204526</v>
      </c>
      <c r="AD39" s="127">
        <f t="shared" si="9"/>
        <v>2442821.23</v>
      </c>
      <c r="AE39" s="72">
        <f t="shared" si="10"/>
        <v>-3214.660000000149</v>
      </c>
      <c r="AF39" s="128">
        <f t="shared" si="11"/>
        <v>-1.3159620362396102E-3</v>
      </c>
      <c r="AG39" s="129">
        <v>2203350.71</v>
      </c>
      <c r="AH39" s="133">
        <f t="shared" si="12"/>
        <v>-236255.85999999987</v>
      </c>
      <c r="AJ39" s="124"/>
      <c r="AK39" s="129"/>
      <c r="AL39" s="124"/>
    </row>
    <row r="40" spans="1:38">
      <c r="A40" s="105" t="s">
        <v>215</v>
      </c>
      <c r="B40" s="105" t="s">
        <v>254</v>
      </c>
      <c r="D40" s="105" t="s">
        <v>216</v>
      </c>
      <c r="E40" s="111">
        <f>19803-445</f>
        <v>19358</v>
      </c>
      <c r="F40" s="111">
        <v>17442</v>
      </c>
      <c r="G40" s="111">
        <v>18918</v>
      </c>
      <c r="H40" s="111">
        <v>17655</v>
      </c>
      <c r="I40" s="111">
        <v>17774</v>
      </c>
      <c r="J40" s="111">
        <v>17016</v>
      </c>
      <c r="K40" s="111">
        <v>19138</v>
      </c>
      <c r="L40" s="111">
        <v>19138</v>
      </c>
      <c r="M40" s="111">
        <v>16590</v>
      </c>
      <c r="N40" s="111">
        <v>17598</v>
      </c>
      <c r="O40" s="111">
        <v>16803</v>
      </c>
      <c r="P40" s="111">
        <v>18698</v>
      </c>
      <c r="Q40" s="135">
        <f t="shared" si="14"/>
        <v>216128</v>
      </c>
      <c r="R40" s="136">
        <v>18262.43</v>
      </c>
      <c r="S40" s="136">
        <v>16714.46</v>
      </c>
      <c r="T40" s="136">
        <v>18275.900000000001</v>
      </c>
      <c r="U40" s="136">
        <v>20306.310000000001</v>
      </c>
      <c r="V40" s="136">
        <v>20394.95</v>
      </c>
      <c r="W40" s="136">
        <v>20354.47</v>
      </c>
      <c r="X40" s="72">
        <v>19438.810000000001</v>
      </c>
      <c r="Y40" s="72">
        <v>15754.89</v>
      </c>
      <c r="Z40" s="72">
        <v>20394.95</v>
      </c>
      <c r="AA40" s="72">
        <v>20394.95</v>
      </c>
      <c r="AB40" s="72">
        <v>20394.95</v>
      </c>
      <c r="AC40" s="72">
        <v>20394.95</v>
      </c>
      <c r="AD40" s="127">
        <f t="shared" si="9"/>
        <v>231082.02000000008</v>
      </c>
      <c r="AE40" s="72">
        <f t="shared" si="10"/>
        <v>-14954.020000000077</v>
      </c>
      <c r="AF40" s="128">
        <f t="shared" si="11"/>
        <v>-6.4713039984677617E-2</v>
      </c>
      <c r="AG40" s="129">
        <v>717473.15000000014</v>
      </c>
      <c r="AH40" s="133">
        <f t="shared" si="12"/>
        <v>501345.15000000014</v>
      </c>
      <c r="AJ40" s="124"/>
      <c r="AK40" s="129"/>
      <c r="AL40" s="124"/>
    </row>
    <row r="41" spans="1:38">
      <c r="A41" s="105" t="s">
        <v>217</v>
      </c>
      <c r="B41" s="105" t="s">
        <v>254</v>
      </c>
      <c r="D41" s="105" t="s">
        <v>218</v>
      </c>
      <c r="E41" s="111">
        <v>300</v>
      </c>
      <c r="F41" s="111">
        <v>300</v>
      </c>
      <c r="G41" s="111">
        <v>300</v>
      </c>
      <c r="H41" s="111">
        <v>300</v>
      </c>
      <c r="I41" s="111">
        <v>300</v>
      </c>
      <c r="J41" s="111">
        <v>300</v>
      </c>
      <c r="K41" s="111">
        <v>300</v>
      </c>
      <c r="L41" s="111">
        <v>300</v>
      </c>
      <c r="M41" s="111">
        <v>300</v>
      </c>
      <c r="N41" s="111">
        <v>300</v>
      </c>
      <c r="O41" s="111">
        <v>300</v>
      </c>
      <c r="P41" s="111">
        <v>300</v>
      </c>
      <c r="Q41" s="135">
        <f t="shared" si="14"/>
        <v>3600</v>
      </c>
      <c r="R41" s="136">
        <v>508</v>
      </c>
      <c r="S41" s="136">
        <v>1055</v>
      </c>
      <c r="T41" s="136">
        <v>-2992</v>
      </c>
      <c r="U41" s="136">
        <v>508</v>
      </c>
      <c r="V41" s="136">
        <v>-1494</v>
      </c>
      <c r="W41" s="136">
        <v>222</v>
      </c>
      <c r="X41" s="72">
        <v>222</v>
      </c>
      <c r="Y41" s="72">
        <v>565</v>
      </c>
      <c r="Z41" s="72">
        <v>550</v>
      </c>
      <c r="AA41" s="72">
        <v>550</v>
      </c>
      <c r="AB41" s="72">
        <v>550</v>
      </c>
      <c r="AC41" s="72">
        <v>550</v>
      </c>
      <c r="AD41" s="127">
        <f t="shared" si="9"/>
        <v>794</v>
      </c>
      <c r="AE41" s="72">
        <f t="shared" si="10"/>
        <v>2806</v>
      </c>
      <c r="AF41" s="128">
        <f t="shared" si="11"/>
        <v>3.5340050377833752</v>
      </c>
      <c r="AG41" s="129">
        <v>2629.56</v>
      </c>
      <c r="AH41" s="133">
        <f t="shared" si="12"/>
        <v>-970.44</v>
      </c>
      <c r="AJ41" s="124"/>
      <c r="AK41" s="129"/>
      <c r="AL41" s="124"/>
    </row>
    <row r="42" spans="1:38">
      <c r="A42" s="105" t="s">
        <v>219</v>
      </c>
      <c r="B42" s="105" t="s">
        <v>254</v>
      </c>
      <c r="D42" s="105" t="s">
        <v>220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35">
        <f t="shared" si="14"/>
        <v>0</v>
      </c>
      <c r="R42" s="136">
        <v>0</v>
      </c>
      <c r="S42" s="136">
        <v>0</v>
      </c>
      <c r="T42" s="136">
        <v>0</v>
      </c>
      <c r="U42" s="136">
        <v>0</v>
      </c>
      <c r="V42" s="136">
        <v>0</v>
      </c>
      <c r="W42" s="136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127">
        <f t="shared" si="9"/>
        <v>0</v>
      </c>
      <c r="AE42" s="72">
        <f t="shared" si="10"/>
        <v>0</v>
      </c>
      <c r="AF42" s="128" t="e">
        <f t="shared" si="11"/>
        <v>#DIV/0!</v>
      </c>
      <c r="AG42" s="129">
        <v>0</v>
      </c>
      <c r="AH42" s="133">
        <f t="shared" si="12"/>
        <v>0</v>
      </c>
      <c r="AJ42" s="124"/>
      <c r="AK42" s="129"/>
      <c r="AL42" s="124"/>
    </row>
    <row r="43" spans="1:38">
      <c r="A43" s="105" t="s">
        <v>221</v>
      </c>
      <c r="B43" s="105" t="s">
        <v>254</v>
      </c>
      <c r="D43" s="105" t="s">
        <v>222</v>
      </c>
      <c r="E43" s="111">
        <v>3772</v>
      </c>
      <c r="F43" s="111">
        <v>3407</v>
      </c>
      <c r="G43" s="111">
        <v>3688</v>
      </c>
      <c r="H43" s="111">
        <v>3448</v>
      </c>
      <c r="I43" s="111">
        <v>3470</v>
      </c>
      <c r="J43" s="111">
        <v>3326</v>
      </c>
      <c r="K43" s="111">
        <v>3730</v>
      </c>
      <c r="L43" s="111">
        <v>3730</v>
      </c>
      <c r="M43" s="111">
        <v>3245</v>
      </c>
      <c r="N43" s="111">
        <v>3437</v>
      </c>
      <c r="O43" s="111">
        <v>3285</v>
      </c>
      <c r="P43" s="111">
        <v>3646</v>
      </c>
      <c r="Q43" s="135">
        <f t="shared" si="14"/>
        <v>42184</v>
      </c>
      <c r="R43" s="136">
        <v>108</v>
      </c>
      <c r="S43" s="136">
        <v>22559.51</v>
      </c>
      <c r="T43" s="136">
        <v>0</v>
      </c>
      <c r="U43" s="136">
        <v>241.42</v>
      </c>
      <c r="V43" s="136">
        <v>794</v>
      </c>
      <c r="W43" s="136">
        <v>3965.6</v>
      </c>
      <c r="X43" s="72">
        <v>0</v>
      </c>
      <c r="Y43" s="72">
        <v>13.62</v>
      </c>
      <c r="Z43" s="72">
        <v>4698</v>
      </c>
      <c r="AA43" s="72">
        <v>5088</v>
      </c>
      <c r="AB43" s="72">
        <v>4982</v>
      </c>
      <c r="AC43" s="72">
        <v>5381</v>
      </c>
      <c r="AD43" s="127">
        <f t="shared" si="9"/>
        <v>47831.149999999994</v>
      </c>
      <c r="AE43" s="72">
        <f t="shared" si="10"/>
        <v>-5647.1499999999942</v>
      </c>
      <c r="AF43" s="128">
        <f t="shared" si="11"/>
        <v>-0.11806427401390088</v>
      </c>
      <c r="AG43" s="129">
        <v>27325.199999999997</v>
      </c>
      <c r="AH43" s="133">
        <f t="shared" si="12"/>
        <v>-14858.800000000003</v>
      </c>
      <c r="AJ43" s="124"/>
      <c r="AK43" s="129"/>
      <c r="AL43" s="124"/>
    </row>
    <row r="44" spans="1:38" s="109" customFormat="1">
      <c r="D44" s="109" t="s">
        <v>223</v>
      </c>
      <c r="E44" s="137">
        <f t="shared" ref="E44:J44" si="17">SUM(E20:E43)</f>
        <v>2431293.4399999999</v>
      </c>
      <c r="F44" s="137">
        <f t="shared" si="17"/>
        <v>1970990.85</v>
      </c>
      <c r="G44" s="137">
        <f t="shared" si="17"/>
        <v>1862560.01</v>
      </c>
      <c r="H44" s="137">
        <f t="shared" si="17"/>
        <v>1886264.05</v>
      </c>
      <c r="I44" s="137">
        <f t="shared" si="17"/>
        <v>1901000.28</v>
      </c>
      <c r="J44" s="137">
        <f t="shared" si="17"/>
        <v>1820980.38</v>
      </c>
      <c r="K44" s="137">
        <f t="shared" ref="K44:AD44" si="18">SUM(K20:K43)</f>
        <v>2018141.88</v>
      </c>
      <c r="L44" s="137">
        <f t="shared" si="18"/>
        <v>2016825.6199999999</v>
      </c>
      <c r="M44" s="137">
        <f t="shared" si="18"/>
        <v>1835369.23</v>
      </c>
      <c r="N44" s="137">
        <f t="shared" si="18"/>
        <v>2078283.3499999999</v>
      </c>
      <c r="O44" s="137">
        <f t="shared" si="18"/>
        <v>1881128.5899999999</v>
      </c>
      <c r="P44" s="137">
        <f t="shared" si="18"/>
        <v>1979162.07</v>
      </c>
      <c r="Q44" s="135">
        <f t="shared" si="18"/>
        <v>23681999.75</v>
      </c>
      <c r="R44" s="137">
        <f t="shared" si="18"/>
        <v>2566632.7599999998</v>
      </c>
      <c r="S44" s="137">
        <f t="shared" si="18"/>
        <v>2855924.2199999993</v>
      </c>
      <c r="T44" s="137">
        <f t="shared" si="18"/>
        <v>2342918.0099999998</v>
      </c>
      <c r="U44" s="137">
        <f t="shared" si="18"/>
        <v>2112322.5300000003</v>
      </c>
      <c r="V44" s="137">
        <f t="shared" si="18"/>
        <v>2122651.4600000004</v>
      </c>
      <c r="W44" s="137">
        <f t="shared" si="18"/>
        <v>1877935.0999999999</v>
      </c>
      <c r="X44" s="137">
        <f t="shared" si="18"/>
        <v>2000836.7899999998</v>
      </c>
      <c r="Y44" s="137">
        <f t="shared" si="18"/>
        <v>2181913.3499999996</v>
      </c>
      <c r="Z44" s="137">
        <f t="shared" si="18"/>
        <v>1646744.34</v>
      </c>
      <c r="AA44" s="137">
        <f t="shared" si="18"/>
        <v>1802300.84</v>
      </c>
      <c r="AB44" s="137">
        <f t="shared" si="18"/>
        <v>1761266.44</v>
      </c>
      <c r="AC44" s="137">
        <f t="shared" si="18"/>
        <v>1963405.3499999999</v>
      </c>
      <c r="AD44" s="137">
        <f t="shared" si="18"/>
        <v>25234851.190000001</v>
      </c>
      <c r="AE44" s="127">
        <f t="shared" si="10"/>
        <v>-1552851.4400000013</v>
      </c>
      <c r="AF44" s="132">
        <f t="shared" si="11"/>
        <v>-6.1535985621954496E-2</v>
      </c>
      <c r="AG44" s="129">
        <v>17856900.019999996</v>
      </c>
      <c r="AH44" s="133">
        <f t="shared" si="12"/>
        <v>-5825099.7300000042</v>
      </c>
      <c r="AJ44" s="124"/>
      <c r="AK44" s="129"/>
      <c r="AL44" s="124"/>
    </row>
    <row r="45" spans="1:38" s="109" customFormat="1">
      <c r="D45" s="109" t="s">
        <v>224</v>
      </c>
      <c r="E45" s="137">
        <f t="shared" ref="E45:AD45" si="19">E15-E17-E44</f>
        <v>-2802661.88</v>
      </c>
      <c r="F45" s="137">
        <f t="shared" si="19"/>
        <v>-2291945.6100000003</v>
      </c>
      <c r="G45" s="137">
        <f t="shared" si="19"/>
        <v>-2189464.02</v>
      </c>
      <c r="H45" s="137">
        <f t="shared" si="19"/>
        <v>-2239835.1800000002</v>
      </c>
      <c r="I45" s="137">
        <f t="shared" si="19"/>
        <v>-2270102.13</v>
      </c>
      <c r="J45" s="137">
        <f t="shared" si="19"/>
        <v>-2169368.17</v>
      </c>
      <c r="K45" s="137">
        <f t="shared" si="19"/>
        <v>-2368568.96</v>
      </c>
      <c r="L45" s="137">
        <f t="shared" si="19"/>
        <v>-2366415.13</v>
      </c>
      <c r="M45" s="137">
        <f t="shared" si="19"/>
        <v>-2185222.7400000002</v>
      </c>
      <c r="N45" s="137">
        <f t="shared" si="19"/>
        <v>-2478975.31</v>
      </c>
      <c r="O45" s="137">
        <f t="shared" si="19"/>
        <v>-2231109.5499999998</v>
      </c>
      <c r="P45" s="137">
        <f t="shared" si="19"/>
        <v>-2328042.46</v>
      </c>
      <c r="Q45" s="135">
        <f t="shared" si="19"/>
        <v>-27921711.140000001</v>
      </c>
      <c r="R45" s="137">
        <f t="shared" si="19"/>
        <v>-2951827.67</v>
      </c>
      <c r="S45" s="137">
        <f t="shared" si="19"/>
        <v>-3269389.2799999993</v>
      </c>
      <c r="T45" s="137">
        <f t="shared" si="19"/>
        <v>-2714849.96</v>
      </c>
      <c r="U45" s="137">
        <f t="shared" si="19"/>
        <v>-2467007.4400000004</v>
      </c>
      <c r="V45" s="137">
        <f t="shared" si="19"/>
        <v>-2594155.4600000004</v>
      </c>
      <c r="W45" s="137">
        <f t="shared" si="19"/>
        <v>-2189809.7599999998</v>
      </c>
      <c r="X45" s="137">
        <f t="shared" si="19"/>
        <v>-2295788.0999999996</v>
      </c>
      <c r="Y45" s="137">
        <f t="shared" si="19"/>
        <v>-2489057.4999999995</v>
      </c>
      <c r="Z45" s="137">
        <f t="shared" si="19"/>
        <v>-2263103.62</v>
      </c>
      <c r="AA45" s="137">
        <f t="shared" si="19"/>
        <v>-2496770.62</v>
      </c>
      <c r="AB45" s="137">
        <f t="shared" si="19"/>
        <v>-2389148.62</v>
      </c>
      <c r="AC45" s="137">
        <f t="shared" si="19"/>
        <v>-2590164.62</v>
      </c>
      <c r="AD45" s="137">
        <f t="shared" si="19"/>
        <v>-30711072.649999999</v>
      </c>
      <c r="AE45" s="127">
        <f t="shared" si="10"/>
        <v>2789361.5099999979</v>
      </c>
      <c r="AF45" s="132">
        <f t="shared" si="11"/>
        <v>-9.0825922682319538E-2</v>
      </c>
      <c r="AG45" s="129">
        <v>-26533049.029999994</v>
      </c>
      <c r="AH45" s="133">
        <f>Q45-AG45</f>
        <v>-1388662.1100000069</v>
      </c>
      <c r="AJ45" s="124"/>
      <c r="AK45" s="129"/>
    </row>
    <row r="46" spans="1:38" s="109" customFormat="1">
      <c r="D46" s="109" t="s">
        <v>225</v>
      </c>
      <c r="E46" s="139">
        <f t="shared" ref="E46:AD46" si="20">E45/E105</f>
        <v>-7.3446961777552291E-2</v>
      </c>
      <c r="F46" s="139">
        <f t="shared" si="20"/>
        <v>-7.9912604845942842E-2</v>
      </c>
      <c r="G46" s="139">
        <f t="shared" si="20"/>
        <v>-0.10892316624127313</v>
      </c>
      <c r="H46" s="139">
        <f t="shared" si="20"/>
        <v>-0.13605239350170814</v>
      </c>
      <c r="I46" s="139">
        <f t="shared" si="20"/>
        <v>-0.15906155173888845</v>
      </c>
      <c r="J46" s="139">
        <f t="shared" si="20"/>
        <v>-0.15604718845869742</v>
      </c>
      <c r="K46" s="139">
        <f t="shared" si="20"/>
        <v>-0.12663624990108918</v>
      </c>
      <c r="L46" s="139">
        <f t="shared" si="20"/>
        <v>-0.10552568301400543</v>
      </c>
      <c r="M46" s="139">
        <f t="shared" si="20"/>
        <v>-0.16526472483392021</v>
      </c>
      <c r="N46" s="139">
        <f t="shared" si="20"/>
        <v>-0.14012591730679713</v>
      </c>
      <c r="O46" s="139">
        <f t="shared" si="20"/>
        <v>-0.14235929581613108</v>
      </c>
      <c r="P46" s="139">
        <f t="shared" si="20"/>
        <v>-9.0098887918253628E-2</v>
      </c>
      <c r="Q46" s="139">
        <f t="shared" si="20"/>
        <v>-0.1139052625420264</v>
      </c>
      <c r="R46" s="139" t="e">
        <f t="shared" si="20"/>
        <v>#DIV/0!</v>
      </c>
      <c r="S46" s="139" t="e">
        <f t="shared" si="20"/>
        <v>#DIV/0!</v>
      </c>
      <c r="T46" s="139" t="e">
        <f t="shared" si="20"/>
        <v>#DIV/0!</v>
      </c>
      <c r="U46" s="139" t="e">
        <f t="shared" si="20"/>
        <v>#DIV/0!</v>
      </c>
      <c r="V46" s="139" t="e">
        <f t="shared" si="20"/>
        <v>#DIV/0!</v>
      </c>
      <c r="W46" s="139" t="e">
        <f t="shared" si="20"/>
        <v>#DIV/0!</v>
      </c>
      <c r="X46" s="139" t="e">
        <f t="shared" si="20"/>
        <v>#DIV/0!</v>
      </c>
      <c r="Y46" s="139" t="e">
        <f t="shared" si="20"/>
        <v>#DIV/0!</v>
      </c>
      <c r="Z46" s="139" t="e">
        <f t="shared" si="20"/>
        <v>#DIV/0!</v>
      </c>
      <c r="AA46" s="139" t="e">
        <f t="shared" si="20"/>
        <v>#DIV/0!</v>
      </c>
      <c r="AB46" s="139" t="e">
        <f t="shared" si="20"/>
        <v>#DIV/0!</v>
      </c>
      <c r="AC46" s="139" t="e">
        <f t="shared" si="20"/>
        <v>#DIV/0!</v>
      </c>
      <c r="AD46" s="139" t="e">
        <f t="shared" si="20"/>
        <v>#DIV/0!</v>
      </c>
      <c r="AE46" s="132"/>
      <c r="AF46" s="132"/>
      <c r="AG46" s="129">
        <v>-0.10865226634187766</v>
      </c>
      <c r="AH46" s="133">
        <f>Q46-AG46</f>
        <v>-5.2529962001487407E-3</v>
      </c>
      <c r="AJ46" s="124"/>
      <c r="AK46" s="129"/>
    </row>
    <row r="47" spans="1:38">
      <c r="D47" s="105" t="s">
        <v>154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35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35"/>
      <c r="AF47" s="128"/>
      <c r="AG47" s="129"/>
      <c r="AK47" s="129"/>
    </row>
    <row r="48" spans="1:38">
      <c r="A48" s="105" t="s">
        <v>226</v>
      </c>
      <c r="B48" s="105" t="s">
        <v>160</v>
      </c>
      <c r="D48" s="105" t="s">
        <v>227</v>
      </c>
      <c r="E48" s="136">
        <f>'Rooms+Summary'!E48</f>
        <v>20956</v>
      </c>
      <c r="F48" s="136">
        <f>'Rooms+Summary'!F48</f>
        <v>18928</v>
      </c>
      <c r="G48" s="136">
        <f>'Rooms+Summary'!G48</f>
        <v>20956</v>
      </c>
      <c r="H48" s="136">
        <f>'Rooms+Summary'!H48</f>
        <v>20280</v>
      </c>
      <c r="I48" s="136">
        <f>'Rooms+Summary'!I48</f>
        <v>20956</v>
      </c>
      <c r="J48" s="136">
        <f>'Rooms+Summary'!J48</f>
        <v>20280</v>
      </c>
      <c r="K48" s="136">
        <f>'Rooms+Summary'!K48</f>
        <v>20956</v>
      </c>
      <c r="L48" s="136">
        <f>'Rooms+Summary'!L48</f>
        <v>20956</v>
      </c>
      <c r="M48" s="136">
        <f>'Rooms+Summary'!M48</f>
        <v>20280</v>
      </c>
      <c r="N48" s="136">
        <f>'Rooms+Summary'!N48</f>
        <v>20956</v>
      </c>
      <c r="O48" s="136">
        <f>'Rooms+Summary'!O48</f>
        <v>20280</v>
      </c>
      <c r="P48" s="136">
        <f>'Rooms+Summary'!P48</f>
        <v>20956</v>
      </c>
      <c r="Q48" s="133">
        <f>SUM(E48:P48)</f>
        <v>246740</v>
      </c>
      <c r="R48" s="136">
        <v>20956</v>
      </c>
      <c r="S48" s="136">
        <v>19604</v>
      </c>
      <c r="T48" s="136">
        <v>20956</v>
      </c>
      <c r="U48" s="136">
        <v>20280</v>
      </c>
      <c r="V48" s="136">
        <v>20956</v>
      </c>
      <c r="W48" s="136">
        <v>20280</v>
      </c>
      <c r="X48" s="136">
        <f>'Rooms+Summary'!X48</f>
        <v>20956</v>
      </c>
      <c r="Y48" s="136">
        <f>'Rooms+Summary'!Y48</f>
        <v>20956</v>
      </c>
      <c r="Z48" s="136">
        <f>'Rooms+Summary'!Z48</f>
        <v>20280</v>
      </c>
      <c r="AA48" s="136">
        <f>'Rooms+Summary'!AA48</f>
        <v>20956</v>
      </c>
      <c r="AB48" s="136">
        <f>'Rooms+Summary'!AB48</f>
        <v>20280</v>
      </c>
      <c r="AC48" s="136">
        <f>'Rooms+Summary'!AC48</f>
        <v>20956</v>
      </c>
      <c r="AD48" s="127">
        <f t="shared" ref="AD48:AD54" si="21">SUM(R48:AC48)</f>
        <v>247416</v>
      </c>
      <c r="AE48" s="72">
        <f t="shared" ref="AE48:AE60" si="22">Q48-AD48</f>
        <v>-676</v>
      </c>
      <c r="AF48" s="128">
        <f t="shared" ref="AF48:AF60" si="23">AE48/AD48</f>
        <v>-2.7322404371584699E-3</v>
      </c>
      <c r="AG48" s="129">
        <v>246740</v>
      </c>
      <c r="AH48" s="123">
        <f t="shared" ref="AH48:AH59" si="24">Q48-AG48</f>
        <v>0</v>
      </c>
      <c r="AK48" s="129"/>
    </row>
    <row r="49" spans="1:37">
      <c r="A49" s="105" t="s">
        <v>228</v>
      </c>
      <c r="B49" s="105" t="s">
        <v>160</v>
      </c>
      <c r="D49" s="105" t="s">
        <v>229</v>
      </c>
      <c r="E49" s="136">
        <f>E48-E50-E51</f>
        <v>20956</v>
      </c>
      <c r="F49" s="136">
        <f>F48-F50-F51</f>
        <v>18928</v>
      </c>
      <c r="G49" s="136">
        <f>G48-G50-G51</f>
        <v>20956</v>
      </c>
      <c r="H49" s="136">
        <f>H48-H50-H51</f>
        <v>20280</v>
      </c>
      <c r="I49" s="136">
        <f>I48-I50-I51</f>
        <v>20956</v>
      </c>
      <c r="J49" s="136">
        <f t="shared" ref="J49:P49" si="25">J48-J50-J51</f>
        <v>20280</v>
      </c>
      <c r="K49" s="136">
        <f t="shared" si="25"/>
        <v>20956</v>
      </c>
      <c r="L49" s="136">
        <f t="shared" si="25"/>
        <v>20956</v>
      </c>
      <c r="M49" s="136">
        <f t="shared" si="25"/>
        <v>20280</v>
      </c>
      <c r="N49" s="136">
        <f t="shared" si="25"/>
        <v>20956</v>
      </c>
      <c r="O49" s="136">
        <f t="shared" si="25"/>
        <v>20280</v>
      </c>
      <c r="P49" s="136">
        <f t="shared" si="25"/>
        <v>20956</v>
      </c>
      <c r="Q49" s="133">
        <f t="shared" ref="Q49:Q54" si="26">SUM(E49:P49)</f>
        <v>246740</v>
      </c>
      <c r="R49" s="136">
        <f t="shared" ref="R49:W49" si="27">R48-R50-R51</f>
        <v>20494</v>
      </c>
      <c r="S49" s="136">
        <f t="shared" si="27"/>
        <v>19227</v>
      </c>
      <c r="T49" s="136">
        <f t="shared" si="27"/>
        <v>20477</v>
      </c>
      <c r="U49" s="136">
        <f t="shared" si="27"/>
        <v>19399</v>
      </c>
      <c r="V49" s="136">
        <f t="shared" si="27"/>
        <v>19203</v>
      </c>
      <c r="W49" s="136">
        <f t="shared" si="27"/>
        <v>18839</v>
      </c>
      <c r="X49" s="136">
        <f>'Rooms+Summary'!X49</f>
        <v>20556</v>
      </c>
      <c r="Y49" s="136">
        <f>'Rooms+Summary'!Y49</f>
        <v>20436</v>
      </c>
      <c r="Z49" s="136">
        <f>'Rooms+Summary'!Z49</f>
        <v>19680</v>
      </c>
      <c r="AA49" s="136">
        <f>'Rooms+Summary'!AA49</f>
        <v>20356</v>
      </c>
      <c r="AB49" s="136">
        <f>'Rooms+Summary'!AB49</f>
        <v>19680</v>
      </c>
      <c r="AC49" s="136">
        <f>'Rooms+Summary'!AC49</f>
        <v>20356</v>
      </c>
      <c r="AD49" s="127">
        <f t="shared" si="21"/>
        <v>238703</v>
      </c>
      <c r="AE49" s="72">
        <f t="shared" si="22"/>
        <v>8037</v>
      </c>
      <c r="AF49" s="128">
        <f t="shared" si="23"/>
        <v>3.3669455348277984E-2</v>
      </c>
      <c r="AG49" s="129">
        <v>238727</v>
      </c>
      <c r="AH49" s="123">
        <f t="shared" si="24"/>
        <v>8013</v>
      </c>
      <c r="AK49" s="129"/>
    </row>
    <row r="50" spans="1:37">
      <c r="A50" s="105" t="s">
        <v>230</v>
      </c>
      <c r="B50" s="105" t="s">
        <v>160</v>
      </c>
      <c r="D50" s="105" t="s">
        <v>231</v>
      </c>
      <c r="E50" s="136">
        <f>'Rooms+Summary'!E50</f>
        <v>0</v>
      </c>
      <c r="F50" s="136">
        <f>'Rooms+Summary'!F50</f>
        <v>0</v>
      </c>
      <c r="G50" s="136">
        <f>'Rooms+Summary'!G50</f>
        <v>0</v>
      </c>
      <c r="H50" s="136">
        <f>'Rooms+Summary'!H50</f>
        <v>0</v>
      </c>
      <c r="I50" s="136">
        <f>'Rooms+Summary'!I50</f>
        <v>0</v>
      </c>
      <c r="J50" s="136">
        <f>'Rooms+Summary'!J50</f>
        <v>0</v>
      </c>
      <c r="K50" s="136">
        <f>'Rooms+Summary'!K50</f>
        <v>0</v>
      </c>
      <c r="L50" s="136">
        <f>'Rooms+Summary'!L50</f>
        <v>0</v>
      </c>
      <c r="M50" s="136">
        <f>'Rooms+Summary'!M50</f>
        <v>0</v>
      </c>
      <c r="N50" s="136">
        <f>'Rooms+Summary'!N50</f>
        <v>0</v>
      </c>
      <c r="O50" s="136">
        <f>'Rooms+Summary'!O50</f>
        <v>0</v>
      </c>
      <c r="P50" s="136">
        <f>'Rooms+Summary'!P50</f>
        <v>0</v>
      </c>
      <c r="Q50" s="133">
        <f t="shared" si="26"/>
        <v>0</v>
      </c>
      <c r="R50" s="136">
        <v>450</v>
      </c>
      <c r="S50" s="136">
        <v>370</v>
      </c>
      <c r="T50" s="136">
        <v>473</v>
      </c>
      <c r="U50" s="136">
        <v>871</v>
      </c>
      <c r="V50" s="136">
        <v>1729</v>
      </c>
      <c r="W50" s="136">
        <v>1433</v>
      </c>
      <c r="X50" s="136">
        <f>'Rooms+Summary'!X50</f>
        <v>400</v>
      </c>
      <c r="Y50" s="136">
        <f>'Rooms+Summary'!Y50</f>
        <v>520</v>
      </c>
      <c r="Z50" s="136">
        <f>'Rooms+Summary'!Z50</f>
        <v>600</v>
      </c>
      <c r="AA50" s="136">
        <f>'Rooms+Summary'!AA50</f>
        <v>600</v>
      </c>
      <c r="AB50" s="136">
        <f>'Rooms+Summary'!AB50</f>
        <v>600</v>
      </c>
      <c r="AC50" s="136">
        <f>'Rooms+Summary'!AC50</f>
        <v>600</v>
      </c>
      <c r="AD50" s="127">
        <f t="shared" si="21"/>
        <v>8646</v>
      </c>
      <c r="AE50" s="72">
        <f t="shared" si="22"/>
        <v>-8646</v>
      </c>
      <c r="AF50" s="128">
        <f t="shared" si="23"/>
        <v>-1</v>
      </c>
      <c r="AG50" s="129">
        <v>6262</v>
      </c>
      <c r="AH50" s="123">
        <f t="shared" si="24"/>
        <v>-6262</v>
      </c>
      <c r="AK50" s="129"/>
    </row>
    <row r="51" spans="1:37">
      <c r="A51" s="105" t="s">
        <v>232</v>
      </c>
      <c r="B51" s="105" t="s">
        <v>160</v>
      </c>
      <c r="D51" s="105" t="s">
        <v>233</v>
      </c>
      <c r="E51" s="136">
        <f>'Rooms+Summary'!E51</f>
        <v>0</v>
      </c>
      <c r="F51" s="136">
        <f>'Rooms+Summary'!F51</f>
        <v>0</v>
      </c>
      <c r="G51" s="136">
        <f>'Rooms+Summary'!G51</f>
        <v>0</v>
      </c>
      <c r="H51" s="136">
        <f>'Rooms+Summary'!H51</f>
        <v>0</v>
      </c>
      <c r="I51" s="136">
        <f>'Rooms+Summary'!I51</f>
        <v>0</v>
      </c>
      <c r="J51" s="136">
        <f>'Rooms+Summary'!J51</f>
        <v>0</v>
      </c>
      <c r="K51" s="136">
        <f>'Rooms+Summary'!K51</f>
        <v>0</v>
      </c>
      <c r="L51" s="136">
        <f>'Rooms+Summary'!L51</f>
        <v>0</v>
      </c>
      <c r="M51" s="136">
        <f>'Rooms+Summary'!M51</f>
        <v>0</v>
      </c>
      <c r="N51" s="136">
        <f>'Rooms+Summary'!N51</f>
        <v>0</v>
      </c>
      <c r="O51" s="136">
        <f>'Rooms+Summary'!O51</f>
        <v>0</v>
      </c>
      <c r="P51" s="136">
        <f>'Rooms+Summary'!P51</f>
        <v>0</v>
      </c>
      <c r="Q51" s="133">
        <f t="shared" si="26"/>
        <v>0</v>
      </c>
      <c r="R51" s="136">
        <v>12</v>
      </c>
      <c r="S51" s="136">
        <v>7</v>
      </c>
      <c r="T51" s="136">
        <v>6</v>
      </c>
      <c r="U51" s="136">
        <v>10</v>
      </c>
      <c r="V51" s="136">
        <v>24</v>
      </c>
      <c r="W51" s="136">
        <v>8</v>
      </c>
      <c r="X51" s="136">
        <f>'Rooms+Summary'!X51</f>
        <v>9</v>
      </c>
      <c r="Y51" s="136">
        <f>'Rooms+Summary'!Y51</f>
        <v>14</v>
      </c>
      <c r="Z51" s="136">
        <f>'Rooms+Summary'!Z51</f>
        <v>5</v>
      </c>
      <c r="AA51" s="136">
        <f>'Rooms+Summary'!AA51</f>
        <v>5</v>
      </c>
      <c r="AB51" s="136">
        <f>'Rooms+Summary'!AB51</f>
        <v>5</v>
      </c>
      <c r="AC51" s="136">
        <f>'Rooms+Summary'!AC51</f>
        <v>5</v>
      </c>
      <c r="AD51" s="127">
        <f t="shared" si="21"/>
        <v>110</v>
      </c>
      <c r="AE51" s="72">
        <f t="shared" si="22"/>
        <v>-110</v>
      </c>
      <c r="AF51" s="128">
        <f t="shared" si="23"/>
        <v>-1</v>
      </c>
      <c r="AG51" s="129">
        <v>1751</v>
      </c>
      <c r="AH51" s="123">
        <f t="shared" si="24"/>
        <v>-1751</v>
      </c>
      <c r="AK51" s="129"/>
    </row>
    <row r="52" spans="1:37">
      <c r="A52" s="105" t="s">
        <v>234</v>
      </c>
      <c r="B52" s="105" t="s">
        <v>160</v>
      </c>
      <c r="D52" s="105" t="s">
        <v>235</v>
      </c>
      <c r="E52" s="136">
        <f>'Rooms+Summary'!E52</f>
        <v>18860</v>
      </c>
      <c r="F52" s="136">
        <f>'Rooms+Summary'!F52</f>
        <v>17035</v>
      </c>
      <c r="G52" s="136">
        <f>'Rooms+Summary'!G52</f>
        <v>17813</v>
      </c>
      <c r="H52" s="136">
        <f>'Rooms+Summary'!H52</f>
        <v>17005</v>
      </c>
      <c r="I52" s="136">
        <f>'Rooms+Summary'!I52</f>
        <v>17603</v>
      </c>
      <c r="J52" s="136">
        <f>'Rooms+Summary'!J52</f>
        <v>16867</v>
      </c>
      <c r="K52" s="136">
        <f>'Rooms+Summary'!K52</f>
        <v>18860</v>
      </c>
      <c r="L52" s="136">
        <f>'Rooms+Summary'!L52</f>
        <v>18860</v>
      </c>
      <c r="M52" s="136">
        <f>'Rooms+Summary'!M52</f>
        <v>16630</v>
      </c>
      <c r="N52" s="136">
        <f>'Rooms+Summary'!N52</f>
        <v>17393</v>
      </c>
      <c r="O52" s="136">
        <f>'Rooms+Summary'!O52</f>
        <v>16832</v>
      </c>
      <c r="P52" s="136">
        <f>'Rooms+Summary'!P52</f>
        <v>18441</v>
      </c>
      <c r="Q52" s="133">
        <f t="shared" si="26"/>
        <v>212199</v>
      </c>
      <c r="R52" s="136">
        <v>19715</v>
      </c>
      <c r="S52" s="136">
        <v>18855</v>
      </c>
      <c r="T52" s="136">
        <v>19772</v>
      </c>
      <c r="U52" s="136">
        <v>18249</v>
      </c>
      <c r="V52" s="136">
        <v>17477</v>
      </c>
      <c r="W52" s="136">
        <v>17897</v>
      </c>
      <c r="X52" s="136">
        <f>'Rooms+Summary'!X52</f>
        <v>19826</v>
      </c>
      <c r="Y52" s="136">
        <f>'Rooms+Summary'!Y52</f>
        <v>19726</v>
      </c>
      <c r="Z52" s="136">
        <f>'Rooms+Summary'!Z52</f>
        <v>16224</v>
      </c>
      <c r="AA52" s="136">
        <f>'Rooms+Summary'!AA52</f>
        <v>16765</v>
      </c>
      <c r="AB52" s="136">
        <f>'Rooms+Summary'!AB52</f>
        <v>16832</v>
      </c>
      <c r="AC52" s="136">
        <f>'Rooms+Summary'!AC52</f>
        <v>17813</v>
      </c>
      <c r="AD52" s="127">
        <f t="shared" si="21"/>
        <v>219151</v>
      </c>
      <c r="AE52" s="72">
        <f t="shared" si="22"/>
        <v>-6952</v>
      </c>
      <c r="AF52" s="128">
        <f t="shared" si="23"/>
        <v>-3.1722419701484365E-2</v>
      </c>
      <c r="AG52" s="129">
        <v>213673</v>
      </c>
      <c r="AH52" s="123">
        <f t="shared" si="24"/>
        <v>-1474</v>
      </c>
      <c r="AK52" s="129"/>
    </row>
    <row r="53" spans="1:37">
      <c r="A53" s="105" t="s">
        <v>236</v>
      </c>
      <c r="B53" s="105" t="s">
        <v>160</v>
      </c>
      <c r="D53" s="105" t="s">
        <v>237</v>
      </c>
      <c r="E53" s="136">
        <f>'Rooms+Summary'!E53</f>
        <v>62</v>
      </c>
      <c r="F53" s="136">
        <f>'Rooms+Summary'!F53</f>
        <v>62</v>
      </c>
      <c r="G53" s="136">
        <f>'Rooms+Summary'!G53</f>
        <v>62</v>
      </c>
      <c r="H53" s="136">
        <f>'Rooms+Summary'!H53</f>
        <v>62</v>
      </c>
      <c r="I53" s="136">
        <f>'Rooms+Summary'!I53</f>
        <v>62</v>
      </c>
      <c r="J53" s="136">
        <f>'Rooms+Summary'!J53</f>
        <v>62</v>
      </c>
      <c r="K53" s="136">
        <f>'Rooms+Summary'!K53</f>
        <v>62</v>
      </c>
      <c r="L53" s="136">
        <f>'Rooms+Summary'!L53</f>
        <v>62</v>
      </c>
      <c r="M53" s="136">
        <f>'Rooms+Summary'!M53</f>
        <v>62</v>
      </c>
      <c r="N53" s="136">
        <f>'Rooms+Summary'!N53</f>
        <v>62</v>
      </c>
      <c r="O53" s="136">
        <f>'Rooms+Summary'!O53</f>
        <v>62</v>
      </c>
      <c r="P53" s="136">
        <f>'Rooms+Summary'!P53</f>
        <v>62</v>
      </c>
      <c r="Q53" s="133">
        <f t="shared" si="26"/>
        <v>744</v>
      </c>
      <c r="R53" s="136">
        <v>96</v>
      </c>
      <c r="S53" s="136">
        <v>29</v>
      </c>
      <c r="T53" s="136">
        <v>74</v>
      </c>
      <c r="U53" s="136">
        <v>49</v>
      </c>
      <c r="V53" s="136">
        <v>53</v>
      </c>
      <c r="W53" s="136">
        <v>61</v>
      </c>
      <c r="X53" s="136">
        <f>'Rooms+Summary'!X53</f>
        <v>73</v>
      </c>
      <c r="Y53" s="136">
        <f>'Rooms+Summary'!Y53</f>
        <v>93</v>
      </c>
      <c r="Z53" s="136">
        <f>'Rooms+Summary'!Z53</f>
        <v>200</v>
      </c>
      <c r="AA53" s="136">
        <f>'Rooms+Summary'!AA53</f>
        <v>150</v>
      </c>
      <c r="AB53" s="136">
        <f>'Rooms+Summary'!AB53</f>
        <v>200</v>
      </c>
      <c r="AC53" s="136">
        <f>'Rooms+Summary'!AC53</f>
        <v>150</v>
      </c>
      <c r="AD53" s="127">
        <f t="shared" si="21"/>
        <v>1228</v>
      </c>
      <c r="AE53" s="72">
        <f t="shared" si="22"/>
        <v>-484</v>
      </c>
      <c r="AF53" s="128">
        <f t="shared" si="23"/>
        <v>-0.39413680781758959</v>
      </c>
      <c r="AG53" s="129">
        <v>1723</v>
      </c>
      <c r="AH53" s="123">
        <f t="shared" si="24"/>
        <v>-979</v>
      </c>
      <c r="AK53" s="129"/>
    </row>
    <row r="54" spans="1:37">
      <c r="A54" s="105" t="s">
        <v>238</v>
      </c>
      <c r="B54" s="105" t="s">
        <v>160</v>
      </c>
      <c r="D54" s="105" t="s">
        <v>239</v>
      </c>
      <c r="E54" s="136">
        <f>'Rooms+Summary'!E54</f>
        <v>54</v>
      </c>
      <c r="F54" s="136">
        <f>'Rooms+Summary'!F54</f>
        <v>54</v>
      </c>
      <c r="G54" s="136">
        <f>'Rooms+Summary'!G54</f>
        <v>54</v>
      </c>
      <c r="H54" s="136">
        <f>'Rooms+Summary'!H54</f>
        <v>54</v>
      </c>
      <c r="I54" s="136">
        <f>'Rooms+Summary'!I54</f>
        <v>54</v>
      </c>
      <c r="J54" s="136">
        <f>'Rooms+Summary'!J54</f>
        <v>54</v>
      </c>
      <c r="K54" s="136">
        <f>'Rooms+Summary'!K54</f>
        <v>54</v>
      </c>
      <c r="L54" s="136">
        <f>'Rooms+Summary'!L54</f>
        <v>54</v>
      </c>
      <c r="M54" s="136">
        <f>'Rooms+Summary'!M54</f>
        <v>54</v>
      </c>
      <c r="N54" s="136">
        <f>'Rooms+Summary'!N54</f>
        <v>54</v>
      </c>
      <c r="O54" s="136">
        <f>'Rooms+Summary'!O54</f>
        <v>54</v>
      </c>
      <c r="P54" s="136">
        <f>'Rooms+Summary'!P54</f>
        <v>54</v>
      </c>
      <c r="Q54" s="133">
        <f t="shared" si="26"/>
        <v>648</v>
      </c>
      <c r="R54" s="136">
        <v>59</v>
      </c>
      <c r="S54" s="136">
        <v>43</v>
      </c>
      <c r="T54" s="136">
        <v>57</v>
      </c>
      <c r="U54" s="136">
        <v>65</v>
      </c>
      <c r="V54" s="136">
        <v>63</v>
      </c>
      <c r="W54" s="136">
        <v>57</v>
      </c>
      <c r="X54" s="136">
        <f>'Rooms+Summary'!X54</f>
        <v>40</v>
      </c>
      <c r="Y54" s="136">
        <f>'Rooms+Summary'!Y54</f>
        <v>44</v>
      </c>
      <c r="Z54" s="136">
        <f>'Rooms+Summary'!Z54</f>
        <v>60</v>
      </c>
      <c r="AA54" s="136">
        <f>'Rooms+Summary'!AA54</f>
        <v>60</v>
      </c>
      <c r="AB54" s="136">
        <f>'Rooms+Summary'!AB54</f>
        <v>60</v>
      </c>
      <c r="AC54" s="136">
        <f>'Rooms+Summary'!AC54</f>
        <v>60</v>
      </c>
      <c r="AD54" s="127">
        <f t="shared" si="21"/>
        <v>668</v>
      </c>
      <c r="AE54" s="72">
        <f t="shared" si="22"/>
        <v>-20</v>
      </c>
      <c r="AF54" s="128">
        <f t="shared" si="23"/>
        <v>-2.9940119760479042E-2</v>
      </c>
      <c r="AG54" s="129">
        <v>711</v>
      </c>
      <c r="AH54" s="123">
        <f t="shared" si="24"/>
        <v>-63</v>
      </c>
      <c r="AK54" s="129"/>
    </row>
    <row r="55" spans="1:37">
      <c r="D55" s="105" t="s">
        <v>240</v>
      </c>
      <c r="E55" s="137">
        <f t="shared" ref="E55:Q55" si="28">SUM(E52:E54)</f>
        <v>18976</v>
      </c>
      <c r="F55" s="137">
        <f t="shared" si="28"/>
        <v>17151</v>
      </c>
      <c r="G55" s="137">
        <f t="shared" si="28"/>
        <v>17929</v>
      </c>
      <c r="H55" s="137">
        <f t="shared" si="28"/>
        <v>17121</v>
      </c>
      <c r="I55" s="137">
        <f t="shared" si="28"/>
        <v>17719</v>
      </c>
      <c r="J55" s="137">
        <f t="shared" si="28"/>
        <v>16983</v>
      </c>
      <c r="K55" s="137">
        <f t="shared" si="28"/>
        <v>18976</v>
      </c>
      <c r="L55" s="137">
        <f t="shared" si="28"/>
        <v>18976</v>
      </c>
      <c r="M55" s="137">
        <f t="shared" si="28"/>
        <v>16746</v>
      </c>
      <c r="N55" s="137">
        <f t="shared" si="28"/>
        <v>17509</v>
      </c>
      <c r="O55" s="137">
        <f t="shared" si="28"/>
        <v>16948</v>
      </c>
      <c r="P55" s="137">
        <f t="shared" si="28"/>
        <v>18557</v>
      </c>
      <c r="Q55" s="133">
        <f t="shared" si="28"/>
        <v>213591</v>
      </c>
      <c r="R55" s="137">
        <f t="shared" ref="R55:AD55" si="29">SUM(R52:R54)</f>
        <v>19870</v>
      </c>
      <c r="S55" s="137">
        <f t="shared" si="29"/>
        <v>18927</v>
      </c>
      <c r="T55" s="137">
        <f t="shared" si="29"/>
        <v>19903</v>
      </c>
      <c r="U55" s="137">
        <f t="shared" si="29"/>
        <v>18363</v>
      </c>
      <c r="V55" s="137">
        <f t="shared" si="29"/>
        <v>17593</v>
      </c>
      <c r="W55" s="137">
        <f t="shared" si="29"/>
        <v>18015</v>
      </c>
      <c r="X55" s="137">
        <f t="shared" si="29"/>
        <v>19939</v>
      </c>
      <c r="Y55" s="137">
        <f t="shared" si="29"/>
        <v>19863</v>
      </c>
      <c r="Z55" s="137">
        <f t="shared" si="29"/>
        <v>16484</v>
      </c>
      <c r="AA55" s="137">
        <f t="shared" si="29"/>
        <v>16975</v>
      </c>
      <c r="AB55" s="137">
        <f t="shared" si="29"/>
        <v>17092</v>
      </c>
      <c r="AC55" s="137">
        <f t="shared" si="29"/>
        <v>18023</v>
      </c>
      <c r="AD55" s="137">
        <f t="shared" si="29"/>
        <v>221047</v>
      </c>
      <c r="AE55" s="72">
        <f t="shared" si="22"/>
        <v>-7456</v>
      </c>
      <c r="AF55" s="128">
        <f t="shared" si="23"/>
        <v>-3.3730383131189291E-2</v>
      </c>
      <c r="AG55" s="129">
        <v>216107</v>
      </c>
      <c r="AH55" s="123">
        <f t="shared" si="24"/>
        <v>-2516</v>
      </c>
      <c r="AK55" s="129"/>
    </row>
    <row r="56" spans="1:37">
      <c r="D56" s="105" t="s">
        <v>241</v>
      </c>
      <c r="E56" s="138">
        <f t="shared" ref="E56:AD56" si="30">E55/E48</f>
        <v>0.90551631990837944</v>
      </c>
      <c r="F56" s="138">
        <f t="shared" si="30"/>
        <v>0.90611792054099749</v>
      </c>
      <c r="G56" s="138">
        <f t="shared" si="30"/>
        <v>0.85555449513265891</v>
      </c>
      <c r="H56" s="138">
        <f t="shared" si="30"/>
        <v>0.84423076923076923</v>
      </c>
      <c r="I56" s="138">
        <f t="shared" si="30"/>
        <v>0.84553349875930517</v>
      </c>
      <c r="J56" s="138">
        <f t="shared" si="30"/>
        <v>0.83742603550295858</v>
      </c>
      <c r="K56" s="138">
        <f t="shared" si="30"/>
        <v>0.90551631990837944</v>
      </c>
      <c r="L56" s="138">
        <f t="shared" si="30"/>
        <v>0.90551631990837944</v>
      </c>
      <c r="M56" s="138">
        <f t="shared" si="30"/>
        <v>0.82573964497041419</v>
      </c>
      <c r="N56" s="138">
        <f t="shared" si="30"/>
        <v>0.83551250238595154</v>
      </c>
      <c r="O56" s="138">
        <f t="shared" si="30"/>
        <v>0.83570019723865874</v>
      </c>
      <c r="P56" s="138">
        <f t="shared" si="30"/>
        <v>0.88552204619202135</v>
      </c>
      <c r="Q56" s="139">
        <f t="shared" si="30"/>
        <v>0.86565210342871035</v>
      </c>
      <c r="R56" s="138">
        <f t="shared" si="30"/>
        <v>0.94817713304065665</v>
      </c>
      <c r="S56" s="138">
        <f t="shared" si="30"/>
        <v>0.96546623138135079</v>
      </c>
      <c r="T56" s="138">
        <f t="shared" si="30"/>
        <v>0.94975186104218368</v>
      </c>
      <c r="U56" s="138">
        <f t="shared" si="30"/>
        <v>0.9054733727810651</v>
      </c>
      <c r="V56" s="138">
        <f t="shared" si="30"/>
        <v>0.83952090093529297</v>
      </c>
      <c r="W56" s="138">
        <f t="shared" si="30"/>
        <v>0.88831360946745563</v>
      </c>
      <c r="X56" s="138">
        <f t="shared" si="30"/>
        <v>0.95146974613475854</v>
      </c>
      <c r="Y56" s="138">
        <f t="shared" si="30"/>
        <v>0.94784309982821147</v>
      </c>
      <c r="Z56" s="138">
        <f t="shared" si="30"/>
        <v>0.81282051282051282</v>
      </c>
      <c r="AA56" s="138">
        <f t="shared" si="30"/>
        <v>0.81003054017942355</v>
      </c>
      <c r="AB56" s="138">
        <f t="shared" si="30"/>
        <v>0.84280078895463506</v>
      </c>
      <c r="AC56" s="138">
        <f t="shared" si="30"/>
        <v>0.86004008398549336</v>
      </c>
      <c r="AD56" s="139">
        <f t="shared" si="30"/>
        <v>0.89342241407184664</v>
      </c>
      <c r="AE56" s="128">
        <f t="shared" si="22"/>
        <v>-2.7770310643136287E-2</v>
      </c>
      <c r="AF56" s="128">
        <f t="shared" si="23"/>
        <v>-3.1083069112370704E-2</v>
      </c>
      <c r="AG56" s="129">
        <v>0.87584907189754402</v>
      </c>
      <c r="AH56" s="123">
        <f t="shared" si="24"/>
        <v>-1.0196968468833667E-2</v>
      </c>
      <c r="AK56" s="129"/>
    </row>
    <row r="57" spans="1:37">
      <c r="D57" s="105" t="s">
        <v>242</v>
      </c>
      <c r="E57" s="138">
        <f t="shared" ref="E57:AD57" si="31">E52/E48</f>
        <v>0.89998091238786027</v>
      </c>
      <c r="F57" s="138">
        <f t="shared" si="31"/>
        <v>0.89998943364327977</v>
      </c>
      <c r="G57" s="138">
        <f t="shared" si="31"/>
        <v>0.85001908761213973</v>
      </c>
      <c r="H57" s="138">
        <f t="shared" si="31"/>
        <v>0.83851084812623278</v>
      </c>
      <c r="I57" s="138">
        <f t="shared" si="31"/>
        <v>0.83999809123878599</v>
      </c>
      <c r="J57" s="138">
        <f t="shared" si="31"/>
        <v>0.83170611439842212</v>
      </c>
      <c r="K57" s="138">
        <f t="shared" si="31"/>
        <v>0.89998091238786027</v>
      </c>
      <c r="L57" s="138">
        <f t="shared" si="31"/>
        <v>0.89998091238786027</v>
      </c>
      <c r="M57" s="138">
        <f t="shared" si="31"/>
        <v>0.82001972386587774</v>
      </c>
      <c r="N57" s="138">
        <f t="shared" si="31"/>
        <v>0.82997709486543236</v>
      </c>
      <c r="O57" s="138">
        <f t="shared" si="31"/>
        <v>0.82998027613412229</v>
      </c>
      <c r="P57" s="138">
        <f t="shared" si="31"/>
        <v>0.87998663867150217</v>
      </c>
      <c r="Q57" s="139">
        <f t="shared" si="31"/>
        <v>0.86001053740779765</v>
      </c>
      <c r="R57" s="138">
        <f t="shared" si="31"/>
        <v>0.94078068333651466</v>
      </c>
      <c r="S57" s="138">
        <f t="shared" si="31"/>
        <v>0.96179351152825954</v>
      </c>
      <c r="T57" s="138">
        <f t="shared" si="31"/>
        <v>0.94350066806642485</v>
      </c>
      <c r="U57" s="138">
        <f t="shared" si="31"/>
        <v>0.89985207100591713</v>
      </c>
      <c r="V57" s="138">
        <f t="shared" si="31"/>
        <v>0.83398549341477379</v>
      </c>
      <c r="W57" s="138">
        <f t="shared" si="31"/>
        <v>0.88249506903353059</v>
      </c>
      <c r="X57" s="138">
        <f t="shared" si="31"/>
        <v>0.94607749570528732</v>
      </c>
      <c r="Y57" s="138">
        <f t="shared" si="31"/>
        <v>0.94130559267035696</v>
      </c>
      <c r="Z57" s="138">
        <f t="shared" si="31"/>
        <v>0.8</v>
      </c>
      <c r="AA57" s="138">
        <f t="shared" si="31"/>
        <v>0.80000954380606981</v>
      </c>
      <c r="AB57" s="138">
        <f t="shared" si="31"/>
        <v>0.82998027613412229</v>
      </c>
      <c r="AC57" s="138">
        <f t="shared" si="31"/>
        <v>0.85001908761213973</v>
      </c>
      <c r="AD57" s="139">
        <f t="shared" si="31"/>
        <v>0.88575920716526013</v>
      </c>
      <c r="AE57" s="128">
        <f t="shared" si="22"/>
        <v>-2.5748669757462483E-2</v>
      </c>
      <c r="AF57" s="128">
        <f t="shared" si="23"/>
        <v>-2.9069604412995321E-2</v>
      </c>
      <c r="AG57" s="129">
        <v>0.86598443705925265</v>
      </c>
      <c r="AH57" s="123">
        <f t="shared" si="24"/>
        <v>-5.9738996514550058E-3</v>
      </c>
      <c r="AK57" s="129"/>
    </row>
    <row r="58" spans="1:37">
      <c r="D58" s="105" t="s">
        <v>243</v>
      </c>
      <c r="E58" s="136">
        <f t="shared" ref="E58:AD58" si="32">E15/E52</f>
        <v>0</v>
      </c>
      <c r="F58" s="136">
        <f t="shared" si="32"/>
        <v>0</v>
      </c>
      <c r="G58" s="136">
        <f t="shared" si="32"/>
        <v>0</v>
      </c>
      <c r="H58" s="136">
        <f t="shared" si="32"/>
        <v>0</v>
      </c>
      <c r="I58" s="136">
        <f t="shared" si="32"/>
        <v>0</v>
      </c>
      <c r="J58" s="136">
        <f t="shared" si="32"/>
        <v>0</v>
      </c>
      <c r="K58" s="136">
        <f t="shared" si="32"/>
        <v>0</v>
      </c>
      <c r="L58" s="136">
        <f t="shared" si="32"/>
        <v>0</v>
      </c>
      <c r="M58" s="136">
        <f t="shared" si="32"/>
        <v>0</v>
      </c>
      <c r="N58" s="136">
        <f t="shared" si="32"/>
        <v>0</v>
      </c>
      <c r="O58" s="136">
        <f t="shared" si="32"/>
        <v>0</v>
      </c>
      <c r="P58" s="136">
        <f t="shared" si="32"/>
        <v>0</v>
      </c>
      <c r="Q58" s="137">
        <f t="shared" si="32"/>
        <v>0</v>
      </c>
      <c r="R58" s="136">
        <f t="shared" si="32"/>
        <v>0</v>
      </c>
      <c r="S58" s="136">
        <f t="shared" si="32"/>
        <v>0</v>
      </c>
      <c r="T58" s="136">
        <f t="shared" si="32"/>
        <v>0</v>
      </c>
      <c r="U58" s="136">
        <f t="shared" si="32"/>
        <v>0</v>
      </c>
      <c r="V58" s="136">
        <f t="shared" si="32"/>
        <v>0</v>
      </c>
      <c r="W58" s="136">
        <f t="shared" si="32"/>
        <v>0</v>
      </c>
      <c r="X58" s="136">
        <f t="shared" si="32"/>
        <v>0</v>
      </c>
      <c r="Y58" s="136">
        <f t="shared" si="32"/>
        <v>0</v>
      </c>
      <c r="Z58" s="136">
        <f t="shared" si="32"/>
        <v>0</v>
      </c>
      <c r="AA58" s="136">
        <f t="shared" si="32"/>
        <v>0</v>
      </c>
      <c r="AB58" s="136">
        <f t="shared" si="32"/>
        <v>0</v>
      </c>
      <c r="AC58" s="136">
        <f t="shared" si="32"/>
        <v>0</v>
      </c>
      <c r="AD58" s="137">
        <f t="shared" si="32"/>
        <v>0</v>
      </c>
      <c r="AE58" s="72">
        <f t="shared" si="22"/>
        <v>0</v>
      </c>
      <c r="AF58" s="128" t="e">
        <f t="shared" si="23"/>
        <v>#DIV/0!</v>
      </c>
      <c r="AG58" s="129">
        <v>0</v>
      </c>
      <c r="AH58" s="123">
        <f t="shared" si="24"/>
        <v>0</v>
      </c>
      <c r="AK58" s="129"/>
    </row>
    <row r="59" spans="1:37">
      <c r="D59" s="105" t="s">
        <v>244</v>
      </c>
      <c r="E59" s="136">
        <f t="shared" ref="E59:AD59" si="33">E15/E48</f>
        <v>0</v>
      </c>
      <c r="F59" s="136">
        <f t="shared" si="33"/>
        <v>0</v>
      </c>
      <c r="G59" s="136">
        <f t="shared" si="33"/>
        <v>0</v>
      </c>
      <c r="H59" s="136">
        <f t="shared" si="33"/>
        <v>0</v>
      </c>
      <c r="I59" s="136">
        <f t="shared" si="33"/>
        <v>0</v>
      </c>
      <c r="J59" s="136">
        <f t="shared" si="33"/>
        <v>0</v>
      </c>
      <c r="K59" s="136">
        <f t="shared" si="33"/>
        <v>0</v>
      </c>
      <c r="L59" s="136">
        <f t="shared" si="33"/>
        <v>0</v>
      </c>
      <c r="M59" s="136">
        <f t="shared" si="33"/>
        <v>0</v>
      </c>
      <c r="N59" s="136">
        <f t="shared" si="33"/>
        <v>0</v>
      </c>
      <c r="O59" s="136">
        <f t="shared" si="33"/>
        <v>0</v>
      </c>
      <c r="P59" s="136">
        <f t="shared" si="33"/>
        <v>0</v>
      </c>
      <c r="Q59" s="137">
        <f t="shared" si="33"/>
        <v>0</v>
      </c>
      <c r="R59" s="136">
        <f t="shared" si="33"/>
        <v>0</v>
      </c>
      <c r="S59" s="136">
        <f t="shared" si="33"/>
        <v>0</v>
      </c>
      <c r="T59" s="136">
        <f t="shared" si="33"/>
        <v>0</v>
      </c>
      <c r="U59" s="136">
        <f t="shared" si="33"/>
        <v>0</v>
      </c>
      <c r="V59" s="136">
        <f t="shared" si="33"/>
        <v>0</v>
      </c>
      <c r="W59" s="136">
        <f t="shared" si="33"/>
        <v>0</v>
      </c>
      <c r="X59" s="136">
        <f t="shared" si="33"/>
        <v>0</v>
      </c>
      <c r="Y59" s="136">
        <f t="shared" si="33"/>
        <v>0</v>
      </c>
      <c r="Z59" s="136">
        <f t="shared" si="33"/>
        <v>0</v>
      </c>
      <c r="AA59" s="136">
        <f t="shared" si="33"/>
        <v>0</v>
      </c>
      <c r="AB59" s="136">
        <f t="shared" si="33"/>
        <v>0</v>
      </c>
      <c r="AC59" s="136">
        <f t="shared" si="33"/>
        <v>0</v>
      </c>
      <c r="AD59" s="137">
        <f t="shared" si="33"/>
        <v>0</v>
      </c>
      <c r="AE59" s="72">
        <f t="shared" si="22"/>
        <v>0</v>
      </c>
      <c r="AF59" s="128" t="e">
        <f t="shared" si="23"/>
        <v>#DIV/0!</v>
      </c>
      <c r="AG59" s="129">
        <v>0</v>
      </c>
      <c r="AH59" s="123">
        <f t="shared" si="24"/>
        <v>0</v>
      </c>
      <c r="AK59" s="129"/>
    </row>
    <row r="60" spans="1:37">
      <c r="D60" s="105" t="s">
        <v>245</v>
      </c>
      <c r="E60" s="135">
        <f t="shared" ref="E60:AD60" si="34">(E44+E17)/E55</f>
        <v>147.69508220910623</v>
      </c>
      <c r="F60" s="135">
        <f t="shared" si="34"/>
        <v>133.63335140808118</v>
      </c>
      <c r="G60" s="135">
        <f t="shared" si="34"/>
        <v>122.11857995426405</v>
      </c>
      <c r="H60" s="135">
        <f t="shared" si="34"/>
        <v>130.82385257870453</v>
      </c>
      <c r="I60" s="135">
        <f t="shared" si="34"/>
        <v>128.11683108527569</v>
      </c>
      <c r="J60" s="135">
        <f t="shared" si="34"/>
        <v>127.73762998292409</v>
      </c>
      <c r="K60" s="135">
        <f t="shared" si="34"/>
        <v>124.81919055649242</v>
      </c>
      <c r="L60" s="135">
        <f t="shared" si="34"/>
        <v>124.70568771079257</v>
      </c>
      <c r="M60" s="135">
        <f t="shared" si="34"/>
        <v>130.49222142601221</v>
      </c>
      <c r="N60" s="135">
        <f t="shared" si="34"/>
        <v>141.58291792792278</v>
      </c>
      <c r="O60" s="135">
        <f t="shared" si="34"/>
        <v>131.64441527023837</v>
      </c>
      <c r="P60" s="135">
        <f t="shared" si="34"/>
        <v>125.45360025866249</v>
      </c>
      <c r="Q60" s="135">
        <f t="shared" si="34"/>
        <v>130.72512952324772</v>
      </c>
      <c r="R60" s="135">
        <f t="shared" si="34"/>
        <v>148.55700402617009</v>
      </c>
      <c r="S60" s="135">
        <f t="shared" si="34"/>
        <v>172.73679294130076</v>
      </c>
      <c r="T60" s="135">
        <f t="shared" si="34"/>
        <v>136.40405767974676</v>
      </c>
      <c r="U60" s="135">
        <f t="shared" si="34"/>
        <v>134.3466448837336</v>
      </c>
      <c r="V60" s="135">
        <f t="shared" si="34"/>
        <v>147.45384300574094</v>
      </c>
      <c r="W60" s="135">
        <f t="shared" si="34"/>
        <v>121.5548021093533</v>
      </c>
      <c r="X60" s="135">
        <f t="shared" si="34"/>
        <v>115.1405837805306</v>
      </c>
      <c r="Y60" s="135">
        <f t="shared" si="34"/>
        <v>125.31125711121177</v>
      </c>
      <c r="Z60" s="135">
        <f t="shared" si="34"/>
        <v>137.29092574617812</v>
      </c>
      <c r="AA60" s="135">
        <f t="shared" si="34"/>
        <v>147.08516170839471</v>
      </c>
      <c r="AB60" s="135">
        <f t="shared" si="34"/>
        <v>139.78168850924411</v>
      </c>
      <c r="AC60" s="135">
        <f t="shared" si="34"/>
        <v>143.71439937857184</v>
      </c>
      <c r="AD60" s="135">
        <f t="shared" si="34"/>
        <v>138.93458246436276</v>
      </c>
      <c r="AE60" s="117">
        <f t="shared" si="22"/>
        <v>-8.2094529411150461</v>
      </c>
      <c r="AF60" s="128">
        <f t="shared" si="23"/>
        <v>-5.9088621389284425E-2</v>
      </c>
      <c r="AG60" s="129">
        <v>122.7773696826109</v>
      </c>
      <c r="AH60" s="133">
        <f t="shared" ref="AH60:AH101" si="35">AG60-Q60</f>
        <v>-7.9477598406368202</v>
      </c>
      <c r="AK60" s="129"/>
    </row>
    <row r="61" spans="1:37">
      <c r="D61" s="105" t="s">
        <v>154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35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35"/>
      <c r="AF61" s="128"/>
      <c r="AG61" s="129"/>
      <c r="AH61" s="133">
        <f t="shared" si="35"/>
        <v>0</v>
      </c>
      <c r="AK61" s="129"/>
    </row>
    <row r="62" spans="1:37">
      <c r="D62" s="109" t="s">
        <v>246</v>
      </c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35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35"/>
      <c r="AF62" s="128"/>
      <c r="AG62" s="129"/>
      <c r="AH62" s="133">
        <f t="shared" si="35"/>
        <v>0</v>
      </c>
      <c r="AK62" s="129"/>
    </row>
    <row r="63" spans="1:37">
      <c r="D63" s="105" t="s">
        <v>247</v>
      </c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35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35"/>
      <c r="AF63" s="128"/>
      <c r="AG63" s="129"/>
      <c r="AH63" s="133">
        <f t="shared" si="35"/>
        <v>0</v>
      </c>
      <c r="AK63" s="129"/>
    </row>
    <row r="64" spans="1:37">
      <c r="A64" s="105" t="s">
        <v>248</v>
      </c>
      <c r="B64" s="105" t="s">
        <v>254</v>
      </c>
      <c r="D64" s="105" t="s">
        <v>250</v>
      </c>
      <c r="E64" s="136">
        <v>61180</v>
      </c>
      <c r="F64" s="136">
        <v>61180</v>
      </c>
      <c r="G64" s="136">
        <v>62426.399999999994</v>
      </c>
      <c r="H64" s="136">
        <v>62426.399999999994</v>
      </c>
      <c r="I64" s="136">
        <v>62426.399999999994</v>
      </c>
      <c r="J64" s="136">
        <v>62426.399999999994</v>
      </c>
      <c r="K64" s="136">
        <v>62426.399999999994</v>
      </c>
      <c r="L64" s="136">
        <v>62426.399999999994</v>
      </c>
      <c r="M64" s="136">
        <v>62426.399999999994</v>
      </c>
      <c r="N64" s="136">
        <v>62426.399999999994</v>
      </c>
      <c r="O64" s="136">
        <v>62426.399999999994</v>
      </c>
      <c r="P64" s="136">
        <v>62426.399999999994</v>
      </c>
      <c r="Q64" s="135">
        <f>SUM(E64:P64)</f>
        <v>746624.00000000012</v>
      </c>
      <c r="R64" s="136">
        <v>65182.76</v>
      </c>
      <c r="S64" s="136">
        <v>66014</v>
      </c>
      <c r="T64" s="136">
        <v>65976</v>
      </c>
      <c r="U64" s="136">
        <v>65900</v>
      </c>
      <c r="V64" s="136">
        <v>60997.9</v>
      </c>
      <c r="W64" s="136">
        <v>48242</v>
      </c>
      <c r="X64" s="72">
        <v>48166</v>
      </c>
      <c r="Y64" s="72">
        <v>54226.25</v>
      </c>
      <c r="Z64" s="72">
        <v>65600</v>
      </c>
      <c r="AA64" s="72">
        <v>65600</v>
      </c>
      <c r="AB64" s="72">
        <v>65600</v>
      </c>
      <c r="AC64" s="72">
        <v>65600</v>
      </c>
      <c r="AD64" s="127">
        <f>SUM(R64:AC64)</f>
        <v>737104.91</v>
      </c>
      <c r="AE64" s="72">
        <f t="shared" ref="AE64:AE69" si="36">Q64-AD64</f>
        <v>9519.0900000000838</v>
      </c>
      <c r="AF64" s="128">
        <f t="shared" ref="AF64:AF69" si="37">AE64/AD64</f>
        <v>1.2914158989932768E-2</v>
      </c>
      <c r="AG64" s="129">
        <v>878460.59</v>
      </c>
      <c r="AH64" s="133">
        <f t="shared" si="35"/>
        <v>131836.58999999985</v>
      </c>
      <c r="AK64" s="129"/>
    </row>
    <row r="65" spans="1:37">
      <c r="A65" s="105" t="s">
        <v>326</v>
      </c>
      <c r="D65" s="105" t="s">
        <v>253</v>
      </c>
      <c r="E65" s="136">
        <v>0</v>
      </c>
      <c r="F65" s="136">
        <v>0</v>
      </c>
      <c r="G65" s="136">
        <v>0</v>
      </c>
      <c r="H65" s="136">
        <v>0</v>
      </c>
      <c r="I65" s="136">
        <v>0</v>
      </c>
      <c r="J65" s="136">
        <v>0</v>
      </c>
      <c r="K65" s="136">
        <v>0</v>
      </c>
      <c r="L65" s="136">
        <v>0</v>
      </c>
      <c r="M65" s="136">
        <v>0</v>
      </c>
      <c r="N65" s="136">
        <v>0</v>
      </c>
      <c r="O65" s="136">
        <v>0</v>
      </c>
      <c r="P65" s="136">
        <v>0</v>
      </c>
      <c r="Q65" s="135">
        <f>SUM(E65:P65)</f>
        <v>0</v>
      </c>
      <c r="R65" s="136">
        <v>0</v>
      </c>
      <c r="S65" s="136">
        <v>0</v>
      </c>
      <c r="T65" s="136">
        <v>0</v>
      </c>
      <c r="U65" s="136">
        <v>0</v>
      </c>
      <c r="V65" s="136">
        <v>0</v>
      </c>
      <c r="W65" s="136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127">
        <f>SUM(R65:AC65)</f>
        <v>0</v>
      </c>
      <c r="AE65" s="72">
        <f t="shared" si="36"/>
        <v>0</v>
      </c>
      <c r="AF65" s="128" t="e">
        <f t="shared" si="37"/>
        <v>#DIV/0!</v>
      </c>
      <c r="AG65" s="129">
        <v>0</v>
      </c>
      <c r="AH65" s="133">
        <f t="shared" si="35"/>
        <v>0</v>
      </c>
      <c r="AK65" s="129"/>
    </row>
    <row r="66" spans="1:37">
      <c r="A66" s="105" t="s">
        <v>251</v>
      </c>
      <c r="B66" s="105" t="s">
        <v>254</v>
      </c>
      <c r="D66" s="105" t="s">
        <v>255</v>
      </c>
      <c r="E66" s="136">
        <v>82365</v>
      </c>
      <c r="F66" s="136">
        <v>82365</v>
      </c>
      <c r="G66" s="136">
        <v>87281.25</v>
      </c>
      <c r="H66" s="136">
        <v>96258.75</v>
      </c>
      <c r="I66" s="136">
        <v>96258.75</v>
      </c>
      <c r="J66" s="136">
        <v>99450.75</v>
      </c>
      <c r="K66" s="136">
        <v>99450.75</v>
      </c>
      <c r="L66" s="136">
        <v>99450.75</v>
      </c>
      <c r="M66" s="136">
        <v>99450.75</v>
      </c>
      <c r="N66" s="136">
        <v>99450.75</v>
      </c>
      <c r="O66" s="136">
        <v>99450.75</v>
      </c>
      <c r="P66" s="136">
        <v>99450.75</v>
      </c>
      <c r="Q66" s="135">
        <f>SUM(E66:P66)</f>
        <v>1140684</v>
      </c>
      <c r="R66" s="136">
        <v>98933.21</v>
      </c>
      <c r="S66" s="136">
        <v>109834.46</v>
      </c>
      <c r="T66" s="136">
        <v>104281.94</v>
      </c>
      <c r="U66" s="136">
        <v>88975.24</v>
      </c>
      <c r="V66" s="136">
        <v>97592.99</v>
      </c>
      <c r="W66" s="136">
        <v>91168.88</v>
      </c>
      <c r="X66" s="72">
        <v>89845.42</v>
      </c>
      <c r="Y66" s="72">
        <v>92116.38</v>
      </c>
      <c r="Z66" s="72">
        <v>90062</v>
      </c>
      <c r="AA66" s="72">
        <v>120062</v>
      </c>
      <c r="AB66" s="72">
        <v>120062</v>
      </c>
      <c r="AC66" s="72">
        <v>120062</v>
      </c>
      <c r="AD66" s="127">
        <f>SUM(R66:AC66)</f>
        <v>1222996.52</v>
      </c>
      <c r="AE66" s="72">
        <f t="shared" si="36"/>
        <v>-82312.520000000019</v>
      </c>
      <c r="AF66" s="128">
        <f t="shared" si="37"/>
        <v>-6.7303969106960349E-2</v>
      </c>
      <c r="AG66" s="129">
        <v>3068265.11</v>
      </c>
      <c r="AH66" s="133">
        <f t="shared" si="35"/>
        <v>1927581.1099999999</v>
      </c>
      <c r="AK66" s="129"/>
    </row>
    <row r="67" spans="1:37">
      <c r="A67" s="105" t="s">
        <v>327</v>
      </c>
      <c r="D67" s="105" t="s">
        <v>257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  <c r="Q67" s="135">
        <f>SUM(E67:P67)</f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136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127">
        <f>SUM(R67:AC67)</f>
        <v>0</v>
      </c>
      <c r="AE67" s="72">
        <f t="shared" si="36"/>
        <v>0</v>
      </c>
      <c r="AF67" s="128" t="e">
        <f t="shared" si="37"/>
        <v>#DIV/0!</v>
      </c>
      <c r="AG67" s="129">
        <v>0</v>
      </c>
      <c r="AH67" s="133">
        <f t="shared" si="35"/>
        <v>0</v>
      </c>
      <c r="AK67" s="129"/>
    </row>
    <row r="68" spans="1:37">
      <c r="A68" s="105" t="s">
        <v>327</v>
      </c>
      <c r="D68" s="105" t="s">
        <v>328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6">
        <v>0</v>
      </c>
      <c r="O68" s="136">
        <v>0</v>
      </c>
      <c r="P68" s="136">
        <v>0</v>
      </c>
      <c r="Q68" s="135">
        <f>SUM(E68:P68)</f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136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127">
        <f>SUM(R68:AC68)</f>
        <v>0</v>
      </c>
      <c r="AE68" s="72">
        <f t="shared" si="36"/>
        <v>0</v>
      </c>
      <c r="AF68" s="128" t="e">
        <f t="shared" si="37"/>
        <v>#DIV/0!</v>
      </c>
      <c r="AG68" s="129">
        <v>0</v>
      </c>
      <c r="AH68" s="133">
        <f t="shared" si="35"/>
        <v>0</v>
      </c>
      <c r="AK68" s="129"/>
    </row>
    <row r="69" spans="1:37">
      <c r="D69" s="109" t="s">
        <v>259</v>
      </c>
      <c r="E69" s="135">
        <f t="shared" ref="E69:AD69" si="38">SUM(E64:E68)</f>
        <v>143545</v>
      </c>
      <c r="F69" s="135">
        <f t="shared" si="38"/>
        <v>143545</v>
      </c>
      <c r="G69" s="135">
        <f t="shared" si="38"/>
        <v>149707.65</v>
      </c>
      <c r="H69" s="135">
        <f t="shared" si="38"/>
        <v>158685.15</v>
      </c>
      <c r="I69" s="135">
        <f t="shared" si="38"/>
        <v>158685.15</v>
      </c>
      <c r="J69" s="135">
        <f t="shared" si="38"/>
        <v>161877.15</v>
      </c>
      <c r="K69" s="135">
        <f t="shared" si="38"/>
        <v>161877.15</v>
      </c>
      <c r="L69" s="135">
        <f t="shared" si="38"/>
        <v>161877.15</v>
      </c>
      <c r="M69" s="135">
        <f t="shared" si="38"/>
        <v>161877.15</v>
      </c>
      <c r="N69" s="135">
        <f t="shared" si="38"/>
        <v>161877.15</v>
      </c>
      <c r="O69" s="135">
        <f t="shared" si="38"/>
        <v>161877.15</v>
      </c>
      <c r="P69" s="135">
        <f t="shared" si="38"/>
        <v>161877.15</v>
      </c>
      <c r="Q69" s="135">
        <f t="shared" si="38"/>
        <v>1887308</v>
      </c>
      <c r="R69" s="135">
        <f t="shared" si="38"/>
        <v>164115.97</v>
      </c>
      <c r="S69" s="135">
        <f t="shared" si="38"/>
        <v>175848.46000000002</v>
      </c>
      <c r="T69" s="135">
        <f t="shared" si="38"/>
        <v>170257.94</v>
      </c>
      <c r="U69" s="135">
        <f t="shared" si="38"/>
        <v>154875.24</v>
      </c>
      <c r="V69" s="135">
        <f t="shared" si="38"/>
        <v>158590.89000000001</v>
      </c>
      <c r="W69" s="135">
        <f t="shared" si="38"/>
        <v>139410.88</v>
      </c>
      <c r="X69" s="135">
        <f t="shared" si="38"/>
        <v>138011.41999999998</v>
      </c>
      <c r="Y69" s="135">
        <f t="shared" si="38"/>
        <v>146342.63</v>
      </c>
      <c r="Z69" s="135">
        <f t="shared" si="38"/>
        <v>155662</v>
      </c>
      <c r="AA69" s="135">
        <f t="shared" si="38"/>
        <v>185662</v>
      </c>
      <c r="AB69" s="135">
        <f t="shared" si="38"/>
        <v>185662</v>
      </c>
      <c r="AC69" s="135">
        <f t="shared" si="38"/>
        <v>185662</v>
      </c>
      <c r="AD69" s="135">
        <f t="shared" si="38"/>
        <v>1960101.4300000002</v>
      </c>
      <c r="AE69" s="117">
        <f t="shared" si="36"/>
        <v>-72793.430000000168</v>
      </c>
      <c r="AF69" s="128">
        <f t="shared" si="37"/>
        <v>-3.713758323210864E-2</v>
      </c>
      <c r="AG69" s="129">
        <v>3946725.6999999997</v>
      </c>
      <c r="AH69" s="133">
        <f t="shared" si="35"/>
        <v>2059417.6999999997</v>
      </c>
      <c r="AK69" s="129"/>
    </row>
    <row r="70" spans="1:37">
      <c r="D70" s="105" t="s">
        <v>154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35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35"/>
      <c r="AF70" s="128"/>
      <c r="AG70" s="129"/>
      <c r="AH70" s="133">
        <f t="shared" si="35"/>
        <v>0</v>
      </c>
      <c r="AK70" s="129"/>
    </row>
    <row r="71" spans="1:37">
      <c r="A71" s="105" t="s">
        <v>119</v>
      </c>
      <c r="B71" s="105" t="s">
        <v>254</v>
      </c>
      <c r="D71" s="105" t="s">
        <v>260</v>
      </c>
      <c r="E71" s="136">
        <v>41660.68</v>
      </c>
      <c r="F71" s="136">
        <v>0</v>
      </c>
      <c r="G71" s="136">
        <v>0</v>
      </c>
      <c r="H71" s="136">
        <v>10372.4</v>
      </c>
      <c r="I71" s="136">
        <v>22358.620000000003</v>
      </c>
      <c r="J71" s="136">
        <v>0</v>
      </c>
      <c r="K71" s="136">
        <v>0</v>
      </c>
      <c r="L71" s="136">
        <v>0</v>
      </c>
      <c r="M71" s="136">
        <v>0</v>
      </c>
      <c r="N71" s="136">
        <v>43671.34</v>
      </c>
      <c r="O71" s="136">
        <v>0</v>
      </c>
      <c r="P71" s="136">
        <v>0</v>
      </c>
      <c r="Q71" s="135">
        <f>SUM(E71:P71)</f>
        <v>118063.04000000001</v>
      </c>
      <c r="R71" s="136">
        <v>12317.28</v>
      </c>
      <c r="S71" s="136">
        <v>30082.799999999999</v>
      </c>
      <c r="T71" s="136">
        <v>0</v>
      </c>
      <c r="U71" s="136">
        <v>9875.8799999999992</v>
      </c>
      <c r="V71" s="136">
        <v>12317.25</v>
      </c>
      <c r="W71" s="136">
        <v>10868.97</v>
      </c>
      <c r="X71" s="72">
        <v>0</v>
      </c>
      <c r="Y71" s="72">
        <v>0</v>
      </c>
      <c r="Z71" s="72">
        <v>21171</v>
      </c>
      <c r="AA71" s="72">
        <v>63512</v>
      </c>
      <c r="AB71" s="72">
        <v>0</v>
      </c>
      <c r="AC71" s="72">
        <v>0</v>
      </c>
      <c r="AD71" s="127">
        <f>SUM(R71:AC71)</f>
        <v>160145.18</v>
      </c>
      <c r="AE71" s="72">
        <f t="shared" ref="AE71:AE76" si="39">Q71-AD71</f>
        <v>-42082.139999999985</v>
      </c>
      <c r="AF71" s="128">
        <f t="shared" ref="AF71:AF76" si="40">AE71/AD71</f>
        <v>-0.26277493958919018</v>
      </c>
      <c r="AG71" s="129">
        <v>291434.88</v>
      </c>
      <c r="AH71" s="133">
        <f t="shared" si="35"/>
        <v>173371.84</v>
      </c>
      <c r="AK71" s="129"/>
    </row>
    <row r="72" spans="1:37">
      <c r="A72" s="105" t="s">
        <v>120</v>
      </c>
      <c r="B72" s="105" t="s">
        <v>254</v>
      </c>
      <c r="D72" s="105" t="s">
        <v>261</v>
      </c>
      <c r="E72" s="136">
        <v>25091.689999999995</v>
      </c>
      <c r="F72" s="136">
        <v>25091.689999999995</v>
      </c>
      <c r="G72" s="136">
        <v>25225.019999999997</v>
      </c>
      <c r="H72" s="136">
        <v>26725.020000000004</v>
      </c>
      <c r="I72" s="136">
        <v>26725.020000000004</v>
      </c>
      <c r="J72" s="136">
        <v>27258.350000000006</v>
      </c>
      <c r="K72" s="136">
        <v>27258.350000000006</v>
      </c>
      <c r="L72" s="136">
        <v>27258.350000000006</v>
      </c>
      <c r="M72" s="136">
        <v>27258.350000000006</v>
      </c>
      <c r="N72" s="136">
        <v>27258.350000000006</v>
      </c>
      <c r="O72" s="136">
        <v>27258.350000000006</v>
      </c>
      <c r="P72" s="136">
        <v>27258.350000000006</v>
      </c>
      <c r="Q72" s="135">
        <f>SUM(E72:P72)</f>
        <v>319666.89</v>
      </c>
      <c r="R72" s="136">
        <v>40864.230000000003</v>
      </c>
      <c r="S72" s="136">
        <v>40828.629999999997</v>
      </c>
      <c r="T72" s="136">
        <v>40145.800000000003</v>
      </c>
      <c r="U72" s="136">
        <v>27690.959999999999</v>
      </c>
      <c r="V72" s="136">
        <v>26862.29</v>
      </c>
      <c r="W72" s="136">
        <v>23108.57</v>
      </c>
      <c r="X72" s="72">
        <v>23589.01</v>
      </c>
      <c r="Y72" s="72">
        <v>26501.599999999999</v>
      </c>
      <c r="Z72" s="72">
        <v>25943.67</v>
      </c>
      <c r="AA72" s="72">
        <v>25943.67</v>
      </c>
      <c r="AB72" s="72">
        <v>25943.67</v>
      </c>
      <c r="AC72" s="72">
        <v>25943.67</v>
      </c>
      <c r="AD72" s="127">
        <f>SUM(R72:AC72)</f>
        <v>353365.76999999996</v>
      </c>
      <c r="AE72" s="72">
        <f t="shared" si="39"/>
        <v>-33698.879999999946</v>
      </c>
      <c r="AF72" s="128">
        <f t="shared" si="40"/>
        <v>-9.536543395247353E-2</v>
      </c>
      <c r="AG72" s="129">
        <v>525567.6</v>
      </c>
      <c r="AH72" s="133">
        <f t="shared" si="35"/>
        <v>205900.70999999996</v>
      </c>
      <c r="AK72" s="129"/>
    </row>
    <row r="73" spans="1:37">
      <c r="A73" s="105" t="s">
        <v>121</v>
      </c>
      <c r="B73" s="105" t="s">
        <v>254</v>
      </c>
      <c r="D73" s="105" t="s">
        <v>262</v>
      </c>
      <c r="E73" s="136">
        <v>22650</v>
      </c>
      <c r="F73" s="136">
        <v>22650</v>
      </c>
      <c r="G73" s="136">
        <v>22030</v>
      </c>
      <c r="H73" s="136">
        <v>22690</v>
      </c>
      <c r="I73" s="136">
        <v>22690</v>
      </c>
      <c r="J73" s="136">
        <v>23120</v>
      </c>
      <c r="K73" s="136">
        <v>23120</v>
      </c>
      <c r="L73" s="136">
        <v>23120</v>
      </c>
      <c r="M73" s="136">
        <v>23120</v>
      </c>
      <c r="N73" s="136">
        <v>23120</v>
      </c>
      <c r="O73" s="136">
        <v>23120</v>
      </c>
      <c r="P73" s="136">
        <v>23120</v>
      </c>
      <c r="Q73" s="135">
        <f>SUM(E73:P73)</f>
        <v>274550</v>
      </c>
      <c r="R73" s="136">
        <v>21854.51</v>
      </c>
      <c r="S73" s="136">
        <v>21960.34</v>
      </c>
      <c r="T73" s="136">
        <v>21587.58</v>
      </c>
      <c r="U73" s="136">
        <v>21928.05</v>
      </c>
      <c r="V73" s="136">
        <v>22385</v>
      </c>
      <c r="W73" s="136">
        <v>21442.58</v>
      </c>
      <c r="X73" s="72">
        <v>22078</v>
      </c>
      <c r="Y73" s="72">
        <v>21259.5</v>
      </c>
      <c r="Z73" s="72">
        <v>44577</v>
      </c>
      <c r="AA73" s="72">
        <v>42777</v>
      </c>
      <c r="AB73" s="72">
        <v>42957</v>
      </c>
      <c r="AC73" s="72">
        <v>43137</v>
      </c>
      <c r="AD73" s="127">
        <f>SUM(R73:AC73)</f>
        <v>347943.56</v>
      </c>
      <c r="AE73" s="72">
        <f t="shared" si="39"/>
        <v>-73393.56</v>
      </c>
      <c r="AF73" s="128">
        <f t="shared" si="40"/>
        <v>-0.2109352447851025</v>
      </c>
      <c r="AG73" s="129">
        <v>266372.92</v>
      </c>
      <c r="AH73" s="133">
        <f t="shared" si="35"/>
        <v>-8177.0800000000163</v>
      </c>
      <c r="AK73" s="129"/>
    </row>
    <row r="74" spans="1:37">
      <c r="A74" s="105" t="s">
        <v>122</v>
      </c>
      <c r="B74" s="105" t="s">
        <v>254</v>
      </c>
      <c r="D74" s="105" t="s">
        <v>263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0</v>
      </c>
      <c r="L74" s="136">
        <v>0</v>
      </c>
      <c r="M74" s="136">
        <v>0</v>
      </c>
      <c r="N74" s="136">
        <v>0</v>
      </c>
      <c r="O74" s="136">
        <v>0</v>
      </c>
      <c r="P74" s="136">
        <v>0</v>
      </c>
      <c r="Q74" s="135">
        <f>SUM(E74:P74)</f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72">
        <v>0</v>
      </c>
      <c r="AD74" s="127">
        <f>SUM(R74:AC74)</f>
        <v>0</v>
      </c>
      <c r="AE74" s="72">
        <f t="shared" si="39"/>
        <v>0</v>
      </c>
      <c r="AF74" s="128" t="e">
        <f t="shared" si="40"/>
        <v>#DIV/0!</v>
      </c>
      <c r="AG74" s="129">
        <v>0</v>
      </c>
      <c r="AH74" s="133">
        <f t="shared" si="35"/>
        <v>0</v>
      </c>
      <c r="AK74" s="129"/>
    </row>
    <row r="75" spans="1:37">
      <c r="A75" s="105" t="s">
        <v>123</v>
      </c>
      <c r="B75" s="105" t="s">
        <v>254</v>
      </c>
      <c r="D75" s="105" t="s">
        <v>264</v>
      </c>
      <c r="E75" s="136">
        <v>9900</v>
      </c>
      <c r="F75" s="136">
        <v>9900</v>
      </c>
      <c r="G75" s="136">
        <v>9900</v>
      </c>
      <c r="H75" s="136">
        <v>9900</v>
      </c>
      <c r="I75" s="136">
        <v>9900</v>
      </c>
      <c r="J75" s="136">
        <v>9900</v>
      </c>
      <c r="K75" s="136">
        <v>9900</v>
      </c>
      <c r="L75" s="136">
        <v>9900</v>
      </c>
      <c r="M75" s="136">
        <v>9900</v>
      </c>
      <c r="N75" s="136">
        <v>9900</v>
      </c>
      <c r="O75" s="136">
        <v>9900</v>
      </c>
      <c r="P75" s="136">
        <v>9900</v>
      </c>
      <c r="Q75" s="135">
        <f>SUM(E75:P75)</f>
        <v>118800</v>
      </c>
      <c r="R75" s="136">
        <v>9600</v>
      </c>
      <c r="S75" s="136">
        <v>9400</v>
      </c>
      <c r="T75" s="136">
        <v>9400</v>
      </c>
      <c r="U75" s="136">
        <v>8074.08</v>
      </c>
      <c r="V75" s="136">
        <v>9300</v>
      </c>
      <c r="W75" s="136">
        <v>9100</v>
      </c>
      <c r="X75" s="72">
        <v>8800</v>
      </c>
      <c r="Y75" s="72">
        <v>8595.2000000000007</v>
      </c>
      <c r="Z75" s="72">
        <v>11506</v>
      </c>
      <c r="AA75" s="72">
        <v>12297</v>
      </c>
      <c r="AB75" s="72">
        <v>12334</v>
      </c>
      <c r="AC75" s="72">
        <v>12800</v>
      </c>
      <c r="AD75" s="127">
        <f>SUM(R75:AC75)</f>
        <v>121206.28</v>
      </c>
      <c r="AE75" s="72">
        <f t="shared" si="39"/>
        <v>-2406.2799999999988</v>
      </c>
      <c r="AF75" s="128">
        <f t="shared" si="40"/>
        <v>-1.9852766704827496E-2</v>
      </c>
      <c r="AG75" s="129">
        <v>138298.46</v>
      </c>
      <c r="AH75" s="133">
        <f t="shared" si="35"/>
        <v>19498.459999999992</v>
      </c>
      <c r="AK75" s="129"/>
    </row>
    <row r="76" spans="1:37">
      <c r="D76" s="109" t="s">
        <v>265</v>
      </c>
      <c r="E76" s="135">
        <f t="shared" ref="E76:AD76" si="41">SUM(E71:E75)</f>
        <v>99302.37</v>
      </c>
      <c r="F76" s="135">
        <f t="shared" si="41"/>
        <v>57641.689999999995</v>
      </c>
      <c r="G76" s="135">
        <f t="shared" si="41"/>
        <v>57155.02</v>
      </c>
      <c r="H76" s="135">
        <f t="shared" si="41"/>
        <v>69687.420000000013</v>
      </c>
      <c r="I76" s="135">
        <f t="shared" si="41"/>
        <v>81673.640000000014</v>
      </c>
      <c r="J76" s="135">
        <f t="shared" si="41"/>
        <v>60278.350000000006</v>
      </c>
      <c r="K76" s="135">
        <f t="shared" si="41"/>
        <v>60278.350000000006</v>
      </c>
      <c r="L76" s="135">
        <f t="shared" si="41"/>
        <v>60278.350000000006</v>
      </c>
      <c r="M76" s="135">
        <f t="shared" si="41"/>
        <v>60278.350000000006</v>
      </c>
      <c r="N76" s="135">
        <f t="shared" si="41"/>
        <v>103949.69</v>
      </c>
      <c r="O76" s="135">
        <f t="shared" si="41"/>
        <v>60278.350000000006</v>
      </c>
      <c r="P76" s="135">
        <f t="shared" si="41"/>
        <v>60278.350000000006</v>
      </c>
      <c r="Q76" s="135">
        <f t="shared" si="41"/>
        <v>831079.93</v>
      </c>
      <c r="R76" s="135">
        <f t="shared" si="41"/>
        <v>84636.02</v>
      </c>
      <c r="S76" s="135">
        <f t="shared" si="41"/>
        <v>102271.76999999999</v>
      </c>
      <c r="T76" s="135">
        <f t="shared" si="41"/>
        <v>71133.38</v>
      </c>
      <c r="U76" s="135">
        <f t="shared" si="41"/>
        <v>67568.97</v>
      </c>
      <c r="V76" s="135">
        <f t="shared" si="41"/>
        <v>70864.540000000008</v>
      </c>
      <c r="W76" s="135">
        <f t="shared" si="41"/>
        <v>64520.12</v>
      </c>
      <c r="X76" s="135">
        <f t="shared" si="41"/>
        <v>54467.009999999995</v>
      </c>
      <c r="Y76" s="135">
        <f t="shared" si="41"/>
        <v>56356.3</v>
      </c>
      <c r="Z76" s="135">
        <f t="shared" si="41"/>
        <v>103197.67</v>
      </c>
      <c r="AA76" s="135">
        <f t="shared" si="41"/>
        <v>144529.66999999998</v>
      </c>
      <c r="AB76" s="135">
        <f t="shared" si="41"/>
        <v>81234.67</v>
      </c>
      <c r="AC76" s="135">
        <f t="shared" si="41"/>
        <v>81880.67</v>
      </c>
      <c r="AD76" s="135">
        <f t="shared" si="41"/>
        <v>982660.79</v>
      </c>
      <c r="AE76" s="117">
        <f t="shared" si="39"/>
        <v>-151580.85999999999</v>
      </c>
      <c r="AF76" s="128">
        <f t="shared" si="40"/>
        <v>-0.15425552901118603</v>
      </c>
      <c r="AG76" s="129">
        <v>1221673.8599999999</v>
      </c>
      <c r="AH76" s="133">
        <f t="shared" si="35"/>
        <v>390593.92999999982</v>
      </c>
      <c r="AK76" s="129"/>
    </row>
    <row r="77" spans="1:37">
      <c r="D77" s="105" t="s">
        <v>154</v>
      </c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35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35"/>
      <c r="AF77" s="128"/>
      <c r="AG77" s="129"/>
      <c r="AH77" s="133">
        <f t="shared" si="35"/>
        <v>0</v>
      </c>
      <c r="AK77" s="129"/>
    </row>
    <row r="78" spans="1:37">
      <c r="A78" s="105" t="s">
        <v>124</v>
      </c>
      <c r="B78" s="105" t="s">
        <v>254</v>
      </c>
      <c r="D78" s="105" t="s">
        <v>266</v>
      </c>
      <c r="E78" s="136">
        <v>34382.560000000005</v>
      </c>
      <c r="F78" s="136">
        <v>34382.560000000005</v>
      </c>
      <c r="G78" s="136">
        <v>34382.560000000005</v>
      </c>
      <c r="H78" s="136">
        <v>36037.040000000008</v>
      </c>
      <c r="I78" s="136">
        <v>36037.040000000008</v>
      </c>
      <c r="J78" s="136">
        <v>36864.280000000006</v>
      </c>
      <c r="K78" s="136">
        <v>37735.320000000007</v>
      </c>
      <c r="L78" s="136">
        <v>37735.320000000007</v>
      </c>
      <c r="M78" s="136">
        <v>37735.320000000007</v>
      </c>
      <c r="N78" s="136">
        <v>37735.320000000007</v>
      </c>
      <c r="O78" s="136">
        <v>37735.320000000007</v>
      </c>
      <c r="P78" s="136">
        <v>37735.320000000007</v>
      </c>
      <c r="Q78" s="135">
        <f t="shared" ref="Q78:Q85" si="42">SUM(E78:P78)</f>
        <v>438497.96000000008</v>
      </c>
      <c r="R78" s="136">
        <v>39661.980000000003</v>
      </c>
      <c r="S78" s="136">
        <v>39534.74</v>
      </c>
      <c r="T78" s="136">
        <v>38761.94</v>
      </c>
      <c r="U78" s="136">
        <v>39507.19</v>
      </c>
      <c r="V78" s="136">
        <v>37691.019999999997</v>
      </c>
      <c r="W78" s="136">
        <v>33949.129999999997</v>
      </c>
      <c r="X78" s="72">
        <v>33740.19</v>
      </c>
      <c r="Y78" s="72">
        <v>32626.15</v>
      </c>
      <c r="Z78" s="72">
        <v>129310.75</v>
      </c>
      <c r="AA78" s="72">
        <v>129310.75</v>
      </c>
      <c r="AB78" s="72">
        <v>129310.75</v>
      </c>
      <c r="AC78" s="72">
        <v>129310.75</v>
      </c>
      <c r="AD78" s="137">
        <f t="shared" ref="AD78:AD85" si="43">SUM(R78:AC78)</f>
        <v>812715.34000000008</v>
      </c>
      <c r="AE78" s="136">
        <f t="shared" ref="AE78:AE86" si="44">Q78-AD78</f>
        <v>-374217.38</v>
      </c>
      <c r="AF78" s="138">
        <f t="shared" ref="AF78:AF86" si="45">AE78/AD78</f>
        <v>-0.46045320124017836</v>
      </c>
      <c r="AG78" s="133">
        <v>578207.64</v>
      </c>
      <c r="AH78" s="133">
        <f t="shared" si="35"/>
        <v>139709.67999999993</v>
      </c>
      <c r="AK78" s="129"/>
    </row>
    <row r="79" spans="1:37">
      <c r="A79" s="105" t="s">
        <v>125</v>
      </c>
      <c r="B79" s="105" t="s">
        <v>254</v>
      </c>
      <c r="D79" s="105" t="s">
        <v>267</v>
      </c>
      <c r="E79" s="136">
        <v>13923.37</v>
      </c>
      <c r="F79" s="136">
        <v>13923.37</v>
      </c>
      <c r="G79" s="136">
        <v>13923.37</v>
      </c>
      <c r="H79" s="136">
        <v>14588.65</v>
      </c>
      <c r="I79" s="136">
        <v>14588.65</v>
      </c>
      <c r="J79" s="136">
        <v>14921.289999999999</v>
      </c>
      <c r="K79" s="136">
        <v>15220.329999999998</v>
      </c>
      <c r="L79" s="136">
        <v>15220.329999999998</v>
      </c>
      <c r="M79" s="136">
        <v>15220.329999999998</v>
      </c>
      <c r="N79" s="136">
        <v>15220.329999999998</v>
      </c>
      <c r="O79" s="136">
        <v>15220.329999999998</v>
      </c>
      <c r="P79" s="136">
        <v>15220.329999999998</v>
      </c>
      <c r="Q79" s="135">
        <f t="shared" si="42"/>
        <v>177190.67999999996</v>
      </c>
      <c r="R79" s="136">
        <v>21070.45</v>
      </c>
      <c r="S79" s="136">
        <v>21002.86</v>
      </c>
      <c r="T79" s="136">
        <v>20592.310000000001</v>
      </c>
      <c r="U79" s="136">
        <v>20988.22</v>
      </c>
      <c r="V79" s="136">
        <v>20023.38</v>
      </c>
      <c r="W79" s="136">
        <v>18035.5</v>
      </c>
      <c r="X79" s="72">
        <v>13706.96</v>
      </c>
      <c r="Y79" s="72">
        <v>13254.38</v>
      </c>
      <c r="Z79" s="72">
        <v>22069</v>
      </c>
      <c r="AA79" s="72">
        <v>22069</v>
      </c>
      <c r="AB79" s="72">
        <v>22069</v>
      </c>
      <c r="AC79" s="72">
        <v>22069</v>
      </c>
      <c r="AD79" s="137">
        <f t="shared" si="43"/>
        <v>236950.06</v>
      </c>
      <c r="AE79" s="136">
        <f t="shared" si="44"/>
        <v>-59759.380000000034</v>
      </c>
      <c r="AF79" s="138">
        <f t="shared" si="45"/>
        <v>-0.25220242611459998</v>
      </c>
      <c r="AG79" s="133">
        <v>279616.75</v>
      </c>
      <c r="AH79" s="133">
        <f t="shared" si="35"/>
        <v>102426.07000000004</v>
      </c>
      <c r="AK79" s="129"/>
    </row>
    <row r="80" spans="1:37">
      <c r="A80" s="105" t="s">
        <v>126</v>
      </c>
      <c r="B80" s="105" t="s">
        <v>254</v>
      </c>
      <c r="D80" s="105" t="s">
        <v>268</v>
      </c>
      <c r="E80" s="136">
        <v>1071.06</v>
      </c>
      <c r="F80" s="136">
        <v>1071.06</v>
      </c>
      <c r="G80" s="136">
        <v>1071.06</v>
      </c>
      <c r="H80" s="136">
        <v>1122.24</v>
      </c>
      <c r="I80" s="136">
        <v>1122.24</v>
      </c>
      <c r="J80" s="136">
        <v>1147.8300000000002</v>
      </c>
      <c r="K80" s="136">
        <v>1170.8699999999999</v>
      </c>
      <c r="L80" s="136">
        <v>1170.8699999999999</v>
      </c>
      <c r="M80" s="136">
        <v>1170.8699999999999</v>
      </c>
      <c r="N80" s="136">
        <v>1170.8699999999999</v>
      </c>
      <c r="O80" s="136">
        <v>1170.8699999999999</v>
      </c>
      <c r="P80" s="136">
        <v>1170.8699999999999</v>
      </c>
      <c r="Q80" s="135">
        <f t="shared" si="42"/>
        <v>13630.709999999995</v>
      </c>
      <c r="R80" s="136">
        <v>1239.4100000000001</v>
      </c>
      <c r="S80" s="136">
        <v>1235.43</v>
      </c>
      <c r="T80" s="136">
        <v>1211.28</v>
      </c>
      <c r="U80" s="136">
        <v>1234.57</v>
      </c>
      <c r="V80" s="136">
        <v>1177.82</v>
      </c>
      <c r="W80" s="136">
        <v>1060.8900000000001</v>
      </c>
      <c r="X80" s="72">
        <v>1054.3599999999999</v>
      </c>
      <c r="Y80" s="72">
        <v>1019.55</v>
      </c>
      <c r="Z80" s="72">
        <v>1332</v>
      </c>
      <c r="AA80" s="72">
        <v>1332</v>
      </c>
      <c r="AB80" s="72">
        <v>1332</v>
      </c>
      <c r="AC80" s="72">
        <v>1332</v>
      </c>
      <c r="AD80" s="137">
        <f t="shared" si="43"/>
        <v>14561.31</v>
      </c>
      <c r="AE80" s="136">
        <f t="shared" si="44"/>
        <v>-930.600000000004</v>
      </c>
      <c r="AF80" s="138">
        <f t="shared" si="45"/>
        <v>-6.3909085102920274E-2</v>
      </c>
      <c r="AG80" s="133">
        <v>17158.47</v>
      </c>
      <c r="AH80" s="133">
        <f t="shared" si="35"/>
        <v>3527.7600000000057</v>
      </c>
      <c r="AK80" s="129"/>
    </row>
    <row r="81" spans="1:37">
      <c r="A81" s="105" t="s">
        <v>127</v>
      </c>
      <c r="B81" s="105" t="s">
        <v>254</v>
      </c>
      <c r="D81" s="105" t="s">
        <v>269</v>
      </c>
      <c r="E81" s="136">
        <v>257.02999999999992</v>
      </c>
      <c r="F81" s="136">
        <v>257.02999999999992</v>
      </c>
      <c r="G81" s="136">
        <v>257.02999999999992</v>
      </c>
      <c r="H81" s="136">
        <v>269.30999999999989</v>
      </c>
      <c r="I81" s="136">
        <v>269.30999999999989</v>
      </c>
      <c r="J81" s="136">
        <v>275.44999999999987</v>
      </c>
      <c r="K81" s="136">
        <v>281.05</v>
      </c>
      <c r="L81" s="136">
        <v>281.05</v>
      </c>
      <c r="M81" s="136">
        <v>281.05</v>
      </c>
      <c r="N81" s="136">
        <v>281.05</v>
      </c>
      <c r="O81" s="136">
        <v>281.05</v>
      </c>
      <c r="P81" s="136">
        <v>281.05</v>
      </c>
      <c r="Q81" s="135">
        <f t="shared" si="42"/>
        <v>3271.46</v>
      </c>
      <c r="R81" s="136">
        <v>297.48</v>
      </c>
      <c r="S81" s="136">
        <v>296.52999999999997</v>
      </c>
      <c r="T81" s="136">
        <v>290.73</v>
      </c>
      <c r="U81" s="136">
        <v>296.33</v>
      </c>
      <c r="V81" s="136">
        <v>282.7</v>
      </c>
      <c r="W81" s="136">
        <v>254.64</v>
      </c>
      <c r="X81" s="72">
        <v>253.08</v>
      </c>
      <c r="Y81" s="72">
        <v>244.72</v>
      </c>
      <c r="Z81" s="72">
        <v>369</v>
      </c>
      <c r="AA81" s="72">
        <v>369</v>
      </c>
      <c r="AB81" s="72">
        <v>369</v>
      </c>
      <c r="AC81" s="72">
        <v>369</v>
      </c>
      <c r="AD81" s="137">
        <f t="shared" si="43"/>
        <v>3692.2099999999996</v>
      </c>
      <c r="AE81" s="136">
        <f t="shared" si="44"/>
        <v>-420.74999999999955</v>
      </c>
      <c r="AF81" s="138">
        <f t="shared" si="45"/>
        <v>-0.11395614008953976</v>
      </c>
      <c r="AG81" s="133">
        <v>5490.98</v>
      </c>
      <c r="AH81" s="133">
        <f t="shared" si="35"/>
        <v>2219.5199999999995</v>
      </c>
      <c r="AK81" s="129"/>
    </row>
    <row r="82" spans="1:37">
      <c r="A82" s="105" t="s">
        <v>128</v>
      </c>
      <c r="B82" s="105" t="s">
        <v>254</v>
      </c>
      <c r="D82" s="105" t="s">
        <v>270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5">
        <f t="shared" si="42"/>
        <v>0</v>
      </c>
      <c r="R82" s="136">
        <v>0</v>
      </c>
      <c r="S82" s="136">
        <v>0</v>
      </c>
      <c r="T82" s="136">
        <v>0</v>
      </c>
      <c r="U82" s="136">
        <v>0</v>
      </c>
      <c r="V82" s="136">
        <v>0</v>
      </c>
      <c r="W82" s="136">
        <v>0</v>
      </c>
      <c r="X82" s="72">
        <v>0</v>
      </c>
      <c r="Y82" s="72">
        <v>0</v>
      </c>
      <c r="Z82" s="72">
        <v>0</v>
      </c>
      <c r="AA82" s="72">
        <v>0</v>
      </c>
      <c r="AB82" s="72">
        <v>0</v>
      </c>
      <c r="AC82" s="72">
        <v>0</v>
      </c>
      <c r="AD82" s="137">
        <f t="shared" si="43"/>
        <v>0</v>
      </c>
      <c r="AE82" s="136">
        <f t="shared" si="44"/>
        <v>0</v>
      </c>
      <c r="AF82" s="138" t="e">
        <f t="shared" si="45"/>
        <v>#DIV/0!</v>
      </c>
      <c r="AG82" s="133">
        <v>12073.43</v>
      </c>
      <c r="AH82" s="133">
        <f t="shared" si="35"/>
        <v>12073.43</v>
      </c>
      <c r="AK82" s="129"/>
    </row>
    <row r="83" spans="1:37">
      <c r="A83" s="105" t="s">
        <v>129</v>
      </c>
      <c r="B83" s="105" t="s">
        <v>254</v>
      </c>
      <c r="D83" s="105" t="s">
        <v>271</v>
      </c>
      <c r="E83" s="136">
        <v>10116.710000000001</v>
      </c>
      <c r="F83" s="136">
        <v>10116.710000000001</v>
      </c>
      <c r="G83" s="136">
        <v>10059.480000000001</v>
      </c>
      <c r="H83" s="136">
        <v>10509.480000000001</v>
      </c>
      <c r="I83" s="136">
        <v>10509.480000000001</v>
      </c>
      <c r="J83" s="136">
        <v>10669.48</v>
      </c>
      <c r="K83" s="136">
        <v>11708.050000000001</v>
      </c>
      <c r="L83" s="136">
        <v>10669.48</v>
      </c>
      <c r="M83" s="136">
        <v>10669.48</v>
      </c>
      <c r="N83" s="136">
        <v>10669.48</v>
      </c>
      <c r="O83" s="136">
        <v>11708.050000000001</v>
      </c>
      <c r="P83" s="136">
        <v>10669.48</v>
      </c>
      <c r="Q83" s="135">
        <f t="shared" si="42"/>
        <v>128075.36</v>
      </c>
      <c r="R83" s="136">
        <v>12238</v>
      </c>
      <c r="S83" s="136">
        <v>11957</v>
      </c>
      <c r="T83" s="136">
        <v>11957</v>
      </c>
      <c r="U83" s="136">
        <v>11987</v>
      </c>
      <c r="V83" s="136">
        <v>11511</v>
      </c>
      <c r="W83" s="136">
        <v>10342</v>
      </c>
      <c r="X83" s="72">
        <v>10175</v>
      </c>
      <c r="Y83" s="72">
        <v>9827</v>
      </c>
      <c r="Z83" s="72">
        <v>15971</v>
      </c>
      <c r="AA83" s="72">
        <v>16913.5</v>
      </c>
      <c r="AB83" s="72">
        <v>21164.899999999994</v>
      </c>
      <c r="AC83" s="72">
        <v>19988.5</v>
      </c>
      <c r="AD83" s="137">
        <f t="shared" si="43"/>
        <v>164031.9</v>
      </c>
      <c r="AE83" s="136">
        <f t="shared" si="44"/>
        <v>-35956.539999999994</v>
      </c>
      <c r="AF83" s="138">
        <f t="shared" si="45"/>
        <v>-0.21920455716235682</v>
      </c>
      <c r="AG83" s="133">
        <v>148447</v>
      </c>
      <c r="AH83" s="133">
        <f t="shared" si="35"/>
        <v>20371.64</v>
      </c>
      <c r="AK83" s="129"/>
    </row>
    <row r="84" spans="1:37">
      <c r="A84" s="105" t="s">
        <v>130</v>
      </c>
      <c r="B84" s="105" t="s">
        <v>254</v>
      </c>
      <c r="D84" s="105" t="s">
        <v>272</v>
      </c>
      <c r="E84" s="136">
        <v>4857</v>
      </c>
      <c r="F84" s="136">
        <v>4024</v>
      </c>
      <c r="G84" s="136">
        <v>4137</v>
      </c>
      <c r="H84" s="136">
        <v>4567</v>
      </c>
      <c r="I84" s="136">
        <v>4807</v>
      </c>
      <c r="J84" s="136">
        <v>4443</v>
      </c>
      <c r="K84" s="136">
        <v>4443</v>
      </c>
      <c r="L84" s="136">
        <v>4443</v>
      </c>
      <c r="M84" s="136">
        <v>4443</v>
      </c>
      <c r="N84" s="136">
        <v>5317</v>
      </c>
      <c r="O84" s="136">
        <v>4443</v>
      </c>
      <c r="P84" s="136">
        <v>4443</v>
      </c>
      <c r="Q84" s="135">
        <f t="shared" si="42"/>
        <v>54367</v>
      </c>
      <c r="R84" s="136">
        <v>4067.76</v>
      </c>
      <c r="S84" s="136">
        <v>4410.84</v>
      </c>
      <c r="T84" s="136">
        <v>7840.01</v>
      </c>
      <c r="U84" s="136">
        <v>6452.9</v>
      </c>
      <c r="V84" s="136">
        <v>4378.55</v>
      </c>
      <c r="W84" s="136">
        <v>3536.45</v>
      </c>
      <c r="X84" s="72">
        <v>3292.59</v>
      </c>
      <c r="Y84" s="72">
        <v>3460.74</v>
      </c>
      <c r="Z84" s="72">
        <v>38684.86</v>
      </c>
      <c r="AA84" s="72">
        <v>38684.86</v>
      </c>
      <c r="AB84" s="72">
        <v>38684.86</v>
      </c>
      <c r="AC84" s="72">
        <v>38684.86</v>
      </c>
      <c r="AD84" s="137">
        <f t="shared" si="43"/>
        <v>192179.28000000003</v>
      </c>
      <c r="AE84" s="136">
        <f t="shared" si="44"/>
        <v>-137812.28000000003</v>
      </c>
      <c r="AF84" s="138">
        <f t="shared" si="45"/>
        <v>-0.71710269702332119</v>
      </c>
      <c r="AG84" s="133">
        <v>106595.26999999999</v>
      </c>
      <c r="AH84" s="133">
        <f t="shared" si="35"/>
        <v>52228.26999999999</v>
      </c>
      <c r="AK84" s="129"/>
    </row>
    <row r="85" spans="1:37">
      <c r="A85" s="105" t="s">
        <v>327</v>
      </c>
      <c r="D85" s="105" t="s">
        <v>274</v>
      </c>
      <c r="E85" s="136">
        <v>0</v>
      </c>
      <c r="F85" s="136">
        <v>0</v>
      </c>
      <c r="G85" s="136">
        <v>0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0</v>
      </c>
      <c r="O85" s="136">
        <v>0</v>
      </c>
      <c r="P85" s="136">
        <v>0</v>
      </c>
      <c r="Q85" s="135">
        <f t="shared" si="42"/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136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72">
        <v>0</v>
      </c>
      <c r="AD85" s="127">
        <f t="shared" si="43"/>
        <v>0</v>
      </c>
      <c r="AE85" s="72">
        <f t="shared" si="44"/>
        <v>0</v>
      </c>
      <c r="AF85" s="128" t="e">
        <f t="shared" si="45"/>
        <v>#DIV/0!</v>
      </c>
      <c r="AG85" s="129">
        <v>0</v>
      </c>
      <c r="AH85" s="133">
        <f t="shared" si="35"/>
        <v>0</v>
      </c>
      <c r="AK85" s="129"/>
    </row>
    <row r="86" spans="1:37">
      <c r="D86" s="109" t="s">
        <v>275</v>
      </c>
      <c r="E86" s="135">
        <f t="shared" ref="E86:AD86" si="46">SUM(E78:E85)</f>
        <v>64607.73</v>
      </c>
      <c r="F86" s="135">
        <f t="shared" si="46"/>
        <v>63774.73</v>
      </c>
      <c r="G86" s="135">
        <f t="shared" si="46"/>
        <v>63830.500000000007</v>
      </c>
      <c r="H86" s="135">
        <f t="shared" si="46"/>
        <v>67093.72</v>
      </c>
      <c r="I86" s="135">
        <f t="shared" si="46"/>
        <v>67333.72</v>
      </c>
      <c r="J86" s="135">
        <f t="shared" si="46"/>
        <v>68321.33</v>
      </c>
      <c r="K86" s="135">
        <f t="shared" si="46"/>
        <v>70558.62000000001</v>
      </c>
      <c r="L86" s="135">
        <f t="shared" si="46"/>
        <v>69520.050000000017</v>
      </c>
      <c r="M86" s="135">
        <f t="shared" si="46"/>
        <v>69520.050000000017</v>
      </c>
      <c r="N86" s="135">
        <f t="shared" si="46"/>
        <v>70394.050000000017</v>
      </c>
      <c r="O86" s="135">
        <f t="shared" si="46"/>
        <v>70558.62000000001</v>
      </c>
      <c r="P86" s="135">
        <f t="shared" si="46"/>
        <v>69520.050000000017</v>
      </c>
      <c r="Q86" s="135">
        <f t="shared" si="46"/>
        <v>815033.16999999993</v>
      </c>
      <c r="R86" s="135">
        <f t="shared" si="46"/>
        <v>78575.08</v>
      </c>
      <c r="S86" s="135">
        <f t="shared" si="46"/>
        <v>78437.399999999994</v>
      </c>
      <c r="T86" s="135">
        <f t="shared" si="46"/>
        <v>80653.27</v>
      </c>
      <c r="U86" s="135">
        <f t="shared" si="46"/>
        <v>80466.209999999992</v>
      </c>
      <c r="V86" s="135">
        <f t="shared" si="46"/>
        <v>75064.469999999987</v>
      </c>
      <c r="W86" s="135">
        <f t="shared" si="46"/>
        <v>67178.61</v>
      </c>
      <c r="X86" s="135">
        <f t="shared" si="46"/>
        <v>62222.180000000008</v>
      </c>
      <c r="Y86" s="135">
        <f t="shared" si="46"/>
        <v>60432.54</v>
      </c>
      <c r="Z86" s="135">
        <f t="shared" si="46"/>
        <v>207736.61</v>
      </c>
      <c r="AA86" s="135">
        <f t="shared" si="46"/>
        <v>208679.11</v>
      </c>
      <c r="AB86" s="135">
        <f t="shared" si="46"/>
        <v>212930.51</v>
      </c>
      <c r="AC86" s="135">
        <f t="shared" si="46"/>
        <v>211754.11</v>
      </c>
      <c r="AD86" s="135">
        <f t="shared" si="46"/>
        <v>1424130.1</v>
      </c>
      <c r="AE86" s="117">
        <f t="shared" si="44"/>
        <v>-609096.93000000017</v>
      </c>
      <c r="AF86" s="128">
        <f t="shared" si="45"/>
        <v>-0.42769753269030697</v>
      </c>
      <c r="AG86" s="129">
        <v>1147589.54</v>
      </c>
      <c r="AH86" s="133">
        <f t="shared" si="35"/>
        <v>332556.37000000011</v>
      </c>
      <c r="AK86" s="129"/>
    </row>
    <row r="87" spans="1:37">
      <c r="D87" s="105" t="s">
        <v>154</v>
      </c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35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35"/>
      <c r="AF87" s="128"/>
      <c r="AG87" s="129"/>
      <c r="AH87" s="133">
        <f t="shared" si="35"/>
        <v>0</v>
      </c>
      <c r="AK87" s="129"/>
    </row>
    <row r="88" spans="1:37">
      <c r="A88" s="105" t="s">
        <v>327</v>
      </c>
      <c r="D88" s="105" t="s">
        <v>276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5">
        <f t="shared" ref="Q88:Q94" si="47">SUM(E88:P88)</f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136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72">
        <v>0</v>
      </c>
      <c r="AD88" s="127">
        <f t="shared" ref="AD88:AD96" si="48">SUM(R88:AC88)</f>
        <v>0</v>
      </c>
      <c r="AE88" s="72">
        <f t="shared" ref="AE88:AE98" si="49">Q88-AD88</f>
        <v>0</v>
      </c>
      <c r="AF88" s="128" t="e">
        <f t="shared" ref="AF88:AF98" si="50">AE88/AD88</f>
        <v>#DIV/0!</v>
      </c>
      <c r="AG88" s="129">
        <v>0</v>
      </c>
      <c r="AH88" s="133">
        <f t="shared" si="35"/>
        <v>0</v>
      </c>
      <c r="AK88" s="129"/>
    </row>
    <row r="89" spans="1:37">
      <c r="A89" s="105" t="s">
        <v>329</v>
      </c>
      <c r="D89" s="105" t="s">
        <v>277</v>
      </c>
      <c r="E89" s="136">
        <v>0</v>
      </c>
      <c r="F89" s="136">
        <v>0</v>
      </c>
      <c r="G89" s="136">
        <v>0</v>
      </c>
      <c r="H89" s="136">
        <v>0</v>
      </c>
      <c r="I89" s="136">
        <v>0</v>
      </c>
      <c r="J89" s="136">
        <v>0</v>
      </c>
      <c r="K89" s="136">
        <v>0</v>
      </c>
      <c r="L89" s="136">
        <v>0</v>
      </c>
      <c r="M89" s="136">
        <v>0</v>
      </c>
      <c r="N89" s="136">
        <v>0</v>
      </c>
      <c r="O89" s="136">
        <v>0</v>
      </c>
      <c r="P89" s="136">
        <v>0</v>
      </c>
      <c r="Q89" s="135">
        <f t="shared" si="47"/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136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72">
        <v>0</v>
      </c>
      <c r="AD89" s="127">
        <f t="shared" si="48"/>
        <v>0</v>
      </c>
      <c r="AE89" s="72">
        <f t="shared" si="49"/>
        <v>0</v>
      </c>
      <c r="AF89" s="128" t="e">
        <f t="shared" si="50"/>
        <v>#DIV/0!</v>
      </c>
      <c r="AG89" s="129">
        <v>0</v>
      </c>
      <c r="AH89" s="133">
        <f t="shared" si="35"/>
        <v>0</v>
      </c>
      <c r="AK89" s="129"/>
    </row>
    <row r="90" spans="1:37">
      <c r="A90" s="105" t="s">
        <v>327</v>
      </c>
      <c r="D90" s="105" t="s">
        <v>278</v>
      </c>
      <c r="E90" s="136">
        <v>0</v>
      </c>
      <c r="F90" s="136">
        <v>0</v>
      </c>
      <c r="G90" s="136">
        <v>0</v>
      </c>
      <c r="H90" s="136">
        <v>0</v>
      </c>
      <c r="I90" s="136">
        <v>0</v>
      </c>
      <c r="J90" s="136">
        <v>0</v>
      </c>
      <c r="K90" s="136">
        <v>0</v>
      </c>
      <c r="L90" s="136">
        <v>0</v>
      </c>
      <c r="M90" s="136">
        <v>0</v>
      </c>
      <c r="N90" s="136">
        <v>0</v>
      </c>
      <c r="O90" s="136">
        <v>0</v>
      </c>
      <c r="P90" s="136">
        <v>0</v>
      </c>
      <c r="Q90" s="135">
        <f t="shared" si="47"/>
        <v>0</v>
      </c>
      <c r="R90" s="136">
        <v>0</v>
      </c>
      <c r="S90" s="136">
        <v>0</v>
      </c>
      <c r="T90" s="136">
        <v>0</v>
      </c>
      <c r="U90" s="136">
        <v>0</v>
      </c>
      <c r="V90" s="136">
        <v>0</v>
      </c>
      <c r="W90" s="136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127">
        <f t="shared" si="48"/>
        <v>0</v>
      </c>
      <c r="AE90" s="72">
        <f t="shared" si="49"/>
        <v>0</v>
      </c>
      <c r="AF90" s="128" t="e">
        <f t="shared" si="50"/>
        <v>#DIV/0!</v>
      </c>
      <c r="AG90" s="129">
        <v>0</v>
      </c>
      <c r="AH90" s="133">
        <f t="shared" si="35"/>
        <v>0</v>
      </c>
      <c r="AK90" s="129"/>
    </row>
    <row r="91" spans="1:37">
      <c r="A91" s="105" t="s">
        <v>134</v>
      </c>
      <c r="B91" s="105" t="s">
        <v>254</v>
      </c>
      <c r="D91" s="105" t="s">
        <v>279</v>
      </c>
      <c r="E91" s="136">
        <v>399.99</v>
      </c>
      <c r="F91" s="136">
        <v>399.99</v>
      </c>
      <c r="G91" s="136">
        <v>399.99</v>
      </c>
      <c r="H91" s="136">
        <v>399.99</v>
      </c>
      <c r="I91" s="136">
        <v>399.99</v>
      </c>
      <c r="J91" s="136">
        <v>399.99</v>
      </c>
      <c r="K91" s="136">
        <v>399.99</v>
      </c>
      <c r="L91" s="136">
        <v>399.99</v>
      </c>
      <c r="M91" s="136">
        <v>399.99</v>
      </c>
      <c r="N91" s="136">
        <v>399.99</v>
      </c>
      <c r="O91" s="136">
        <v>399.99</v>
      </c>
      <c r="P91" s="136">
        <v>399.99</v>
      </c>
      <c r="Q91" s="135">
        <f t="shared" si="47"/>
        <v>4799.8799999999992</v>
      </c>
      <c r="R91" s="136">
        <v>399</v>
      </c>
      <c r="S91" s="136">
        <v>381</v>
      </c>
      <c r="T91" s="136">
        <v>408</v>
      </c>
      <c r="U91" s="136">
        <v>396</v>
      </c>
      <c r="V91" s="136">
        <v>310.97000000000003</v>
      </c>
      <c r="W91" s="136">
        <v>264</v>
      </c>
      <c r="X91" s="72">
        <v>272</v>
      </c>
      <c r="Y91" s="72">
        <v>421.04</v>
      </c>
      <c r="Z91" s="72">
        <v>400</v>
      </c>
      <c r="AA91" s="72">
        <v>400</v>
      </c>
      <c r="AB91" s="72">
        <v>400</v>
      </c>
      <c r="AC91" s="72">
        <v>400</v>
      </c>
      <c r="AD91" s="127">
        <f t="shared" si="48"/>
        <v>4452.01</v>
      </c>
      <c r="AE91" s="72">
        <f t="shared" si="49"/>
        <v>347.86999999999898</v>
      </c>
      <c r="AF91" s="128">
        <f t="shared" si="50"/>
        <v>7.8137740032030237E-2</v>
      </c>
      <c r="AG91" s="129">
        <v>3820.96</v>
      </c>
      <c r="AH91" s="133">
        <f t="shared" si="35"/>
        <v>-978.91999999999916</v>
      </c>
      <c r="AK91" s="129"/>
    </row>
    <row r="92" spans="1:37">
      <c r="A92" s="105" t="s">
        <v>135</v>
      </c>
      <c r="B92" s="105" t="s">
        <v>254</v>
      </c>
      <c r="D92" s="105" t="s">
        <v>280</v>
      </c>
      <c r="E92" s="136">
        <v>6494.91</v>
      </c>
      <c r="F92" s="136">
        <v>6494.91</v>
      </c>
      <c r="G92" s="136">
        <v>6494.91</v>
      </c>
      <c r="H92" s="136">
        <v>6494.91</v>
      </c>
      <c r="I92" s="136">
        <v>6494.91</v>
      </c>
      <c r="J92" s="136">
        <v>6494.91</v>
      </c>
      <c r="K92" s="136">
        <v>6494.91</v>
      </c>
      <c r="L92" s="136">
        <v>6494.91</v>
      </c>
      <c r="M92" s="136">
        <v>6494.91</v>
      </c>
      <c r="N92" s="136">
        <v>6494.91</v>
      </c>
      <c r="O92" s="136">
        <v>6494.91</v>
      </c>
      <c r="P92" s="136">
        <v>6494.91</v>
      </c>
      <c r="Q92" s="135">
        <f t="shared" si="47"/>
        <v>77938.920000000013</v>
      </c>
      <c r="R92" s="136">
        <v>659.78</v>
      </c>
      <c r="S92" s="136">
        <v>646.34</v>
      </c>
      <c r="T92" s="136">
        <v>640.92999999999995</v>
      </c>
      <c r="U92" s="136">
        <v>678.63</v>
      </c>
      <c r="V92" s="136">
        <v>128050.93</v>
      </c>
      <c r="W92" s="136">
        <v>632.33000000000004</v>
      </c>
      <c r="X92" s="72">
        <v>659.32</v>
      </c>
      <c r="Y92" s="72">
        <v>646.41999999999996</v>
      </c>
      <c r="Z92" s="72">
        <v>1843</v>
      </c>
      <c r="AA92" s="72">
        <v>1843</v>
      </c>
      <c r="AB92" s="72">
        <v>1843</v>
      </c>
      <c r="AC92" s="72">
        <v>1843</v>
      </c>
      <c r="AD92" s="127">
        <f t="shared" si="48"/>
        <v>139986.68</v>
      </c>
      <c r="AE92" s="72">
        <f t="shared" si="49"/>
        <v>-62047.75999999998</v>
      </c>
      <c r="AF92" s="128">
        <f t="shared" si="50"/>
        <v>-0.44324045687775426</v>
      </c>
      <c r="AG92" s="129">
        <v>89981.099999999991</v>
      </c>
      <c r="AH92" s="133">
        <f t="shared" si="35"/>
        <v>12042.179999999978</v>
      </c>
      <c r="AK92" s="129"/>
    </row>
    <row r="93" spans="1:37">
      <c r="A93" s="105" t="s">
        <v>281</v>
      </c>
      <c r="B93" s="105" t="s">
        <v>254</v>
      </c>
      <c r="D93" s="105" t="s">
        <v>282</v>
      </c>
      <c r="E93" s="176">
        <v>10984</v>
      </c>
      <c r="F93" s="176">
        <v>10098</v>
      </c>
      <c r="G93" s="176">
        <v>10236</v>
      </c>
      <c r="H93" s="176">
        <v>11541</v>
      </c>
      <c r="I93" s="176">
        <v>11937</v>
      </c>
      <c r="J93" s="176">
        <v>11316</v>
      </c>
      <c r="K93" s="176">
        <v>11372</v>
      </c>
      <c r="L93" s="176">
        <v>11611</v>
      </c>
      <c r="M93" s="176">
        <v>11613</v>
      </c>
      <c r="N93" s="176">
        <v>11666</v>
      </c>
      <c r="O93" s="176">
        <v>10828</v>
      </c>
      <c r="P93" s="176">
        <v>10803</v>
      </c>
      <c r="Q93" s="135">
        <f t="shared" si="47"/>
        <v>134005</v>
      </c>
      <c r="R93" s="136">
        <v>10036.11</v>
      </c>
      <c r="S93" s="136">
        <v>13902.72</v>
      </c>
      <c r="T93" s="136">
        <v>9025.89</v>
      </c>
      <c r="U93" s="136">
        <v>10441.1</v>
      </c>
      <c r="V93" s="136">
        <v>9924.8700000000008</v>
      </c>
      <c r="W93" s="136">
        <v>9674.32</v>
      </c>
      <c r="X93" s="72">
        <v>8755.25</v>
      </c>
      <c r="Y93" s="72">
        <v>10566.54</v>
      </c>
      <c r="Z93" s="72">
        <v>53083</v>
      </c>
      <c r="AA93" s="72">
        <v>51950</v>
      </c>
      <c r="AB93" s="72">
        <v>50529</v>
      </c>
      <c r="AC93" s="72">
        <v>50534</v>
      </c>
      <c r="AD93" s="127">
        <f t="shared" si="48"/>
        <v>288422.80000000005</v>
      </c>
      <c r="AE93" s="72">
        <f t="shared" si="49"/>
        <v>-154417.80000000005</v>
      </c>
      <c r="AF93" s="128">
        <f t="shared" si="50"/>
        <v>-0.53538693889664768</v>
      </c>
      <c r="AG93" s="129">
        <v>430394.03999999992</v>
      </c>
      <c r="AH93" s="133">
        <f t="shared" si="35"/>
        <v>296389.03999999992</v>
      </c>
      <c r="AK93" s="129"/>
    </row>
    <row r="94" spans="1:37">
      <c r="A94" s="105" t="s">
        <v>137</v>
      </c>
      <c r="B94" s="105" t="s">
        <v>254</v>
      </c>
      <c r="D94" s="105" t="s">
        <v>283</v>
      </c>
      <c r="E94" s="176">
        <v>46034.44</v>
      </c>
      <c r="F94" s="176">
        <v>39000.44</v>
      </c>
      <c r="G94" s="176">
        <v>39079.94</v>
      </c>
      <c r="H94" s="176">
        <v>39668.94</v>
      </c>
      <c r="I94" s="176">
        <v>42577.440000000002</v>
      </c>
      <c r="J94" s="176">
        <v>39700.06</v>
      </c>
      <c r="K94" s="176">
        <v>39446.06</v>
      </c>
      <c r="L94" s="176">
        <v>39408.06</v>
      </c>
      <c r="M94" s="176">
        <v>39670.06</v>
      </c>
      <c r="N94" s="176">
        <v>45910.17</v>
      </c>
      <c r="O94" s="176">
        <v>39543.94</v>
      </c>
      <c r="P94" s="176">
        <v>39506.94</v>
      </c>
      <c r="Q94" s="135">
        <f t="shared" si="47"/>
        <v>489546.49</v>
      </c>
      <c r="R94" s="136">
        <v>46772.95</v>
      </c>
      <c r="S94" s="136">
        <v>41977.37</v>
      </c>
      <c r="T94" s="136">
        <v>39812.54</v>
      </c>
      <c r="U94" s="136">
        <v>40258.76</v>
      </c>
      <c r="V94" s="136">
        <v>28697.33</v>
      </c>
      <c r="W94" s="136">
        <v>30194.400000000001</v>
      </c>
      <c r="X94" s="72">
        <v>30564.13</v>
      </c>
      <c r="Y94" s="72">
        <v>32378.68</v>
      </c>
      <c r="Z94" s="72">
        <v>94437</v>
      </c>
      <c r="AA94" s="72">
        <v>101406</v>
      </c>
      <c r="AB94" s="72">
        <v>95283</v>
      </c>
      <c r="AC94" s="72">
        <v>94685.49</v>
      </c>
      <c r="AD94" s="127">
        <f t="shared" si="48"/>
        <v>676467.65</v>
      </c>
      <c r="AE94" s="72">
        <f t="shared" si="49"/>
        <v>-186921.16000000003</v>
      </c>
      <c r="AF94" s="128">
        <f t="shared" si="50"/>
        <v>-0.27631943670920556</v>
      </c>
      <c r="AG94" s="129">
        <v>1835963.8099999998</v>
      </c>
      <c r="AH94" s="133">
        <f t="shared" si="35"/>
        <v>1346417.3199999998</v>
      </c>
      <c r="AK94" s="129"/>
    </row>
    <row r="95" spans="1:37">
      <c r="A95" s="105" t="s">
        <v>327</v>
      </c>
      <c r="D95" s="105" t="s">
        <v>139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40">
        <v>0</v>
      </c>
      <c r="L95" s="140">
        <v>0</v>
      </c>
      <c r="M95" s="140">
        <v>0</v>
      </c>
      <c r="N95" s="140">
        <v>0</v>
      </c>
      <c r="O95" s="140">
        <v>0</v>
      </c>
      <c r="P95" s="140">
        <v>0</v>
      </c>
      <c r="Q95" s="135"/>
      <c r="R95" s="136"/>
      <c r="S95" s="136"/>
      <c r="T95" s="136"/>
      <c r="U95" s="136"/>
      <c r="V95" s="136"/>
      <c r="W95" s="136"/>
      <c r="X95" s="72">
        <v>0</v>
      </c>
      <c r="Y95" s="72">
        <v>0</v>
      </c>
      <c r="Z95" s="72">
        <v>0</v>
      </c>
      <c r="AA95" s="72">
        <v>0</v>
      </c>
      <c r="AB95" s="72">
        <v>0</v>
      </c>
      <c r="AC95" s="72">
        <v>0</v>
      </c>
      <c r="AD95" s="127">
        <f t="shared" si="48"/>
        <v>0</v>
      </c>
      <c r="AE95" s="72">
        <f t="shared" si="49"/>
        <v>0</v>
      </c>
      <c r="AF95" s="128" t="e">
        <f t="shared" si="50"/>
        <v>#DIV/0!</v>
      </c>
      <c r="AG95" s="129">
        <v>0</v>
      </c>
      <c r="AH95" s="133">
        <f t="shared" si="35"/>
        <v>0</v>
      </c>
      <c r="AK95" s="129"/>
    </row>
    <row r="96" spans="1:37">
      <c r="A96" s="105" t="s">
        <v>327</v>
      </c>
      <c r="D96" s="105" t="s">
        <v>285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40">
        <v>0</v>
      </c>
      <c r="L96" s="140">
        <v>0</v>
      </c>
      <c r="M96" s="140">
        <v>0</v>
      </c>
      <c r="N96" s="140">
        <v>0</v>
      </c>
      <c r="O96" s="140">
        <v>0</v>
      </c>
      <c r="P96" s="140">
        <v>0</v>
      </c>
      <c r="Q96" s="135"/>
      <c r="R96" s="136"/>
      <c r="S96" s="136"/>
      <c r="T96" s="136"/>
      <c r="U96" s="136"/>
      <c r="V96" s="136"/>
      <c r="W96" s="136"/>
      <c r="X96" s="72">
        <v>0</v>
      </c>
      <c r="Y96" s="72">
        <v>0</v>
      </c>
      <c r="Z96" s="72">
        <v>0</v>
      </c>
      <c r="AA96" s="72">
        <v>0</v>
      </c>
      <c r="AB96" s="72">
        <v>0</v>
      </c>
      <c r="AC96" s="72">
        <v>0</v>
      </c>
      <c r="AD96" s="127">
        <f t="shared" si="48"/>
        <v>0</v>
      </c>
      <c r="AE96" s="72">
        <f t="shared" si="49"/>
        <v>0</v>
      </c>
      <c r="AF96" s="128" t="e">
        <f t="shared" si="50"/>
        <v>#DIV/0!</v>
      </c>
      <c r="AG96" s="129">
        <v>0</v>
      </c>
      <c r="AH96" s="133">
        <f t="shared" si="35"/>
        <v>0</v>
      </c>
      <c r="AK96" s="129"/>
    </row>
    <row r="97" spans="1:37">
      <c r="D97" s="109" t="s">
        <v>286</v>
      </c>
      <c r="E97" s="135">
        <f t="shared" ref="E97:P97" si="51">SUM(E88:E96)</f>
        <v>63913.340000000004</v>
      </c>
      <c r="F97" s="135">
        <f t="shared" si="51"/>
        <v>55993.340000000004</v>
      </c>
      <c r="G97" s="135">
        <f t="shared" si="51"/>
        <v>56210.840000000004</v>
      </c>
      <c r="H97" s="135">
        <f t="shared" si="51"/>
        <v>58104.840000000004</v>
      </c>
      <c r="I97" s="135">
        <f t="shared" si="51"/>
        <v>61409.340000000004</v>
      </c>
      <c r="J97" s="135">
        <f t="shared" si="51"/>
        <v>57910.96</v>
      </c>
      <c r="K97" s="135">
        <f t="shared" si="51"/>
        <v>57712.959999999999</v>
      </c>
      <c r="L97" s="135">
        <f t="shared" si="51"/>
        <v>57913.96</v>
      </c>
      <c r="M97" s="135">
        <f t="shared" si="51"/>
        <v>58177.96</v>
      </c>
      <c r="N97" s="135">
        <f t="shared" si="51"/>
        <v>64471.07</v>
      </c>
      <c r="O97" s="135">
        <f t="shared" si="51"/>
        <v>57266.840000000004</v>
      </c>
      <c r="P97" s="135">
        <f t="shared" si="51"/>
        <v>57204.840000000004</v>
      </c>
      <c r="Q97" s="135">
        <f>SUM(Q88:Q96)</f>
        <v>706290.29</v>
      </c>
      <c r="R97" s="135">
        <f t="shared" ref="R97:AD97" si="52">SUM(R88:R96)</f>
        <v>57867.839999999997</v>
      </c>
      <c r="S97" s="135">
        <f t="shared" si="52"/>
        <v>56907.43</v>
      </c>
      <c r="T97" s="135">
        <f t="shared" si="52"/>
        <v>49887.360000000001</v>
      </c>
      <c r="U97" s="135">
        <f t="shared" si="52"/>
        <v>51774.490000000005</v>
      </c>
      <c r="V97" s="135">
        <f t="shared" si="52"/>
        <v>166984.09999999998</v>
      </c>
      <c r="W97" s="135">
        <f t="shared" si="52"/>
        <v>40765.050000000003</v>
      </c>
      <c r="X97" s="135">
        <f t="shared" si="52"/>
        <v>40250.699999999997</v>
      </c>
      <c r="Y97" s="135">
        <f t="shared" si="52"/>
        <v>44012.68</v>
      </c>
      <c r="Z97" s="135">
        <f t="shared" si="52"/>
        <v>149763</v>
      </c>
      <c r="AA97" s="135">
        <f t="shared" si="52"/>
        <v>155599</v>
      </c>
      <c r="AB97" s="135">
        <f t="shared" si="52"/>
        <v>148055</v>
      </c>
      <c r="AC97" s="135">
        <f t="shared" si="52"/>
        <v>147462.49</v>
      </c>
      <c r="AD97" s="135">
        <f t="shared" si="52"/>
        <v>1109329.1400000001</v>
      </c>
      <c r="AE97" s="117">
        <f t="shared" si="49"/>
        <v>-403038.85000000009</v>
      </c>
      <c r="AF97" s="128">
        <f t="shared" si="50"/>
        <v>-0.36331764439181691</v>
      </c>
      <c r="AG97" s="129">
        <v>2360159.9099999997</v>
      </c>
      <c r="AH97" s="133">
        <f t="shared" si="35"/>
        <v>1653869.6199999996</v>
      </c>
      <c r="AK97" s="129"/>
    </row>
    <row r="98" spans="1:37">
      <c r="D98" s="109" t="s">
        <v>287</v>
      </c>
      <c r="E98" s="135">
        <f t="shared" ref="E98:AD98" si="53">E76+E86+E97+E69</f>
        <v>371368.44</v>
      </c>
      <c r="F98" s="135">
        <f t="shared" si="53"/>
        <v>320954.76</v>
      </c>
      <c r="G98" s="135">
        <f t="shared" si="53"/>
        <v>326904.01</v>
      </c>
      <c r="H98" s="135">
        <f t="shared" si="53"/>
        <v>353571.13</v>
      </c>
      <c r="I98" s="135">
        <f t="shared" si="53"/>
        <v>369101.85</v>
      </c>
      <c r="J98" s="135">
        <f t="shared" si="53"/>
        <v>348387.79000000004</v>
      </c>
      <c r="K98" s="135">
        <f t="shared" si="53"/>
        <v>350427.08</v>
      </c>
      <c r="L98" s="135">
        <f t="shared" si="53"/>
        <v>349589.51</v>
      </c>
      <c r="M98" s="135">
        <f t="shared" si="53"/>
        <v>349853.51</v>
      </c>
      <c r="N98" s="135">
        <f t="shared" si="53"/>
        <v>400691.96</v>
      </c>
      <c r="O98" s="135">
        <f t="shared" si="53"/>
        <v>349980.96</v>
      </c>
      <c r="P98" s="135">
        <f t="shared" si="53"/>
        <v>348880.39</v>
      </c>
      <c r="Q98" s="135">
        <f t="shared" si="53"/>
        <v>4239711.3900000006</v>
      </c>
      <c r="R98" s="135">
        <f t="shared" si="53"/>
        <v>385194.91000000003</v>
      </c>
      <c r="S98" s="135">
        <f t="shared" si="53"/>
        <v>413465.06</v>
      </c>
      <c r="T98" s="135">
        <f t="shared" si="53"/>
        <v>371931.95</v>
      </c>
      <c r="U98" s="135">
        <f t="shared" si="53"/>
        <v>354684.91</v>
      </c>
      <c r="V98" s="135">
        <f t="shared" si="53"/>
        <v>471504</v>
      </c>
      <c r="W98" s="135">
        <f t="shared" si="53"/>
        <v>311874.66000000003</v>
      </c>
      <c r="X98" s="135">
        <f t="shared" si="53"/>
        <v>294951.31</v>
      </c>
      <c r="Y98" s="135">
        <f t="shared" si="53"/>
        <v>307144.15000000002</v>
      </c>
      <c r="Z98" s="135">
        <f t="shared" si="53"/>
        <v>616359.28</v>
      </c>
      <c r="AA98" s="135">
        <f t="shared" si="53"/>
        <v>694469.78</v>
      </c>
      <c r="AB98" s="135">
        <f t="shared" si="53"/>
        <v>627882.17999999993</v>
      </c>
      <c r="AC98" s="135">
        <f t="shared" si="53"/>
        <v>626759.27</v>
      </c>
      <c r="AD98" s="135">
        <f t="shared" si="53"/>
        <v>5476221.4600000009</v>
      </c>
      <c r="AE98" s="117">
        <f t="shared" si="49"/>
        <v>-1236510.0700000003</v>
      </c>
      <c r="AF98" s="128">
        <f t="shared" si="50"/>
        <v>-0.2257962135081367</v>
      </c>
      <c r="AG98" s="129">
        <v>8676149.0099999998</v>
      </c>
      <c r="AH98" s="133">
        <f t="shared" si="35"/>
        <v>4436437.6199999992</v>
      </c>
      <c r="AK98" s="129"/>
    </row>
    <row r="99" spans="1:37">
      <c r="D99" s="105" t="s">
        <v>154</v>
      </c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35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35"/>
      <c r="AF99" s="128"/>
      <c r="AG99" s="129"/>
      <c r="AH99" s="133">
        <f t="shared" si="35"/>
        <v>0</v>
      </c>
      <c r="AK99" s="129"/>
    </row>
    <row r="100" spans="1:37">
      <c r="D100" s="105" t="s">
        <v>154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35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35"/>
      <c r="AF100" s="128"/>
      <c r="AG100" s="129"/>
      <c r="AH100" s="133">
        <f t="shared" si="35"/>
        <v>0</v>
      </c>
      <c r="AK100" s="129"/>
    </row>
    <row r="101" spans="1:37" s="109" customFormat="1">
      <c r="A101" s="109" t="s">
        <v>141</v>
      </c>
      <c r="B101" s="109" t="s">
        <v>254</v>
      </c>
      <c r="D101" s="109" t="s">
        <v>288</v>
      </c>
      <c r="E101" s="136">
        <v>35</v>
      </c>
      <c r="F101" s="136">
        <v>35</v>
      </c>
      <c r="G101" s="136">
        <v>35</v>
      </c>
      <c r="H101" s="136">
        <v>35</v>
      </c>
      <c r="I101" s="136">
        <v>35</v>
      </c>
      <c r="J101" s="136">
        <v>35</v>
      </c>
      <c r="K101" s="136">
        <v>35</v>
      </c>
      <c r="L101" s="136">
        <v>35</v>
      </c>
      <c r="M101" s="136">
        <v>35</v>
      </c>
      <c r="N101" s="136">
        <v>35</v>
      </c>
      <c r="O101" s="136">
        <v>35</v>
      </c>
      <c r="P101" s="136">
        <v>35</v>
      </c>
      <c r="Q101" s="137">
        <f>SUM(E101:P101)/12</f>
        <v>35</v>
      </c>
      <c r="R101" s="137">
        <v>35</v>
      </c>
      <c r="S101" s="137">
        <v>34</v>
      </c>
      <c r="T101" s="137">
        <v>34</v>
      </c>
      <c r="U101" s="137">
        <v>36</v>
      </c>
      <c r="V101" s="137">
        <v>34</v>
      </c>
      <c r="W101" s="137">
        <v>32</v>
      </c>
      <c r="X101" s="127">
        <v>33</v>
      </c>
      <c r="Y101" s="127">
        <v>33</v>
      </c>
      <c r="Z101" s="127">
        <v>48</v>
      </c>
      <c r="AA101" s="127">
        <v>48</v>
      </c>
      <c r="AB101" s="127">
        <v>48</v>
      </c>
      <c r="AC101" s="127">
        <v>48</v>
      </c>
      <c r="AD101" s="127">
        <f>SUM(R101:AC101)/12</f>
        <v>38.583333333333336</v>
      </c>
      <c r="AE101" s="127">
        <f t="shared" ref="AE101" si="54">Q101-AD101</f>
        <v>-3.5833333333333357</v>
      </c>
      <c r="AF101" s="132">
        <f t="shared" ref="AF101" si="55">AE101/AD101</f>
        <v>-9.287257019438451E-2</v>
      </c>
      <c r="AG101" s="129">
        <v>117.33333333333333</v>
      </c>
      <c r="AH101" s="133">
        <f t="shared" si="35"/>
        <v>82.333333333333329</v>
      </c>
      <c r="AK101" s="129"/>
    </row>
    <row r="102" spans="1:37">
      <c r="D102" s="105" t="s">
        <v>154</v>
      </c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35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35"/>
      <c r="AG102" s="168"/>
      <c r="AH102" s="133"/>
      <c r="AK102" s="129"/>
    </row>
    <row r="103" spans="1:37">
      <c r="Q103" s="117">
        <f>Q98/Q101</f>
        <v>121134.61114285716</v>
      </c>
      <c r="AD103" s="117">
        <f>AD98/AD101</f>
        <v>141932.30565874733</v>
      </c>
      <c r="AE103" s="116">
        <f>AD103-Q103</f>
        <v>20797.694515890165</v>
      </c>
      <c r="AH103" s="133"/>
    </row>
    <row r="104" spans="1:37">
      <c r="AH104" s="133"/>
    </row>
    <row r="105" spans="1:37">
      <c r="D105" s="105" t="s">
        <v>172</v>
      </c>
      <c r="E105" s="116">
        <v>38158990</v>
      </c>
      <c r="F105" s="116">
        <v>28680652</v>
      </c>
      <c r="G105" s="116">
        <v>20100995</v>
      </c>
      <c r="H105" s="116">
        <v>16463034</v>
      </c>
      <c r="I105" s="116">
        <v>14271847</v>
      </c>
      <c r="J105" s="116">
        <v>13902001</v>
      </c>
      <c r="K105" s="116">
        <v>18703720</v>
      </c>
      <c r="L105" s="116">
        <v>22425016</v>
      </c>
      <c r="M105" s="116">
        <v>13222560</v>
      </c>
      <c r="N105" s="116">
        <v>17691055</v>
      </c>
      <c r="O105" s="116">
        <v>15672384</v>
      </c>
      <c r="P105" s="116">
        <v>25838748</v>
      </c>
      <c r="Q105" s="135">
        <f>SUM(E105:P105)</f>
        <v>245131002</v>
      </c>
      <c r="AD105" s="127">
        <f>SUM(R105:AC105)</f>
        <v>0</v>
      </c>
      <c r="AH105" s="133"/>
    </row>
    <row r="106" spans="1:37">
      <c r="AH106" s="133"/>
    </row>
    <row r="107" spans="1:37">
      <c r="D107" s="151" t="s">
        <v>330</v>
      </c>
      <c r="E107" s="111">
        <v>0</v>
      </c>
      <c r="F107" s="111">
        <v>0</v>
      </c>
      <c r="G107" s="111">
        <v>0</v>
      </c>
      <c r="H107" s="111">
        <v>0</v>
      </c>
      <c r="I107" s="111">
        <v>0</v>
      </c>
      <c r="J107" s="111">
        <v>0</v>
      </c>
      <c r="K107" s="111">
        <v>0</v>
      </c>
      <c r="L107" s="111">
        <v>0</v>
      </c>
      <c r="M107" s="111">
        <v>0</v>
      </c>
      <c r="N107" s="111">
        <v>0</v>
      </c>
      <c r="O107" s="111">
        <v>0</v>
      </c>
      <c r="P107" s="111">
        <v>0</v>
      </c>
      <c r="Q107" s="135">
        <f t="shared" ref="Q107:Q109" si="56">SUM(E107:P107)</f>
        <v>0</v>
      </c>
      <c r="AH107" s="133"/>
    </row>
    <row r="108" spans="1:37">
      <c r="D108" s="152" t="s">
        <v>331</v>
      </c>
      <c r="E108" s="116">
        <v>104575.57</v>
      </c>
      <c r="F108" s="116">
        <v>96654.25</v>
      </c>
      <c r="G108" s="116">
        <v>98254.34</v>
      </c>
      <c r="H108" s="116">
        <v>103857.29</v>
      </c>
      <c r="I108" s="116">
        <v>107956.5</v>
      </c>
      <c r="J108" s="116">
        <v>101469.56</v>
      </c>
      <c r="K108" s="116">
        <v>103121.89</v>
      </c>
      <c r="L108" s="116">
        <v>101766.47</v>
      </c>
      <c r="M108" s="116">
        <v>101862.63</v>
      </c>
      <c r="N108" s="116">
        <v>116986.77</v>
      </c>
      <c r="O108" s="116">
        <v>103072.4</v>
      </c>
      <c r="P108" s="116">
        <v>101632.78</v>
      </c>
      <c r="Q108" s="135">
        <f t="shared" si="56"/>
        <v>1241210.45</v>
      </c>
      <c r="V108" s="171"/>
      <c r="AH108" s="133"/>
    </row>
    <row r="109" spans="1:37">
      <c r="D109" s="151" t="s">
        <v>332</v>
      </c>
      <c r="E109" s="116">
        <v>75267.83</v>
      </c>
      <c r="F109" s="116">
        <v>56617.520000000004</v>
      </c>
      <c r="G109" s="116">
        <v>56804.090000000004</v>
      </c>
      <c r="H109" s="116">
        <v>61310.229999999996</v>
      </c>
      <c r="I109" s="116">
        <v>66666.790000000008</v>
      </c>
      <c r="J109" s="116">
        <v>57552.57</v>
      </c>
      <c r="K109" s="116">
        <v>57474.07</v>
      </c>
      <c r="L109" s="116">
        <v>57585.62</v>
      </c>
      <c r="M109" s="116">
        <v>57698.07</v>
      </c>
      <c r="N109" s="116">
        <v>73260.91</v>
      </c>
      <c r="O109" s="116">
        <v>57321.270000000004</v>
      </c>
      <c r="P109" s="116">
        <v>57290.76</v>
      </c>
      <c r="Q109" s="135">
        <f t="shared" si="56"/>
        <v>734849.73</v>
      </c>
      <c r="AH109" s="133"/>
    </row>
    <row r="110" spans="1:37">
      <c r="AH110" s="133"/>
    </row>
    <row r="111" spans="1:37">
      <c r="E111" s="116">
        <f>E107/E55</f>
        <v>0</v>
      </c>
      <c r="F111" s="116">
        <f t="shared" ref="F111:Q111" si="57">F107/F55</f>
        <v>0</v>
      </c>
      <c r="G111" s="116">
        <f t="shared" si="57"/>
        <v>0</v>
      </c>
      <c r="H111" s="116">
        <f t="shared" si="57"/>
        <v>0</v>
      </c>
      <c r="I111" s="116">
        <f t="shared" si="57"/>
        <v>0</v>
      </c>
      <c r="J111" s="116">
        <f t="shared" si="57"/>
        <v>0</v>
      </c>
      <c r="K111" s="116">
        <f t="shared" si="57"/>
        <v>0</v>
      </c>
      <c r="L111" s="116">
        <f t="shared" si="57"/>
        <v>0</v>
      </c>
      <c r="M111" s="116">
        <f t="shared" si="57"/>
        <v>0</v>
      </c>
      <c r="N111" s="116">
        <f t="shared" si="57"/>
        <v>0</v>
      </c>
      <c r="O111" s="116">
        <f t="shared" si="57"/>
        <v>0</v>
      </c>
      <c r="P111" s="116">
        <f t="shared" si="57"/>
        <v>0</v>
      </c>
      <c r="Q111" s="116">
        <f t="shared" si="57"/>
        <v>0</v>
      </c>
      <c r="AH111" s="133"/>
    </row>
    <row r="112" spans="1:37">
      <c r="AH112" s="133"/>
    </row>
    <row r="113" spans="34:34">
      <c r="AH113" s="133"/>
    </row>
    <row r="114" spans="34:34">
      <c r="AH114" s="133"/>
    </row>
    <row r="115" spans="34:34">
      <c r="AH115" s="133"/>
    </row>
    <row r="116" spans="34:34">
      <c r="AH116" s="133"/>
    </row>
    <row r="117" spans="34:34">
      <c r="AH117" s="133"/>
    </row>
    <row r="118" spans="34:34">
      <c r="AH118" s="133"/>
    </row>
    <row r="119" spans="34:34">
      <c r="AH119" s="133"/>
    </row>
    <row r="120" spans="34:34">
      <c r="AH120" s="133"/>
    </row>
    <row r="121" spans="34:34">
      <c r="AH121" s="133"/>
    </row>
    <row r="122" spans="34:34">
      <c r="AH122" s="133"/>
    </row>
    <row r="123" spans="34:34">
      <c r="AH123" s="133"/>
    </row>
    <row r="124" spans="34:34">
      <c r="AH124" s="133"/>
    </row>
    <row r="125" spans="34:34">
      <c r="AH125" s="133"/>
    </row>
    <row r="126" spans="34:34">
      <c r="AH126" s="133"/>
    </row>
    <row r="127" spans="34:34">
      <c r="AH127" s="133"/>
    </row>
    <row r="128" spans="34:34">
      <c r="AH128" s="133"/>
    </row>
    <row r="129" spans="34:34">
      <c r="AH129" s="133"/>
    </row>
    <row r="130" spans="34:34">
      <c r="AH130" s="133"/>
    </row>
  </sheetData>
  <phoneticPr fontId="7" type="noConversion"/>
  <dataValidations count="284">
    <dataValidation type="textLength" errorStyle="information" allowBlank="1" showInputMessage="1" showErrorMessage="1" error="XLBVal:6=14039.99_x000d__x000a_" sqref="W27">
      <formula1>0</formula1>
      <formula2>300</formula2>
    </dataValidation>
    <dataValidation type="textLength" errorStyle="information" allowBlank="1" showInputMessage="1" showErrorMessage="1" error="XLBVal:6=14040_x000d__x000a_" sqref="U27:V27">
      <formula1>0</formula1>
      <formula2>300</formula2>
    </dataValidation>
    <dataValidation type="textLength" errorStyle="information" allowBlank="1" showInputMessage="1" showErrorMessage="1" error="XLBVal:6=43288.87_x000d__x000a_" sqref="R27:T27">
      <formula1>0</formula1>
      <formula2>300</formula2>
    </dataValidation>
    <dataValidation type="textLength" errorStyle="information" allowBlank="1" showInputMessage="1" showErrorMessage="1" error="XLBVal:6=35_x000d__x000a_" sqref="R101">
      <formula1>0</formula1>
      <formula2>300</formula2>
    </dataValidation>
    <dataValidation type="textLength" errorStyle="information" allowBlank="1" showInputMessage="1" showErrorMessage="1" error="XLBVal:6=310.97_x000d__x000a_" sqref="V91">
      <formula1>0</formula1>
      <formula2>300</formula2>
    </dataValidation>
    <dataValidation type="textLength" errorStyle="information" allowBlank="1" showInputMessage="1" showErrorMessage="1" error="XLBVal:6=12238_x000d__x000a_" sqref="R83">
      <formula1>0</formula1>
      <formula2>300</formula2>
    </dataValidation>
    <dataValidation type="textLength" errorStyle="information" allowBlank="1" showInputMessage="1" showErrorMessage="1" error="XLBVal:6=297.48_x000d__x000a_" sqref="R81">
      <formula1>0</formula1>
      <formula2>300</formula2>
    </dataValidation>
    <dataValidation type="textLength" errorStyle="information" allowBlank="1" showInputMessage="1" showErrorMessage="1" error="XLBVal:6=1239.41_x000d__x000a_" sqref="R80">
      <formula1>0</formula1>
      <formula2>300</formula2>
    </dataValidation>
    <dataValidation type="textLength" errorStyle="information" allowBlank="1" showInputMessage="1" showErrorMessage="1" error="XLBVal:6=21070.45_x000d__x000a_" sqref="R79">
      <formula1>0</formula1>
      <formula2>300</formula2>
    </dataValidation>
    <dataValidation type="textLength" errorStyle="information" allowBlank="1" showInputMessage="1" showErrorMessage="1" error="XLBVal:6=39661.98_x000d__x000a_" sqref="R78">
      <formula1>0</formula1>
      <formula2>300</formula2>
    </dataValidation>
    <dataValidation type="textLength" errorStyle="information" allowBlank="1" showInputMessage="1" showErrorMessage="1" error="XLBVal:6=10868.97_x000d__x000a_" sqref="W71">
      <formula1>0</formula1>
      <formula2>300</formula2>
    </dataValidation>
    <dataValidation type="textLength" errorStyle="information" allowBlank="1" showInputMessage="1" showErrorMessage="1" error="XLBVal:6=63_x000d__x000a_" sqref="V54">
      <formula1>0</formula1>
      <formula2>300</formula2>
    </dataValidation>
    <dataValidation type="textLength" errorStyle="information" allowBlank="1" showInputMessage="1" showErrorMessage="1" error="XLBVal:6=8_x000d__x000a_" sqref="W51">
      <formula1>0</formula1>
      <formula2>300</formula2>
    </dataValidation>
    <dataValidation type="textLength" errorStyle="information" allowBlank="1" showInputMessage="1" showErrorMessage="1" error="XLBVal:6=108_x000d__x000a_" sqref="R43">
      <formula1>0</formula1>
      <formula2>300</formula2>
    </dataValidation>
    <dataValidation type="textLength" errorStyle="information" allowBlank="1" showInputMessage="1" showErrorMessage="1" error="XLBVal:6=-1494_x000d__x000a_" sqref="V41">
      <formula1>0</formula1>
      <formula2>300</formula2>
    </dataValidation>
    <dataValidation type="textLength" errorStyle="information" allowBlank="1" showInputMessage="1" showErrorMessage="1" error="XLBVal:6=-2992_x000d__x000a_" sqref="T41">
      <formula1>0</formula1>
      <formula2>300</formula2>
    </dataValidation>
    <dataValidation type="textLength" errorStyle="information" allowBlank="1" showInputMessage="1" showErrorMessage="1" error="XLBVal:6=22198_x000d__x000a_" sqref="R32:T32">
      <formula1>0</formula1>
      <formula2>300</formula2>
    </dataValidation>
    <dataValidation type="textLength" errorStyle="information" allowBlank="1" showInputMessage="1" showErrorMessage="1" error="XLBVal:6=2334.22_x000d__x000a_" sqref="S25">
      <formula1>0</formula1>
      <formula2>300</formula2>
    </dataValidation>
    <dataValidation type="textLength" errorStyle="information" allowBlank="1" showInputMessage="1" showErrorMessage="1" error="XLBVal:6=84205.42_x000d__x000a_" sqref="S23">
      <formula1>0</formula1>
      <formula2>300</formula2>
    </dataValidation>
    <dataValidation type="textLength" errorStyle="information" allowBlank="1" showInputMessage="1" showErrorMessage="1" error="XLBVal:6=396_x000d__x000a_" sqref="U91">
      <formula1>0</formula1>
      <formula2>300</formula2>
    </dataValidation>
    <dataValidation type="textLength" errorStyle="information" allowBlank="1" showInputMessage="1" showErrorMessage="1" error="XLBVal:6=10342_x000d__x000a_" sqref="W83">
      <formula1>0</formula1>
      <formula2>300</formula2>
    </dataValidation>
    <dataValidation type="textLength" errorStyle="information" allowBlank="1" showInputMessage="1" showErrorMessage="1" error="XLBVal:6=8074.08_x000d__x000a_" sqref="U75">
      <formula1>0</formula1>
      <formula2>300</formula2>
    </dataValidation>
    <dataValidation type="textLength" errorStyle="information" allowBlank="1" showInputMessage="1" showErrorMessage="1" error="XLBVal:6=23108.57_x000d__x000a_" sqref="W72">
      <formula1>0</formula1>
      <formula2>300</formula2>
    </dataValidation>
    <dataValidation type="textLength" errorStyle="information" allowBlank="1" showInputMessage="1" showErrorMessage="1" error="XLBVal:6=27690.96_x000d__x000a_" sqref="U72">
      <formula1>0</formula1>
      <formula2>300</formula2>
    </dataValidation>
    <dataValidation type="textLength" errorStyle="information" allowBlank="1" showInputMessage="1" showErrorMessage="1" error="XLBVal:6=12317.28_x000d__x000a_" sqref="R71">
      <formula1>0</formula1>
      <formula2>300</formula2>
    </dataValidation>
    <dataValidation type="textLength" errorStyle="information" allowBlank="1" showInputMessage="1" showErrorMessage="1" error="XLBVal:6=65_x000d__x000a_" sqref="U54">
      <formula1>0</formula1>
      <formula2>300</formula2>
    </dataValidation>
    <dataValidation type="textLength" errorStyle="information" allowBlank="1" showInputMessage="1" showErrorMessage="1" error="XLBVal:6=43_x000d__x000a_" sqref="S54">
      <formula1>0</formula1>
      <formula2>300</formula2>
    </dataValidation>
    <dataValidation type="textLength" errorStyle="information" allowBlank="1" showInputMessage="1" showErrorMessage="1" error="XLBVal:6=53_x000d__x000a_" sqref="V53">
      <formula1>0</formula1>
      <formula2>300</formula2>
    </dataValidation>
    <dataValidation type="textLength" errorStyle="information" allowBlank="1" showInputMessage="1" showErrorMessage="1" error="XLBVal:6=6_x000d__x000a_" sqref="T51">
      <formula1>0</formula1>
      <formula2>300</formula2>
    </dataValidation>
    <dataValidation type="textLength" errorStyle="information" allowBlank="1" showInputMessage="1" showErrorMessage="1" error="XLBVal:6=241.42_x000d__x000a_" sqref="U43">
      <formula1>0</formula1>
      <formula2>300</formula2>
    </dataValidation>
    <dataValidation type="textLength" errorStyle="information" allowBlank="1" showInputMessage="1" showErrorMessage="1" error="XLBVal:6=1055_x000d__x000a_" sqref="S41">
      <formula1>0</formula1>
      <formula2>300</formula2>
    </dataValidation>
    <dataValidation type="textLength" errorStyle="information" allowBlank="1" showInputMessage="1" showErrorMessage="1" error="XLBVal:6=11823_x000d__x000a_" sqref="R30">
      <formula1>0</formula1>
      <formula2>300</formula2>
    </dataValidation>
    <dataValidation type="textLength" errorStyle="information" allowBlank="1" showInputMessage="1" showErrorMessage="1" error="XLBVal:6=1167.11_x000d__x000a_" sqref="T25:W25">
      <formula1>0</formula1>
      <formula2>300</formula2>
    </dataValidation>
    <dataValidation type="textLength" errorStyle="information" allowBlank="1" showInputMessage="1" showErrorMessage="1" error="XLBVal:6=48_x000d__x000a_" sqref="AC54">
      <formula1>0</formula1>
      <formula2>300</formula2>
    </dataValidation>
    <dataValidation type="textLength" errorStyle="information" allowBlank="1" showInputMessage="1" showErrorMessage="1" error="XLBVal:6=121_x000d__x000a_" sqref="AC53">
      <formula1>0</formula1>
      <formula2>300</formula2>
    </dataValidation>
    <dataValidation type="textLength" errorStyle="information" allowBlank="1" showInputMessage="1" showErrorMessage="1" error="XLBVal:6=16116_x000d__x000a_" sqref="AC52">
      <formula1>0</formula1>
      <formula2>300</formula2>
    </dataValidation>
    <dataValidation type="textLength" errorStyle="information" allowBlank="1" showInputMessage="1" showErrorMessage="1" error="XLBVal:6=27_x000d__x000a_" sqref="AC51">
      <formula1>0</formula1>
      <formula2>300</formula2>
    </dataValidation>
    <dataValidation type="textLength" errorStyle="information" allowBlank="1" showInputMessage="1" showErrorMessage="1" error="XLBVal:6=1321_x000d__x000a_" sqref="AC50">
      <formula1>0</formula1>
      <formula2>300</formula2>
    </dataValidation>
    <dataValidation type="textLength" errorStyle="information" allowBlank="1" showInputMessage="1" showErrorMessage="1" error="XLBVal:6=16692.1_x000d__x000a_" sqref="AC23">
      <formula1>0</formula1>
      <formula2>300</formula2>
    </dataValidation>
    <dataValidation type="textLength" errorStyle="information" allowBlank="1" showInputMessage="1" showErrorMessage="1" error="XLBVal:6=1942.79_x000d__x000a_" sqref="AC22">
      <formula1>0</formula1>
      <formula2>300</formula2>
    </dataValidation>
    <dataValidation type="textLength" errorStyle="information" allowBlank="1" showInputMessage="1" showErrorMessage="1" error="XLBVal:6=455721.58_x000d__x000a_" sqref="AC21">
      <formula1>0</formula1>
      <formula2>300</formula2>
    </dataValidation>
    <dataValidation type="textLength" errorStyle="information" allowBlank="1" showInputMessage="1" showErrorMessage="1" error="XLBVal:6=58_x000d__x000a_" sqref="AB54">
      <formula1>0</formula1>
      <formula2>300</formula2>
    </dataValidation>
    <dataValidation type="textLength" errorStyle="information" allowBlank="1" showInputMessage="1" showErrorMessage="1" error="XLBVal:6=25_x000d__x000a_" sqref="AA54">
      <formula1>0</formula1>
      <formula2>300</formula2>
    </dataValidation>
    <dataValidation type="textLength" errorStyle="information" allowBlank="1" showInputMessage="1" showErrorMessage="1" error="XLBVal:6=11508_x000d__x000a_" sqref="AB52">
      <formula1>0</formula1>
      <formula2>300</formula2>
    </dataValidation>
    <dataValidation type="textLength" errorStyle="information" allowBlank="1" showInputMessage="1" showErrorMessage="1" error="XLBVal:6=7900_x000d__x000a_" sqref="AA52">
      <formula1>0</formula1>
      <formula2>300</formula2>
    </dataValidation>
    <dataValidation type="textLength" errorStyle="information" allowBlank="1" showInputMessage="1" showErrorMessage="1" error="XLBVal:6=157_x000d__x000a_" sqref="AA51">
      <formula1>0</formula1>
      <formula2>300</formula2>
    </dataValidation>
    <dataValidation type="textLength" errorStyle="information" allowBlank="1" showInputMessage="1" showErrorMessage="1" error="XLBVal:6=1896_x000d__x000a_" sqref="AB50">
      <formula1>0</formula1>
      <formula2>300</formula2>
    </dataValidation>
    <dataValidation type="textLength" errorStyle="information" allowBlank="1" showInputMessage="1" showErrorMessage="1" error="XLBVal:6=2095_x000d__x000a_" sqref="AA50">
      <formula1>0</formula1>
      <formula2>300</formula2>
    </dataValidation>
    <dataValidation type="textLength" errorStyle="information" allowBlank="1" showInputMessage="1" showErrorMessage="1" error="XLBVal:6=-0.01_x000d__x000a_" sqref="AA23">
      <formula1>0</formula1>
      <formula2>300</formula2>
    </dataValidation>
    <dataValidation type="textLength" errorStyle="information" allowBlank="1" showInputMessage="1" showErrorMessage="1" error="XLBVal:6=4247.31_x000d__x000a_" sqref="AB22">
      <formula1>0</formula1>
      <formula2>300</formula2>
    </dataValidation>
    <dataValidation type="textLength" errorStyle="information" allowBlank="1" showInputMessage="1" showErrorMessage="1" error="XLBVal:6=12565.6_x000d__x000a_" sqref="AA22">
      <formula1>0</formula1>
      <formula2>300</formula2>
    </dataValidation>
    <dataValidation type="textLength" errorStyle="information" allowBlank="1" showInputMessage="1" showErrorMessage="1" error="XLBVal:6=299796.52_x000d__x000a_" sqref="AB21">
      <formula1>0</formula1>
      <formula2>300</formula2>
    </dataValidation>
    <dataValidation type="textLength" errorStyle="information" allowBlank="1" showInputMessage="1" showErrorMessage="1" error="XLBVal:6=275104.1_x000d__x000a_" sqref="AA21">
      <formula1>0</formula1>
      <formula2>300</formula2>
    </dataValidation>
    <dataValidation type="textLength" errorStyle="information" allowBlank="1" showInputMessage="1" showErrorMessage="1" error="XLBVal:6=211_x000d__x000a_" sqref="Z54">
      <formula1>0</formula1>
      <formula2>300</formula2>
    </dataValidation>
    <dataValidation type="textLength" errorStyle="information" allowBlank="1" showInputMessage="1" showErrorMessage="1" error="XLBVal:6=8141_x000d__x000a_" sqref="Z52">
      <formula1>0</formula1>
      <formula2>300</formula2>
    </dataValidation>
    <dataValidation type="textLength" errorStyle="information" allowBlank="1" showInputMessage="1" showErrorMessage="1" error="XLBVal:6=1900_x000d__x000a_" sqref="Z50">
      <formula1>0</formula1>
      <formula2>300</formula2>
    </dataValidation>
    <dataValidation type="textLength" errorStyle="information" allowBlank="1" showInputMessage="1" showErrorMessage="1" error="XLBVal:6=-1734.92_x000d__x000a_" sqref="Z22">
      <formula1>0</formula1>
      <formula2>300</formula2>
    </dataValidation>
    <dataValidation type="textLength" errorStyle="information" allowBlank="1" showInputMessage="1" showErrorMessage="1" error="XLBVal:6=193014.35_x000d__x000a_" sqref="Z21">
      <formula1>0</formula1>
      <formula2>300</formula2>
    </dataValidation>
    <dataValidation type="textLength" errorStyle="information" allowBlank="1" showInputMessage="1" showErrorMessage="1" error="XLBVal:6=14250_x000d__x000a_" sqref="Y52">
      <formula1>0</formula1>
      <formula2>300</formula2>
    </dataValidation>
    <dataValidation type="textLength" errorStyle="information" allowBlank="1" showInputMessage="1" showErrorMessage="1" error="XLBVal:6=179_x000d__x000a_" sqref="Y51">
      <formula1>0</formula1>
      <formula2>300</formula2>
    </dataValidation>
    <dataValidation type="textLength" errorStyle="information" allowBlank="1" showInputMessage="1" showErrorMessage="1" error="XLBVal:6=3348_x000d__x000a_" sqref="Y50">
      <formula1>0</formula1>
      <formula2>300</formula2>
    </dataValidation>
    <dataValidation type="textLength" errorStyle="information" allowBlank="1" showInputMessage="1" showErrorMessage="1" error="XLBVal:6=2000_x000d__x000a_" sqref="Y22">
      <formula1>0</formula1>
      <formula2>300</formula2>
    </dataValidation>
    <dataValidation type="textLength" errorStyle="information" allowBlank="1" showInputMessage="1" showErrorMessage="1" error="XLBVal:6=245865.92_x000d__x000a_" sqref="Y21">
      <formula1>0</formula1>
      <formula2>300</formula2>
    </dataValidation>
    <dataValidation type="textLength" errorStyle="information" allowBlank="1" showInputMessage="1" showErrorMessage="1" error="XLBVal:6=659.78_x000d__x000a_" sqref="R92">
      <formula1>0</formula1>
      <formula2>300</formula2>
    </dataValidation>
    <dataValidation type="textLength" errorStyle="information" allowBlank="1" showInputMessage="1" showErrorMessage="1" error="XLBVal:6=4067.76_x000d__x000a_" sqref="R84">
      <formula1>0</formula1>
      <formula2>300</formula2>
    </dataValidation>
    <dataValidation type="textLength" errorStyle="information" allowBlank="1" showInputMessage="1" showErrorMessage="1" error="XLBVal:6=21442.58_x000d__x000a_" sqref="W73">
      <formula1>0</formula1>
      <formula2>300</formula2>
    </dataValidation>
    <dataValidation type="textLength" errorStyle="information" allowBlank="1" showInputMessage="1" showErrorMessage="1" error="XLBVal:6=22385_x000d__x000a_" sqref="V73">
      <formula1>0</formula1>
      <formula2>300</formula2>
    </dataValidation>
    <dataValidation type="textLength" errorStyle="information" allowBlank="1" showInputMessage="1" showErrorMessage="1" error="XLBVal:6=21928.05_x000d__x000a_" sqref="U73">
      <formula1>0</formula1>
      <formula2>300</formula2>
    </dataValidation>
    <dataValidation type="textLength" errorStyle="information" allowBlank="1" showInputMessage="1" showErrorMessage="1" error="XLBVal:6=21587.58_x000d__x000a_" sqref="T73">
      <formula1>0</formula1>
      <formula2>300</formula2>
    </dataValidation>
    <dataValidation type="textLength" errorStyle="information" allowBlank="1" showInputMessage="1" showErrorMessage="1" error="XLBVal:6=21960.34_x000d__x000a_" sqref="S73">
      <formula1>0</formula1>
      <formula2>300</formula2>
    </dataValidation>
    <dataValidation type="textLength" errorStyle="information" allowBlank="1" showInputMessage="1" showErrorMessage="1" error="XLBVal:6=40828.63_x000d__x000a_" sqref="S72">
      <formula1>0</formula1>
      <formula2>300</formula2>
    </dataValidation>
    <dataValidation type="textLength" errorStyle="information" allowBlank="1" showInputMessage="1" showErrorMessage="1" error="XLBVal:6=12317.25_x000d__x000a_" sqref="V71">
      <formula1>0</formula1>
      <formula2>300</formula2>
    </dataValidation>
    <dataValidation type="textLength" errorStyle="information" allowBlank="1" showInputMessage="1" showErrorMessage="1" error="XLBVal:6=9875.88_x000d__x000a_" sqref="U71">
      <formula1>0</formula1>
      <formula2>300</formula2>
    </dataValidation>
    <dataValidation type="textLength" errorStyle="information" allowBlank="1" showInputMessage="1" showErrorMessage="1" error="XLBVal:6=30082.8_x000d__x000a_" sqref="S71">
      <formula1>0</formula1>
      <formula2>300</formula2>
    </dataValidation>
    <dataValidation type="textLength" errorStyle="information" allowBlank="1" showInputMessage="1" showErrorMessage="1" error="XLBVal:6=65900_x000d__x000a_" sqref="U64">
      <formula1>0</formula1>
      <formula2>300</formula2>
    </dataValidation>
    <dataValidation type="textLength" errorStyle="information" allowBlank="1" showInputMessage="1" showErrorMessage="1" error="XLBVal:6=96_x000d__x000a_" sqref="R53">
      <formula1>0</formula1>
      <formula2>300</formula2>
    </dataValidation>
    <dataValidation type="textLength" errorStyle="information" allowBlank="1" showInputMessage="1" showErrorMessage="1" error="XLBVal:6=7_x000d__x000a_" sqref="S51">
      <formula1>0</formula1>
      <formula2>300</formula2>
    </dataValidation>
    <dataValidation type="textLength" errorStyle="information" allowBlank="1" showInputMessage="1" showErrorMessage="1" error="XLBVal:6=-10.2_x000d__x000a_" sqref="U34">
      <formula1>0</formula1>
      <formula2>300</formula2>
    </dataValidation>
    <dataValidation type="textLength" errorStyle="information" allowBlank="1" showInputMessage="1" showErrorMessage="1" error="XLBVal:6=4465.4_x000d__x000a_" sqref="T34">
      <formula1>0</formula1>
      <formula2>300</formula2>
    </dataValidation>
    <dataValidation type="textLength" errorStyle="information" allowBlank="1" showInputMessage="1" showErrorMessage="1" error="XLBVal:6=4629_x000d__x000a_" sqref="R34:S34">
      <formula1>0</formula1>
      <formula2>300</formula2>
    </dataValidation>
    <dataValidation type="textLength" errorStyle="information" allowBlank="1" showInputMessage="1" showErrorMessage="1" error="XLBVal:6=1800_x000d__x000a_" sqref="X25:AC25">
      <formula1>0</formula1>
      <formula2>300</formula2>
    </dataValidation>
    <dataValidation type="textLength" errorStyle="information" allowBlank="1" showInputMessage="1" showErrorMessage="1" error="XLBVal:6=42862.61_x000d__x000a_" sqref="R23">
      <formula1>0</formula1>
      <formula2>300</formula2>
    </dataValidation>
    <dataValidation type="textLength" errorStyle="information" allowBlank="1" showInputMessage="1" showErrorMessage="1" error="XLBVal:6=21854.51_x000d__x000a_" sqref="R73">
      <formula1>0</formula1>
      <formula2>300</formula2>
    </dataValidation>
    <dataValidation type="textLength" errorStyle="information" allowBlank="1" showInputMessage="1" showErrorMessage="1" error="XLBVal:6=98933.21_x000d__x000a_" sqref="R66">
      <formula1>0</formula1>
      <formula2>300</formula2>
    </dataValidation>
    <dataValidation type="textLength" errorStyle="information" allowBlank="1" showInputMessage="1" showErrorMessage="1" error="XLBVal:6=65182.76_x000d__x000a_" sqref="R64">
      <formula1>0</formula1>
      <formula2>300</formula2>
    </dataValidation>
    <dataValidation type="textLength" errorStyle="information" allowBlank="1" showInputMessage="1" showErrorMessage="1" error="XLBVal:6=40864.23_x000d__x000a_" sqref="R72">
      <formula1>0</formula1>
      <formula2>300</formula2>
    </dataValidation>
    <dataValidation type="textLength" errorStyle="information" allowBlank="1" showInputMessage="1" showErrorMessage="1" error="XLBVal:6=39_x000d__x000a_" sqref="X54">
      <formula1>0</formula1>
      <formula2>300</formula2>
    </dataValidation>
    <dataValidation type="textLength" errorStyle="information" allowBlank="1" showInputMessage="1" showErrorMessage="1" error="XLBVal:6=133_x000d__x000a_" sqref="X53">
      <formula1>0</formula1>
      <formula2>300</formula2>
    </dataValidation>
    <dataValidation type="textLength" errorStyle="information" allowBlank="1" showInputMessage="1" showErrorMessage="1" error="XLBVal:6=19217_x000d__x000a_" sqref="X52">
      <formula1>0</formula1>
      <formula2>300</formula2>
    </dataValidation>
    <dataValidation type="textLength" errorStyle="information" allowBlank="1" showInputMessage="1" showErrorMessage="1" error="XLBVal:6=19_x000d__x000a_" sqref="X51">
      <formula1>0</formula1>
      <formula2>300</formula2>
    </dataValidation>
    <dataValidation type="textLength" errorStyle="information" allowBlank="1" showInputMessage="1" showErrorMessage="1" error="XLBVal:6=827_x000d__x000a_" sqref="X50">
      <formula1>0</formula1>
      <formula2>300</formula2>
    </dataValidation>
    <dataValidation type="textLength" errorStyle="information" allowBlank="1" showInputMessage="1" showErrorMessage="1" error="XLBVal:6=748195.77_x000d__x000a_" sqref="X101:AC101 X64:AC68 X71:AC75 X78:AC85 X88:AC96 X26:AC43">
      <formula1>0</formula1>
      <formula2>300</formula2>
    </dataValidation>
    <dataValidation type="textLength" errorStyle="information" allowBlank="1" showInputMessage="1" showErrorMessage="1" error="XLBVal:6=220.43_x000d__x000a_" sqref="X24">
      <formula1>0</formula1>
      <formula2>300</formula2>
    </dataValidation>
    <dataValidation type="textLength" errorStyle="information" allowBlank="1" showInputMessage="1" showErrorMessage="1" error="XLBVal:6=830.66_x000d__x000a_" sqref="X22">
      <formula1>0</formula1>
      <formula2>300</formula2>
    </dataValidation>
    <dataValidation type="textLength" errorStyle="information" allowBlank="1" showInputMessage="1" showErrorMessage="1" error="XLBVal:6=714463.47_x000d__x000a_" sqref="X21">
      <formula1>0</formula1>
      <formula2>300</formula2>
    </dataValidation>
    <dataValidation type="textLength" errorStyle="information" allowBlank="1" showInputMessage="1" showErrorMessage="1" error="XLBVal:6=40145.8_x000d__x000a_" sqref="T72">
      <formula1>0</formula1>
      <formula2>300</formula2>
    </dataValidation>
    <dataValidation type="textLength" errorStyle="information" allowBlank="1" showInputMessage="1" showErrorMessage="1" error="XLBVal:6=508_x000d__x000a_" sqref="R41 U41">
      <formula1>0</formula1>
      <formula2>300</formula2>
    </dataValidation>
    <dataValidation type="textLength" errorStyle="information" allowBlank="1" showInputMessage="1" showErrorMessage="1" error="XLBVal:6=760190.19_x000d__x000a_" sqref="T21">
      <formula1>0</formula1>
      <formula2>300</formula2>
    </dataValidation>
    <dataValidation type="textLength" errorStyle="information" allowBlank="1" showInputMessage="1" showErrorMessage="1" error="XLBVal:6=34_x000d__x000a_" sqref="V101 S101:T101">
      <formula1>0</formula1>
      <formula2>300</formula2>
    </dataValidation>
    <dataValidation type="textLength" errorStyle="information" allowBlank="1" showInputMessage="1" showErrorMessage="1" error="XLBVal:6=1060.89_x000d__x000a_" sqref="W80">
      <formula1>0</formula1>
      <formula2>300</formula2>
    </dataValidation>
    <dataValidation type="textLength" errorStyle="information" allowBlank="1" showInputMessage="1" showErrorMessage="1" error="XLBVal:6=1177.82_x000d__x000a_" sqref="V80">
      <formula1>0</formula1>
      <formula2>300</formula2>
    </dataValidation>
    <dataValidation type="textLength" errorStyle="information" allowBlank="1" showInputMessage="1" showErrorMessage="1" error="XLBVal:6=1234.57_x000d__x000a_" sqref="U80">
      <formula1>0</formula1>
      <formula2>300</formula2>
    </dataValidation>
    <dataValidation type="textLength" errorStyle="information" allowBlank="1" showInputMessage="1" showErrorMessage="1" error="XLBVal:6=1211.28_x000d__x000a_" sqref="T80">
      <formula1>0</formula1>
      <formula2>300</formula2>
    </dataValidation>
    <dataValidation type="textLength" errorStyle="information" allowBlank="1" showInputMessage="1" showErrorMessage="1" error="XLBVal:6=1235.43_x000d__x000a_" sqref="S80">
      <formula1>0</formula1>
      <formula2>300</formula2>
    </dataValidation>
    <dataValidation type="textLength" errorStyle="information" allowBlank="1" showInputMessage="1" showErrorMessage="1" error="XLBVal:6=10_x000d__x000a_" sqref="U51">
      <formula1>0</formula1>
      <formula2>300</formula2>
    </dataValidation>
    <dataValidation type="textLength" errorStyle="information" allowBlank="1" showInputMessage="1" showErrorMessage="1" error="XLBVal:6=473_x000d__x000a_" sqref="T50">
      <formula1>0</formula1>
      <formula2>300</formula2>
    </dataValidation>
    <dataValidation type="textLength" errorStyle="information" allowBlank="1" showInputMessage="1" showErrorMessage="1" error="XLBVal:6=26862.29_x000d__x000a_" sqref="V72">
      <formula1>0</formula1>
      <formula2>300</formula2>
    </dataValidation>
    <dataValidation type="textLength" errorStyle="information" allowBlank="1" showInputMessage="1" showErrorMessage="1" error="XLBVal:8=Oct 2016_x000d__x000a_" sqref="D4">
      <formula1>0</formula1>
      <formula2>300</formula2>
    </dataValidation>
    <dataValidation type="textLength" errorStyle="information" allowBlank="1" showInputMessage="1" showErrorMessage="1" error="XLBVal:6=66_x000d__x000a_" sqref="AA53">
      <formula1>0</formula1>
      <formula2>300</formula2>
    </dataValidation>
    <dataValidation type="textLength" errorStyle="information" allowBlank="1" showInputMessage="1" showErrorMessage="1" error="XLBVal:6=32_x000d__x000a_" sqref="W101">
      <formula1>0</formula1>
      <formula2>300</formula2>
    </dataValidation>
    <dataValidation type="textLength" errorStyle="information" allowBlank="1" showInputMessage="1" showErrorMessage="1" error="XLBVal:6=30194.4_x000d__x000a_" sqref="W94">
      <formula1>0</formula1>
      <formula2>300</formula2>
    </dataValidation>
    <dataValidation type="textLength" errorStyle="information" allowBlank="1" showInputMessage="1" showErrorMessage="1" error="XLBVal:6=28697.33_x000d__x000a_" sqref="V94">
      <formula1>0</formula1>
      <formula2>300</formula2>
    </dataValidation>
    <dataValidation type="textLength" errorStyle="information" allowBlank="1" showInputMessage="1" showErrorMessage="1" error="XLBVal:6=40258.76_x000d__x000a_" sqref="U94">
      <formula1>0</formula1>
      <formula2>300</formula2>
    </dataValidation>
    <dataValidation type="textLength" errorStyle="information" allowBlank="1" showInputMessage="1" showErrorMessage="1" error="XLBVal:6=39812.54_x000d__x000a_" sqref="T94">
      <formula1>0</formula1>
      <formula2>300</formula2>
    </dataValidation>
    <dataValidation type="textLength" errorStyle="information" allowBlank="1" showInputMessage="1" showErrorMessage="1" error="XLBVal:6=41977.37_x000d__x000a_" sqref="S94">
      <formula1>0</formula1>
      <formula2>300</formula2>
    </dataValidation>
    <dataValidation type="textLength" errorStyle="information" allowBlank="1" showInputMessage="1" showErrorMessage="1" error="XLBVal:6=46772.95_x000d__x000a_" sqref="R94">
      <formula1>0</formula1>
      <formula2>300</formula2>
    </dataValidation>
    <dataValidation type="textLength" errorStyle="information" allowBlank="1" showInputMessage="1" showErrorMessage="1" error="XLBVal:6=9674.32_x000d__x000a_" sqref="W93">
      <formula1>0</formula1>
      <formula2>300</formula2>
    </dataValidation>
    <dataValidation type="textLength" errorStyle="information" allowBlank="1" showInputMessage="1" showErrorMessage="1" error="XLBVal:6=9924.87_x000d__x000a_" sqref="V93">
      <formula1>0</formula1>
      <formula2>300</formula2>
    </dataValidation>
    <dataValidation type="textLength" errorStyle="information" allowBlank="1" showInputMessage="1" showErrorMessage="1" error="XLBVal:6=10441.1_x000d__x000a_" sqref="U93">
      <formula1>0</formula1>
      <formula2>300</formula2>
    </dataValidation>
    <dataValidation type="textLength" errorStyle="information" allowBlank="1" showInputMessage="1" showErrorMessage="1" error="XLBVal:6=9025.89_x000d__x000a_" sqref="T93">
      <formula1>0</formula1>
      <formula2>300</formula2>
    </dataValidation>
    <dataValidation type="textLength" errorStyle="information" allowBlank="1" showInputMessage="1" showErrorMessage="1" error="XLBVal:6=13902.72_x000d__x000a_" sqref="S93">
      <formula1>0</formula1>
      <formula2>300</formula2>
    </dataValidation>
    <dataValidation type="textLength" errorStyle="information" allowBlank="1" showInputMessage="1" showErrorMessage="1" error="XLBVal:6=10036.11_x000d__x000a_" sqref="R93">
      <formula1>0</formula1>
      <formula2>300</formula2>
    </dataValidation>
    <dataValidation type="textLength" errorStyle="information" allowBlank="1" showInputMessage="1" showErrorMessage="1" error="XLBVal:6=632.33_x000d__x000a_" sqref="W92">
      <formula1>0</formula1>
      <formula2>300</formula2>
    </dataValidation>
    <dataValidation type="textLength" errorStyle="information" allowBlank="1" showInputMessage="1" showErrorMessage="1" error="XLBVal:6=128050.93_x000d__x000a_" sqref="V92">
      <formula1>0</formula1>
      <formula2>300</formula2>
    </dataValidation>
    <dataValidation type="textLength" errorStyle="information" allowBlank="1" showInputMessage="1" showErrorMessage="1" error="XLBVal:6=678.63_x000d__x000a_" sqref="U92">
      <formula1>0</formula1>
      <formula2>300</formula2>
    </dataValidation>
    <dataValidation type="textLength" errorStyle="information" allowBlank="1" showInputMessage="1" showErrorMessage="1" error="XLBVal:6=640.93_x000d__x000a_" sqref="T92">
      <formula1>0</formula1>
      <formula2>300</formula2>
    </dataValidation>
    <dataValidation type="textLength" errorStyle="information" allowBlank="1" showInputMessage="1" showErrorMessage="1" error="XLBVal:6=646.34_x000d__x000a_" sqref="S92">
      <formula1>0</formula1>
      <formula2>300</formula2>
    </dataValidation>
    <dataValidation type="textLength" errorStyle="information" allowBlank="1" showInputMessage="1" showErrorMessage="1" error="XLBVal:6=264_x000d__x000a_" sqref="W91">
      <formula1>0</formula1>
      <formula2>300</formula2>
    </dataValidation>
    <dataValidation type="textLength" errorStyle="information" allowBlank="1" showInputMessage="1" showErrorMessage="1" error="XLBVal:6=408_x000d__x000a_" sqref="T91">
      <formula1>0</formula1>
      <formula2>300</formula2>
    </dataValidation>
    <dataValidation type="textLength" errorStyle="information" allowBlank="1" showInputMessage="1" showErrorMessage="1" error="XLBVal:6=381_x000d__x000a_" sqref="S91">
      <formula1>0</formula1>
      <formula2>300</formula2>
    </dataValidation>
    <dataValidation type="textLength" errorStyle="information" allowBlank="1" showInputMessage="1" showErrorMessage="1" error="XLBVal:6=399_x000d__x000a_" sqref="R91">
      <formula1>0</formula1>
      <formula2>300</formula2>
    </dataValidation>
    <dataValidation type="textLength" errorStyle="information" allowBlank="1" showInputMessage="1" showErrorMessage="1" error="XLBVal:6=3536.45_x000d__x000a_" sqref="W84">
      <formula1>0</formula1>
      <formula2>300</formula2>
    </dataValidation>
    <dataValidation type="textLength" errorStyle="information" allowBlank="1" showInputMessage="1" showErrorMessage="1" error="XLBVal:6=4378.55_x000d__x000a_" sqref="V84">
      <formula1>0</formula1>
      <formula2>300</formula2>
    </dataValidation>
    <dataValidation type="textLength" errorStyle="information" allowBlank="1" showInputMessage="1" showErrorMessage="1" error="XLBVal:6=6452.9_x000d__x000a_" sqref="U84">
      <formula1>0</formula1>
      <formula2>300</formula2>
    </dataValidation>
    <dataValidation type="textLength" errorStyle="information" allowBlank="1" showInputMessage="1" showErrorMessage="1" error="XLBVal:6=7840.01_x000d__x000a_" sqref="T84">
      <formula1>0</formula1>
      <formula2>300</formula2>
    </dataValidation>
    <dataValidation type="textLength" errorStyle="information" allowBlank="1" showInputMessage="1" showErrorMessage="1" error="XLBVal:6=4410.84_x000d__x000a_" sqref="S84">
      <formula1>0</formula1>
      <formula2>300</formula2>
    </dataValidation>
    <dataValidation type="textLength" errorStyle="information" allowBlank="1" showInputMessage="1" showErrorMessage="1" error="XLBVal:6=11511_x000d__x000a_" sqref="V83">
      <formula1>0</formula1>
      <formula2>300</formula2>
    </dataValidation>
    <dataValidation type="textLength" errorStyle="information" allowBlank="1" showInputMessage="1" showErrorMessage="1" error="XLBVal:6=11987_x000d__x000a_" sqref="U83">
      <formula1>0</formula1>
      <formula2>300</formula2>
    </dataValidation>
    <dataValidation type="textLength" errorStyle="information" allowBlank="1" showInputMessage="1" showErrorMessage="1" error="XLBVal:6=11957_x000d__x000a_" sqref="S83:T83">
      <formula1>0</formula1>
      <formula2>300</formula2>
    </dataValidation>
    <dataValidation type="textLength" errorStyle="information" allowBlank="1" showInputMessage="1" showErrorMessage="1" error="XLBVal:6=254.64_x000d__x000a_" sqref="W81">
      <formula1>0</formula1>
      <formula2>300</formula2>
    </dataValidation>
    <dataValidation type="textLength" errorStyle="information" allowBlank="1" showInputMessage="1" showErrorMessage="1" error="XLBVal:6=282.7_x000d__x000a_" sqref="V81">
      <formula1>0</formula1>
      <formula2>300</formula2>
    </dataValidation>
    <dataValidation type="textLength" errorStyle="information" allowBlank="1" showInputMessage="1" showErrorMessage="1" error="XLBVal:6=296.33_x000d__x000a_" sqref="U81">
      <formula1>0</formula1>
      <formula2>300</formula2>
    </dataValidation>
    <dataValidation type="textLength" errorStyle="information" allowBlank="1" showInputMessage="1" showErrorMessage="1" error="XLBVal:6=290.73_x000d__x000a_" sqref="T81">
      <formula1>0</formula1>
      <formula2>300</formula2>
    </dataValidation>
    <dataValidation type="textLength" errorStyle="information" allowBlank="1" showInputMessage="1" showErrorMessage="1" error="XLBVal:6=296.53_x000d__x000a_" sqref="S81">
      <formula1>0</formula1>
      <formula2>300</formula2>
    </dataValidation>
    <dataValidation type="textLength" errorStyle="information" allowBlank="1" showInputMessage="1" showErrorMessage="1" error="XLBVal:6=18035.5_x000d__x000a_" sqref="W79">
      <formula1>0</formula1>
      <formula2>300</formula2>
    </dataValidation>
    <dataValidation type="textLength" errorStyle="information" allowBlank="1" showInputMessage="1" showErrorMessage="1" error="XLBVal:6=20023.38_x000d__x000a_" sqref="V79">
      <formula1>0</formula1>
      <formula2>300</formula2>
    </dataValidation>
    <dataValidation type="textLength" errorStyle="information" allowBlank="1" showInputMessage="1" showErrorMessage="1" error="XLBVal:6=20988.22_x000d__x000a_" sqref="U79">
      <formula1>0</formula1>
      <formula2>300</formula2>
    </dataValidation>
    <dataValidation type="textLength" errorStyle="information" allowBlank="1" showInputMessage="1" showErrorMessage="1" error="XLBVal:6=20592.31_x000d__x000a_" sqref="T79">
      <formula1>0</formula1>
      <formula2>300</formula2>
    </dataValidation>
    <dataValidation type="textLength" errorStyle="information" allowBlank="1" showInputMessage="1" showErrorMessage="1" error="XLBVal:6=21002.86_x000d__x000a_" sqref="S79">
      <formula1>0</formula1>
      <formula2>300</formula2>
    </dataValidation>
    <dataValidation type="textLength" errorStyle="information" allowBlank="1" showInputMessage="1" showErrorMessage="1" error="XLBVal:6=33949.13_x000d__x000a_" sqref="W78">
      <formula1>0</formula1>
      <formula2>300</formula2>
    </dataValidation>
    <dataValidation type="textLength" errorStyle="information" allowBlank="1" showInputMessage="1" showErrorMessage="1" error="XLBVal:6=37691.02_x000d__x000a_" sqref="V78">
      <formula1>0</formula1>
      <formula2>300</formula2>
    </dataValidation>
    <dataValidation type="textLength" errorStyle="information" allowBlank="1" showInputMessage="1" showErrorMessage="1" error="XLBVal:6=39507.19_x000d__x000a_" sqref="U78">
      <formula1>0</formula1>
      <formula2>300</formula2>
    </dataValidation>
    <dataValidation type="textLength" errorStyle="information" allowBlank="1" showInputMessage="1" showErrorMessage="1" error="XLBVal:6=38761.94_x000d__x000a_" sqref="T78">
      <formula1>0</formula1>
      <formula2>300</formula2>
    </dataValidation>
    <dataValidation type="textLength" errorStyle="information" allowBlank="1" showInputMessage="1" showErrorMessage="1" error="XLBVal:6=39534.74_x000d__x000a_" sqref="S78">
      <formula1>0</formula1>
      <formula2>300</formula2>
    </dataValidation>
    <dataValidation type="textLength" errorStyle="information" allowBlank="1" showInputMessage="1" showErrorMessage="1" error="XLBVal:6=41224.12_x000d__x000a_" sqref="F64:P65">
      <formula1>0</formula1>
      <formula2>300</formula2>
    </dataValidation>
    <dataValidation type="textLength" errorStyle="information" allowBlank="1" showInputMessage="1" showErrorMessage="1" error="XLBVal:6=9100_x000d__x000a_" sqref="W75">
      <formula1>0</formula1>
      <formula2>300</formula2>
    </dataValidation>
    <dataValidation type="textLength" errorStyle="information" allowBlank="1" showInputMessage="1" showErrorMessage="1" error="XLBVal:6=9300_x000d__x000a_" sqref="V75">
      <formula1>0</formula1>
      <formula2>300</formula2>
    </dataValidation>
    <dataValidation type="textLength" errorStyle="information" allowBlank="1" showInputMessage="1" showErrorMessage="1" error="XLBVal:6=9400_x000d__x000a_" sqref="S75:T75">
      <formula1>0</formula1>
      <formula2>300</formula2>
    </dataValidation>
    <dataValidation type="textLength" errorStyle="information" allowBlank="1" showInputMessage="1" showErrorMessage="1" error="XLBVal:6=9600_x000d__x000a_" sqref="R75">
      <formula1>0</formula1>
      <formula2>300</formula2>
    </dataValidation>
    <dataValidation type="textLength" errorStyle="information" allowBlank="1" showInputMessage="1" showErrorMessage="1" error="XLBVal:6=91168.88_x000d__x000a_" sqref="W66">
      <formula1>0</formula1>
      <formula2>300</formula2>
    </dataValidation>
    <dataValidation type="textLength" errorStyle="information" allowBlank="1" showInputMessage="1" showErrorMessage="1" error="XLBVal:6=97592.99_x000d__x000a_" sqref="V66">
      <formula1>0</formula1>
      <formula2>300</formula2>
    </dataValidation>
    <dataValidation type="textLength" errorStyle="information" allowBlank="1" showInputMessage="1" showErrorMessage="1" error="XLBVal:6=88975.24_x000d__x000a_" sqref="U66">
      <formula1>0</formula1>
      <formula2>300</formula2>
    </dataValidation>
    <dataValidation type="textLength" errorStyle="information" allowBlank="1" showInputMessage="1" showErrorMessage="1" error="XLBVal:6=104281.94_x000d__x000a_" sqref="T66">
      <formula1>0</formula1>
      <formula2>300</formula2>
    </dataValidation>
    <dataValidation type="textLength" errorStyle="information" allowBlank="1" showInputMessage="1" showErrorMessage="1" error="XLBVal:6=109834.46_x000d__x000a_" sqref="S66">
      <formula1>0</formula1>
      <formula2>300</formula2>
    </dataValidation>
    <dataValidation type="textLength" errorStyle="information" allowBlank="1" showInputMessage="1" showErrorMessage="1" error="XLBVal:6=60997.9_x000d__x000a_" sqref="V64">
      <formula1>0</formula1>
      <formula2>300</formula2>
    </dataValidation>
    <dataValidation type="textLength" errorStyle="information" allowBlank="1" showInputMessage="1" showErrorMessage="1" error="XLBVal:6=48242_x000d__x000a_" sqref="W64">
      <formula1>0</formula1>
      <formula2>300</formula2>
    </dataValidation>
    <dataValidation type="textLength" errorStyle="information" allowBlank="1" showInputMessage="1" showErrorMessage="1" error="XLBVal:6=65976_x000d__x000a_" sqref="T64">
      <formula1>0</formula1>
      <formula2>300</formula2>
    </dataValidation>
    <dataValidation type="textLength" errorStyle="information" allowBlank="1" showInputMessage="1" showErrorMessage="1" error="XLBVal:6=66014_x000d__x000a_" sqref="S64">
      <formula1>0</formula1>
      <formula2>300</formula2>
    </dataValidation>
    <dataValidation type="textLength" errorStyle="information" allowBlank="1" showInputMessage="1" showErrorMessage="1" error="XLBVal:6=63406.76_x000d__x000a_" sqref="E64 E66:P68 E71:P75 E78:P85 E88:P92 E101:P101">
      <formula1>0</formula1>
      <formula2>300</formula2>
    </dataValidation>
    <dataValidation type="textLength" errorStyle="information" allowBlank="1" showInputMessage="1" showErrorMessage="1" error="XLBVal:6=36_x000d__x000a_" sqref="U101 AB51">
      <formula1>0</formula1>
      <formula2>300</formula2>
    </dataValidation>
    <dataValidation type="textLength" errorStyle="information" allowBlank="1" showInputMessage="1" showErrorMessage="1" error="XLBVal:6=49_x000d__x000a_" sqref="Y53 U53">
      <formula1>0</formula1>
      <formula2>300</formula2>
    </dataValidation>
    <dataValidation type="textLength" errorStyle="information" allowBlank="1" showInputMessage="1" showErrorMessage="1" error="XLBVal:6=59_x000d__x000a_" sqref="R54">
      <formula1>0</formula1>
      <formula2>300</formula2>
    </dataValidation>
    <dataValidation type="textLength" errorStyle="information" allowBlank="1" showInputMessage="1" showErrorMessage="1" error="XLBVal:6=82_x000d__x000a_" sqref="AB53">
      <formula1>0</formula1>
      <formula2>300</formula2>
    </dataValidation>
    <dataValidation type="textLength" errorStyle="information" allowBlank="1" showInputMessage="1" showErrorMessage="1" error="XLBVal:6=74_x000d__x000a_" sqref="T53">
      <formula1>0</formula1>
      <formula2>300</formula2>
    </dataValidation>
    <dataValidation type="textLength" errorStyle="information" allowBlank="1" showInputMessage="1" showErrorMessage="1" error="XLBVal:6=29_x000d__x000a_" sqref="S53">
      <formula1>0</formula1>
      <formula2>300</formula2>
    </dataValidation>
    <dataValidation type="textLength" errorStyle="information" allowBlank="1" showInputMessage="1" showErrorMessage="1" error="XLBVal:6=61_x000d__x000a_" sqref="W53">
      <formula1>0</formula1>
      <formula2>300</formula2>
    </dataValidation>
    <dataValidation type="textLength" errorStyle="information" allowBlank="1" showInputMessage="1" showErrorMessage="1" error="XLBVal:6=17897_x000d__x000a_" sqref="W52">
      <formula1>0</formula1>
      <formula2>300</formula2>
    </dataValidation>
    <dataValidation type="textLength" errorStyle="information" allowBlank="1" showInputMessage="1" showErrorMessage="1" error="XLBVal:6=17477_x000d__x000a_" sqref="V52">
      <formula1>0</formula1>
      <formula2>300</formula2>
    </dataValidation>
    <dataValidation type="textLength" errorStyle="information" allowBlank="1" showInputMessage="1" showErrorMessage="1" error="XLBVal:6=18249_x000d__x000a_" sqref="U52">
      <formula1>0</formula1>
      <formula2>300</formula2>
    </dataValidation>
    <dataValidation type="textLength" errorStyle="information" allowBlank="1" showInputMessage="1" showErrorMessage="1" error="XLBVal:6=19772_x000d__x000a_" sqref="T52">
      <formula1>0</formula1>
      <formula2>300</formula2>
    </dataValidation>
    <dataValidation type="textLength" errorStyle="information" allowBlank="1" showInputMessage="1" showErrorMessage="1" error="XLBVal:6=18855_x000d__x000a_" sqref="S52">
      <formula1>0</formula1>
      <formula2>300</formula2>
    </dataValidation>
    <dataValidation type="textLength" errorStyle="information" allowBlank="1" showInputMessage="1" showErrorMessage="1" error="XLBVal:6=19715_x000d__x000a_" sqref="R52">
      <formula1>0</formula1>
      <formula2>300</formula2>
    </dataValidation>
    <dataValidation type="textLength" errorStyle="information" allowBlank="1" showInputMessage="1" showErrorMessage="1" error="XLBVal:6=4_x000d__x000a_" sqref="Z53">
      <formula1>0</formula1>
      <formula2>300</formula2>
    </dataValidation>
    <dataValidation type="textLength" errorStyle="information" allowBlank="1" showInputMessage="1" showErrorMessage="1" error="XLBVal:6=24_x000d__x000a_" sqref="V51">
      <formula1>0</formula1>
      <formula2>300</formula2>
    </dataValidation>
    <dataValidation type="textLength" errorStyle="information" allowBlank="1" showInputMessage="1" showErrorMessage="1" error="XLBVal:6=12_x000d__x000a_" sqref="R51">
      <formula1>0</formula1>
      <formula2>300</formula2>
    </dataValidation>
    <dataValidation type="textLength" errorStyle="information" allowBlank="1" showInputMessage="1" showErrorMessage="1" error="XLBVal:6=1433_x000d__x000a_" sqref="W50">
      <formula1>0</formula1>
      <formula2>300</formula2>
    </dataValidation>
    <dataValidation type="textLength" errorStyle="information" allowBlank="1" showInputMessage="1" showErrorMessage="1" error="XLBVal:6=1729_x000d__x000a_" sqref="V50">
      <formula1>0</formula1>
      <formula2>300</formula2>
    </dataValidation>
    <dataValidation type="textLength" errorStyle="information" allowBlank="1" showInputMessage="1" showErrorMessage="1" error="XLBVal:6=871_x000d__x000a_" sqref="U50">
      <formula1>0</formula1>
      <formula2>300</formula2>
    </dataValidation>
    <dataValidation type="textLength" errorStyle="information" allowBlank="1" showInputMessage="1" showErrorMessage="1" error="XLBVal:6=370_x000d__x000a_" sqref="S50">
      <formula1>0</formula1>
      <formula2>300</formula2>
    </dataValidation>
    <dataValidation type="textLength" errorStyle="information" allowBlank="1" showInputMessage="1" showErrorMessage="1" error="XLBVal:6=450_x000d__x000a_" sqref="R50">
      <formula1>0</formula1>
      <formula2>300</formula2>
    </dataValidation>
    <dataValidation type="textLength" errorStyle="information" allowBlank="1" showInputMessage="1" showErrorMessage="1" error="XLBVal:6=19604_x000d__x000a_" sqref="S48">
      <formula1>0</formula1>
      <formula2>300</formula2>
    </dataValidation>
    <dataValidation type="textLength" errorStyle="information" allowBlank="1" showInputMessage="1" showErrorMessage="1" error="XLBVal:6=3965.6_x000d__x000a_" sqref="W43">
      <formula1>0</formula1>
      <formula2>300</formula2>
    </dataValidation>
    <dataValidation type="textLength" errorStyle="information" allowBlank="1" showInputMessage="1" showErrorMessage="1" error="XLBVal:6=794_x000d__x000a_" sqref="V43">
      <formula1>0</formula1>
      <formula2>300</formula2>
    </dataValidation>
    <dataValidation type="textLength" errorStyle="information" allowBlank="1" showInputMessage="1" showErrorMessage="1" error="XLBVal:6=22559.51_x000d__x000a_" sqref="S43">
      <formula1>0</formula1>
      <formula2>300</formula2>
    </dataValidation>
    <dataValidation type="textLength" errorStyle="information" allowBlank="1" showInputMessage="1" showErrorMessage="1" error="XLBVal:6=222_x000d__x000a_" sqref="W41">
      <formula1>0</formula1>
      <formula2>300</formula2>
    </dataValidation>
    <dataValidation type="textLength" errorStyle="information" allowBlank="1" showInputMessage="1" showErrorMessage="1" error="XLBVal:6=20354.47_x000d__x000a_" sqref="W40">
      <formula1>0</formula1>
      <formula2>300</formula2>
    </dataValidation>
    <dataValidation type="textLength" errorStyle="information" allowBlank="1" showInputMessage="1" showErrorMessage="1" error="XLBVal:6=20394.95_x000d__x000a_" sqref="V40">
      <formula1>0</formula1>
      <formula2>300</formula2>
    </dataValidation>
    <dataValidation type="textLength" errorStyle="information" allowBlank="1" showInputMessage="1" showErrorMessage="1" error="XLBVal:6=20306.31_x000d__x000a_" sqref="U40">
      <formula1>0</formula1>
      <formula2>300</formula2>
    </dataValidation>
    <dataValidation type="textLength" errorStyle="information" allowBlank="1" showInputMessage="1" showErrorMessage="1" error="XLBVal:6=18275.9_x000d__x000a_" sqref="T40">
      <formula1>0</formula1>
      <formula2>300</formula2>
    </dataValidation>
    <dataValidation type="textLength" errorStyle="information" allowBlank="1" showInputMessage="1" showErrorMessage="1" error="XLBVal:6=16714.46_x000d__x000a_" sqref="S40">
      <formula1>0</formula1>
      <formula2>300</formula2>
    </dataValidation>
    <dataValidation type="textLength" errorStyle="information" allowBlank="1" showInputMessage="1" showErrorMessage="1" error="XLBVal:6=18262.43_x000d__x000a_" sqref="R40">
      <formula1>0</formula1>
      <formula2>300</formula2>
    </dataValidation>
    <dataValidation type="textLength" errorStyle="information" allowBlank="1" showInputMessage="1" showErrorMessage="1" error="XLBVal:6=215573.62_x000d__x000a_" sqref="W39">
      <formula1>0</formula1>
      <formula2>300</formula2>
    </dataValidation>
    <dataValidation type="textLength" errorStyle="information" allowBlank="1" showInputMessage="1" showErrorMessage="1" error="XLBVal:6=72285.25_x000d__x000a_" sqref="V39">
      <formula1>0</formula1>
      <formula2>300</formula2>
    </dataValidation>
    <dataValidation type="textLength" errorStyle="information" allowBlank="1" showInputMessage="1" showErrorMessage="1" error="XLBVal:6=190606.83_x000d__x000a_" sqref="U39">
      <formula1>0</formula1>
      <formula2>300</formula2>
    </dataValidation>
    <dataValidation type="textLength" errorStyle="information" allowBlank="1" showInputMessage="1" showErrorMessage="1" error="XLBVal:6=203383.23_x000d__x000a_" sqref="T39">
      <formula1>0</formula1>
      <formula2>300</formula2>
    </dataValidation>
    <dataValidation type="textLength" errorStyle="information" allowBlank="1" showInputMessage="1" showErrorMessage="1" error="XLBVal:6=292732.71_x000d__x000a_" sqref="S39">
      <formula1>0</formula1>
      <formula2>300</formula2>
    </dataValidation>
    <dataValidation type="textLength" errorStyle="information" allowBlank="1" showInputMessage="1" showErrorMessage="1" error="XLBVal:6=258422.78_x000d__x000a_" sqref="R39">
      <formula1>0</formula1>
      <formula2>300</formula2>
    </dataValidation>
    <dataValidation type="textLength" errorStyle="information" allowBlank="1" showInputMessage="1" showErrorMessage="1" error="XLBVal:6=1902.71_x000d__x000a_" sqref="W38">
      <formula1>0</formula1>
      <formula2>300</formula2>
    </dataValidation>
    <dataValidation type="textLength" errorStyle="information" allowBlank="1" showInputMessage="1" showErrorMessage="1" error="XLBVal:6=2075.01_x000d__x000a_" sqref="V38">
      <formula1>0</formula1>
      <formula2>300</formula2>
    </dataValidation>
    <dataValidation type="textLength" errorStyle="information" allowBlank="1" showInputMessage="1" showErrorMessage="1" error="XLBVal:6=1889.37_x000d__x000a_" sqref="U38">
      <formula1>0</formula1>
      <formula2>300</formula2>
    </dataValidation>
    <dataValidation type="textLength" errorStyle="information" allowBlank="1" showInputMessage="1" showErrorMessage="1" error="XLBVal:6=2254.36_x000d__x000a_" sqref="T38">
      <formula1>0</formula1>
      <formula2>300</formula2>
    </dataValidation>
    <dataValidation type="textLength" errorStyle="information" allowBlank="1" showInputMessage="1" showErrorMessage="1" error="XLBVal:6=3037.13_x000d__x000a_" sqref="S38">
      <formula1>0</formula1>
      <formula2>300</formula2>
    </dataValidation>
    <dataValidation type="textLength" errorStyle="information" allowBlank="1" showInputMessage="1" showErrorMessage="1" error="XLBVal:6=5512.36_x000d__x000a_" sqref="R38">
      <formula1>0</formula1>
      <formula2>300</formula2>
    </dataValidation>
    <dataValidation type="textLength" errorStyle="information" allowBlank="1" showInputMessage="1" showErrorMessage="1" error="XLBVal:6=5.66_x000d__x000a_" sqref="U37">
      <formula1>0</formula1>
      <formula2>300</formula2>
    </dataValidation>
    <dataValidation type="textLength" errorStyle="information" allowBlank="1" showInputMessage="1" showErrorMessage="1" error="XLBVal:6=20591.86_x000d__x000a_" sqref="W36">
      <formula1>0</formula1>
      <formula2>300</formula2>
    </dataValidation>
    <dataValidation type="textLength" errorStyle="information" allowBlank="1" showInputMessage="1" showErrorMessage="1" error="XLBVal:6=20901.78_x000d__x000a_" sqref="V36">
      <formula1>0</formula1>
      <formula2>300</formula2>
    </dataValidation>
    <dataValidation type="textLength" errorStyle="information" allowBlank="1" showInputMessage="1" showErrorMessage="1" error="XLBVal:6=21032.51_x000d__x000a_" sqref="U36">
      <formula1>0</formula1>
      <formula2>300</formula2>
    </dataValidation>
    <dataValidation type="textLength" errorStyle="information" allowBlank="1" showInputMessage="1" showErrorMessage="1" error="XLBVal:6=21153.64_x000d__x000a_" sqref="T36">
      <formula1>0</formula1>
      <formula2>300</formula2>
    </dataValidation>
    <dataValidation type="textLength" errorStyle="information" allowBlank="1" showInputMessage="1" showErrorMessage="1" error="XLBVal:6=28520.36_x000d__x000a_" sqref="S36">
      <formula1>0</formula1>
      <formula2>300</formula2>
    </dataValidation>
    <dataValidation type="textLength" errorStyle="information" allowBlank="1" showInputMessage="1" showErrorMessage="1" error="XLBVal:6=28365.68_x000d__x000a_" sqref="R36">
      <formula1>0</formula1>
      <formula2>300</formula2>
    </dataValidation>
    <dataValidation type="textLength" errorStyle="information" allowBlank="1" showInputMessage="1" showErrorMessage="1" error="XLBVal:6=13837.24_x000d__x000a_" sqref="W33">
      <formula1>0</formula1>
      <formula2>300</formula2>
    </dataValidation>
    <dataValidation type="textLength" errorStyle="information" allowBlank="1" showInputMessage="1" showErrorMessage="1" error="XLBVal:6=140257.38_x000d__x000a_" sqref="V33">
      <formula1>0</formula1>
      <formula2>300</formula2>
    </dataValidation>
    <dataValidation type="textLength" errorStyle="information" allowBlank="1" showInputMessage="1" showErrorMessage="1" error="XLBVal:6=-15168.49_x000d__x000a_" sqref="U33">
      <formula1>0</formula1>
      <formula2>300</formula2>
    </dataValidation>
    <dataValidation type="textLength" errorStyle="information" allowBlank="1" showInputMessage="1" showErrorMessage="1" error="XLBVal:6=1215_x000d__x000a_" sqref="T33">
      <formula1>0</formula1>
      <formula2>300</formula2>
    </dataValidation>
    <dataValidation type="textLength" errorStyle="information" allowBlank="1" showInputMessage="1" showErrorMessage="1" error="XLBVal:6=798.65_x000d__x000a_" sqref="S33">
      <formula1>0</formula1>
      <formula2>300</formula2>
    </dataValidation>
    <dataValidation type="textLength" errorStyle="information" allowBlank="1" showInputMessage="1" showErrorMessage="1" error="XLBVal:6=37130.32_x000d__x000a_" sqref="R33">
      <formula1>0</formula1>
      <formula2>300</formula2>
    </dataValidation>
    <dataValidation type="textLength" errorStyle="information" allowBlank="1" showInputMessage="1" showErrorMessage="1" error="XLBVal:6=81104.08_x000d__x000a_" sqref="W31">
      <formula1>0</formula1>
      <formula2>300</formula2>
    </dataValidation>
    <dataValidation type="textLength" errorStyle="information" allowBlank="1" showInputMessage="1" showErrorMessage="1" error="XLBVal:6=43763.24_x000d__x000a_" sqref="V31">
      <formula1>0</formula1>
      <formula2>300</formula2>
    </dataValidation>
    <dataValidation type="textLength" errorStyle="information" allowBlank="1" showInputMessage="1" showErrorMessage="1" error="XLBVal:6=84802.96_x000d__x000a_" sqref="U31">
      <formula1>0</formula1>
      <formula2>300</formula2>
    </dataValidation>
    <dataValidation type="textLength" errorStyle="information" allowBlank="1" showInputMessage="1" showErrorMessage="1" error="XLBVal:6=90870.68_x000d__x000a_" sqref="T31">
      <formula1>0</formula1>
      <formula2>300</formula2>
    </dataValidation>
    <dataValidation type="textLength" errorStyle="information" allowBlank="1" showInputMessage="1" showErrorMessage="1" error="XLBVal:6=55292.73_x000d__x000a_" sqref="S31">
      <formula1>0</formula1>
      <formula2>300</formula2>
    </dataValidation>
    <dataValidation type="textLength" errorStyle="information" allowBlank="1" showInputMessage="1" showErrorMessage="1" error="XLBVal:6=85680.73_x000d__x000a_" sqref="R31">
      <formula1>0</formula1>
      <formula2>300</formula2>
    </dataValidation>
    <dataValidation type="textLength" errorStyle="information" allowBlank="1" showInputMessage="1" showErrorMessage="1" error="XLBVal:6=0_x000d__x000a_" sqref="U30 U32 U23">
      <formula1>0</formula1>
      <formula2>300</formula2>
    </dataValidation>
    <dataValidation type="textLength" errorStyle="information" allowBlank="1" showInputMessage="1" showErrorMessage="1" error="XLBVal:6=11205_x000d__x000a_" sqref="T30">
      <formula1>0</formula1>
      <formula2>300</formula2>
    </dataValidation>
    <dataValidation type="textLength" errorStyle="information" allowBlank="1" showInputMessage="1" showErrorMessage="1" error="XLBVal:6=11191_x000d__x000a_" sqref="S30">
      <formula1>0</formula1>
      <formula2>300</formula2>
    </dataValidation>
    <dataValidation type="textLength" errorStyle="information" allowBlank="1" showInputMessage="1" showErrorMessage="1" error="XLBVal:6=580238_x000d__x000a_" sqref="W26">
      <formula1>0</formula1>
      <formula2>300</formula2>
    </dataValidation>
    <dataValidation type="textLength" errorStyle="information" allowBlank="1" showInputMessage="1" showErrorMessage="1" error="XLBVal:6=896568.96_x000d__x000a_" sqref="V26">
      <formula1>0</formula1>
      <formula2>300</formula2>
    </dataValidation>
    <dataValidation type="textLength" errorStyle="information" allowBlank="1" showInputMessage="1" showErrorMessage="1" error="XLBVal:6=834167.11_x000d__x000a_" sqref="U26">
      <formula1>0</formula1>
      <formula2>300</formula2>
    </dataValidation>
    <dataValidation type="textLength" errorStyle="information" allowBlank="1" showInputMessage="1" showErrorMessage="1" error="XLBVal:6=961807.51_x000d__x000a_" sqref="T26">
      <formula1>0</formula1>
      <formula2>300</formula2>
    </dataValidation>
    <dataValidation type="textLength" errorStyle="information" allowBlank="1" showInputMessage="1" showErrorMessage="1" error="XLBVal:6=1178844.44_x000d__x000a_" sqref="S26">
      <formula1>0</formula1>
      <formula2>300</formula2>
    </dataValidation>
    <dataValidation type="textLength" errorStyle="information" allowBlank="1" showInputMessage="1" showErrorMessage="1" error="XLBVal:6=1036735.71_x000d__x000a_" sqref="R26">
      <formula1>0</formula1>
      <formula2>300</formula2>
    </dataValidation>
    <dataValidation type="textLength" errorStyle="information" allowBlank="1" showInputMessage="1" showErrorMessage="1" error="XLBVal:6=170097.98_x000d__x000a_" sqref="W22">
      <formula1>0</formula1>
      <formula2>300</formula2>
    </dataValidation>
    <dataValidation type="textLength" errorStyle="information" allowBlank="1" showInputMessage="1" showErrorMessage="1" error="XLBVal:6=156983.29_x000d__x000a_" sqref="V22">
      <formula1>0</formula1>
      <formula2>300</formula2>
    </dataValidation>
    <dataValidation type="textLength" errorStyle="information" allowBlank="1" showInputMessage="1" showErrorMessage="1" error="XLBVal:6=164599.65_x000d__x000a_" sqref="U22">
      <formula1>0</formula1>
      <formula2>300</formula2>
    </dataValidation>
    <dataValidation type="textLength" errorStyle="information" allowBlank="1" showInputMessage="1" showErrorMessage="1" error="XLBVal:6=204435.12_x000d__x000a_" sqref="T22">
      <formula1>0</formula1>
      <formula2>300</formula2>
    </dataValidation>
    <dataValidation type="textLength" errorStyle="information" allowBlank="1" showInputMessage="1" showErrorMessage="1" error="XLBVal:6=252728.14_x000d__x000a_" sqref="S22">
      <formula1>0</formula1>
      <formula2>300</formula2>
    </dataValidation>
    <dataValidation type="textLength" errorStyle="information" allowBlank="1" showInputMessage="1" showErrorMessage="1" error="XLBVal:6=212412.4_x000d__x000a_" sqref="R22">
      <formula1>0</formula1>
      <formula2>300</formula2>
    </dataValidation>
    <dataValidation type="textLength" errorStyle="information" allowBlank="1" showInputMessage="1" showErrorMessage="1" error="XLBVal:6=754840.44_x000d__x000a_" sqref="W21">
      <formula1>0</formula1>
      <formula2>300</formula2>
    </dataValidation>
    <dataValidation type="textLength" errorStyle="information" allowBlank="1" showInputMessage="1" showErrorMessage="1" error="XLBVal:6=754914.49_x000d__x000a_" sqref="V21">
      <formula1>0</formula1>
      <formula2>300</formula2>
    </dataValidation>
    <dataValidation type="textLength" errorStyle="information" allowBlank="1" showInputMessage="1" showErrorMessage="1" error="XLBVal:6=794134.29_x000d__x000a_" sqref="U21">
      <formula1>0</formula1>
      <formula2>300</formula2>
    </dataValidation>
    <dataValidation type="textLength" errorStyle="information" allowBlank="1" showInputMessage="1" showErrorMessage="1" error="XLBVal:6=835794.58_x000d__x000a_" sqref="S21">
      <formula1>0</formula1>
      <formula2>300</formula2>
    </dataValidation>
    <dataValidation type="textLength" errorStyle="information" allowBlank="1" showInputMessage="1" showErrorMessage="1" error="XLBVal:6=758692.87_x000d__x000a_" sqref="R21">
      <formula1>0</formula1>
      <formula2>300</formula2>
    </dataValidation>
    <dataValidation type="textLength" errorStyle="information" allowBlank="1" showInputMessage="1" showErrorMessage="1" error="XLBVal:6=20280_x000d__x000a_" sqref="U48 W48 Z48 AB48">
      <formula1>0</formula1>
      <formula2>300</formula2>
    </dataValidation>
    <dataValidation type="textLength" errorStyle="information" allowBlank="1" showInputMessage="1" showErrorMessage="1" error="XLBVal:6=57_x000d__x000a_" sqref="W54 T54">
      <formula1>0</formula1>
      <formula2>300</formula2>
    </dataValidation>
    <dataValidation type="textLength" errorStyle="information" allowBlank="1" showInputMessage="1" showErrorMessage="1" error="XLBVal:6=31830625.91_x000d__x000a_" sqref="D14">
      <formula1>0</formula1>
      <formula2>300</formula2>
    </dataValidation>
    <dataValidation type="textLength" errorStyle="information" allowBlank="1" showInputMessage="1" showErrorMessage="1" error="XLBVal:6=266264227.77_x000d__x000a_" sqref="O14">
      <formula1>0</formula1>
      <formula2>300</formula2>
    </dataValidation>
    <dataValidation type="textLength" errorStyle="information" allowBlank="1" showInputMessage="1" showErrorMessage="1" error="XLBVal:6=260430337_x000d__x000a_" sqref="Q14">
      <formula1>0</formula1>
      <formula2>300</formula2>
    </dataValidation>
    <dataValidation type="textLength" errorStyle="information" allowBlank="1" showInputMessage="1" showErrorMessage="1" error="XLBVal:6=52996.83_x000d__x000a_" sqref="D18">
      <formula1>0</formula1>
      <formula2>300</formula2>
    </dataValidation>
    <dataValidation type="textLength" errorStyle="information" allowBlank="1" showInputMessage="1" showErrorMessage="1" error="XLBVal:6=27748_x000d__x000a_" sqref="D22">
      <formula1>0</formula1>
      <formula2>300</formula2>
    </dataValidation>
    <dataValidation type="textLength" errorStyle="information" allowBlank="1" showInputMessage="1" showErrorMessage="1" error="XLBVal:6=132795_x000d__x000a_" sqref="D23">
      <formula1>0</formula1>
      <formula2>300</formula2>
    </dataValidation>
    <dataValidation type="textLength" errorStyle="information" allowBlank="1" showInputMessage="1" showErrorMessage="1" error="XLBVal:6=7135.64_x000d__x000a_" sqref="D24">
      <formula1>0</formula1>
      <formula2>300</formula2>
    </dataValidation>
    <dataValidation type="textLength" errorStyle="information" allowBlank="1" showInputMessage="1" showErrorMessage="1" error="XLBVal:6=96963_x000d__x000a_" sqref="Q21">
      <formula1>0</formula1>
      <formula2>300</formula2>
    </dataValidation>
    <dataValidation type="textLength" errorStyle="information" allowBlank="1" showInputMessage="1" showErrorMessage="1" error="XLBVal:6=221984_x000d__x000a_" sqref="Q22">
      <formula1>0</formula1>
      <formula2>300</formula2>
    </dataValidation>
    <dataValidation type="textLength" errorStyle="information" allowBlank="1" showInputMessage="1" showErrorMessage="1" error="XLBVal:6=36649.11_x000d__x000a_" sqref="D25">
      <formula1>0</formula1>
      <formula2>300</formula2>
    </dataValidation>
    <dataValidation type="textLength" errorStyle="information" allowBlank="1" showInputMessage="1" showErrorMessage="1" error="XLBVal:6=15431.21_x000d__x000a_" sqref="D26">
      <formula1>0</formula1>
      <formula2>300</formula2>
    </dataValidation>
    <dataValidation type="textLength" errorStyle="information" allowBlank="1" showInputMessage="1" showErrorMessage="1" error="XLBVal:6=33.13_x000d__x000a_" sqref="D28">
      <formula1>0</formula1>
      <formula2>300</formula2>
    </dataValidation>
    <dataValidation type="textLength" errorStyle="information" allowBlank="1" showInputMessage="1" showErrorMessage="1" error="XLBVal:6=964.51_x000d__x000a_" sqref="D29 D27">
      <formula1>0</formula1>
      <formula2>300</formula2>
    </dataValidation>
    <dataValidation type="textLength" errorStyle="information" allowBlank="1" showInputMessage="1" showErrorMessage="1" error="XLBVal:6=8774_x000d__x000a_" sqref="D30">
      <formula1>0</formula1>
      <formula2>300</formula2>
    </dataValidation>
    <dataValidation type="textLength" errorStyle="information" allowBlank="1" showInputMessage="1" showErrorMessage="1" error="XLBVal:6=3240.19_x000d__x000a_" sqref="D31">
      <formula1>0</formula1>
      <formula2>300</formula2>
    </dataValidation>
    <dataValidation type="textLength" errorStyle="information" allowBlank="1" showInputMessage="1" showErrorMessage="1" error="XLBVal:6=234832_x000d__x000a_" sqref="Q25">
      <formula1>0</formula1>
      <formula2>300</formula2>
    </dataValidation>
    <dataValidation type="textLength" errorStyle="information" allowBlank="1" showInputMessage="1" showErrorMessage="1" error="XLBVal:6=103048_x000d__x000a_" sqref="Q26:Q27">
      <formula1>0</formula1>
      <formula2>300</formula2>
    </dataValidation>
    <dataValidation type="textLength" errorStyle="information" allowBlank="1" showInputMessage="1" showErrorMessage="1" error="XLBVal:6=5168_x000d__x000a_" sqref="Q28">
      <formula1>0</formula1>
      <formula2>300</formula2>
    </dataValidation>
    <dataValidation type="textLength" errorStyle="information" allowBlank="1" showInputMessage="1" showErrorMessage="1" error="XLBVal:6=6424_x000d__x000a_" sqref="Q29">
      <formula1>0</formula1>
      <formula2>300</formula2>
    </dataValidation>
    <dataValidation type="textLength" errorStyle="information" allowBlank="1" showInputMessage="1" showErrorMessage="1" error="XLBVal:6=59208_x000d__x000a_" sqref="Q30">
      <formula1>0</formula1>
      <formula2>300</formula2>
    </dataValidation>
    <dataValidation type="textLength" errorStyle="information" allowBlank="1" showInputMessage="1" showErrorMessage="1" error="XLBVal:6=23680_x000d__x000a_" sqref="Q31">
      <formula1>0</formula1>
      <formula2>300</formula2>
    </dataValidation>
    <dataValidation type="textLength" errorStyle="information" allowBlank="1" showInputMessage="1" showErrorMessage="1" error="XLBVal:6=-29556.62_x000d__x000a_" sqref="D38">
      <formula1>0</formula1>
      <formula2>300</formula2>
    </dataValidation>
    <dataValidation type="textLength" errorStyle="information" allowBlank="1" showInputMessage="1" showErrorMessage="1" error="XLBVal:6=2429.09_x000d__x000a_" sqref="D39">
      <formula1>0</formula1>
      <formula2>300</formula2>
    </dataValidation>
    <dataValidation type="textLength" errorStyle="information" allowBlank="1" showInputMessage="1" showErrorMessage="1" error="XLBVal:6=-1006046.71_x000d__x000a_" sqref="D40">
      <formula1>0</formula1>
      <formula2>300</formula2>
    </dataValidation>
    <dataValidation type="textLength" errorStyle="information" allowBlank="1" showInputMessage="1" showErrorMessage="1" error="XLBVal:6=56560_x000d__x000a_" sqref="Q38">
      <formula1>0</formula1>
      <formula2>300</formula2>
    </dataValidation>
    <dataValidation type="textLength" errorStyle="information" allowBlank="1" showInputMessage="1" showErrorMessage="1" error="XLBVal:6=17592_x000d__x000a_" sqref="Q39">
      <formula1>0</formula1>
      <formula2>300</formula2>
    </dataValidation>
    <dataValidation type="textLength" errorStyle="information" allowBlank="1" showInputMessage="1" showErrorMessage="1" error="XLBVal:6=-8082962_x000d__x000a_" sqref="Q40">
      <formula1>0</formula1>
      <formula2>300</formula2>
    </dataValidation>
    <dataValidation type="textLength" errorStyle="information" allowBlank="1" showInputMessage="1" showErrorMessage="1" error="XLBVal:6=20956_x000d__x000a_" sqref="T48 V48 R48 X48:Y48 AA48 AC48">
      <formula1>0</formula1>
      <formula2>300</formula2>
    </dataValidation>
    <dataValidation type="textLength" errorStyle="information" allowBlank="1" showInputMessage="1" showErrorMessage="1" error="XLBVal:6=2198801.83_x000d__x000a_" sqref="E95:J96 R95:W96">
      <formula1>0</formula1>
      <formula2>300</formula2>
    </dataValidation>
    <dataValidation type="textLength" errorStyle="information" allowBlank="1" showInputMessage="1" showErrorMessage="1" error="XLBVal:2=0_x000d__x000a_" sqref="E65 T23:T24 E33:P38 Y54 Y24:AC24 Q35:Q37 Q23:Q24 T71 U42:W42 R37:T37 E23:P31 R74:W74 E13:J14 E9:J11 E49:P49 R42:S42 D36:D37 R13:AC14 U24:W24 R49:AC49 R67:W68 R85:W85 R20:AC20 V37:W37 AB23 Z51 R65:W65 R9:AC11 R82:W82 R88:W90 V23:Z23 R35:W35 R24:S24 V32:W32 R28:W29 V30:W30 E107:P107 F41:P43 R25 T42:T43 V34:W34 D32:Q32 D21 E40:E43 E20:P21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7"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AH130"/>
  <sheetViews>
    <sheetView view="pageBreakPreview" zoomScaleNormal="100" zoomScaleSheetLayoutView="100" workbookViewId="0">
      <pane xSplit="5" ySplit="7" topLeftCell="N56" activePane="bottomRight" state="frozen"/>
      <selection activeCell="AP43" sqref="AP43"/>
      <selection pane="topRight" activeCell="AP43" sqref="AP43"/>
      <selection pane="bottomLeft" activeCell="AP43" sqref="AP43"/>
      <selection pane="bottomRight" activeCell="Q66" sqref="Q66"/>
    </sheetView>
  </sheetViews>
  <sheetFormatPr defaultColWidth="9" defaultRowHeight="14.25" outlineLevelCol="2"/>
  <cols>
    <col min="1" max="1" width="10.375" style="105" hidden="1" customWidth="1" outlineLevel="1"/>
    <col min="2" max="3" width="9" style="105" hidden="1" customWidth="1" outlineLevel="1"/>
    <col min="4" max="4" width="43.5" style="105" customWidth="1" collapsed="1"/>
    <col min="5" max="16" width="17.25" style="116" bestFit="1" customWidth="1"/>
    <col min="17" max="17" width="20.75" style="117" bestFit="1" customWidth="1"/>
    <col min="18" max="24" width="20.75" style="116" hidden="1" customWidth="1" outlineLevel="1"/>
    <col min="25" max="26" width="18.25" style="116" hidden="1" customWidth="1" outlineLevel="2"/>
    <col min="27" max="29" width="14.75" style="116" hidden="1" customWidth="1" outlineLevel="2"/>
    <col min="30" max="30" width="19.5" style="117" customWidth="1" collapsed="1"/>
    <col min="31" max="31" width="15.75" style="116" customWidth="1"/>
    <col min="32" max="32" width="11" style="116" customWidth="1"/>
    <col min="33" max="33" width="20.75" style="109" hidden="1" customWidth="1"/>
    <col min="34" max="34" width="18.375" style="123" hidden="1" customWidth="1"/>
    <col min="35" max="16384" width="9" style="105"/>
  </cols>
  <sheetData>
    <row r="1" spans="1:34" s="100" customFormat="1">
      <c r="A1" s="100" t="s">
        <v>333</v>
      </c>
      <c r="D1" s="100" t="s">
        <v>146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02"/>
      <c r="AE1" s="101"/>
      <c r="AF1" s="101"/>
      <c r="AG1" s="103"/>
      <c r="AH1" s="104"/>
    </row>
    <row r="2" spans="1:34" s="100" customFormat="1">
      <c r="D2" s="100" t="s">
        <v>147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02"/>
      <c r="AE2" s="101"/>
      <c r="AF2" s="101"/>
      <c r="AG2" s="103"/>
      <c r="AH2" s="104"/>
    </row>
    <row r="3" spans="1:34">
      <c r="D3" s="106" t="s">
        <v>334</v>
      </c>
      <c r="E3" s="2" t="s">
        <v>335</v>
      </c>
      <c r="F3" s="2" t="s">
        <v>335</v>
      </c>
      <c r="G3" s="2" t="s">
        <v>335</v>
      </c>
      <c r="H3" s="2" t="s">
        <v>335</v>
      </c>
      <c r="I3" s="2" t="s">
        <v>335</v>
      </c>
      <c r="J3" s="2" t="s">
        <v>335</v>
      </c>
      <c r="K3" s="2" t="s">
        <v>336</v>
      </c>
      <c r="L3" s="2" t="s">
        <v>336</v>
      </c>
      <c r="M3" s="2" t="s">
        <v>336</v>
      </c>
      <c r="N3" s="2" t="s">
        <v>336</v>
      </c>
      <c r="O3" s="2" t="s">
        <v>336</v>
      </c>
      <c r="P3" s="2" t="s">
        <v>336</v>
      </c>
      <c r="Q3" s="107"/>
      <c r="R3" s="108" t="s">
        <v>335</v>
      </c>
      <c r="S3" s="108" t="s">
        <v>335</v>
      </c>
      <c r="T3" s="108" t="s">
        <v>335</v>
      </c>
      <c r="U3" s="108" t="s">
        <v>335</v>
      </c>
      <c r="V3" s="108" t="s">
        <v>335</v>
      </c>
      <c r="W3" s="108" t="s">
        <v>335</v>
      </c>
      <c r="X3" s="108" t="s">
        <v>335</v>
      </c>
      <c r="Y3" s="108" t="s">
        <v>335</v>
      </c>
      <c r="Z3" s="108" t="s">
        <v>335</v>
      </c>
      <c r="AA3" s="108" t="s">
        <v>335</v>
      </c>
      <c r="AB3" s="108" t="s">
        <v>335</v>
      </c>
      <c r="AC3" s="108" t="s">
        <v>335</v>
      </c>
      <c r="AD3" s="107"/>
      <c r="AE3" s="2"/>
      <c r="AF3" s="2"/>
      <c r="AH3" s="110"/>
    </row>
    <row r="4" spans="1:34" s="100" customFormat="1" ht="18">
      <c r="D4" s="18">
        <f>+'2025 Summay'!$D$7</f>
        <v>2025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77"/>
      <c r="R4" s="178"/>
      <c r="S4" s="178"/>
      <c r="T4" s="178"/>
      <c r="U4" s="178"/>
      <c r="V4" s="178"/>
      <c r="W4" s="178"/>
      <c r="X4" s="178"/>
      <c r="Y4" s="101"/>
      <c r="Z4" s="101"/>
      <c r="AA4" s="101"/>
      <c r="AB4" s="101"/>
      <c r="AC4" s="101"/>
      <c r="AD4" s="177"/>
      <c r="AE4" s="101"/>
      <c r="AF4" s="101"/>
      <c r="AG4" s="103"/>
      <c r="AH4" s="104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2"/>
      <c r="AE5" s="101"/>
      <c r="AF5" s="101"/>
      <c r="AG5" s="103"/>
      <c r="AH5" s="104"/>
    </row>
    <row r="6" spans="1:34" s="100" customFormat="1">
      <c r="D6" s="100" t="s">
        <v>154</v>
      </c>
      <c r="E6" s="112">
        <f>'Rooms+Summary'!E6</f>
        <v>1</v>
      </c>
      <c r="F6" s="112">
        <f>'Rooms+Summary'!F6</f>
        <v>2</v>
      </c>
      <c r="G6" s="112">
        <f>'Rooms+Summary'!G6</f>
        <v>3</v>
      </c>
      <c r="H6" s="112">
        <f>'Rooms+Summary'!H6</f>
        <v>4</v>
      </c>
      <c r="I6" s="112">
        <f>'Rooms+Summary'!I6</f>
        <v>5</v>
      </c>
      <c r="J6" s="112">
        <f>'Rooms+Summary'!J6</f>
        <v>6</v>
      </c>
      <c r="K6" s="112">
        <f>'Rooms+Summary'!K6</f>
        <v>7</v>
      </c>
      <c r="L6" s="112">
        <f>'Rooms+Summary'!L6</f>
        <v>8</v>
      </c>
      <c r="M6" s="112">
        <f>'Rooms+Summary'!M6</f>
        <v>9</v>
      </c>
      <c r="N6" s="112">
        <f>'Rooms+Summary'!N6</f>
        <v>10</v>
      </c>
      <c r="O6" s="112">
        <f>'Rooms+Summary'!O6</f>
        <v>11</v>
      </c>
      <c r="P6" s="112">
        <f>'Rooms+Summary'!P6</f>
        <v>12</v>
      </c>
      <c r="Q6" s="156">
        <f>'Rooms+Summary'!Q6</f>
        <v>2025</v>
      </c>
      <c r="R6" s="114">
        <f>'Rooms+Summary'!R6</f>
        <v>202401</v>
      </c>
      <c r="S6" s="114">
        <f>'Rooms+Summary'!S6</f>
        <v>202402</v>
      </c>
      <c r="T6" s="114">
        <f>'Rooms+Summary'!T6</f>
        <v>202403</v>
      </c>
      <c r="U6" s="114">
        <f>'Rooms+Summary'!U6</f>
        <v>202404</v>
      </c>
      <c r="V6" s="114">
        <f>'Rooms+Summary'!V6</f>
        <v>202405</v>
      </c>
      <c r="W6" s="114">
        <f>'Rooms+Summary'!W6</f>
        <v>202406</v>
      </c>
      <c r="X6" s="114">
        <f>'Rooms+Summary'!X6</f>
        <v>202407</v>
      </c>
      <c r="Y6" s="114">
        <f>'Rooms+Summary'!Y6</f>
        <v>202408</v>
      </c>
      <c r="Z6" s="114">
        <f>'Rooms+Summary'!Z6</f>
        <v>202409</v>
      </c>
      <c r="AA6" s="114">
        <f>'Rooms+Summary'!AA6</f>
        <v>202410</v>
      </c>
      <c r="AB6" s="114">
        <f>'Rooms+Summary'!AB6</f>
        <v>202411</v>
      </c>
      <c r="AC6" s="114">
        <f>'Rooms+Summary'!AC6</f>
        <v>202412</v>
      </c>
      <c r="AD6" s="115">
        <f>'Rooms+Summary'!AD6</f>
        <v>2024</v>
      </c>
      <c r="AE6" s="114"/>
      <c r="AF6" s="114"/>
      <c r="AG6" s="172">
        <v>2019</v>
      </c>
      <c r="AH6" s="104"/>
    </row>
    <row r="7" spans="1:34">
      <c r="D7" s="105" t="s">
        <v>154</v>
      </c>
      <c r="E7" s="116" t="str">
        <f>'Rooms+Summary'!E7</f>
        <v>Budget</v>
      </c>
      <c r="F7" s="116" t="str">
        <f>'Rooms+Summary'!F7</f>
        <v>Budget</v>
      </c>
      <c r="G7" s="116" t="str">
        <f>'Rooms+Summary'!G7</f>
        <v>Budget</v>
      </c>
      <c r="H7" s="116" t="str">
        <f>'Rooms+Summary'!H7</f>
        <v>Budget</v>
      </c>
      <c r="I7" s="116" t="str">
        <f>'Rooms+Summary'!I7</f>
        <v>Budget</v>
      </c>
      <c r="J7" s="116" t="str">
        <f>'Rooms+Summary'!J7</f>
        <v>Budget</v>
      </c>
      <c r="K7" s="116" t="str">
        <f>'Rooms+Summary'!K7</f>
        <v>Budget</v>
      </c>
      <c r="L7" s="116" t="str">
        <f>'Rooms+Summary'!L7</f>
        <v>Budget</v>
      </c>
      <c r="M7" s="116" t="str">
        <f>'Rooms+Summary'!M7</f>
        <v>Budget</v>
      </c>
      <c r="N7" s="116" t="str">
        <f>'Rooms+Summary'!N7</f>
        <v>Budget</v>
      </c>
      <c r="O7" s="116" t="str">
        <f>'Rooms+Summary'!O7</f>
        <v>Budget</v>
      </c>
      <c r="P7" s="116" t="str">
        <f>'Rooms+Summary'!P7</f>
        <v>Budget</v>
      </c>
      <c r="Q7" s="117" t="str">
        <f>'Rooms+Summary'!Q7</f>
        <v>Budget</v>
      </c>
      <c r="R7" s="118" t="str">
        <f>'Rooms+Summary'!R7</f>
        <v>Actual</v>
      </c>
      <c r="S7" s="118" t="str">
        <f>'Rooms+Summary'!S7</f>
        <v>Actual</v>
      </c>
      <c r="T7" s="118" t="str">
        <f>'Rooms+Summary'!T7</f>
        <v>Actual</v>
      </c>
      <c r="U7" s="118" t="str">
        <f>'Rooms+Summary'!U7</f>
        <v>Actual</v>
      </c>
      <c r="V7" s="118" t="str">
        <f>'Rooms+Summary'!V7</f>
        <v>Actual</v>
      </c>
      <c r="W7" s="118" t="str">
        <f>'Rooms+Summary'!W7</f>
        <v>Actual</v>
      </c>
      <c r="X7" s="118" t="str">
        <f>'Rooms+Summary'!X7</f>
        <v>Actual</v>
      </c>
      <c r="Y7" s="118" t="str">
        <f>'Rooms+Summary'!Y7</f>
        <v>Actual</v>
      </c>
      <c r="Z7" s="118" t="str">
        <f>'Rooms+Summary'!Z7</f>
        <v>Forecast</v>
      </c>
      <c r="AA7" s="118" t="str">
        <f>'Rooms+Summary'!AA7</f>
        <v>Forecast</v>
      </c>
      <c r="AB7" s="118" t="str">
        <f>'Rooms+Summary'!AB7</f>
        <v>Forecast</v>
      </c>
      <c r="AC7" s="118" t="str">
        <f>'Rooms+Summary'!AC7</f>
        <v>Forecast</v>
      </c>
      <c r="AD7" s="119" t="str">
        <f>'Rooms+Summary'!AD7</f>
        <v>Forecast</v>
      </c>
      <c r="AE7" s="118" t="s">
        <v>6</v>
      </c>
      <c r="AF7" s="120" t="s">
        <v>156</v>
      </c>
      <c r="AG7" s="129" t="s">
        <v>12</v>
      </c>
    </row>
    <row r="8" spans="1:34">
      <c r="D8" s="105" t="s">
        <v>158</v>
      </c>
      <c r="AG8" s="129"/>
    </row>
    <row r="9" spans="1:34">
      <c r="A9" s="105" t="s">
        <v>159</v>
      </c>
      <c r="B9" s="105" t="s">
        <v>256</v>
      </c>
      <c r="C9" s="105" t="s">
        <v>337</v>
      </c>
      <c r="D9" s="105" t="s">
        <v>162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117">
        <f>SUM(E9:P9)</f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/>
      <c r="Y9" s="72"/>
      <c r="Z9" s="72"/>
      <c r="AA9" s="72"/>
      <c r="AB9" s="72"/>
      <c r="AC9" s="72"/>
      <c r="AD9" s="127">
        <f>SUM(R9:AC9)</f>
        <v>0</v>
      </c>
      <c r="AE9" s="72">
        <f>Q9-AD9</f>
        <v>0</v>
      </c>
      <c r="AF9" s="128" t="e">
        <f>AE9/AD9</f>
        <v>#DIV/0!</v>
      </c>
      <c r="AG9" s="129">
        <v>0</v>
      </c>
      <c r="AH9" s="123">
        <f t="shared" ref="AH9:AH16" si="0">Q9-AG9</f>
        <v>0</v>
      </c>
    </row>
    <row r="10" spans="1:34">
      <c r="A10" s="105" t="s">
        <v>159</v>
      </c>
      <c r="B10" s="105" t="s">
        <v>256</v>
      </c>
      <c r="C10" s="105" t="s">
        <v>299</v>
      </c>
      <c r="D10" s="105" t="s">
        <v>164</v>
      </c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117">
        <f>SUM(E10:P10)</f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/>
      <c r="Y10" s="72"/>
      <c r="Z10" s="72"/>
      <c r="AA10" s="72"/>
      <c r="AB10" s="72"/>
      <c r="AC10" s="72"/>
      <c r="AD10" s="127">
        <f t="shared" ref="AD10:AD17" si="1">SUM(R10:AC10)</f>
        <v>0</v>
      </c>
      <c r="AE10" s="72">
        <f t="shared" ref="AE10:AE15" si="2">Q10-AD10</f>
        <v>0</v>
      </c>
      <c r="AF10" s="128" t="e">
        <f t="shared" ref="AF10:AF15" si="3">AE10/AD10</f>
        <v>#DIV/0!</v>
      </c>
      <c r="AG10" s="129">
        <v>0</v>
      </c>
      <c r="AH10" s="123">
        <f t="shared" si="0"/>
        <v>0</v>
      </c>
    </row>
    <row r="11" spans="1:34">
      <c r="A11" s="105" t="s">
        <v>300</v>
      </c>
      <c r="D11" s="105" t="s">
        <v>166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117">
        <f>SUM(E11:P11)</f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/>
      <c r="Y11" s="72"/>
      <c r="Z11" s="72"/>
      <c r="AA11" s="72"/>
      <c r="AB11" s="72"/>
      <c r="AC11" s="72"/>
      <c r="AD11" s="127">
        <f t="shared" si="1"/>
        <v>0</v>
      </c>
      <c r="AE11" s="72">
        <f t="shared" si="2"/>
        <v>0</v>
      </c>
      <c r="AF11" s="128"/>
      <c r="AG11" s="129">
        <v>0</v>
      </c>
      <c r="AH11" s="123">
        <f t="shared" si="0"/>
        <v>0</v>
      </c>
    </row>
    <row r="12" spans="1:34">
      <c r="A12" s="105" t="s">
        <v>300</v>
      </c>
      <c r="D12" s="105" t="s">
        <v>168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17">
        <f>SUM(Q9:Q11)</f>
        <v>0</v>
      </c>
      <c r="R12" s="127">
        <f t="shared" ref="R12:AC12" si="4">SUM(R9:R11)</f>
        <v>0</v>
      </c>
      <c r="S12" s="127">
        <f t="shared" si="4"/>
        <v>0</v>
      </c>
      <c r="T12" s="127">
        <f t="shared" si="4"/>
        <v>0</v>
      </c>
      <c r="U12" s="127">
        <f t="shared" si="4"/>
        <v>0</v>
      </c>
      <c r="V12" s="127">
        <f t="shared" si="4"/>
        <v>0</v>
      </c>
      <c r="W12" s="127">
        <f t="shared" si="4"/>
        <v>0</v>
      </c>
      <c r="X12" s="127">
        <f t="shared" si="4"/>
        <v>0</v>
      </c>
      <c r="Y12" s="127">
        <f t="shared" si="4"/>
        <v>0</v>
      </c>
      <c r="Z12" s="127">
        <f t="shared" si="4"/>
        <v>0</v>
      </c>
      <c r="AA12" s="127">
        <f t="shared" si="4"/>
        <v>0</v>
      </c>
      <c r="AB12" s="127">
        <f t="shared" si="4"/>
        <v>0</v>
      </c>
      <c r="AC12" s="127">
        <f t="shared" si="4"/>
        <v>0</v>
      </c>
      <c r="AD12" s="127">
        <f t="shared" si="1"/>
        <v>0</v>
      </c>
      <c r="AE12" s="72">
        <f t="shared" si="2"/>
        <v>0</v>
      </c>
      <c r="AF12" s="128" t="e">
        <f t="shared" si="3"/>
        <v>#DIV/0!</v>
      </c>
      <c r="AG12" s="129">
        <v>0</v>
      </c>
      <c r="AH12" s="123">
        <f t="shared" si="0"/>
        <v>0</v>
      </c>
    </row>
    <row r="13" spans="1:34">
      <c r="A13" s="105" t="s">
        <v>169</v>
      </c>
      <c r="B13" s="105" t="s">
        <v>256</v>
      </c>
      <c r="D13" s="105" t="s">
        <v>170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117">
        <f>SUM(E13:P13)</f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/>
      <c r="Y13" s="72"/>
      <c r="Z13" s="72"/>
      <c r="AA13" s="72"/>
      <c r="AB13" s="72"/>
      <c r="AC13" s="72"/>
      <c r="AD13" s="127">
        <f t="shared" si="1"/>
        <v>0</v>
      </c>
      <c r="AE13" s="72">
        <f t="shared" si="2"/>
        <v>0</v>
      </c>
      <c r="AF13" s="128" t="e">
        <f t="shared" si="3"/>
        <v>#DIV/0!</v>
      </c>
      <c r="AG13" s="129">
        <v>0</v>
      </c>
      <c r="AH13" s="123">
        <f t="shared" si="0"/>
        <v>0</v>
      </c>
    </row>
    <row r="14" spans="1:34">
      <c r="A14" s="105" t="s">
        <v>300</v>
      </c>
      <c r="D14" s="105" t="s">
        <v>171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117">
        <f>SUM(E14:P14)</f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/>
      <c r="Y14" s="72"/>
      <c r="Z14" s="72"/>
      <c r="AA14" s="72"/>
      <c r="AB14" s="72"/>
      <c r="AC14" s="72"/>
      <c r="AD14" s="127">
        <f t="shared" si="1"/>
        <v>0</v>
      </c>
      <c r="AE14" s="72">
        <f t="shared" si="2"/>
        <v>0</v>
      </c>
      <c r="AF14" s="128"/>
      <c r="AG14" s="129">
        <v>0</v>
      </c>
      <c r="AH14" s="123">
        <f t="shared" si="0"/>
        <v>0</v>
      </c>
    </row>
    <row r="15" spans="1:34">
      <c r="D15" s="105" t="s">
        <v>172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17">
        <f>SUM(Q12:Q14)</f>
        <v>0</v>
      </c>
      <c r="R15" s="127">
        <f t="shared" ref="R15:AC15" si="5">SUM(R12:R14)</f>
        <v>0</v>
      </c>
      <c r="S15" s="127">
        <f t="shared" si="5"/>
        <v>0</v>
      </c>
      <c r="T15" s="127">
        <f t="shared" si="5"/>
        <v>0</v>
      </c>
      <c r="U15" s="127">
        <f t="shared" si="5"/>
        <v>0</v>
      </c>
      <c r="V15" s="127">
        <f t="shared" si="5"/>
        <v>0</v>
      </c>
      <c r="W15" s="127">
        <f t="shared" si="5"/>
        <v>0</v>
      </c>
      <c r="X15" s="127">
        <f t="shared" si="5"/>
        <v>0</v>
      </c>
      <c r="Y15" s="127">
        <f t="shared" si="5"/>
        <v>0</v>
      </c>
      <c r="Z15" s="127">
        <f t="shared" si="5"/>
        <v>0</v>
      </c>
      <c r="AA15" s="127">
        <f t="shared" si="5"/>
        <v>0</v>
      </c>
      <c r="AB15" s="127">
        <f t="shared" si="5"/>
        <v>0</v>
      </c>
      <c r="AC15" s="127">
        <f t="shared" si="5"/>
        <v>0</v>
      </c>
      <c r="AD15" s="127">
        <f t="shared" si="1"/>
        <v>0</v>
      </c>
      <c r="AE15" s="72">
        <f t="shared" si="2"/>
        <v>0</v>
      </c>
      <c r="AF15" s="128" t="e">
        <f t="shared" si="3"/>
        <v>#DIV/0!</v>
      </c>
      <c r="AG15" s="129">
        <v>0</v>
      </c>
      <c r="AH15" s="123">
        <f t="shared" si="0"/>
        <v>0</v>
      </c>
    </row>
    <row r="16" spans="1:34">
      <c r="D16" s="105" t="s">
        <v>154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127"/>
      <c r="AE16" s="72"/>
      <c r="AF16" s="128"/>
      <c r="AG16" s="129">
        <v>0</v>
      </c>
      <c r="AH16" s="123">
        <f t="shared" si="0"/>
        <v>0</v>
      </c>
    </row>
    <row r="17" spans="1:34" s="109" customFormat="1">
      <c r="A17" s="109" t="s">
        <v>173</v>
      </c>
      <c r="B17" s="109" t="s">
        <v>256</v>
      </c>
      <c r="D17" s="109" t="s">
        <v>175</v>
      </c>
      <c r="E17" s="127">
        <f t="shared" ref="E17:AC17" si="6">E98</f>
        <v>211530.15</v>
      </c>
      <c r="F17" s="127">
        <f t="shared" si="6"/>
        <v>204018.13</v>
      </c>
      <c r="G17" s="127">
        <f t="shared" si="6"/>
        <v>177840.59</v>
      </c>
      <c r="H17" s="127">
        <f t="shared" si="6"/>
        <v>172719.86</v>
      </c>
      <c r="I17" s="127">
        <f t="shared" si="6"/>
        <v>177116.72999999998</v>
      </c>
      <c r="J17" s="127">
        <f t="shared" si="6"/>
        <v>163618.60999999999</v>
      </c>
      <c r="K17" s="127">
        <f t="shared" si="6"/>
        <v>177948.82</v>
      </c>
      <c r="L17" s="127">
        <f t="shared" si="6"/>
        <v>184061.90999999997</v>
      </c>
      <c r="M17" s="127">
        <f t="shared" si="6"/>
        <v>161405.90999999997</v>
      </c>
      <c r="N17" s="127">
        <f t="shared" si="6"/>
        <v>180832.65</v>
      </c>
      <c r="O17" s="127">
        <f t="shared" si="6"/>
        <v>165489.63</v>
      </c>
      <c r="P17" s="127">
        <f t="shared" si="6"/>
        <v>175214.88999999998</v>
      </c>
      <c r="Q17" s="117">
        <f t="shared" si="6"/>
        <v>2151797.88</v>
      </c>
      <c r="R17" s="127">
        <f t="shared" si="6"/>
        <v>208519.47</v>
      </c>
      <c r="S17" s="127">
        <f t="shared" si="6"/>
        <v>249530.22</v>
      </c>
      <c r="T17" s="127">
        <f t="shared" si="6"/>
        <v>175417.54</v>
      </c>
      <c r="U17" s="127">
        <f t="shared" si="6"/>
        <v>173339.2</v>
      </c>
      <c r="V17" s="127">
        <f t="shared" si="6"/>
        <v>188907.23</v>
      </c>
      <c r="W17" s="127">
        <f t="shared" si="6"/>
        <v>155141.5</v>
      </c>
      <c r="X17" s="127">
        <f t="shared" si="6"/>
        <v>168485.07</v>
      </c>
      <c r="Y17" s="127">
        <f t="shared" si="6"/>
        <v>159390.72999999998</v>
      </c>
      <c r="Z17" s="127">
        <f t="shared" si="6"/>
        <v>171559</v>
      </c>
      <c r="AA17" s="127">
        <f t="shared" si="6"/>
        <v>190801</v>
      </c>
      <c r="AB17" s="127">
        <f t="shared" si="6"/>
        <v>176145</v>
      </c>
      <c r="AC17" s="127">
        <f t="shared" si="6"/>
        <v>187591</v>
      </c>
      <c r="AD17" s="127">
        <f t="shared" si="1"/>
        <v>2204826.96</v>
      </c>
      <c r="AE17" s="127">
        <f t="shared" ref="AE17" si="7">Q17-AD17</f>
        <v>-53029.080000000075</v>
      </c>
      <c r="AF17" s="132">
        <f t="shared" ref="AF17" si="8">AE17/AD17</f>
        <v>-2.4051356846616242E-2</v>
      </c>
      <c r="AG17" s="129">
        <v>2060776.21</v>
      </c>
      <c r="AH17" s="133">
        <f>AG17-Q17</f>
        <v>-91021.669999999925</v>
      </c>
    </row>
    <row r="18" spans="1:34">
      <c r="D18" s="105" t="s">
        <v>154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127"/>
      <c r="AE18" s="72"/>
      <c r="AF18" s="128"/>
      <c r="AG18" s="129"/>
    </row>
    <row r="19" spans="1:34">
      <c r="D19" s="105" t="s">
        <v>176</v>
      </c>
      <c r="E19" s="179">
        <f>E20/'Rooms+Summary'!E15</f>
        <v>5.7999992052325047E-2</v>
      </c>
      <c r="F19" s="179">
        <f>F20/'Rooms+Summary'!F15</f>
        <v>5.8000000465936438E-2</v>
      </c>
      <c r="G19" s="179">
        <f>G20/'Rooms+Summary'!G15</f>
        <v>5.7999985453982196E-2</v>
      </c>
      <c r="H19" s="179">
        <f>H20/'Rooms+Summary'!H15</f>
        <v>5.8000001924592537E-2</v>
      </c>
      <c r="I19" s="179">
        <f>I20/'Rooms+Summary'!I15</f>
        <v>5.8000024100519826E-2</v>
      </c>
      <c r="J19" s="179">
        <f>J20/'Rooms+Summary'!J15</f>
        <v>5.8000007691390638E-2</v>
      </c>
      <c r="K19" s="179">
        <f>K20/'Rooms+Summary'!K15</f>
        <v>5.7999997584065044E-2</v>
      </c>
      <c r="L19" s="179">
        <f>L20/'Rooms+Summary'!L15</f>
        <v>5.7999998136534274E-2</v>
      </c>
      <c r="M19" s="179">
        <f>M20/'Rooms+Summary'!M15</f>
        <v>5.7999968674518176E-2</v>
      </c>
      <c r="N19" s="179">
        <f>N20/'Rooms+Summary'!N15</f>
        <v>5.8000005864266041E-2</v>
      </c>
      <c r="O19" s="179">
        <f>O20/'Rooms+Summary'!O15</f>
        <v>5.7999981517127021E-2</v>
      </c>
      <c r="P19" s="179">
        <f>P20/'Rooms+Summary'!P15</f>
        <v>5.8000004808735857E-2</v>
      </c>
      <c r="Q19" s="179">
        <f>Q20/'Rooms+Summary'!Q15</f>
        <v>5.7999997716717336E-2</v>
      </c>
      <c r="R19" s="179">
        <f>R20/'Rooms+Summary'!R15</f>
        <v>6.7859477630215159E-2</v>
      </c>
      <c r="S19" s="179">
        <f>S20/'Rooms+Summary'!S15</f>
        <v>7.3432994156496664E-2</v>
      </c>
      <c r="T19" s="179">
        <f>T20/'Rooms+Summary'!T15</f>
        <v>7.1790109932637985E-2</v>
      </c>
      <c r="U19" s="179">
        <f>U20/'Rooms+Summary'!U15</f>
        <v>8.2145335234407812E-2</v>
      </c>
      <c r="V19" s="179">
        <f>V20/'Rooms+Summary'!V15</f>
        <v>8.5448813223901673E-2</v>
      </c>
      <c r="W19" s="179">
        <f>W20/'Rooms+Summary'!W15</f>
        <v>8.3258633647364702E-2</v>
      </c>
      <c r="X19" s="179">
        <f>X20/'Rooms+Summary'!X15</f>
        <v>8.2183533685951757E-2</v>
      </c>
      <c r="Y19" s="179">
        <f>Y20/'Rooms+Summary'!Y15</f>
        <v>9.5203723887427219E-2</v>
      </c>
      <c r="Z19" s="179">
        <f>Z20/'Rooms+Summary'!Z15</f>
        <v>8.4999986540071557E-2</v>
      </c>
      <c r="AA19" s="179">
        <f>AA20/'Rooms+Summary'!AA15</f>
        <v>8.5000007807339836E-2</v>
      </c>
      <c r="AB19" s="179">
        <f>AB20/'Rooms+Summary'!AB15</f>
        <v>7.4999980976674152E-2</v>
      </c>
      <c r="AC19" s="179">
        <f>AC20/'Rooms+Summary'!AC15</f>
        <v>7.4999999999999997E-2</v>
      </c>
      <c r="AD19" s="179">
        <f>AD20/'Rooms+Summary'!AD15</f>
        <v>7.8886338189088592E-2</v>
      </c>
      <c r="AE19" s="72"/>
      <c r="AF19" s="128"/>
      <c r="AG19" s="179">
        <f>AG20/'Rooms+Summary'!AG15</f>
        <v>4.3940595222009264E-2</v>
      </c>
    </row>
    <row r="20" spans="1:34">
      <c r="A20" s="105" t="s">
        <v>177</v>
      </c>
      <c r="B20" s="105" t="s">
        <v>256</v>
      </c>
      <c r="D20" s="105" t="s">
        <v>302</v>
      </c>
      <c r="E20" s="180">
        <f>ROUND('Rooms+Summary'!E15*0.058,0)</f>
        <v>1707669</v>
      </c>
      <c r="F20" s="180">
        <f>ROUND('Rooms+Summary'!F15*0.058,0)</f>
        <v>1991688</v>
      </c>
      <c r="G20" s="180">
        <f>ROUND('Rooms+Summary'!G15*0.058,0)</f>
        <v>1180254</v>
      </c>
      <c r="H20" s="180">
        <f>ROUND('Rooms+Summary'!H15*0.058,0)</f>
        <v>1084905</v>
      </c>
      <c r="I20" s="180">
        <f>ROUND('Rooms+Summary'!I15*0.058,0)</f>
        <v>1010767</v>
      </c>
      <c r="J20" s="180">
        <f>ROUND('Rooms+Summary'!J15*0.058,0)</f>
        <v>904908</v>
      </c>
      <c r="K20" s="180">
        <f>ROUND('Rooms+Summary'!K15*0.058,0)</f>
        <v>1344407</v>
      </c>
      <c r="L20" s="180">
        <f>ROUND('Rooms+Summary'!L15*0.058,0)</f>
        <v>1556240</v>
      </c>
      <c r="M20" s="180">
        <f>ROUND('Rooms+Summary'!M15*0.058,0)</f>
        <v>829484</v>
      </c>
      <c r="N20" s="180">
        <f>ROUND('Rooms+Summary'!N15*0.058,0)</f>
        <v>1008822</v>
      </c>
      <c r="O20" s="180">
        <f>ROUND('Rooms+Summary'!O15*0.058,0)</f>
        <v>878651</v>
      </c>
      <c r="P20" s="180">
        <f>ROUND('Rooms+Summary'!P15*0.058,0)</f>
        <v>1133770</v>
      </c>
      <c r="Q20" s="117">
        <f>SUM(E20:P20)</f>
        <v>14631565</v>
      </c>
      <c r="R20" s="72">
        <v>2262430.46</v>
      </c>
      <c r="S20" s="72">
        <v>3870829.92</v>
      </c>
      <c r="T20" s="72">
        <v>1592437.59</v>
      </c>
      <c r="U20" s="72">
        <v>1534402.64</v>
      </c>
      <c r="V20" s="72">
        <v>1489908.94</v>
      </c>
      <c r="W20" s="72">
        <v>1296555.26</v>
      </c>
      <c r="X20" s="72">
        <v>1906847.8</v>
      </c>
      <c r="Y20" s="72">
        <v>2570960.1</v>
      </c>
      <c r="Z20" s="72">
        <v>1105132</v>
      </c>
      <c r="AA20" s="72">
        <v>1360899</v>
      </c>
      <c r="AB20" s="72">
        <v>1084195</v>
      </c>
      <c r="AC20" s="72">
        <v>1335975</v>
      </c>
      <c r="AD20" s="127">
        <f t="shared" ref="AD20:AD43" si="9">SUM(R20:AC20)</f>
        <v>21410573.710000001</v>
      </c>
      <c r="AE20" s="72">
        <f t="shared" ref="AE20:AE45" si="10">Q20-AD20</f>
        <v>-6779008.7100000009</v>
      </c>
      <c r="AF20" s="128">
        <f t="shared" ref="AF20:AF45" si="11">AE20/AD20</f>
        <v>-0.31661966661051233</v>
      </c>
      <c r="AG20" s="129">
        <v>10730360.319999998</v>
      </c>
      <c r="AH20" s="133">
        <f t="shared" ref="AH20:AH44" si="12">AG20-Q20</f>
        <v>-3901204.6800000016</v>
      </c>
    </row>
    <row r="21" spans="1:34">
      <c r="A21" s="105" t="s">
        <v>179</v>
      </c>
      <c r="B21" s="105" t="s">
        <v>256</v>
      </c>
      <c r="D21" s="105" t="s">
        <v>143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117">
        <f t="shared" ref="Q21:Q43" si="13">SUM(E21:P21)</f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127">
        <f t="shared" si="9"/>
        <v>0</v>
      </c>
      <c r="AE21" s="72">
        <f t="shared" si="10"/>
        <v>0</v>
      </c>
      <c r="AF21" s="128" t="e">
        <f t="shared" si="11"/>
        <v>#DIV/0!</v>
      </c>
      <c r="AG21" s="129">
        <v>0</v>
      </c>
      <c r="AH21" s="133">
        <f t="shared" si="12"/>
        <v>0</v>
      </c>
    </row>
    <row r="22" spans="1:34">
      <c r="A22" s="105" t="s">
        <v>180</v>
      </c>
      <c r="B22" s="105" t="s">
        <v>256</v>
      </c>
      <c r="D22" s="105" t="s">
        <v>144</v>
      </c>
      <c r="E22" s="174">
        <f t="shared" ref="E22:P22" si="14">+E107+E108+E109</f>
        <v>10525.79</v>
      </c>
      <c r="F22" s="174">
        <f t="shared" si="14"/>
        <v>9048.83</v>
      </c>
      <c r="G22" s="174">
        <f t="shared" si="14"/>
        <v>9070.83</v>
      </c>
      <c r="H22" s="174">
        <f t="shared" si="14"/>
        <v>9195.83</v>
      </c>
      <c r="I22" s="174">
        <f t="shared" si="14"/>
        <v>10546.79</v>
      </c>
      <c r="J22" s="174">
        <f t="shared" si="14"/>
        <v>9168.83</v>
      </c>
      <c r="K22" s="174">
        <f t="shared" si="14"/>
        <v>9160.83</v>
      </c>
      <c r="L22" s="174">
        <f t="shared" si="14"/>
        <v>9177.83</v>
      </c>
      <c r="M22" s="174">
        <f t="shared" si="14"/>
        <v>9189.83</v>
      </c>
      <c r="N22" s="174">
        <f t="shared" si="14"/>
        <v>10632.79</v>
      </c>
      <c r="O22" s="174">
        <f t="shared" si="14"/>
        <v>9136.83</v>
      </c>
      <c r="P22" s="174">
        <f t="shared" si="14"/>
        <v>9132.83</v>
      </c>
      <c r="Q22" s="117">
        <f t="shared" si="13"/>
        <v>113987.84000000003</v>
      </c>
      <c r="R22" s="72">
        <v>12634.18</v>
      </c>
      <c r="S22" s="72">
        <v>12783.85</v>
      </c>
      <c r="T22" s="72">
        <v>2994.06</v>
      </c>
      <c r="U22" s="72">
        <v>2551.8000000000002</v>
      </c>
      <c r="V22" s="72">
        <v>780</v>
      </c>
      <c r="W22" s="72">
        <v>-337.29</v>
      </c>
      <c r="X22" s="72">
        <v>5345</v>
      </c>
      <c r="Y22" s="72">
        <v>7715.25</v>
      </c>
      <c r="Z22" s="72">
        <v>4308</v>
      </c>
      <c r="AA22" s="72">
        <v>4308</v>
      </c>
      <c r="AB22" s="72">
        <v>4308</v>
      </c>
      <c r="AC22" s="72">
        <v>4308</v>
      </c>
      <c r="AD22" s="127">
        <f t="shared" si="9"/>
        <v>61698.85</v>
      </c>
      <c r="AE22" s="72">
        <f t="shared" si="10"/>
        <v>52288.990000000027</v>
      </c>
      <c r="AF22" s="128">
        <f t="shared" si="11"/>
        <v>0.84748727083243902</v>
      </c>
      <c r="AG22" s="129">
        <v>800</v>
      </c>
      <c r="AH22" s="133">
        <f t="shared" si="12"/>
        <v>-113187.84000000003</v>
      </c>
    </row>
    <row r="23" spans="1:34">
      <c r="A23" s="105" t="s">
        <v>181</v>
      </c>
      <c r="B23" s="105" t="s">
        <v>256</v>
      </c>
      <c r="D23" s="105" t="s">
        <v>182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117">
        <f t="shared" si="13"/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127">
        <f t="shared" si="9"/>
        <v>0</v>
      </c>
      <c r="AE23" s="72">
        <f t="shared" si="10"/>
        <v>0</v>
      </c>
      <c r="AF23" s="128" t="e">
        <f t="shared" si="11"/>
        <v>#DIV/0!</v>
      </c>
      <c r="AG23" s="129">
        <v>0</v>
      </c>
      <c r="AH23" s="133">
        <f t="shared" si="12"/>
        <v>0</v>
      </c>
    </row>
    <row r="24" spans="1:34">
      <c r="A24" s="105" t="s">
        <v>183</v>
      </c>
      <c r="B24" s="105" t="s">
        <v>256</v>
      </c>
      <c r="D24" s="105" t="s">
        <v>184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117">
        <f t="shared" si="13"/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72">
        <v>0</v>
      </c>
      <c r="AD24" s="127">
        <f t="shared" si="9"/>
        <v>0</v>
      </c>
      <c r="AE24" s="72">
        <f t="shared" si="10"/>
        <v>0</v>
      </c>
      <c r="AF24" s="128" t="e">
        <f t="shared" si="11"/>
        <v>#DIV/0!</v>
      </c>
      <c r="AG24" s="129">
        <v>0</v>
      </c>
      <c r="AH24" s="133">
        <f t="shared" si="12"/>
        <v>0</v>
      </c>
    </row>
    <row r="25" spans="1:34">
      <c r="A25" s="105" t="s">
        <v>185</v>
      </c>
      <c r="B25" s="105" t="s">
        <v>256</v>
      </c>
      <c r="D25" s="105" t="s">
        <v>186</v>
      </c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117">
        <f t="shared" si="13"/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72">
        <v>0</v>
      </c>
      <c r="AD25" s="127">
        <f t="shared" si="9"/>
        <v>0</v>
      </c>
      <c r="AE25" s="72">
        <f t="shared" si="10"/>
        <v>0</v>
      </c>
      <c r="AF25" s="128" t="e">
        <f t="shared" si="11"/>
        <v>#DIV/0!</v>
      </c>
      <c r="AG25" s="129">
        <v>0</v>
      </c>
      <c r="AH25" s="133">
        <f t="shared" si="12"/>
        <v>0</v>
      </c>
    </row>
    <row r="26" spans="1:34">
      <c r="A26" s="105" t="s">
        <v>187</v>
      </c>
      <c r="B26" s="105" t="s">
        <v>256</v>
      </c>
      <c r="D26" s="105" t="s">
        <v>188</v>
      </c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117">
        <f t="shared" si="13"/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72">
        <v>0</v>
      </c>
      <c r="AD26" s="127">
        <f t="shared" si="9"/>
        <v>0</v>
      </c>
      <c r="AE26" s="72">
        <f t="shared" si="10"/>
        <v>0</v>
      </c>
      <c r="AF26" s="128" t="e">
        <f t="shared" si="11"/>
        <v>#DIV/0!</v>
      </c>
      <c r="AG26" s="129">
        <v>0</v>
      </c>
      <c r="AH26" s="133">
        <f t="shared" si="12"/>
        <v>0</v>
      </c>
    </row>
    <row r="27" spans="1:34">
      <c r="A27" s="105" t="s">
        <v>189</v>
      </c>
      <c r="B27" s="105" t="s">
        <v>256</v>
      </c>
      <c r="D27" s="105" t="s">
        <v>190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117">
        <f t="shared" si="13"/>
        <v>0</v>
      </c>
      <c r="R27" s="72">
        <v>0</v>
      </c>
      <c r="S27" s="72">
        <v>0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127">
        <f t="shared" si="9"/>
        <v>0</v>
      </c>
      <c r="AE27" s="72">
        <f t="shared" si="10"/>
        <v>0</v>
      </c>
      <c r="AF27" s="128" t="e">
        <f t="shared" si="11"/>
        <v>#DIV/0!</v>
      </c>
      <c r="AG27" s="129">
        <v>0</v>
      </c>
      <c r="AH27" s="133">
        <f t="shared" si="12"/>
        <v>0</v>
      </c>
    </row>
    <row r="28" spans="1:34">
      <c r="A28" s="105" t="s">
        <v>273</v>
      </c>
      <c r="D28" s="105" t="s">
        <v>192</v>
      </c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5">
        <f t="shared" si="13"/>
        <v>0</v>
      </c>
      <c r="R28" s="136">
        <v>0</v>
      </c>
      <c r="S28" s="136">
        <v>0</v>
      </c>
      <c r="T28" s="136">
        <v>0</v>
      </c>
      <c r="U28" s="136">
        <v>0</v>
      </c>
      <c r="V28" s="136">
        <v>0</v>
      </c>
      <c r="W28" s="136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127">
        <f t="shared" si="9"/>
        <v>0</v>
      </c>
      <c r="AE28" s="72">
        <f t="shared" si="10"/>
        <v>0</v>
      </c>
      <c r="AF28" s="128" t="e">
        <f t="shared" si="11"/>
        <v>#DIV/0!</v>
      </c>
      <c r="AG28" s="129">
        <v>0</v>
      </c>
      <c r="AH28" s="133">
        <f t="shared" si="12"/>
        <v>0</v>
      </c>
    </row>
    <row r="29" spans="1:34">
      <c r="A29" s="175" t="s">
        <v>338</v>
      </c>
      <c r="B29" s="105" t="s">
        <v>256</v>
      </c>
      <c r="D29" s="105" t="s">
        <v>304</v>
      </c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5">
        <f t="shared" si="13"/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127">
        <f t="shared" si="9"/>
        <v>0</v>
      </c>
      <c r="AE29" s="72">
        <f t="shared" si="10"/>
        <v>0</v>
      </c>
      <c r="AF29" s="128" t="e">
        <f t="shared" si="11"/>
        <v>#DIV/0!</v>
      </c>
      <c r="AG29" s="129">
        <v>0</v>
      </c>
      <c r="AH29" s="133">
        <f t="shared" si="12"/>
        <v>0</v>
      </c>
    </row>
    <row r="30" spans="1:34">
      <c r="A30" s="105" t="s">
        <v>195</v>
      </c>
      <c r="B30" s="105" t="s">
        <v>256</v>
      </c>
      <c r="D30" s="105" t="s">
        <v>196</v>
      </c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5">
        <f t="shared" si="13"/>
        <v>0</v>
      </c>
      <c r="R30" s="136">
        <v>0</v>
      </c>
      <c r="S30" s="136">
        <v>0</v>
      </c>
      <c r="T30" s="136">
        <v>0</v>
      </c>
      <c r="U30" s="136">
        <v>0</v>
      </c>
      <c r="V30" s="136">
        <v>0</v>
      </c>
      <c r="W30" s="136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72">
        <v>0</v>
      </c>
      <c r="AD30" s="127">
        <f t="shared" si="9"/>
        <v>0</v>
      </c>
      <c r="AE30" s="72">
        <f t="shared" si="10"/>
        <v>0</v>
      </c>
      <c r="AF30" s="128" t="e">
        <f t="shared" si="11"/>
        <v>#DIV/0!</v>
      </c>
      <c r="AG30" s="129">
        <v>0</v>
      </c>
      <c r="AH30" s="133">
        <f t="shared" si="12"/>
        <v>0</v>
      </c>
    </row>
    <row r="31" spans="1:34">
      <c r="A31" s="105" t="s">
        <v>197</v>
      </c>
      <c r="B31" s="105" t="s">
        <v>256</v>
      </c>
      <c r="D31" s="105" t="s">
        <v>305</v>
      </c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5">
        <f t="shared" si="13"/>
        <v>0</v>
      </c>
      <c r="R31" s="136">
        <v>0</v>
      </c>
      <c r="S31" s="136">
        <v>0</v>
      </c>
      <c r="T31" s="136">
        <v>0</v>
      </c>
      <c r="U31" s="136">
        <v>0</v>
      </c>
      <c r="V31" s="136">
        <v>0</v>
      </c>
      <c r="W31" s="136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127">
        <f t="shared" si="9"/>
        <v>0</v>
      </c>
      <c r="AE31" s="72">
        <f t="shared" si="10"/>
        <v>0</v>
      </c>
      <c r="AF31" s="128" t="e">
        <f t="shared" si="11"/>
        <v>#DIV/0!</v>
      </c>
      <c r="AG31" s="129">
        <v>0</v>
      </c>
      <c r="AH31" s="133">
        <f t="shared" si="12"/>
        <v>0</v>
      </c>
    </row>
    <row r="32" spans="1:34">
      <c r="A32" s="105" t="s">
        <v>199</v>
      </c>
      <c r="B32" s="105" t="s">
        <v>256</v>
      </c>
      <c r="D32" s="105" t="s">
        <v>200</v>
      </c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5">
        <f t="shared" si="13"/>
        <v>0</v>
      </c>
      <c r="R32" s="136">
        <v>0</v>
      </c>
      <c r="S32" s="136">
        <v>0</v>
      </c>
      <c r="T32" s="136">
        <v>0</v>
      </c>
      <c r="U32" s="136">
        <v>0</v>
      </c>
      <c r="V32" s="136">
        <v>0</v>
      </c>
      <c r="W32" s="136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127">
        <f t="shared" si="9"/>
        <v>0</v>
      </c>
      <c r="AE32" s="72">
        <f t="shared" si="10"/>
        <v>0</v>
      </c>
      <c r="AF32" s="128" t="e">
        <f t="shared" si="11"/>
        <v>#DIV/0!</v>
      </c>
      <c r="AG32" s="129">
        <v>0</v>
      </c>
      <c r="AH32" s="133">
        <f t="shared" si="12"/>
        <v>0</v>
      </c>
    </row>
    <row r="33" spans="1:34">
      <c r="A33" s="105" t="s">
        <v>201</v>
      </c>
      <c r="B33" s="105" t="s">
        <v>256</v>
      </c>
      <c r="D33" s="105" t="s">
        <v>202</v>
      </c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5">
        <f t="shared" si="13"/>
        <v>0</v>
      </c>
      <c r="R33" s="136">
        <v>0</v>
      </c>
      <c r="S33" s="136">
        <v>0</v>
      </c>
      <c r="T33" s="136">
        <v>0</v>
      </c>
      <c r="U33" s="136">
        <v>0</v>
      </c>
      <c r="V33" s="136">
        <v>0</v>
      </c>
      <c r="W33" s="136">
        <v>0</v>
      </c>
      <c r="X33" s="72">
        <v>0</v>
      </c>
      <c r="Y33" s="72">
        <v>0</v>
      </c>
      <c r="Z33" s="72">
        <v>0</v>
      </c>
      <c r="AA33" s="72">
        <v>0</v>
      </c>
      <c r="AB33" s="72">
        <v>0</v>
      </c>
      <c r="AC33" s="72">
        <v>0</v>
      </c>
      <c r="AD33" s="127">
        <f t="shared" si="9"/>
        <v>0</v>
      </c>
      <c r="AE33" s="72">
        <f t="shared" si="10"/>
        <v>0</v>
      </c>
      <c r="AF33" s="128" t="e">
        <f t="shared" si="11"/>
        <v>#DIV/0!</v>
      </c>
      <c r="AG33" s="129">
        <v>0</v>
      </c>
      <c r="AH33" s="133">
        <f t="shared" si="12"/>
        <v>0</v>
      </c>
    </row>
    <row r="34" spans="1:34">
      <c r="A34" s="105" t="s">
        <v>203</v>
      </c>
      <c r="B34" s="105" t="s">
        <v>256</v>
      </c>
      <c r="D34" s="105" t="s">
        <v>204</v>
      </c>
      <c r="E34" s="136">
        <v>338</v>
      </c>
      <c r="F34" s="136">
        <v>338</v>
      </c>
      <c r="G34" s="136">
        <v>338</v>
      </c>
      <c r="H34" s="136">
        <v>338</v>
      </c>
      <c r="I34" s="136">
        <v>338</v>
      </c>
      <c r="J34" s="136">
        <v>338</v>
      </c>
      <c r="K34" s="136">
        <v>338</v>
      </c>
      <c r="L34" s="136">
        <v>338</v>
      </c>
      <c r="M34" s="136">
        <v>338</v>
      </c>
      <c r="N34" s="136">
        <v>338</v>
      </c>
      <c r="O34" s="136">
        <v>338</v>
      </c>
      <c r="P34" s="136">
        <v>338</v>
      </c>
      <c r="Q34" s="135">
        <f t="shared" si="13"/>
        <v>4056</v>
      </c>
      <c r="R34" s="136">
        <v>492</v>
      </c>
      <c r="S34" s="136">
        <v>492</v>
      </c>
      <c r="T34" s="136">
        <v>492</v>
      </c>
      <c r="U34" s="136">
        <v>0</v>
      </c>
      <c r="V34" s="136">
        <v>0</v>
      </c>
      <c r="W34" s="136">
        <v>0</v>
      </c>
      <c r="X34" s="72">
        <v>0</v>
      </c>
      <c r="Y34" s="72">
        <v>-49.48</v>
      </c>
      <c r="Z34" s="72">
        <v>0</v>
      </c>
      <c r="AA34" s="72">
        <v>0</v>
      </c>
      <c r="AB34" s="72">
        <v>0</v>
      </c>
      <c r="AC34" s="72">
        <v>0</v>
      </c>
      <c r="AD34" s="127">
        <f t="shared" si="9"/>
        <v>1426.52</v>
      </c>
      <c r="AE34" s="72">
        <f t="shared" si="10"/>
        <v>2629.48</v>
      </c>
      <c r="AF34" s="128">
        <f t="shared" si="11"/>
        <v>1.843282954322407</v>
      </c>
      <c r="AG34" s="129">
        <v>20999.84</v>
      </c>
      <c r="AH34" s="133">
        <f t="shared" si="12"/>
        <v>16943.84</v>
      </c>
    </row>
    <row r="35" spans="1:34">
      <c r="A35" s="105" t="s">
        <v>306</v>
      </c>
      <c r="B35" s="105" t="s">
        <v>256</v>
      </c>
      <c r="D35" s="105" t="s">
        <v>206</v>
      </c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5">
        <f t="shared" si="13"/>
        <v>0</v>
      </c>
      <c r="R35" s="136">
        <v>0</v>
      </c>
      <c r="S35" s="136">
        <v>0</v>
      </c>
      <c r="T35" s="136">
        <v>0</v>
      </c>
      <c r="U35" s="136">
        <v>0</v>
      </c>
      <c r="V35" s="136">
        <v>0</v>
      </c>
      <c r="W35" s="136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127">
        <f t="shared" si="9"/>
        <v>0</v>
      </c>
      <c r="AE35" s="72">
        <f t="shared" si="10"/>
        <v>0</v>
      </c>
      <c r="AF35" s="128" t="e">
        <f t="shared" si="11"/>
        <v>#DIV/0!</v>
      </c>
      <c r="AG35" s="129">
        <v>0</v>
      </c>
      <c r="AH35" s="133">
        <f t="shared" si="12"/>
        <v>0</v>
      </c>
    </row>
    <row r="36" spans="1:34">
      <c r="A36" s="105" t="s">
        <v>207</v>
      </c>
      <c r="B36" s="105" t="s">
        <v>256</v>
      </c>
      <c r="D36" s="105" t="s">
        <v>208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5">
        <f t="shared" si="13"/>
        <v>0</v>
      </c>
      <c r="R36" s="136">
        <v>0</v>
      </c>
      <c r="S36" s="136">
        <v>0</v>
      </c>
      <c r="T36" s="136">
        <v>0</v>
      </c>
      <c r="U36" s="136">
        <v>0</v>
      </c>
      <c r="V36" s="136">
        <v>0</v>
      </c>
      <c r="W36" s="136">
        <v>0</v>
      </c>
      <c r="X36" s="72">
        <v>0</v>
      </c>
      <c r="Y36" s="72">
        <v>0</v>
      </c>
      <c r="Z36" s="72">
        <v>0</v>
      </c>
      <c r="AA36" s="72">
        <v>0</v>
      </c>
      <c r="AB36" s="72">
        <v>0</v>
      </c>
      <c r="AC36" s="72">
        <v>0</v>
      </c>
      <c r="AD36" s="127">
        <f t="shared" si="9"/>
        <v>0</v>
      </c>
      <c r="AE36" s="72">
        <f t="shared" si="10"/>
        <v>0</v>
      </c>
      <c r="AF36" s="128" t="e">
        <f t="shared" si="11"/>
        <v>#DIV/0!</v>
      </c>
      <c r="AG36" s="129">
        <v>0</v>
      </c>
      <c r="AH36" s="133">
        <f t="shared" si="12"/>
        <v>0</v>
      </c>
    </row>
    <row r="37" spans="1:34">
      <c r="A37" s="105" t="s">
        <v>209</v>
      </c>
      <c r="B37" s="105" t="s">
        <v>256</v>
      </c>
      <c r="D37" s="105" t="s">
        <v>210</v>
      </c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5">
        <f t="shared" si="13"/>
        <v>0</v>
      </c>
      <c r="R37" s="136">
        <v>0</v>
      </c>
      <c r="S37" s="136">
        <v>0</v>
      </c>
      <c r="T37" s="136">
        <v>0</v>
      </c>
      <c r="U37" s="136">
        <v>0</v>
      </c>
      <c r="V37" s="136">
        <v>0</v>
      </c>
      <c r="W37" s="136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72">
        <v>0</v>
      </c>
      <c r="AD37" s="127">
        <f t="shared" si="9"/>
        <v>0</v>
      </c>
      <c r="AE37" s="72">
        <f t="shared" si="10"/>
        <v>0</v>
      </c>
      <c r="AF37" s="128" t="e">
        <f t="shared" si="11"/>
        <v>#DIV/0!</v>
      </c>
      <c r="AG37" s="129">
        <v>0</v>
      </c>
      <c r="AH37" s="133">
        <f t="shared" si="12"/>
        <v>0</v>
      </c>
    </row>
    <row r="38" spans="1:34">
      <c r="A38" s="105" t="s">
        <v>211</v>
      </c>
      <c r="B38" s="105" t="s">
        <v>256</v>
      </c>
      <c r="D38" s="105" t="s">
        <v>212</v>
      </c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5">
        <f t="shared" si="13"/>
        <v>0</v>
      </c>
      <c r="R38" s="136">
        <v>0</v>
      </c>
      <c r="S38" s="136">
        <v>0</v>
      </c>
      <c r="T38" s="136">
        <v>0</v>
      </c>
      <c r="U38" s="136">
        <v>0</v>
      </c>
      <c r="V38" s="136">
        <v>0</v>
      </c>
      <c r="W38" s="136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72">
        <v>0</v>
      </c>
      <c r="AD38" s="127">
        <f t="shared" si="9"/>
        <v>0</v>
      </c>
      <c r="AE38" s="72">
        <f t="shared" si="10"/>
        <v>0</v>
      </c>
      <c r="AF38" s="128" t="e">
        <f t="shared" si="11"/>
        <v>#DIV/0!</v>
      </c>
      <c r="AG38" s="129">
        <v>-116</v>
      </c>
      <c r="AH38" s="133">
        <f t="shared" si="12"/>
        <v>-116</v>
      </c>
    </row>
    <row r="39" spans="1:34">
      <c r="A39" s="105" t="s">
        <v>213</v>
      </c>
      <c r="B39" s="105" t="s">
        <v>256</v>
      </c>
      <c r="D39" s="105" t="s">
        <v>214</v>
      </c>
      <c r="E39" s="164">
        <f>Laundry!E159</f>
        <v>271</v>
      </c>
      <c r="F39" s="164">
        <f>Laundry!F159</f>
        <v>247</v>
      </c>
      <c r="G39" s="164">
        <f>Laundry!G159</f>
        <v>250</v>
      </c>
      <c r="H39" s="164">
        <f>Laundry!H159</f>
        <v>257</v>
      </c>
      <c r="I39" s="164">
        <f>Laundry!I159</f>
        <v>264</v>
      </c>
      <c r="J39" s="164">
        <f>Laundry!J159</f>
        <v>252</v>
      </c>
      <c r="K39" s="164">
        <f>Laundry!K159</f>
        <v>269</v>
      </c>
      <c r="L39" s="164">
        <f>Laundry!L159</f>
        <v>268</v>
      </c>
      <c r="M39" s="164">
        <f>Laundry!M159</f>
        <v>259</v>
      </c>
      <c r="N39" s="164">
        <f>Laundry!N159</f>
        <v>294</v>
      </c>
      <c r="O39" s="164">
        <f>Laundry!O159</f>
        <v>260</v>
      </c>
      <c r="P39" s="164">
        <f>Laundry!P159</f>
        <v>259</v>
      </c>
      <c r="Q39" s="135">
        <f t="shared" si="13"/>
        <v>3150</v>
      </c>
      <c r="R39" s="136">
        <v>183.44</v>
      </c>
      <c r="S39" s="136">
        <v>166.88</v>
      </c>
      <c r="T39" s="136">
        <v>144</v>
      </c>
      <c r="U39" s="136">
        <v>134.71</v>
      </c>
      <c r="V39" s="136">
        <v>40.31</v>
      </c>
      <c r="W39" s="136">
        <v>210.73</v>
      </c>
      <c r="X39" s="72">
        <v>166.97</v>
      </c>
      <c r="Y39" s="72">
        <v>90.24</v>
      </c>
      <c r="Z39" s="72">
        <v>134</v>
      </c>
      <c r="AA39" s="72">
        <v>150</v>
      </c>
      <c r="AB39" s="72">
        <v>126</v>
      </c>
      <c r="AC39" s="72">
        <v>129</v>
      </c>
      <c r="AD39" s="127">
        <f t="shared" si="9"/>
        <v>1676.28</v>
      </c>
      <c r="AE39" s="72">
        <f t="shared" si="10"/>
        <v>1473.72</v>
      </c>
      <c r="AF39" s="128">
        <f t="shared" si="11"/>
        <v>0.87916099935571623</v>
      </c>
      <c r="AG39" s="129">
        <v>1269.2099999999998</v>
      </c>
      <c r="AH39" s="133">
        <f t="shared" si="12"/>
        <v>-1880.7900000000002</v>
      </c>
    </row>
    <row r="40" spans="1:34">
      <c r="A40" s="105" t="s">
        <v>215</v>
      </c>
      <c r="B40" s="105" t="s">
        <v>256</v>
      </c>
      <c r="D40" s="105" t="s">
        <v>216</v>
      </c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5">
        <f t="shared" si="13"/>
        <v>0</v>
      </c>
      <c r="R40" s="136">
        <v>654.67999999999995</v>
      </c>
      <c r="S40" s="136">
        <v>993.26</v>
      </c>
      <c r="T40" s="136">
        <v>986.14</v>
      </c>
      <c r="U40" s="136">
        <v>990.87</v>
      </c>
      <c r="V40" s="136">
        <v>993.2</v>
      </c>
      <c r="W40" s="136">
        <v>992.18</v>
      </c>
      <c r="X40" s="72">
        <v>704.65</v>
      </c>
      <c r="Y40" s="72">
        <v>992.63</v>
      </c>
      <c r="Z40" s="72">
        <v>992.18</v>
      </c>
      <c r="AA40" s="72">
        <v>992.18</v>
      </c>
      <c r="AB40" s="72">
        <v>992.18</v>
      </c>
      <c r="AC40" s="72">
        <v>992.18</v>
      </c>
      <c r="AD40" s="127">
        <f t="shared" si="9"/>
        <v>11276.33</v>
      </c>
      <c r="AE40" s="72">
        <f t="shared" si="10"/>
        <v>-11276.33</v>
      </c>
      <c r="AF40" s="128">
        <f t="shared" si="11"/>
        <v>-1</v>
      </c>
      <c r="AG40" s="129">
        <v>14663.970000000001</v>
      </c>
      <c r="AH40" s="133">
        <f t="shared" si="12"/>
        <v>14663.970000000001</v>
      </c>
    </row>
    <row r="41" spans="1:34">
      <c r="A41" s="105" t="s">
        <v>217</v>
      </c>
      <c r="B41" s="105" t="s">
        <v>256</v>
      </c>
      <c r="D41" s="105" t="s">
        <v>218</v>
      </c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5">
        <f t="shared" si="13"/>
        <v>0</v>
      </c>
      <c r="R41" s="136">
        <v>0</v>
      </c>
      <c r="S41" s="136">
        <v>0</v>
      </c>
      <c r="T41" s="136">
        <v>0</v>
      </c>
      <c r="U41" s="136">
        <v>0</v>
      </c>
      <c r="V41" s="136">
        <v>0</v>
      </c>
      <c r="W41" s="136">
        <v>0</v>
      </c>
      <c r="X41" s="72">
        <v>63.03</v>
      </c>
      <c r="Y41" s="72">
        <v>0</v>
      </c>
      <c r="Z41" s="72">
        <v>0</v>
      </c>
      <c r="AA41" s="72">
        <v>0</v>
      </c>
      <c r="AB41" s="72">
        <v>0</v>
      </c>
      <c r="AC41" s="72">
        <v>0</v>
      </c>
      <c r="AD41" s="127">
        <f t="shared" si="9"/>
        <v>63.03</v>
      </c>
      <c r="AE41" s="72">
        <f t="shared" si="10"/>
        <v>-63.03</v>
      </c>
      <c r="AF41" s="128">
        <f t="shared" si="11"/>
        <v>-1</v>
      </c>
      <c r="AG41" s="129">
        <v>214.2</v>
      </c>
      <c r="AH41" s="133">
        <f t="shared" si="12"/>
        <v>214.2</v>
      </c>
    </row>
    <row r="42" spans="1:34">
      <c r="A42" s="105" t="s">
        <v>219</v>
      </c>
      <c r="B42" s="105" t="s">
        <v>256</v>
      </c>
      <c r="D42" s="105" t="s">
        <v>220</v>
      </c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5">
        <f t="shared" si="13"/>
        <v>0</v>
      </c>
      <c r="R42" s="136">
        <v>0</v>
      </c>
      <c r="S42" s="136">
        <v>0</v>
      </c>
      <c r="T42" s="136">
        <v>0</v>
      </c>
      <c r="U42" s="136">
        <v>0</v>
      </c>
      <c r="V42" s="136">
        <v>0</v>
      </c>
      <c r="W42" s="136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127">
        <f t="shared" si="9"/>
        <v>0</v>
      </c>
      <c r="AE42" s="72">
        <f t="shared" si="10"/>
        <v>0</v>
      </c>
      <c r="AF42" s="128" t="e">
        <f t="shared" si="11"/>
        <v>#DIV/0!</v>
      </c>
      <c r="AG42" s="129">
        <v>0</v>
      </c>
      <c r="AH42" s="133">
        <f t="shared" si="12"/>
        <v>0</v>
      </c>
    </row>
    <row r="43" spans="1:34">
      <c r="A43" s="105" t="s">
        <v>221</v>
      </c>
      <c r="B43" s="105" t="s">
        <v>256</v>
      </c>
      <c r="D43" s="105" t="s">
        <v>222</v>
      </c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5">
        <f t="shared" si="13"/>
        <v>0</v>
      </c>
      <c r="R43" s="136">
        <v>0</v>
      </c>
      <c r="S43" s="136">
        <v>1039.1199999999999</v>
      </c>
      <c r="T43" s="136">
        <v>0</v>
      </c>
      <c r="U43" s="136">
        <v>0</v>
      </c>
      <c r="V43" s="136">
        <v>1471.32</v>
      </c>
      <c r="W43" s="136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72">
        <v>0</v>
      </c>
      <c r="AD43" s="127">
        <f t="shared" si="9"/>
        <v>2510.4399999999996</v>
      </c>
      <c r="AE43" s="72">
        <f t="shared" si="10"/>
        <v>-2510.4399999999996</v>
      </c>
      <c r="AF43" s="128">
        <f t="shared" si="11"/>
        <v>-1</v>
      </c>
      <c r="AG43" s="129">
        <v>845.8</v>
      </c>
      <c r="AH43" s="133">
        <f t="shared" si="12"/>
        <v>845.8</v>
      </c>
    </row>
    <row r="44" spans="1:34" s="109" customFormat="1">
      <c r="D44" s="109" t="s">
        <v>223</v>
      </c>
      <c r="E44" s="137">
        <f t="shared" ref="E44:J44" si="15">SUM(E20:E43)</f>
        <v>1718803.79</v>
      </c>
      <c r="F44" s="137">
        <f t="shared" si="15"/>
        <v>2001321.83</v>
      </c>
      <c r="G44" s="137">
        <f t="shared" si="15"/>
        <v>1189912.83</v>
      </c>
      <c r="H44" s="137">
        <f t="shared" si="15"/>
        <v>1094695.83</v>
      </c>
      <c r="I44" s="137">
        <f t="shared" si="15"/>
        <v>1021915.79</v>
      </c>
      <c r="J44" s="137">
        <f t="shared" si="15"/>
        <v>914666.83</v>
      </c>
      <c r="K44" s="137">
        <f t="shared" ref="K44:AD44" si="16">SUM(K20:K43)</f>
        <v>1354174.83</v>
      </c>
      <c r="L44" s="137">
        <f t="shared" si="16"/>
        <v>1566023.83</v>
      </c>
      <c r="M44" s="137">
        <f t="shared" si="16"/>
        <v>839270.83</v>
      </c>
      <c r="N44" s="137">
        <f t="shared" si="16"/>
        <v>1020086.79</v>
      </c>
      <c r="O44" s="137">
        <f t="shared" si="16"/>
        <v>888385.83</v>
      </c>
      <c r="P44" s="137">
        <f t="shared" si="16"/>
        <v>1143499.83</v>
      </c>
      <c r="Q44" s="135">
        <f t="shared" si="16"/>
        <v>14752758.84</v>
      </c>
      <c r="R44" s="137">
        <f t="shared" si="16"/>
        <v>2276394.7600000002</v>
      </c>
      <c r="S44" s="137">
        <f t="shared" si="16"/>
        <v>3886305.03</v>
      </c>
      <c r="T44" s="137">
        <f t="shared" si="16"/>
        <v>1597053.79</v>
      </c>
      <c r="U44" s="137">
        <f t="shared" si="16"/>
        <v>1538080.02</v>
      </c>
      <c r="V44" s="137">
        <f t="shared" si="16"/>
        <v>1493193.77</v>
      </c>
      <c r="W44" s="137">
        <f t="shared" si="16"/>
        <v>1297420.8799999999</v>
      </c>
      <c r="X44" s="137">
        <f t="shared" si="16"/>
        <v>1913127.45</v>
      </c>
      <c r="Y44" s="137">
        <f t="shared" si="16"/>
        <v>2579708.7400000002</v>
      </c>
      <c r="Z44" s="137">
        <f t="shared" si="16"/>
        <v>1110566.18</v>
      </c>
      <c r="AA44" s="137">
        <f t="shared" si="16"/>
        <v>1366349.18</v>
      </c>
      <c r="AB44" s="137">
        <f t="shared" si="16"/>
        <v>1089621.18</v>
      </c>
      <c r="AC44" s="137">
        <f t="shared" si="16"/>
        <v>1341404.18</v>
      </c>
      <c r="AD44" s="137">
        <f t="shared" si="16"/>
        <v>21489225.160000004</v>
      </c>
      <c r="AE44" s="127">
        <f t="shared" si="10"/>
        <v>-6736466.320000004</v>
      </c>
      <c r="AF44" s="132">
        <f t="shared" si="11"/>
        <v>-0.31348111762257708</v>
      </c>
      <c r="AG44" s="129">
        <v>10769037.34</v>
      </c>
      <c r="AH44" s="133">
        <f t="shared" si="12"/>
        <v>-3983721.5</v>
      </c>
    </row>
    <row r="45" spans="1:34" s="109" customFormat="1">
      <c r="D45" s="109" t="s">
        <v>224</v>
      </c>
      <c r="E45" s="137">
        <f t="shared" ref="E45:AD45" si="17">E15-E17-E44</f>
        <v>-1930333.94</v>
      </c>
      <c r="F45" s="137">
        <f t="shared" si="17"/>
        <v>-2205339.96</v>
      </c>
      <c r="G45" s="137">
        <f t="shared" si="17"/>
        <v>-1367753.4200000002</v>
      </c>
      <c r="H45" s="137">
        <f t="shared" si="17"/>
        <v>-1267415.69</v>
      </c>
      <c r="I45" s="137">
        <f t="shared" si="17"/>
        <v>-1199032.52</v>
      </c>
      <c r="J45" s="137">
        <f t="shared" si="17"/>
        <v>-1078285.44</v>
      </c>
      <c r="K45" s="137">
        <f t="shared" si="17"/>
        <v>-1532123.6500000001</v>
      </c>
      <c r="L45" s="137">
        <f t="shared" si="17"/>
        <v>-1750085.74</v>
      </c>
      <c r="M45" s="137">
        <f t="shared" si="17"/>
        <v>-1000676.74</v>
      </c>
      <c r="N45" s="137">
        <f t="shared" si="17"/>
        <v>-1200919.44</v>
      </c>
      <c r="O45" s="137">
        <f t="shared" si="17"/>
        <v>-1053875.46</v>
      </c>
      <c r="P45" s="137">
        <f t="shared" si="17"/>
        <v>-1318714.72</v>
      </c>
      <c r="Q45" s="137">
        <f t="shared" si="17"/>
        <v>-16904556.719999999</v>
      </c>
      <c r="R45" s="137">
        <f t="shared" si="17"/>
        <v>-2484914.2300000004</v>
      </c>
      <c r="S45" s="137">
        <f t="shared" si="17"/>
        <v>-4135835.25</v>
      </c>
      <c r="T45" s="137">
        <f t="shared" si="17"/>
        <v>-1772471.33</v>
      </c>
      <c r="U45" s="137">
        <f t="shared" si="17"/>
        <v>-1711419.22</v>
      </c>
      <c r="V45" s="137">
        <f t="shared" si="17"/>
        <v>-1682101</v>
      </c>
      <c r="W45" s="137">
        <f t="shared" si="17"/>
        <v>-1452562.38</v>
      </c>
      <c r="X45" s="137">
        <f t="shared" si="17"/>
        <v>-2081612.52</v>
      </c>
      <c r="Y45" s="137">
        <f t="shared" si="17"/>
        <v>-2739099.47</v>
      </c>
      <c r="Z45" s="137">
        <f t="shared" si="17"/>
        <v>-1282125.18</v>
      </c>
      <c r="AA45" s="137">
        <f t="shared" si="17"/>
        <v>-1557150.18</v>
      </c>
      <c r="AB45" s="137">
        <f t="shared" si="17"/>
        <v>-1265766.18</v>
      </c>
      <c r="AC45" s="137">
        <f t="shared" si="17"/>
        <v>-1528995.18</v>
      </c>
      <c r="AD45" s="137">
        <f t="shared" si="17"/>
        <v>-23694052.120000005</v>
      </c>
      <c r="AE45" s="127">
        <f t="shared" si="10"/>
        <v>6789495.400000006</v>
      </c>
      <c r="AF45" s="132">
        <f t="shared" si="11"/>
        <v>-0.28654851291852418</v>
      </c>
      <c r="AG45" s="129">
        <v>-12829813.550000001</v>
      </c>
      <c r="AH45" s="133">
        <f>Q45-AG45</f>
        <v>-4074743.1699999981</v>
      </c>
    </row>
    <row r="46" spans="1:34" s="109" customFormat="1">
      <c r="D46" s="109" t="s">
        <v>225</v>
      </c>
      <c r="E46" s="139">
        <f t="shared" ref="E46:AD46" si="18">E45/E105</f>
        <v>-5.0586609865722339E-2</v>
      </c>
      <c r="F46" s="139">
        <f t="shared" si="18"/>
        <v>-7.6892950690242323E-2</v>
      </c>
      <c r="G46" s="139">
        <f t="shared" si="18"/>
        <v>-6.8044065480340657E-2</v>
      </c>
      <c r="H46" s="139">
        <f t="shared" si="18"/>
        <v>-7.6985547742900853E-2</v>
      </c>
      <c r="I46" s="139">
        <f t="shared" si="18"/>
        <v>-8.4013829464399392E-2</v>
      </c>
      <c r="J46" s="139">
        <f t="shared" si="18"/>
        <v>-7.7563326315398765E-2</v>
      </c>
      <c r="K46" s="139">
        <f t="shared" si="18"/>
        <v>-8.1915450509310456E-2</v>
      </c>
      <c r="L46" s="139">
        <f t="shared" si="18"/>
        <v>-7.8041671854325548E-2</v>
      </c>
      <c r="M46" s="139">
        <f t="shared" si="18"/>
        <v>-7.56795007925848E-2</v>
      </c>
      <c r="N46" s="139">
        <f t="shared" si="18"/>
        <v>-6.7882861706099487E-2</v>
      </c>
      <c r="O46" s="139">
        <f t="shared" si="18"/>
        <v>-6.7244106576255402E-2</v>
      </c>
      <c r="P46" s="139">
        <f t="shared" si="18"/>
        <v>-5.1036324205801301E-2</v>
      </c>
      <c r="Q46" s="139">
        <f t="shared" si="18"/>
        <v>-6.8961316936973965E-2</v>
      </c>
      <c r="R46" s="139" t="e">
        <f t="shared" si="18"/>
        <v>#DIV/0!</v>
      </c>
      <c r="S46" s="139" t="e">
        <f t="shared" si="18"/>
        <v>#DIV/0!</v>
      </c>
      <c r="T46" s="139" t="e">
        <f t="shared" si="18"/>
        <v>#DIV/0!</v>
      </c>
      <c r="U46" s="139" t="e">
        <f t="shared" si="18"/>
        <v>#DIV/0!</v>
      </c>
      <c r="V46" s="139" t="e">
        <f t="shared" si="18"/>
        <v>#DIV/0!</v>
      </c>
      <c r="W46" s="139" t="e">
        <f t="shared" si="18"/>
        <v>#DIV/0!</v>
      </c>
      <c r="X46" s="139" t="e">
        <f t="shared" si="18"/>
        <v>#DIV/0!</v>
      </c>
      <c r="Y46" s="139">
        <f t="shared" si="18"/>
        <v>-0.10142999482647679</v>
      </c>
      <c r="Z46" s="139">
        <f t="shared" si="18"/>
        <v>-9.861321818813211E-2</v>
      </c>
      <c r="AA46" s="139">
        <f t="shared" si="18"/>
        <v>-9.7257605051661158E-2</v>
      </c>
      <c r="AB46" s="139">
        <f t="shared" si="18"/>
        <v>-8.7560299965336041E-2</v>
      </c>
      <c r="AC46" s="139">
        <f t="shared" si="18"/>
        <v>-8.5835916465502718E-2</v>
      </c>
      <c r="AD46" s="139">
        <f t="shared" si="18"/>
        <v>-0.26837868460859104</v>
      </c>
      <c r="AE46" s="132"/>
      <c r="AF46" s="132"/>
      <c r="AG46" s="129">
        <v>-0.14144388444840444</v>
      </c>
      <c r="AH46" s="133">
        <f>Q46-AG46</f>
        <v>7.2482567511430479E-2</v>
      </c>
    </row>
    <row r="47" spans="1:34">
      <c r="D47" s="105" t="s">
        <v>154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35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35"/>
      <c r="AF47" s="128"/>
      <c r="AG47" s="129"/>
    </row>
    <row r="48" spans="1:34">
      <c r="A48" s="105" t="s">
        <v>226</v>
      </c>
      <c r="B48" s="105" t="s">
        <v>160</v>
      </c>
      <c r="D48" s="105" t="s">
        <v>227</v>
      </c>
      <c r="E48" s="136">
        <f>'Rooms+Summary'!E48</f>
        <v>20956</v>
      </c>
      <c r="F48" s="136">
        <f>'Rooms+Summary'!F48</f>
        <v>18928</v>
      </c>
      <c r="G48" s="136">
        <f>'Rooms+Summary'!G48</f>
        <v>20956</v>
      </c>
      <c r="H48" s="136">
        <f>'Rooms+Summary'!H48</f>
        <v>20280</v>
      </c>
      <c r="I48" s="136">
        <f>'Rooms+Summary'!I48</f>
        <v>20956</v>
      </c>
      <c r="J48" s="136">
        <f>'Rooms+Summary'!J48</f>
        <v>20280</v>
      </c>
      <c r="K48" s="136">
        <f>'Rooms+Summary'!K48</f>
        <v>20956</v>
      </c>
      <c r="L48" s="136">
        <f>'Rooms+Summary'!L48</f>
        <v>20956</v>
      </c>
      <c r="M48" s="136">
        <f>'Rooms+Summary'!M48</f>
        <v>20280</v>
      </c>
      <c r="N48" s="136">
        <f>'Rooms+Summary'!N48</f>
        <v>20956</v>
      </c>
      <c r="O48" s="136">
        <f>'Rooms+Summary'!O48</f>
        <v>20280</v>
      </c>
      <c r="P48" s="136">
        <f>'Rooms+Summary'!P48</f>
        <v>20956</v>
      </c>
      <c r="Q48" s="137">
        <f t="shared" ref="Q48:Q54" si="19">SUM(E48:P48)</f>
        <v>246740</v>
      </c>
      <c r="R48" s="136">
        <v>20956</v>
      </c>
      <c r="S48" s="136">
        <v>19604</v>
      </c>
      <c r="T48" s="136">
        <v>20956</v>
      </c>
      <c r="U48" s="136">
        <v>20280</v>
      </c>
      <c r="V48" s="136">
        <v>20956</v>
      </c>
      <c r="W48" s="136">
        <v>20280</v>
      </c>
      <c r="X48" s="136">
        <f>'Rooms+Summary'!X48</f>
        <v>20956</v>
      </c>
      <c r="Y48" s="136">
        <f>'Rooms+Summary'!Y48</f>
        <v>20956</v>
      </c>
      <c r="Z48" s="136">
        <f>'Rooms+Summary'!Z48</f>
        <v>20280</v>
      </c>
      <c r="AA48" s="136">
        <f>'Rooms+Summary'!AA48</f>
        <v>20956</v>
      </c>
      <c r="AB48" s="136">
        <f>'Rooms+Summary'!AB48</f>
        <v>20280</v>
      </c>
      <c r="AC48" s="136">
        <f>'Rooms+Summary'!AC48</f>
        <v>20956</v>
      </c>
      <c r="AD48" s="127">
        <f t="shared" ref="AD48:AD54" si="20">SUM(R48:AC48)</f>
        <v>247416</v>
      </c>
      <c r="AE48" s="72">
        <f t="shared" ref="AE48:AE60" si="21">Q48-AD48</f>
        <v>-676</v>
      </c>
      <c r="AF48" s="128">
        <f t="shared" ref="AF48:AF60" si="22">AE48/AD48</f>
        <v>-2.7322404371584699E-3</v>
      </c>
      <c r="AG48" s="129">
        <v>246740</v>
      </c>
      <c r="AH48" s="123">
        <f t="shared" ref="AH48:AH59" si="23">Q48-AG48</f>
        <v>0</v>
      </c>
    </row>
    <row r="49" spans="1:34">
      <c r="A49" s="105" t="s">
        <v>228</v>
      </c>
      <c r="B49" s="105" t="s">
        <v>160</v>
      </c>
      <c r="D49" s="105" t="s">
        <v>229</v>
      </c>
      <c r="E49" s="136">
        <f>E48-E50-E51</f>
        <v>20956</v>
      </c>
      <c r="F49" s="136">
        <f>F48-F50-F51</f>
        <v>18928</v>
      </c>
      <c r="G49" s="136">
        <f>G48-G50-G51</f>
        <v>20956</v>
      </c>
      <c r="H49" s="136">
        <f>H48-H50-H51</f>
        <v>20280</v>
      </c>
      <c r="I49" s="136">
        <f>I48-I50-I51</f>
        <v>20956</v>
      </c>
      <c r="J49" s="136">
        <f t="shared" ref="J49:P49" si="24">J48-J50-J51</f>
        <v>20280</v>
      </c>
      <c r="K49" s="136">
        <f t="shared" si="24"/>
        <v>20956</v>
      </c>
      <c r="L49" s="136">
        <f t="shared" si="24"/>
        <v>20956</v>
      </c>
      <c r="M49" s="136">
        <f t="shared" si="24"/>
        <v>20280</v>
      </c>
      <c r="N49" s="136">
        <f t="shared" si="24"/>
        <v>20956</v>
      </c>
      <c r="O49" s="136">
        <f t="shared" si="24"/>
        <v>20280</v>
      </c>
      <c r="P49" s="136">
        <f t="shared" si="24"/>
        <v>20956</v>
      </c>
      <c r="Q49" s="137">
        <f t="shared" si="19"/>
        <v>246740</v>
      </c>
      <c r="R49" s="136">
        <f t="shared" ref="R49:W49" si="25">R48-R50-R51</f>
        <v>20494</v>
      </c>
      <c r="S49" s="136">
        <f t="shared" si="25"/>
        <v>19227</v>
      </c>
      <c r="T49" s="136">
        <f t="shared" si="25"/>
        <v>20477</v>
      </c>
      <c r="U49" s="136">
        <f t="shared" si="25"/>
        <v>19399</v>
      </c>
      <c r="V49" s="136">
        <f t="shared" si="25"/>
        <v>19203</v>
      </c>
      <c r="W49" s="136">
        <f t="shared" si="25"/>
        <v>18839</v>
      </c>
      <c r="X49" s="136">
        <f>'Rooms+Summary'!X49</f>
        <v>20556</v>
      </c>
      <c r="Y49" s="136">
        <f>'Rooms+Summary'!Y49</f>
        <v>20436</v>
      </c>
      <c r="Z49" s="136">
        <f>'Rooms+Summary'!Z49</f>
        <v>19680</v>
      </c>
      <c r="AA49" s="136">
        <f>'Rooms+Summary'!AA49</f>
        <v>20356</v>
      </c>
      <c r="AB49" s="136">
        <f>'Rooms+Summary'!AB49</f>
        <v>19680</v>
      </c>
      <c r="AC49" s="136">
        <f>'Rooms+Summary'!AC49</f>
        <v>20356</v>
      </c>
      <c r="AD49" s="127">
        <f t="shared" si="20"/>
        <v>238703</v>
      </c>
      <c r="AE49" s="72">
        <f t="shared" si="21"/>
        <v>8037</v>
      </c>
      <c r="AF49" s="128">
        <f t="shared" si="22"/>
        <v>3.3669455348277984E-2</v>
      </c>
      <c r="AG49" s="129">
        <v>238727</v>
      </c>
      <c r="AH49" s="123">
        <f t="shared" si="23"/>
        <v>8013</v>
      </c>
    </row>
    <row r="50" spans="1:34">
      <c r="A50" s="105" t="s">
        <v>230</v>
      </c>
      <c r="B50" s="105" t="s">
        <v>160</v>
      </c>
      <c r="D50" s="105" t="s">
        <v>231</v>
      </c>
      <c r="E50" s="136">
        <f>'Rooms+Summary'!E50</f>
        <v>0</v>
      </c>
      <c r="F50" s="136">
        <f>'Rooms+Summary'!F50</f>
        <v>0</v>
      </c>
      <c r="G50" s="136">
        <f>'Rooms+Summary'!G50</f>
        <v>0</v>
      </c>
      <c r="H50" s="136">
        <f>'Rooms+Summary'!H50</f>
        <v>0</v>
      </c>
      <c r="I50" s="136">
        <f>'Rooms+Summary'!I50</f>
        <v>0</v>
      </c>
      <c r="J50" s="136">
        <f>'Rooms+Summary'!J50</f>
        <v>0</v>
      </c>
      <c r="K50" s="136">
        <f>'Rooms+Summary'!K50</f>
        <v>0</v>
      </c>
      <c r="L50" s="136">
        <f>'Rooms+Summary'!L50</f>
        <v>0</v>
      </c>
      <c r="M50" s="136">
        <f>'Rooms+Summary'!M50</f>
        <v>0</v>
      </c>
      <c r="N50" s="136">
        <f>'Rooms+Summary'!N50</f>
        <v>0</v>
      </c>
      <c r="O50" s="136">
        <f>'Rooms+Summary'!O50</f>
        <v>0</v>
      </c>
      <c r="P50" s="136">
        <f>'Rooms+Summary'!P50</f>
        <v>0</v>
      </c>
      <c r="Q50" s="137">
        <f t="shared" si="19"/>
        <v>0</v>
      </c>
      <c r="R50" s="136">
        <v>450</v>
      </c>
      <c r="S50" s="136">
        <v>370</v>
      </c>
      <c r="T50" s="136">
        <v>473</v>
      </c>
      <c r="U50" s="136">
        <v>871</v>
      </c>
      <c r="V50" s="136">
        <v>1729</v>
      </c>
      <c r="W50" s="136">
        <v>1433</v>
      </c>
      <c r="X50" s="136">
        <f>'Rooms+Summary'!X50</f>
        <v>400</v>
      </c>
      <c r="Y50" s="136">
        <f>'Rooms+Summary'!Y50</f>
        <v>520</v>
      </c>
      <c r="Z50" s="136">
        <f>'Rooms+Summary'!Z50</f>
        <v>600</v>
      </c>
      <c r="AA50" s="136">
        <f>'Rooms+Summary'!AA50</f>
        <v>600</v>
      </c>
      <c r="AB50" s="136">
        <f>'Rooms+Summary'!AB50</f>
        <v>600</v>
      </c>
      <c r="AC50" s="136">
        <f>'Rooms+Summary'!AC50</f>
        <v>600</v>
      </c>
      <c r="AD50" s="127">
        <f t="shared" si="20"/>
        <v>8646</v>
      </c>
      <c r="AE50" s="72">
        <f t="shared" si="21"/>
        <v>-8646</v>
      </c>
      <c r="AF50" s="128">
        <f t="shared" si="22"/>
        <v>-1</v>
      </c>
      <c r="AG50" s="129">
        <v>6262</v>
      </c>
      <c r="AH50" s="123">
        <f t="shared" si="23"/>
        <v>-6262</v>
      </c>
    </row>
    <row r="51" spans="1:34">
      <c r="A51" s="105" t="s">
        <v>232</v>
      </c>
      <c r="B51" s="105" t="s">
        <v>160</v>
      </c>
      <c r="D51" s="105" t="s">
        <v>233</v>
      </c>
      <c r="E51" s="136">
        <f>'Rooms+Summary'!E51</f>
        <v>0</v>
      </c>
      <c r="F51" s="136">
        <f>'Rooms+Summary'!F51</f>
        <v>0</v>
      </c>
      <c r="G51" s="136">
        <f>'Rooms+Summary'!G51</f>
        <v>0</v>
      </c>
      <c r="H51" s="136">
        <f>'Rooms+Summary'!H51</f>
        <v>0</v>
      </c>
      <c r="I51" s="136">
        <f>'Rooms+Summary'!I51</f>
        <v>0</v>
      </c>
      <c r="J51" s="136">
        <f>'Rooms+Summary'!J51</f>
        <v>0</v>
      </c>
      <c r="K51" s="136">
        <f>'Rooms+Summary'!K51</f>
        <v>0</v>
      </c>
      <c r="L51" s="136">
        <f>'Rooms+Summary'!L51</f>
        <v>0</v>
      </c>
      <c r="M51" s="136">
        <f>'Rooms+Summary'!M51</f>
        <v>0</v>
      </c>
      <c r="N51" s="136">
        <f>'Rooms+Summary'!N51</f>
        <v>0</v>
      </c>
      <c r="O51" s="136">
        <f>'Rooms+Summary'!O51</f>
        <v>0</v>
      </c>
      <c r="P51" s="136">
        <f>'Rooms+Summary'!P51</f>
        <v>0</v>
      </c>
      <c r="Q51" s="137">
        <f t="shared" si="19"/>
        <v>0</v>
      </c>
      <c r="R51" s="136">
        <v>12</v>
      </c>
      <c r="S51" s="136">
        <v>7</v>
      </c>
      <c r="T51" s="136">
        <v>6</v>
      </c>
      <c r="U51" s="136">
        <v>10</v>
      </c>
      <c r="V51" s="136">
        <v>24</v>
      </c>
      <c r="W51" s="136">
        <v>8</v>
      </c>
      <c r="X51" s="136">
        <f>'Rooms+Summary'!X51</f>
        <v>9</v>
      </c>
      <c r="Y51" s="136">
        <f>'Rooms+Summary'!Y51</f>
        <v>14</v>
      </c>
      <c r="Z51" s="136">
        <f>'Rooms+Summary'!Z51</f>
        <v>5</v>
      </c>
      <c r="AA51" s="136">
        <f>'Rooms+Summary'!AA51</f>
        <v>5</v>
      </c>
      <c r="AB51" s="136">
        <f>'Rooms+Summary'!AB51</f>
        <v>5</v>
      </c>
      <c r="AC51" s="136">
        <f>'Rooms+Summary'!AC51</f>
        <v>5</v>
      </c>
      <c r="AD51" s="127">
        <f t="shared" si="20"/>
        <v>110</v>
      </c>
      <c r="AE51" s="72">
        <f t="shared" si="21"/>
        <v>-110</v>
      </c>
      <c r="AF51" s="128">
        <f t="shared" si="22"/>
        <v>-1</v>
      </c>
      <c r="AG51" s="129">
        <v>1751</v>
      </c>
      <c r="AH51" s="123">
        <f t="shared" si="23"/>
        <v>-1751</v>
      </c>
    </row>
    <row r="52" spans="1:34">
      <c r="A52" s="105" t="s">
        <v>234</v>
      </c>
      <c r="B52" s="105" t="s">
        <v>160</v>
      </c>
      <c r="D52" s="105" t="s">
        <v>235</v>
      </c>
      <c r="E52" s="136">
        <f>'Rooms+Summary'!E52</f>
        <v>18860</v>
      </c>
      <c r="F52" s="136">
        <f>'Rooms+Summary'!F52</f>
        <v>17035</v>
      </c>
      <c r="G52" s="136">
        <f>'Rooms+Summary'!G52</f>
        <v>17813</v>
      </c>
      <c r="H52" s="136">
        <f>'Rooms+Summary'!H52</f>
        <v>17005</v>
      </c>
      <c r="I52" s="136">
        <f>'Rooms+Summary'!I52</f>
        <v>17603</v>
      </c>
      <c r="J52" s="136">
        <f>'Rooms+Summary'!J52</f>
        <v>16867</v>
      </c>
      <c r="K52" s="136">
        <f>'Rooms+Summary'!K52</f>
        <v>18860</v>
      </c>
      <c r="L52" s="136">
        <f>'Rooms+Summary'!L52</f>
        <v>18860</v>
      </c>
      <c r="M52" s="136">
        <f>'Rooms+Summary'!M52</f>
        <v>16630</v>
      </c>
      <c r="N52" s="136">
        <f>'Rooms+Summary'!N52</f>
        <v>17393</v>
      </c>
      <c r="O52" s="136">
        <f>'Rooms+Summary'!O52</f>
        <v>16832</v>
      </c>
      <c r="P52" s="136">
        <f>'Rooms+Summary'!P52</f>
        <v>18441</v>
      </c>
      <c r="Q52" s="137">
        <f t="shared" si="19"/>
        <v>212199</v>
      </c>
      <c r="R52" s="136">
        <v>19715</v>
      </c>
      <c r="S52" s="136">
        <v>18855</v>
      </c>
      <c r="T52" s="136">
        <v>19772</v>
      </c>
      <c r="U52" s="136">
        <v>18249</v>
      </c>
      <c r="V52" s="136">
        <v>17477</v>
      </c>
      <c r="W52" s="136">
        <v>17897</v>
      </c>
      <c r="X52" s="136">
        <f>'Rooms+Summary'!X52</f>
        <v>19826</v>
      </c>
      <c r="Y52" s="136">
        <f>'Rooms+Summary'!Y52</f>
        <v>19726</v>
      </c>
      <c r="Z52" s="136">
        <f>'Rooms+Summary'!Z52</f>
        <v>16224</v>
      </c>
      <c r="AA52" s="136">
        <f>'Rooms+Summary'!AA52</f>
        <v>16765</v>
      </c>
      <c r="AB52" s="136">
        <f>'Rooms+Summary'!AB52</f>
        <v>16832</v>
      </c>
      <c r="AC52" s="136">
        <f>'Rooms+Summary'!AC52</f>
        <v>17813</v>
      </c>
      <c r="AD52" s="127">
        <f t="shared" si="20"/>
        <v>219151</v>
      </c>
      <c r="AE52" s="72">
        <f t="shared" si="21"/>
        <v>-6952</v>
      </c>
      <c r="AF52" s="128">
        <f t="shared" si="22"/>
        <v>-3.1722419701484365E-2</v>
      </c>
      <c r="AG52" s="129">
        <v>213673</v>
      </c>
      <c r="AH52" s="123">
        <f t="shared" si="23"/>
        <v>-1474</v>
      </c>
    </row>
    <row r="53" spans="1:34">
      <c r="A53" s="105" t="s">
        <v>236</v>
      </c>
      <c r="B53" s="105" t="s">
        <v>160</v>
      </c>
      <c r="D53" s="105" t="s">
        <v>237</v>
      </c>
      <c r="E53" s="136">
        <f>'Rooms+Summary'!E53</f>
        <v>62</v>
      </c>
      <c r="F53" s="136">
        <f>'Rooms+Summary'!F53</f>
        <v>62</v>
      </c>
      <c r="G53" s="136">
        <f>'Rooms+Summary'!G53</f>
        <v>62</v>
      </c>
      <c r="H53" s="136">
        <f>'Rooms+Summary'!H53</f>
        <v>62</v>
      </c>
      <c r="I53" s="136">
        <f>'Rooms+Summary'!I53</f>
        <v>62</v>
      </c>
      <c r="J53" s="136">
        <f>'Rooms+Summary'!J53</f>
        <v>62</v>
      </c>
      <c r="K53" s="136">
        <f>'Rooms+Summary'!K53</f>
        <v>62</v>
      </c>
      <c r="L53" s="136">
        <f>'Rooms+Summary'!L53</f>
        <v>62</v>
      </c>
      <c r="M53" s="136">
        <f>'Rooms+Summary'!M53</f>
        <v>62</v>
      </c>
      <c r="N53" s="136">
        <f>'Rooms+Summary'!N53</f>
        <v>62</v>
      </c>
      <c r="O53" s="136">
        <f>'Rooms+Summary'!O53</f>
        <v>62</v>
      </c>
      <c r="P53" s="136">
        <f>'Rooms+Summary'!P53</f>
        <v>62</v>
      </c>
      <c r="Q53" s="137">
        <f t="shared" si="19"/>
        <v>744</v>
      </c>
      <c r="R53" s="136">
        <v>96</v>
      </c>
      <c r="S53" s="136">
        <v>29</v>
      </c>
      <c r="T53" s="136">
        <v>74</v>
      </c>
      <c r="U53" s="136">
        <v>49</v>
      </c>
      <c r="V53" s="136">
        <v>53</v>
      </c>
      <c r="W53" s="136">
        <v>61</v>
      </c>
      <c r="X53" s="136">
        <f>'Rooms+Summary'!X53</f>
        <v>73</v>
      </c>
      <c r="Y53" s="136">
        <f>'Rooms+Summary'!Y53</f>
        <v>93</v>
      </c>
      <c r="Z53" s="136">
        <f>'Rooms+Summary'!Z53</f>
        <v>200</v>
      </c>
      <c r="AA53" s="136">
        <f>'Rooms+Summary'!AA53</f>
        <v>150</v>
      </c>
      <c r="AB53" s="136">
        <f>'Rooms+Summary'!AB53</f>
        <v>200</v>
      </c>
      <c r="AC53" s="136">
        <f>'Rooms+Summary'!AC53</f>
        <v>150</v>
      </c>
      <c r="AD53" s="127">
        <f t="shared" si="20"/>
        <v>1228</v>
      </c>
      <c r="AE53" s="72">
        <f t="shared" si="21"/>
        <v>-484</v>
      </c>
      <c r="AF53" s="128">
        <f t="shared" si="22"/>
        <v>-0.39413680781758959</v>
      </c>
      <c r="AG53" s="129">
        <v>1723</v>
      </c>
      <c r="AH53" s="123">
        <f t="shared" si="23"/>
        <v>-979</v>
      </c>
    </row>
    <row r="54" spans="1:34">
      <c r="A54" s="105" t="s">
        <v>238</v>
      </c>
      <c r="B54" s="105" t="s">
        <v>160</v>
      </c>
      <c r="D54" s="105" t="s">
        <v>239</v>
      </c>
      <c r="E54" s="136">
        <f>'Rooms+Summary'!E54</f>
        <v>54</v>
      </c>
      <c r="F54" s="136">
        <f>'Rooms+Summary'!F54</f>
        <v>54</v>
      </c>
      <c r="G54" s="136">
        <f>'Rooms+Summary'!G54</f>
        <v>54</v>
      </c>
      <c r="H54" s="136">
        <f>'Rooms+Summary'!H54</f>
        <v>54</v>
      </c>
      <c r="I54" s="136">
        <f>'Rooms+Summary'!I54</f>
        <v>54</v>
      </c>
      <c r="J54" s="136">
        <f>'Rooms+Summary'!J54</f>
        <v>54</v>
      </c>
      <c r="K54" s="136">
        <f>'Rooms+Summary'!K54</f>
        <v>54</v>
      </c>
      <c r="L54" s="136">
        <f>'Rooms+Summary'!L54</f>
        <v>54</v>
      </c>
      <c r="M54" s="136">
        <f>'Rooms+Summary'!M54</f>
        <v>54</v>
      </c>
      <c r="N54" s="136">
        <f>'Rooms+Summary'!N54</f>
        <v>54</v>
      </c>
      <c r="O54" s="136">
        <f>'Rooms+Summary'!O54</f>
        <v>54</v>
      </c>
      <c r="P54" s="136">
        <f>'Rooms+Summary'!P54</f>
        <v>54</v>
      </c>
      <c r="Q54" s="137">
        <f t="shared" si="19"/>
        <v>648</v>
      </c>
      <c r="R54" s="136">
        <v>59</v>
      </c>
      <c r="S54" s="136">
        <v>43</v>
      </c>
      <c r="T54" s="136">
        <v>57</v>
      </c>
      <c r="U54" s="136">
        <v>65</v>
      </c>
      <c r="V54" s="136">
        <v>63</v>
      </c>
      <c r="W54" s="136">
        <v>57</v>
      </c>
      <c r="X54" s="136">
        <f>'Rooms+Summary'!X54</f>
        <v>40</v>
      </c>
      <c r="Y54" s="136">
        <f>'Rooms+Summary'!Y54</f>
        <v>44</v>
      </c>
      <c r="Z54" s="136">
        <f>'Rooms+Summary'!Z54</f>
        <v>60</v>
      </c>
      <c r="AA54" s="136">
        <f>'Rooms+Summary'!AA54</f>
        <v>60</v>
      </c>
      <c r="AB54" s="136">
        <f>'Rooms+Summary'!AB54</f>
        <v>60</v>
      </c>
      <c r="AC54" s="136">
        <f>'Rooms+Summary'!AC54</f>
        <v>60</v>
      </c>
      <c r="AD54" s="127">
        <f t="shared" si="20"/>
        <v>668</v>
      </c>
      <c r="AE54" s="72">
        <f t="shared" si="21"/>
        <v>-20</v>
      </c>
      <c r="AF54" s="128">
        <f t="shared" si="22"/>
        <v>-2.9940119760479042E-2</v>
      </c>
      <c r="AG54" s="129">
        <v>711</v>
      </c>
      <c r="AH54" s="123">
        <f t="shared" si="23"/>
        <v>-63</v>
      </c>
    </row>
    <row r="55" spans="1:34">
      <c r="D55" s="105" t="s">
        <v>240</v>
      </c>
      <c r="E55" s="137">
        <f t="shared" ref="E55:Q55" si="26">SUM(E52:E54)</f>
        <v>18976</v>
      </c>
      <c r="F55" s="137">
        <f t="shared" si="26"/>
        <v>17151</v>
      </c>
      <c r="G55" s="137">
        <f t="shared" si="26"/>
        <v>17929</v>
      </c>
      <c r="H55" s="137">
        <f t="shared" si="26"/>
        <v>17121</v>
      </c>
      <c r="I55" s="137">
        <f t="shared" si="26"/>
        <v>17719</v>
      </c>
      <c r="J55" s="137">
        <f t="shared" si="26"/>
        <v>16983</v>
      </c>
      <c r="K55" s="137">
        <f t="shared" si="26"/>
        <v>18976</v>
      </c>
      <c r="L55" s="137">
        <f t="shared" si="26"/>
        <v>18976</v>
      </c>
      <c r="M55" s="137">
        <f t="shared" si="26"/>
        <v>16746</v>
      </c>
      <c r="N55" s="137">
        <f t="shared" si="26"/>
        <v>17509</v>
      </c>
      <c r="O55" s="137">
        <f t="shared" si="26"/>
        <v>16948</v>
      </c>
      <c r="P55" s="137">
        <f t="shared" si="26"/>
        <v>18557</v>
      </c>
      <c r="Q55" s="137">
        <f t="shared" si="26"/>
        <v>213591</v>
      </c>
      <c r="R55" s="137">
        <f t="shared" ref="R55:AD55" si="27">SUM(R52:R54)</f>
        <v>19870</v>
      </c>
      <c r="S55" s="137">
        <f t="shared" si="27"/>
        <v>18927</v>
      </c>
      <c r="T55" s="137">
        <f t="shared" si="27"/>
        <v>19903</v>
      </c>
      <c r="U55" s="137">
        <f t="shared" si="27"/>
        <v>18363</v>
      </c>
      <c r="V55" s="137">
        <f t="shared" si="27"/>
        <v>17593</v>
      </c>
      <c r="W55" s="137">
        <f t="shared" si="27"/>
        <v>18015</v>
      </c>
      <c r="X55" s="137">
        <f t="shared" si="27"/>
        <v>19939</v>
      </c>
      <c r="Y55" s="137">
        <f t="shared" si="27"/>
        <v>19863</v>
      </c>
      <c r="Z55" s="137">
        <f t="shared" si="27"/>
        <v>16484</v>
      </c>
      <c r="AA55" s="137">
        <f t="shared" si="27"/>
        <v>16975</v>
      </c>
      <c r="AB55" s="137">
        <f t="shared" si="27"/>
        <v>17092</v>
      </c>
      <c r="AC55" s="137">
        <f t="shared" si="27"/>
        <v>18023</v>
      </c>
      <c r="AD55" s="137">
        <f t="shared" si="27"/>
        <v>221047</v>
      </c>
      <c r="AE55" s="72">
        <f t="shared" si="21"/>
        <v>-7456</v>
      </c>
      <c r="AF55" s="128">
        <f t="shared" si="22"/>
        <v>-3.3730383131189291E-2</v>
      </c>
      <c r="AG55" s="129">
        <v>216107</v>
      </c>
      <c r="AH55" s="123">
        <f t="shared" si="23"/>
        <v>-2516</v>
      </c>
    </row>
    <row r="56" spans="1:34">
      <c r="D56" s="105" t="s">
        <v>241</v>
      </c>
      <c r="E56" s="138">
        <f t="shared" ref="E56:AD56" si="28">E55/E48</f>
        <v>0.90551631990837944</v>
      </c>
      <c r="F56" s="138">
        <f t="shared" si="28"/>
        <v>0.90611792054099749</v>
      </c>
      <c r="G56" s="138">
        <f t="shared" si="28"/>
        <v>0.85555449513265891</v>
      </c>
      <c r="H56" s="138">
        <f t="shared" si="28"/>
        <v>0.84423076923076923</v>
      </c>
      <c r="I56" s="138">
        <f t="shared" si="28"/>
        <v>0.84553349875930517</v>
      </c>
      <c r="J56" s="138">
        <f t="shared" si="28"/>
        <v>0.83742603550295858</v>
      </c>
      <c r="K56" s="138">
        <f t="shared" si="28"/>
        <v>0.90551631990837944</v>
      </c>
      <c r="L56" s="138">
        <f t="shared" si="28"/>
        <v>0.90551631990837944</v>
      </c>
      <c r="M56" s="138">
        <f t="shared" si="28"/>
        <v>0.82573964497041419</v>
      </c>
      <c r="N56" s="138">
        <f t="shared" si="28"/>
        <v>0.83551250238595154</v>
      </c>
      <c r="O56" s="138">
        <f t="shared" si="28"/>
        <v>0.83570019723865874</v>
      </c>
      <c r="P56" s="138">
        <f t="shared" si="28"/>
        <v>0.88552204619202135</v>
      </c>
      <c r="Q56" s="139">
        <f t="shared" si="28"/>
        <v>0.86565210342871035</v>
      </c>
      <c r="R56" s="138">
        <f t="shared" si="28"/>
        <v>0.94817713304065665</v>
      </c>
      <c r="S56" s="138">
        <f t="shared" si="28"/>
        <v>0.96546623138135079</v>
      </c>
      <c r="T56" s="138">
        <f t="shared" si="28"/>
        <v>0.94975186104218368</v>
      </c>
      <c r="U56" s="138">
        <f t="shared" si="28"/>
        <v>0.9054733727810651</v>
      </c>
      <c r="V56" s="138">
        <f t="shared" si="28"/>
        <v>0.83952090093529297</v>
      </c>
      <c r="W56" s="138">
        <f t="shared" si="28"/>
        <v>0.88831360946745563</v>
      </c>
      <c r="X56" s="138">
        <f t="shared" si="28"/>
        <v>0.95146974613475854</v>
      </c>
      <c r="Y56" s="138">
        <f t="shared" si="28"/>
        <v>0.94784309982821147</v>
      </c>
      <c r="Z56" s="138">
        <f t="shared" si="28"/>
        <v>0.81282051282051282</v>
      </c>
      <c r="AA56" s="138">
        <f t="shared" si="28"/>
        <v>0.81003054017942355</v>
      </c>
      <c r="AB56" s="138">
        <f t="shared" si="28"/>
        <v>0.84280078895463506</v>
      </c>
      <c r="AC56" s="138">
        <f t="shared" si="28"/>
        <v>0.86004008398549336</v>
      </c>
      <c r="AD56" s="139">
        <f t="shared" si="28"/>
        <v>0.89342241407184664</v>
      </c>
      <c r="AE56" s="128">
        <f t="shared" si="21"/>
        <v>-2.7770310643136287E-2</v>
      </c>
      <c r="AF56" s="128">
        <f t="shared" si="22"/>
        <v>-3.1083069112370704E-2</v>
      </c>
      <c r="AG56" s="129">
        <v>0.87584907189754402</v>
      </c>
      <c r="AH56" s="123">
        <f t="shared" si="23"/>
        <v>-1.0196968468833667E-2</v>
      </c>
    </row>
    <row r="57" spans="1:34">
      <c r="D57" s="105" t="s">
        <v>242</v>
      </c>
      <c r="E57" s="138">
        <f t="shared" ref="E57:AD57" si="29">E52/E48</f>
        <v>0.89998091238786027</v>
      </c>
      <c r="F57" s="138">
        <f t="shared" si="29"/>
        <v>0.89998943364327977</v>
      </c>
      <c r="G57" s="138">
        <f t="shared" si="29"/>
        <v>0.85001908761213973</v>
      </c>
      <c r="H57" s="138">
        <f t="shared" si="29"/>
        <v>0.83851084812623278</v>
      </c>
      <c r="I57" s="138">
        <f t="shared" si="29"/>
        <v>0.83999809123878599</v>
      </c>
      <c r="J57" s="138">
        <f t="shared" si="29"/>
        <v>0.83170611439842212</v>
      </c>
      <c r="K57" s="138">
        <f t="shared" si="29"/>
        <v>0.89998091238786027</v>
      </c>
      <c r="L57" s="138">
        <f t="shared" si="29"/>
        <v>0.89998091238786027</v>
      </c>
      <c r="M57" s="138">
        <f t="shared" si="29"/>
        <v>0.82001972386587774</v>
      </c>
      <c r="N57" s="138">
        <f t="shared" si="29"/>
        <v>0.82997709486543236</v>
      </c>
      <c r="O57" s="138">
        <f t="shared" si="29"/>
        <v>0.82998027613412229</v>
      </c>
      <c r="P57" s="138">
        <f t="shared" si="29"/>
        <v>0.87998663867150217</v>
      </c>
      <c r="Q57" s="139">
        <f t="shared" si="29"/>
        <v>0.86001053740779765</v>
      </c>
      <c r="R57" s="138">
        <f t="shared" si="29"/>
        <v>0.94078068333651466</v>
      </c>
      <c r="S57" s="138">
        <f t="shared" si="29"/>
        <v>0.96179351152825954</v>
      </c>
      <c r="T57" s="138">
        <f t="shared" si="29"/>
        <v>0.94350066806642485</v>
      </c>
      <c r="U57" s="138">
        <f t="shared" si="29"/>
        <v>0.89985207100591713</v>
      </c>
      <c r="V57" s="138">
        <f t="shared" si="29"/>
        <v>0.83398549341477379</v>
      </c>
      <c r="W57" s="138">
        <f t="shared" si="29"/>
        <v>0.88249506903353059</v>
      </c>
      <c r="X57" s="138">
        <f t="shared" si="29"/>
        <v>0.94607749570528732</v>
      </c>
      <c r="Y57" s="138">
        <f t="shared" si="29"/>
        <v>0.94130559267035696</v>
      </c>
      <c r="Z57" s="138">
        <f t="shared" si="29"/>
        <v>0.8</v>
      </c>
      <c r="AA57" s="138">
        <f t="shared" si="29"/>
        <v>0.80000954380606981</v>
      </c>
      <c r="AB57" s="138">
        <f t="shared" si="29"/>
        <v>0.82998027613412229</v>
      </c>
      <c r="AC57" s="138">
        <f t="shared" si="29"/>
        <v>0.85001908761213973</v>
      </c>
      <c r="AD57" s="139">
        <f t="shared" si="29"/>
        <v>0.88575920716526013</v>
      </c>
      <c r="AE57" s="128">
        <f t="shared" si="21"/>
        <v>-2.5748669757462483E-2</v>
      </c>
      <c r="AF57" s="128">
        <f t="shared" si="22"/>
        <v>-2.9069604412995321E-2</v>
      </c>
      <c r="AG57" s="129">
        <v>0.86598443705925265</v>
      </c>
      <c r="AH57" s="123">
        <f t="shared" si="23"/>
        <v>-5.9738996514550058E-3</v>
      </c>
    </row>
    <row r="58" spans="1:34">
      <c r="D58" s="105" t="s">
        <v>243</v>
      </c>
      <c r="E58" s="136">
        <f t="shared" ref="E58:AD58" si="30">E15/E52</f>
        <v>0</v>
      </c>
      <c r="F58" s="136">
        <f t="shared" si="30"/>
        <v>0</v>
      </c>
      <c r="G58" s="136">
        <f t="shared" si="30"/>
        <v>0</v>
      </c>
      <c r="H58" s="136">
        <f t="shared" si="30"/>
        <v>0</v>
      </c>
      <c r="I58" s="136">
        <f t="shared" si="30"/>
        <v>0</v>
      </c>
      <c r="J58" s="136">
        <f t="shared" si="30"/>
        <v>0</v>
      </c>
      <c r="K58" s="136">
        <f t="shared" si="30"/>
        <v>0</v>
      </c>
      <c r="L58" s="136">
        <f t="shared" si="30"/>
        <v>0</v>
      </c>
      <c r="M58" s="136">
        <f t="shared" si="30"/>
        <v>0</v>
      </c>
      <c r="N58" s="136">
        <f t="shared" si="30"/>
        <v>0</v>
      </c>
      <c r="O58" s="136">
        <f t="shared" si="30"/>
        <v>0</v>
      </c>
      <c r="P58" s="136">
        <f t="shared" si="30"/>
        <v>0</v>
      </c>
      <c r="Q58" s="137">
        <f t="shared" si="30"/>
        <v>0</v>
      </c>
      <c r="R58" s="136">
        <f t="shared" si="30"/>
        <v>0</v>
      </c>
      <c r="S58" s="136">
        <f t="shared" si="30"/>
        <v>0</v>
      </c>
      <c r="T58" s="136">
        <f t="shared" si="30"/>
        <v>0</v>
      </c>
      <c r="U58" s="136">
        <f t="shared" si="30"/>
        <v>0</v>
      </c>
      <c r="V58" s="136">
        <f t="shared" si="30"/>
        <v>0</v>
      </c>
      <c r="W58" s="136">
        <f t="shared" si="30"/>
        <v>0</v>
      </c>
      <c r="X58" s="136">
        <f t="shared" si="30"/>
        <v>0</v>
      </c>
      <c r="Y58" s="136">
        <f t="shared" si="30"/>
        <v>0</v>
      </c>
      <c r="Z58" s="136">
        <f t="shared" si="30"/>
        <v>0</v>
      </c>
      <c r="AA58" s="136">
        <f t="shared" si="30"/>
        <v>0</v>
      </c>
      <c r="AB58" s="136">
        <f t="shared" si="30"/>
        <v>0</v>
      </c>
      <c r="AC58" s="136">
        <f t="shared" si="30"/>
        <v>0</v>
      </c>
      <c r="AD58" s="137">
        <f t="shared" si="30"/>
        <v>0</v>
      </c>
      <c r="AE58" s="72">
        <f t="shared" si="21"/>
        <v>0</v>
      </c>
      <c r="AF58" s="128" t="e">
        <f t="shared" si="22"/>
        <v>#DIV/0!</v>
      </c>
      <c r="AG58" s="129">
        <v>0</v>
      </c>
      <c r="AH58" s="123">
        <f t="shared" si="23"/>
        <v>0</v>
      </c>
    </row>
    <row r="59" spans="1:34">
      <c r="D59" s="105" t="s">
        <v>244</v>
      </c>
      <c r="E59" s="136">
        <f t="shared" ref="E59:AD59" si="31">E15/E48</f>
        <v>0</v>
      </c>
      <c r="F59" s="136">
        <f t="shared" si="31"/>
        <v>0</v>
      </c>
      <c r="G59" s="136">
        <f t="shared" si="31"/>
        <v>0</v>
      </c>
      <c r="H59" s="136">
        <f t="shared" si="31"/>
        <v>0</v>
      </c>
      <c r="I59" s="136">
        <f t="shared" si="31"/>
        <v>0</v>
      </c>
      <c r="J59" s="136">
        <f t="shared" si="31"/>
        <v>0</v>
      </c>
      <c r="K59" s="136">
        <f t="shared" si="31"/>
        <v>0</v>
      </c>
      <c r="L59" s="136">
        <f t="shared" si="31"/>
        <v>0</v>
      </c>
      <c r="M59" s="136">
        <f t="shared" si="31"/>
        <v>0</v>
      </c>
      <c r="N59" s="136">
        <f t="shared" si="31"/>
        <v>0</v>
      </c>
      <c r="O59" s="136">
        <f t="shared" si="31"/>
        <v>0</v>
      </c>
      <c r="P59" s="136">
        <f t="shared" si="31"/>
        <v>0</v>
      </c>
      <c r="Q59" s="137">
        <f t="shared" si="31"/>
        <v>0</v>
      </c>
      <c r="R59" s="136">
        <f t="shared" si="31"/>
        <v>0</v>
      </c>
      <c r="S59" s="136">
        <f t="shared" si="31"/>
        <v>0</v>
      </c>
      <c r="T59" s="136">
        <f t="shared" si="31"/>
        <v>0</v>
      </c>
      <c r="U59" s="136">
        <f t="shared" si="31"/>
        <v>0</v>
      </c>
      <c r="V59" s="136">
        <f t="shared" si="31"/>
        <v>0</v>
      </c>
      <c r="W59" s="136">
        <f t="shared" si="31"/>
        <v>0</v>
      </c>
      <c r="X59" s="136">
        <f t="shared" si="31"/>
        <v>0</v>
      </c>
      <c r="Y59" s="136">
        <f t="shared" si="31"/>
        <v>0</v>
      </c>
      <c r="Z59" s="136">
        <f t="shared" si="31"/>
        <v>0</v>
      </c>
      <c r="AA59" s="136">
        <f t="shared" si="31"/>
        <v>0</v>
      </c>
      <c r="AB59" s="136">
        <f t="shared" si="31"/>
        <v>0</v>
      </c>
      <c r="AC59" s="136">
        <f t="shared" si="31"/>
        <v>0</v>
      </c>
      <c r="AD59" s="137">
        <f t="shared" si="31"/>
        <v>0</v>
      </c>
      <c r="AE59" s="72">
        <f t="shared" si="21"/>
        <v>0</v>
      </c>
      <c r="AF59" s="128" t="e">
        <f t="shared" si="22"/>
        <v>#DIV/0!</v>
      </c>
      <c r="AG59" s="129">
        <v>0</v>
      </c>
      <c r="AH59" s="123">
        <f t="shared" si="23"/>
        <v>0</v>
      </c>
    </row>
    <row r="60" spans="1:34">
      <c r="D60" s="105" t="s">
        <v>245</v>
      </c>
      <c r="E60" s="135">
        <f t="shared" ref="E60:AD60" si="32">(E44+E17)/E55</f>
        <v>101.7250179173693</v>
      </c>
      <c r="F60" s="135">
        <f t="shared" si="32"/>
        <v>128.58375371698443</v>
      </c>
      <c r="G60" s="135">
        <f t="shared" si="32"/>
        <v>76.287211779798099</v>
      </c>
      <c r="H60" s="135">
        <f t="shared" si="32"/>
        <v>74.026966298697502</v>
      </c>
      <c r="I60" s="135">
        <f t="shared" si="32"/>
        <v>67.669310909193527</v>
      </c>
      <c r="J60" s="135">
        <f t="shared" si="32"/>
        <v>63.492047341459106</v>
      </c>
      <c r="K60" s="135">
        <f t="shared" si="32"/>
        <v>80.740074304384493</v>
      </c>
      <c r="L60" s="135">
        <f t="shared" si="32"/>
        <v>92.226272133220917</v>
      </c>
      <c r="M60" s="135">
        <f t="shared" si="32"/>
        <v>59.756165054341338</v>
      </c>
      <c r="N60" s="135">
        <f t="shared" si="32"/>
        <v>68.588693814609627</v>
      </c>
      <c r="O60" s="135">
        <f t="shared" si="32"/>
        <v>62.18288057587916</v>
      </c>
      <c r="P60" s="135">
        <f t="shared" si="32"/>
        <v>71.062926119523624</v>
      </c>
      <c r="Q60" s="135">
        <f t="shared" si="32"/>
        <v>79.144517886989618</v>
      </c>
      <c r="R60" s="135">
        <f t="shared" si="32"/>
        <v>125.05859235027683</v>
      </c>
      <c r="S60" s="135">
        <f t="shared" si="32"/>
        <v>218.51509747979077</v>
      </c>
      <c r="T60" s="135">
        <f t="shared" si="32"/>
        <v>89.055485605185154</v>
      </c>
      <c r="U60" s="135">
        <f t="shared" si="32"/>
        <v>93.199325818221425</v>
      </c>
      <c r="V60" s="135">
        <f t="shared" si="32"/>
        <v>95.611947933837328</v>
      </c>
      <c r="W60" s="135">
        <f t="shared" si="32"/>
        <v>80.630717735220642</v>
      </c>
      <c r="X60" s="135">
        <f t="shared" si="32"/>
        <v>104.39904308139826</v>
      </c>
      <c r="Y60" s="135">
        <f t="shared" si="32"/>
        <v>137.89958566178322</v>
      </c>
      <c r="Z60" s="135">
        <f t="shared" si="32"/>
        <v>77.77997937393836</v>
      </c>
      <c r="AA60" s="135">
        <f t="shared" si="32"/>
        <v>91.731969366715759</v>
      </c>
      <c r="AB60" s="135">
        <f t="shared" si="32"/>
        <v>74.056060145097121</v>
      </c>
      <c r="AC60" s="135">
        <f t="shared" si="32"/>
        <v>84.835775398102427</v>
      </c>
      <c r="AD60" s="135">
        <f t="shared" si="32"/>
        <v>107.19010943374036</v>
      </c>
      <c r="AE60" s="117">
        <f t="shared" si="21"/>
        <v>-28.045591546750742</v>
      </c>
      <c r="AF60" s="128">
        <f t="shared" si="22"/>
        <v>-0.2616434640743337</v>
      </c>
      <c r="AG60" s="129">
        <v>59.367875867047346</v>
      </c>
      <c r="AH60" s="133">
        <f t="shared" ref="AH60:AH101" si="33">AG60-Q60</f>
        <v>-19.776642019942273</v>
      </c>
    </row>
    <row r="61" spans="1:34">
      <c r="D61" s="105" t="s">
        <v>154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35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35"/>
      <c r="AF61" s="128"/>
      <c r="AG61" s="129"/>
      <c r="AH61" s="133">
        <f t="shared" si="33"/>
        <v>0</v>
      </c>
    </row>
    <row r="62" spans="1:34">
      <c r="D62" s="109" t="s">
        <v>246</v>
      </c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35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35"/>
      <c r="AF62" s="128"/>
      <c r="AG62" s="129"/>
      <c r="AH62" s="133">
        <f t="shared" si="33"/>
        <v>0</v>
      </c>
    </row>
    <row r="63" spans="1:34">
      <c r="D63" s="105" t="s">
        <v>247</v>
      </c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35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35"/>
      <c r="AF63" s="128"/>
      <c r="AG63" s="129"/>
      <c r="AH63" s="133">
        <f t="shared" si="33"/>
        <v>0</v>
      </c>
    </row>
    <row r="64" spans="1:34">
      <c r="A64" s="105" t="s">
        <v>248</v>
      </c>
      <c r="B64" s="105" t="s">
        <v>256</v>
      </c>
      <c r="D64" s="105" t="s">
        <v>250</v>
      </c>
      <c r="E64" s="136">
        <v>40546</v>
      </c>
      <c r="F64" s="136">
        <v>40546</v>
      </c>
      <c r="G64" s="136">
        <v>41796.33</v>
      </c>
      <c r="H64" s="136">
        <v>41796.33</v>
      </c>
      <c r="I64" s="136">
        <v>41796.33</v>
      </c>
      <c r="J64" s="136">
        <v>41796.33</v>
      </c>
      <c r="K64" s="136">
        <v>41796.33</v>
      </c>
      <c r="L64" s="136">
        <v>42966.15</v>
      </c>
      <c r="M64" s="136">
        <v>42966.15</v>
      </c>
      <c r="N64" s="136">
        <v>42966.15</v>
      </c>
      <c r="O64" s="136">
        <v>42966.15</v>
      </c>
      <c r="P64" s="136">
        <v>42966.15</v>
      </c>
      <c r="Q64" s="135">
        <f>SUM(E64:P64)</f>
        <v>504904.40000000014</v>
      </c>
      <c r="R64" s="136">
        <v>41800</v>
      </c>
      <c r="S64" s="136">
        <v>41441.379999999997</v>
      </c>
      <c r="T64" s="136">
        <v>41800</v>
      </c>
      <c r="U64" s="136">
        <v>41441.379999999997</v>
      </c>
      <c r="V64" s="136">
        <v>41800</v>
      </c>
      <c r="W64" s="136">
        <v>41800</v>
      </c>
      <c r="X64" s="72">
        <v>41755.17</v>
      </c>
      <c r="Y64" s="72">
        <v>41800</v>
      </c>
      <c r="Z64" s="72">
        <v>43890</v>
      </c>
      <c r="AA64" s="72">
        <v>43890</v>
      </c>
      <c r="AB64" s="72">
        <v>43890</v>
      </c>
      <c r="AC64" s="72">
        <v>43890</v>
      </c>
      <c r="AD64" s="127">
        <f>SUM(R64:AC64)</f>
        <v>509197.93</v>
      </c>
      <c r="AE64" s="72">
        <f t="shared" ref="AE64:AE69" si="34">Q64-AD64</f>
        <v>-4293.5299999998533</v>
      </c>
      <c r="AF64" s="128">
        <f t="shared" ref="AF64:AF69" si="35">AE64/AD64</f>
        <v>-8.4319470819526968E-3</v>
      </c>
      <c r="AG64" s="129">
        <v>381247.74000000005</v>
      </c>
      <c r="AH64" s="133">
        <f t="shared" si="33"/>
        <v>-123656.66000000009</v>
      </c>
    </row>
    <row r="65" spans="1:34">
      <c r="A65" s="105" t="s">
        <v>339</v>
      </c>
      <c r="D65" s="105" t="s">
        <v>253</v>
      </c>
      <c r="E65" s="136">
        <v>0</v>
      </c>
      <c r="F65" s="136">
        <v>0</v>
      </c>
      <c r="G65" s="136">
        <v>0</v>
      </c>
      <c r="H65" s="136">
        <v>0</v>
      </c>
      <c r="I65" s="136">
        <v>0</v>
      </c>
      <c r="J65" s="136">
        <v>0</v>
      </c>
      <c r="K65" s="136">
        <v>0</v>
      </c>
      <c r="L65" s="136">
        <v>0</v>
      </c>
      <c r="M65" s="136">
        <v>0</v>
      </c>
      <c r="N65" s="136">
        <v>0</v>
      </c>
      <c r="O65" s="136">
        <v>0</v>
      </c>
      <c r="P65" s="136">
        <v>0</v>
      </c>
      <c r="Q65" s="135">
        <f>SUM(E65:P65)</f>
        <v>0</v>
      </c>
      <c r="R65" s="136">
        <v>0</v>
      </c>
      <c r="S65" s="136">
        <v>0</v>
      </c>
      <c r="T65" s="136">
        <v>0</v>
      </c>
      <c r="U65" s="136">
        <v>0</v>
      </c>
      <c r="V65" s="136">
        <v>0</v>
      </c>
      <c r="W65" s="136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127">
        <f>SUM(R65:AC65)</f>
        <v>0</v>
      </c>
      <c r="AE65" s="72">
        <f t="shared" si="34"/>
        <v>0</v>
      </c>
      <c r="AF65" s="128" t="e">
        <f t="shared" si="35"/>
        <v>#DIV/0!</v>
      </c>
      <c r="AG65" s="129">
        <v>0</v>
      </c>
      <c r="AH65" s="133">
        <f t="shared" si="33"/>
        <v>0</v>
      </c>
    </row>
    <row r="66" spans="1:34">
      <c r="A66" s="105" t="s">
        <v>273</v>
      </c>
      <c r="D66" s="105" t="s">
        <v>255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0</v>
      </c>
      <c r="L66" s="136">
        <v>0</v>
      </c>
      <c r="M66" s="136">
        <v>0</v>
      </c>
      <c r="N66" s="136">
        <v>0</v>
      </c>
      <c r="O66" s="136">
        <v>0</v>
      </c>
      <c r="P66" s="136">
        <v>0</v>
      </c>
      <c r="Q66" s="135">
        <f>SUM(E66:P66)</f>
        <v>0</v>
      </c>
      <c r="R66" s="136">
        <v>0</v>
      </c>
      <c r="S66" s="136">
        <v>0</v>
      </c>
      <c r="T66" s="136">
        <v>0</v>
      </c>
      <c r="U66" s="136">
        <v>0</v>
      </c>
      <c r="V66" s="136">
        <v>0</v>
      </c>
      <c r="W66" s="136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127">
        <f>SUM(R66:AC66)</f>
        <v>0</v>
      </c>
      <c r="AE66" s="72">
        <f t="shared" si="34"/>
        <v>0</v>
      </c>
      <c r="AF66" s="128" t="e">
        <f t="shared" si="35"/>
        <v>#DIV/0!</v>
      </c>
      <c r="AG66" s="129">
        <v>0</v>
      </c>
      <c r="AH66" s="133">
        <f t="shared" si="33"/>
        <v>0</v>
      </c>
    </row>
    <row r="67" spans="1:34">
      <c r="A67" s="105" t="s">
        <v>251</v>
      </c>
      <c r="B67" s="105" t="s">
        <v>256</v>
      </c>
      <c r="D67" s="105" t="s">
        <v>257</v>
      </c>
      <c r="E67" s="136">
        <v>24035</v>
      </c>
      <c r="F67" s="136">
        <v>24035</v>
      </c>
      <c r="G67" s="136">
        <v>25236.75</v>
      </c>
      <c r="H67" s="136">
        <v>25236.75</v>
      </c>
      <c r="I67" s="136">
        <v>25236.75</v>
      </c>
      <c r="J67" s="136">
        <v>25236.75</v>
      </c>
      <c r="K67" s="136">
        <v>25236.75</v>
      </c>
      <c r="L67" s="136">
        <v>25236.75</v>
      </c>
      <c r="M67" s="136">
        <v>25236.75</v>
      </c>
      <c r="N67" s="136">
        <v>25236.75</v>
      </c>
      <c r="O67" s="136">
        <v>25236.75</v>
      </c>
      <c r="P67" s="136">
        <v>25236.75</v>
      </c>
      <c r="Q67" s="135">
        <f>(SUM(E67:P67))</f>
        <v>300437.5</v>
      </c>
      <c r="R67" s="136">
        <v>25300</v>
      </c>
      <c r="S67" s="136">
        <v>25300</v>
      </c>
      <c r="T67" s="136">
        <v>27472.42</v>
      </c>
      <c r="U67" s="136">
        <v>28300</v>
      </c>
      <c r="V67" s="136">
        <v>28300</v>
      </c>
      <c r="W67" s="136">
        <v>25696.55</v>
      </c>
      <c r="X67" s="72">
        <v>27506.9</v>
      </c>
      <c r="Y67" s="72">
        <v>24403.45</v>
      </c>
      <c r="Z67" s="72">
        <v>21720</v>
      </c>
      <c r="AA67" s="72">
        <v>21720</v>
      </c>
      <c r="AB67" s="72">
        <v>21720</v>
      </c>
      <c r="AC67" s="72">
        <v>21720</v>
      </c>
      <c r="AD67" s="127">
        <f>SUM(R67:AC67)</f>
        <v>299159.31999999995</v>
      </c>
      <c r="AE67" s="72">
        <f t="shared" si="34"/>
        <v>1278.1800000000512</v>
      </c>
      <c r="AF67" s="128">
        <f t="shared" si="35"/>
        <v>4.272572888586762E-3</v>
      </c>
      <c r="AG67" s="129">
        <v>344883.6</v>
      </c>
      <c r="AH67" s="133">
        <f t="shared" si="33"/>
        <v>44446.099999999977</v>
      </c>
    </row>
    <row r="68" spans="1:34">
      <c r="A68" s="105" t="s">
        <v>340</v>
      </c>
      <c r="D68" s="105" t="s">
        <v>341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6">
        <v>0</v>
      </c>
      <c r="O68" s="136">
        <v>0</v>
      </c>
      <c r="P68" s="136">
        <v>0</v>
      </c>
      <c r="Q68" s="135">
        <f>SUM(E68:P68)</f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136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127">
        <f>SUM(R68:AC68)</f>
        <v>0</v>
      </c>
      <c r="AE68" s="72">
        <f t="shared" si="34"/>
        <v>0</v>
      </c>
      <c r="AF68" s="128" t="e">
        <f t="shared" si="35"/>
        <v>#DIV/0!</v>
      </c>
      <c r="AG68" s="129">
        <v>0</v>
      </c>
      <c r="AH68" s="133">
        <f t="shared" si="33"/>
        <v>0</v>
      </c>
    </row>
    <row r="69" spans="1:34">
      <c r="D69" s="109" t="s">
        <v>259</v>
      </c>
      <c r="E69" s="135">
        <f t="shared" ref="E69:AD69" si="36">SUM(E64:E68)</f>
        <v>64581</v>
      </c>
      <c r="F69" s="135">
        <f t="shared" si="36"/>
        <v>64581</v>
      </c>
      <c r="G69" s="135">
        <f t="shared" si="36"/>
        <v>67033.08</v>
      </c>
      <c r="H69" s="135">
        <f t="shared" si="36"/>
        <v>67033.08</v>
      </c>
      <c r="I69" s="135">
        <f t="shared" si="36"/>
        <v>67033.08</v>
      </c>
      <c r="J69" s="135">
        <f t="shared" si="36"/>
        <v>67033.08</v>
      </c>
      <c r="K69" s="135">
        <f t="shared" si="36"/>
        <v>67033.08</v>
      </c>
      <c r="L69" s="135">
        <f t="shared" si="36"/>
        <v>68202.899999999994</v>
      </c>
      <c r="M69" s="135">
        <f t="shared" si="36"/>
        <v>68202.899999999994</v>
      </c>
      <c r="N69" s="135">
        <f t="shared" si="36"/>
        <v>68202.899999999994</v>
      </c>
      <c r="O69" s="135">
        <f t="shared" si="36"/>
        <v>68202.899999999994</v>
      </c>
      <c r="P69" s="135">
        <f t="shared" si="36"/>
        <v>68202.899999999994</v>
      </c>
      <c r="Q69" s="135">
        <f t="shared" si="36"/>
        <v>805341.90000000014</v>
      </c>
      <c r="R69" s="135">
        <f t="shared" si="36"/>
        <v>67100</v>
      </c>
      <c r="S69" s="135">
        <f t="shared" si="36"/>
        <v>66741.38</v>
      </c>
      <c r="T69" s="135">
        <f t="shared" si="36"/>
        <v>69272.42</v>
      </c>
      <c r="U69" s="135">
        <f t="shared" si="36"/>
        <v>69741.38</v>
      </c>
      <c r="V69" s="135">
        <f t="shared" si="36"/>
        <v>70100</v>
      </c>
      <c r="W69" s="135">
        <f t="shared" si="36"/>
        <v>67496.55</v>
      </c>
      <c r="X69" s="135">
        <f t="shared" si="36"/>
        <v>69262.070000000007</v>
      </c>
      <c r="Y69" s="135">
        <f t="shared" si="36"/>
        <v>66203.45</v>
      </c>
      <c r="Z69" s="135">
        <f t="shared" si="36"/>
        <v>65610</v>
      </c>
      <c r="AA69" s="135">
        <f t="shared" si="36"/>
        <v>65610</v>
      </c>
      <c r="AB69" s="135">
        <f t="shared" si="36"/>
        <v>65610</v>
      </c>
      <c r="AC69" s="135">
        <f t="shared" si="36"/>
        <v>65610</v>
      </c>
      <c r="AD69" s="135">
        <f t="shared" si="36"/>
        <v>808357.25</v>
      </c>
      <c r="AE69" s="117">
        <f t="shared" si="34"/>
        <v>-3015.3499999998603</v>
      </c>
      <c r="AF69" s="128">
        <f t="shared" si="35"/>
        <v>-3.7302195285560443E-3</v>
      </c>
      <c r="AG69" s="129">
        <v>726131.34000000008</v>
      </c>
      <c r="AH69" s="133">
        <f t="shared" si="33"/>
        <v>-79210.560000000056</v>
      </c>
    </row>
    <row r="70" spans="1:34">
      <c r="D70" s="105" t="s">
        <v>154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35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35"/>
      <c r="AF70" s="128"/>
      <c r="AG70" s="129"/>
      <c r="AH70" s="133">
        <f t="shared" si="33"/>
        <v>0</v>
      </c>
    </row>
    <row r="71" spans="1:34">
      <c r="A71" s="105" t="s">
        <v>119</v>
      </c>
      <c r="B71" s="105" t="s">
        <v>256</v>
      </c>
      <c r="D71" s="105" t="s">
        <v>260</v>
      </c>
      <c r="E71" s="136">
        <v>9600.02</v>
      </c>
      <c r="F71" s="136">
        <v>0</v>
      </c>
      <c r="G71" s="136">
        <v>0</v>
      </c>
      <c r="H71" s="136">
        <v>2248.2700000000004</v>
      </c>
      <c r="I71" s="136">
        <v>7365.52</v>
      </c>
      <c r="J71" s="136">
        <v>0</v>
      </c>
      <c r="K71" s="136">
        <v>0</v>
      </c>
      <c r="L71" s="136">
        <v>0</v>
      </c>
      <c r="M71" s="136">
        <v>0</v>
      </c>
      <c r="N71" s="136">
        <v>7820.71</v>
      </c>
      <c r="O71" s="136">
        <v>0</v>
      </c>
      <c r="P71" s="136">
        <v>0</v>
      </c>
      <c r="Q71" s="135">
        <f>SUM(E71:P71)</f>
        <v>27034.52</v>
      </c>
      <c r="R71" s="136">
        <v>3668.94</v>
      </c>
      <c r="S71" s="136">
        <v>7572.36</v>
      </c>
      <c r="T71" s="136">
        <v>0</v>
      </c>
      <c r="U71" s="136">
        <v>2662.05</v>
      </c>
      <c r="V71" s="136">
        <v>2662.05</v>
      </c>
      <c r="W71" s="136">
        <v>2662.05</v>
      </c>
      <c r="X71" s="72">
        <v>0</v>
      </c>
      <c r="Y71" s="72">
        <v>0</v>
      </c>
      <c r="Z71" s="72">
        <v>3411</v>
      </c>
      <c r="AA71" s="72">
        <v>10232</v>
      </c>
      <c r="AB71" s="72">
        <v>0</v>
      </c>
      <c r="AC71" s="72">
        <v>0</v>
      </c>
      <c r="AD71" s="127">
        <f>SUM(R71:AC71)</f>
        <v>32870.449999999997</v>
      </c>
      <c r="AE71" s="72">
        <f t="shared" ref="AE71:AE76" si="37">Q71-AD71</f>
        <v>-5835.9299999999967</v>
      </c>
      <c r="AF71" s="128">
        <f t="shared" ref="AF71:AF76" si="38">AE71/AD71</f>
        <v>-0.17754335581046191</v>
      </c>
      <c r="AG71" s="129">
        <v>22951.77</v>
      </c>
      <c r="AH71" s="133">
        <f t="shared" si="33"/>
        <v>-4082.75</v>
      </c>
    </row>
    <row r="72" spans="1:34">
      <c r="A72" s="105" t="s">
        <v>120</v>
      </c>
      <c r="B72" s="105" t="s">
        <v>256</v>
      </c>
      <c r="D72" s="105" t="s">
        <v>261</v>
      </c>
      <c r="E72" s="136">
        <v>11183.33</v>
      </c>
      <c r="F72" s="136">
        <v>11183.33</v>
      </c>
      <c r="G72" s="136">
        <v>11183.33</v>
      </c>
      <c r="H72" s="136">
        <v>11183.33</v>
      </c>
      <c r="I72" s="136">
        <v>11183.33</v>
      </c>
      <c r="J72" s="136">
        <v>11183.33</v>
      </c>
      <c r="K72" s="136">
        <v>11183.33</v>
      </c>
      <c r="L72" s="136">
        <v>11383.33</v>
      </c>
      <c r="M72" s="136">
        <v>11383.33</v>
      </c>
      <c r="N72" s="136">
        <v>11383.33</v>
      </c>
      <c r="O72" s="136">
        <v>11383.33</v>
      </c>
      <c r="P72" s="136">
        <v>11383.33</v>
      </c>
      <c r="Q72" s="135">
        <f>SUM(E72:P72)</f>
        <v>135199.96</v>
      </c>
      <c r="R72" s="136">
        <v>16748.78</v>
      </c>
      <c r="S72" s="136">
        <v>16779.82</v>
      </c>
      <c r="T72" s="136">
        <v>17534.169999999998</v>
      </c>
      <c r="U72" s="136">
        <v>11697.83</v>
      </c>
      <c r="V72" s="136">
        <v>11681.16</v>
      </c>
      <c r="W72" s="136">
        <v>11664.33</v>
      </c>
      <c r="X72" s="72">
        <v>11663.94</v>
      </c>
      <c r="Y72" s="72">
        <v>11198.49</v>
      </c>
      <c r="Z72" s="72">
        <v>10935</v>
      </c>
      <c r="AA72" s="72">
        <v>10935</v>
      </c>
      <c r="AB72" s="72">
        <v>10935</v>
      </c>
      <c r="AC72" s="72">
        <v>10935</v>
      </c>
      <c r="AD72" s="127">
        <f>SUM(R72:AC72)</f>
        <v>152708.52000000002</v>
      </c>
      <c r="AE72" s="72">
        <f t="shared" si="37"/>
        <v>-17508.560000000027</v>
      </c>
      <c r="AF72" s="128">
        <f t="shared" si="38"/>
        <v>-0.11465345875921019</v>
      </c>
      <c r="AG72" s="129">
        <v>124479.31</v>
      </c>
      <c r="AH72" s="133">
        <f t="shared" si="33"/>
        <v>-10720.649999999994</v>
      </c>
    </row>
    <row r="73" spans="1:34">
      <c r="A73" s="105" t="s">
        <v>121</v>
      </c>
      <c r="B73" s="105" t="s">
        <v>256</v>
      </c>
      <c r="D73" s="105" t="s">
        <v>262</v>
      </c>
      <c r="E73" s="136">
        <v>6070</v>
      </c>
      <c r="F73" s="136">
        <v>6070</v>
      </c>
      <c r="G73" s="136">
        <v>6070</v>
      </c>
      <c r="H73" s="136">
        <v>6070</v>
      </c>
      <c r="I73" s="136">
        <v>6070</v>
      </c>
      <c r="J73" s="136">
        <v>6070</v>
      </c>
      <c r="K73" s="136">
        <v>6070</v>
      </c>
      <c r="L73" s="136">
        <v>5240</v>
      </c>
      <c r="M73" s="136">
        <v>5240</v>
      </c>
      <c r="N73" s="136">
        <v>5240</v>
      </c>
      <c r="O73" s="136">
        <v>5240</v>
      </c>
      <c r="P73" s="136">
        <v>5240</v>
      </c>
      <c r="Q73" s="135">
        <f>SUM(E73:P73)</f>
        <v>68690</v>
      </c>
      <c r="R73" s="136">
        <v>5070</v>
      </c>
      <c r="S73" s="136">
        <v>5058.62</v>
      </c>
      <c r="T73" s="136">
        <v>5531.72</v>
      </c>
      <c r="U73" s="136">
        <v>5800</v>
      </c>
      <c r="V73" s="136">
        <v>5800</v>
      </c>
      <c r="W73" s="136">
        <v>5501.94</v>
      </c>
      <c r="X73" s="72">
        <v>5223.57</v>
      </c>
      <c r="Y73" s="72">
        <v>4799.67</v>
      </c>
      <c r="Z73" s="72">
        <v>6630</v>
      </c>
      <c r="AA73" s="72">
        <v>6730</v>
      </c>
      <c r="AB73" s="72">
        <v>6830</v>
      </c>
      <c r="AC73" s="72">
        <v>6830</v>
      </c>
      <c r="AD73" s="127">
        <f>SUM(R73:AC73)</f>
        <v>69805.51999999999</v>
      </c>
      <c r="AE73" s="72">
        <f t="shared" si="37"/>
        <v>-1115.5199999999895</v>
      </c>
      <c r="AF73" s="128">
        <f t="shared" si="38"/>
        <v>-1.5980398111782416E-2</v>
      </c>
      <c r="AG73" s="129">
        <v>32700</v>
      </c>
      <c r="AH73" s="133">
        <f t="shared" si="33"/>
        <v>-35990</v>
      </c>
    </row>
    <row r="74" spans="1:34">
      <c r="A74" s="105" t="s">
        <v>122</v>
      </c>
      <c r="B74" s="105" t="s">
        <v>256</v>
      </c>
      <c r="D74" s="105" t="s">
        <v>263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0</v>
      </c>
      <c r="L74" s="136">
        <v>0</v>
      </c>
      <c r="M74" s="136">
        <v>0</v>
      </c>
      <c r="N74" s="136">
        <v>0</v>
      </c>
      <c r="O74" s="136">
        <v>0</v>
      </c>
      <c r="P74" s="136">
        <v>0</v>
      </c>
      <c r="Q74" s="135">
        <f>SUM(E74:P74)</f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72">
        <v>0</v>
      </c>
      <c r="AD74" s="127">
        <f>SUM(R74:AC74)</f>
        <v>0</v>
      </c>
      <c r="AE74" s="72">
        <f t="shared" si="37"/>
        <v>0</v>
      </c>
      <c r="AF74" s="128" t="e">
        <f t="shared" si="38"/>
        <v>#DIV/0!</v>
      </c>
      <c r="AG74" s="129">
        <v>0</v>
      </c>
      <c r="AH74" s="133">
        <f t="shared" si="33"/>
        <v>0</v>
      </c>
    </row>
    <row r="75" spans="1:34">
      <c r="A75" s="105" t="s">
        <v>123</v>
      </c>
      <c r="B75" s="105" t="s">
        <v>256</v>
      </c>
      <c r="D75" s="105" t="s">
        <v>264</v>
      </c>
      <c r="E75" s="136">
        <v>68545</v>
      </c>
      <c r="F75" s="136">
        <v>72789</v>
      </c>
      <c r="G75" s="136">
        <v>44610</v>
      </c>
      <c r="H75" s="136">
        <v>36814</v>
      </c>
      <c r="I75" s="136">
        <v>35169</v>
      </c>
      <c r="J75" s="136">
        <v>30197</v>
      </c>
      <c r="K75" s="136">
        <v>43696</v>
      </c>
      <c r="L75" s="136">
        <v>49336</v>
      </c>
      <c r="M75" s="136">
        <v>27056</v>
      </c>
      <c r="N75" s="136">
        <v>36705</v>
      </c>
      <c r="O75" s="136">
        <v>31273</v>
      </c>
      <c r="P75" s="136">
        <v>40869</v>
      </c>
      <c r="Q75" s="135">
        <f>SUM(E75:P75)</f>
        <v>517059</v>
      </c>
      <c r="R75" s="136">
        <v>62604</v>
      </c>
      <c r="S75" s="136">
        <v>95519.37</v>
      </c>
      <c r="T75" s="136">
        <v>23033.79</v>
      </c>
      <c r="U75" s="136">
        <v>23911.51</v>
      </c>
      <c r="V75" s="136">
        <v>41646.78</v>
      </c>
      <c r="W75" s="136">
        <v>11983.45</v>
      </c>
      <c r="X75" s="72">
        <v>28987</v>
      </c>
      <c r="Y75" s="72">
        <v>29044.51</v>
      </c>
      <c r="Z75" s="72">
        <v>27091</v>
      </c>
      <c r="AA75" s="181">
        <v>38268</v>
      </c>
      <c r="AB75" s="181">
        <v>35069</v>
      </c>
      <c r="AC75" s="181">
        <v>46514</v>
      </c>
      <c r="AD75" s="127">
        <f>SUM(R75:AC75)</f>
        <v>463672.41000000003</v>
      </c>
      <c r="AE75" s="72">
        <f t="shared" si="37"/>
        <v>53386.589999999967</v>
      </c>
      <c r="AF75" s="128">
        <f t="shared" si="38"/>
        <v>0.11513859537167623</v>
      </c>
      <c r="AG75" s="129">
        <v>528865.67000000004</v>
      </c>
      <c r="AH75" s="133">
        <f t="shared" si="33"/>
        <v>11806.670000000042</v>
      </c>
    </row>
    <row r="76" spans="1:34">
      <c r="D76" s="109" t="s">
        <v>265</v>
      </c>
      <c r="E76" s="135">
        <f t="shared" ref="E76:AD76" si="39">SUM(E71:E75)</f>
        <v>95398.35</v>
      </c>
      <c r="F76" s="135">
        <f t="shared" si="39"/>
        <v>90042.33</v>
      </c>
      <c r="G76" s="135">
        <f t="shared" si="39"/>
        <v>61863.33</v>
      </c>
      <c r="H76" s="135">
        <f t="shared" si="39"/>
        <v>56315.6</v>
      </c>
      <c r="I76" s="135">
        <f t="shared" si="39"/>
        <v>59787.85</v>
      </c>
      <c r="J76" s="135">
        <f t="shared" si="39"/>
        <v>47450.33</v>
      </c>
      <c r="K76" s="135">
        <f t="shared" si="39"/>
        <v>60949.33</v>
      </c>
      <c r="L76" s="135">
        <f t="shared" si="39"/>
        <v>65959.33</v>
      </c>
      <c r="M76" s="135">
        <f t="shared" si="39"/>
        <v>43679.33</v>
      </c>
      <c r="N76" s="135">
        <f t="shared" si="39"/>
        <v>61149.04</v>
      </c>
      <c r="O76" s="135">
        <f t="shared" si="39"/>
        <v>47896.33</v>
      </c>
      <c r="P76" s="135">
        <f t="shared" si="39"/>
        <v>57492.33</v>
      </c>
      <c r="Q76" s="135">
        <f t="shared" si="39"/>
        <v>747983.48</v>
      </c>
      <c r="R76" s="135">
        <f t="shared" si="39"/>
        <v>88091.72</v>
      </c>
      <c r="S76" s="135">
        <f t="shared" si="39"/>
        <v>124930.17</v>
      </c>
      <c r="T76" s="135">
        <f t="shared" si="39"/>
        <v>46099.68</v>
      </c>
      <c r="U76" s="135">
        <f t="shared" si="39"/>
        <v>44071.39</v>
      </c>
      <c r="V76" s="135">
        <f t="shared" si="39"/>
        <v>61789.99</v>
      </c>
      <c r="W76" s="135">
        <f t="shared" si="39"/>
        <v>31811.77</v>
      </c>
      <c r="X76" s="135">
        <f t="shared" si="39"/>
        <v>45874.51</v>
      </c>
      <c r="Y76" s="135">
        <f t="shared" si="39"/>
        <v>45042.67</v>
      </c>
      <c r="Z76" s="135">
        <f t="shared" si="39"/>
        <v>48067</v>
      </c>
      <c r="AA76" s="135">
        <f t="shared" si="39"/>
        <v>66165</v>
      </c>
      <c r="AB76" s="135">
        <f t="shared" si="39"/>
        <v>52834</v>
      </c>
      <c r="AC76" s="135">
        <f t="shared" si="39"/>
        <v>64279</v>
      </c>
      <c r="AD76" s="135">
        <f t="shared" si="39"/>
        <v>719056.9</v>
      </c>
      <c r="AE76" s="117">
        <f t="shared" si="37"/>
        <v>28926.579999999958</v>
      </c>
      <c r="AF76" s="128">
        <f t="shared" si="38"/>
        <v>4.0228499302350007E-2</v>
      </c>
      <c r="AG76" s="129">
        <v>708996.75</v>
      </c>
      <c r="AH76" s="133">
        <f t="shared" si="33"/>
        <v>-38986.729999999981</v>
      </c>
    </row>
    <row r="77" spans="1:34">
      <c r="D77" s="105" t="s">
        <v>154</v>
      </c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35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35"/>
      <c r="AE77" s="116">
        <f t="shared" ref="AE77" si="40">AD77-Q77</f>
        <v>0</v>
      </c>
      <c r="AF77" s="128"/>
      <c r="AG77" s="129"/>
      <c r="AH77" s="133">
        <f t="shared" si="33"/>
        <v>0</v>
      </c>
    </row>
    <row r="78" spans="1:34">
      <c r="A78" s="105" t="s">
        <v>124</v>
      </c>
      <c r="B78" s="105" t="s">
        <v>256</v>
      </c>
      <c r="D78" s="105" t="s">
        <v>266</v>
      </c>
      <c r="E78" s="136">
        <v>16334.539999999997</v>
      </c>
      <c r="F78" s="136">
        <v>16334.539999999997</v>
      </c>
      <c r="G78" s="136">
        <v>16334.539999999997</v>
      </c>
      <c r="H78" s="136">
        <v>16334.539999999997</v>
      </c>
      <c r="I78" s="136">
        <v>16334.539999999997</v>
      </c>
      <c r="J78" s="136">
        <v>16334.539999999997</v>
      </c>
      <c r="K78" s="136">
        <v>16675.54</v>
      </c>
      <c r="L78" s="136">
        <v>15992.97</v>
      </c>
      <c r="M78" s="136">
        <v>15992.97</v>
      </c>
      <c r="N78" s="136">
        <v>15992.97</v>
      </c>
      <c r="O78" s="136">
        <v>15992.97</v>
      </c>
      <c r="P78" s="136">
        <v>15992.97</v>
      </c>
      <c r="Q78" s="135">
        <f t="shared" ref="Q78:Q85" si="41">SUM(E78:P78)</f>
        <v>194647.62999999998</v>
      </c>
      <c r="R78" s="136">
        <v>20123.53</v>
      </c>
      <c r="S78" s="136">
        <v>20123.53</v>
      </c>
      <c r="T78" s="136">
        <v>20896.330000000002</v>
      </c>
      <c r="U78" s="136">
        <v>20896.330000000002</v>
      </c>
      <c r="V78" s="136">
        <v>20896.330000000002</v>
      </c>
      <c r="W78" s="136">
        <v>20123.53</v>
      </c>
      <c r="X78" s="72">
        <v>20896.330000000002</v>
      </c>
      <c r="Y78" s="72">
        <v>18768.09</v>
      </c>
      <c r="Z78" s="72">
        <v>20979</v>
      </c>
      <c r="AA78" s="72">
        <v>20979</v>
      </c>
      <c r="AB78" s="72">
        <v>20979</v>
      </c>
      <c r="AC78" s="72">
        <v>20979</v>
      </c>
      <c r="AD78" s="127">
        <f t="shared" ref="AD78:AD85" si="42">SUM(R78:AC78)</f>
        <v>246640</v>
      </c>
      <c r="AE78" s="72">
        <f t="shared" ref="AE78:AE86" si="43">Q78-AD78</f>
        <v>-51992.370000000024</v>
      </c>
      <c r="AF78" s="128">
        <f t="shared" ref="AF78:AF86" si="44">AE78/AD78</f>
        <v>-0.21080266785598453</v>
      </c>
      <c r="AG78" s="129">
        <v>170838.54</v>
      </c>
      <c r="AH78" s="133">
        <f t="shared" si="33"/>
        <v>-23809.089999999967</v>
      </c>
    </row>
    <row r="79" spans="1:34">
      <c r="A79" s="105" t="s">
        <v>125</v>
      </c>
      <c r="B79" s="105" t="s">
        <v>256</v>
      </c>
      <c r="D79" s="105" t="s">
        <v>267</v>
      </c>
      <c r="E79" s="136">
        <v>6629.05</v>
      </c>
      <c r="F79" s="136">
        <v>6629.05</v>
      </c>
      <c r="G79" s="136">
        <v>6629.05</v>
      </c>
      <c r="H79" s="136">
        <v>6629.05</v>
      </c>
      <c r="I79" s="136">
        <v>6629.05</v>
      </c>
      <c r="J79" s="136">
        <v>6629.05</v>
      </c>
      <c r="K79" s="136">
        <v>6759.8899999999994</v>
      </c>
      <c r="L79" s="136">
        <v>7344.8899999999994</v>
      </c>
      <c r="M79" s="136">
        <v>7344.8899999999994</v>
      </c>
      <c r="N79" s="136">
        <v>7344.8899999999994</v>
      </c>
      <c r="O79" s="136">
        <v>7344.8899999999994</v>
      </c>
      <c r="P79" s="136">
        <v>7344.8899999999994</v>
      </c>
      <c r="Q79" s="135">
        <f t="shared" si="41"/>
        <v>83258.64</v>
      </c>
      <c r="R79" s="136">
        <v>10690.63</v>
      </c>
      <c r="S79" s="136">
        <v>10690.63</v>
      </c>
      <c r="T79" s="136">
        <v>11101.18</v>
      </c>
      <c r="U79" s="136">
        <v>11101.18</v>
      </c>
      <c r="V79" s="136">
        <v>11101.18</v>
      </c>
      <c r="W79" s="136">
        <v>10690.63</v>
      </c>
      <c r="X79" s="72">
        <v>8489.14</v>
      </c>
      <c r="Y79" s="72">
        <v>7624.54</v>
      </c>
      <c r="Z79" s="72">
        <v>10524</v>
      </c>
      <c r="AA79" s="72">
        <v>10524</v>
      </c>
      <c r="AB79" s="72">
        <v>10524</v>
      </c>
      <c r="AC79" s="72">
        <v>10524</v>
      </c>
      <c r="AD79" s="127">
        <f t="shared" si="42"/>
        <v>123585.10999999999</v>
      </c>
      <c r="AE79" s="72">
        <f t="shared" si="43"/>
        <v>-40326.469999999987</v>
      </c>
      <c r="AF79" s="128">
        <f t="shared" si="44"/>
        <v>-0.32630524826170393</v>
      </c>
      <c r="AG79" s="129">
        <v>82687.56</v>
      </c>
      <c r="AH79" s="133">
        <f t="shared" si="33"/>
        <v>-571.08000000000175</v>
      </c>
    </row>
    <row r="80" spans="1:34">
      <c r="A80" s="105" t="s">
        <v>126</v>
      </c>
      <c r="B80" s="105" t="s">
        <v>256</v>
      </c>
      <c r="D80" s="105" t="s">
        <v>268</v>
      </c>
      <c r="E80" s="136">
        <v>509.92</v>
      </c>
      <c r="F80" s="136">
        <v>509.92</v>
      </c>
      <c r="G80" s="136">
        <v>509.92</v>
      </c>
      <c r="H80" s="136">
        <v>509.92</v>
      </c>
      <c r="I80" s="136">
        <v>509.92</v>
      </c>
      <c r="J80" s="136">
        <v>509.92</v>
      </c>
      <c r="K80" s="136">
        <v>519.99</v>
      </c>
      <c r="L80" s="136">
        <v>498.65999999999997</v>
      </c>
      <c r="M80" s="136">
        <v>498.65999999999997</v>
      </c>
      <c r="N80" s="136">
        <v>498.65999999999997</v>
      </c>
      <c r="O80" s="136">
        <v>498.65999999999997</v>
      </c>
      <c r="P80" s="136">
        <v>498.65999999999997</v>
      </c>
      <c r="Q80" s="135">
        <f t="shared" si="41"/>
        <v>6072.8099999999995</v>
      </c>
      <c r="R80" s="136">
        <v>628.85</v>
      </c>
      <c r="S80" s="136">
        <v>628.85</v>
      </c>
      <c r="T80" s="136">
        <v>653</v>
      </c>
      <c r="U80" s="136">
        <v>653</v>
      </c>
      <c r="V80" s="136">
        <v>653</v>
      </c>
      <c r="W80" s="136">
        <v>628.85</v>
      </c>
      <c r="X80" s="72">
        <v>653</v>
      </c>
      <c r="Y80" s="72">
        <v>586.49</v>
      </c>
      <c r="Z80" s="72">
        <v>658</v>
      </c>
      <c r="AA80" s="72">
        <v>658</v>
      </c>
      <c r="AB80" s="72">
        <v>658</v>
      </c>
      <c r="AC80" s="72">
        <v>658</v>
      </c>
      <c r="AD80" s="127">
        <f t="shared" si="42"/>
        <v>7717.0399999999991</v>
      </c>
      <c r="AE80" s="72">
        <f t="shared" si="43"/>
        <v>-1644.2299999999996</v>
      </c>
      <c r="AF80" s="128">
        <f t="shared" si="44"/>
        <v>-0.21306485388179922</v>
      </c>
      <c r="AG80" s="129">
        <v>5070.9800000000005</v>
      </c>
      <c r="AH80" s="133">
        <f t="shared" si="33"/>
        <v>-1001.829999999999</v>
      </c>
    </row>
    <row r="81" spans="1:34">
      <c r="A81" s="105" t="s">
        <v>127</v>
      </c>
      <c r="B81" s="105" t="s">
        <v>256</v>
      </c>
      <c r="D81" s="105" t="s">
        <v>269</v>
      </c>
      <c r="E81" s="136">
        <v>122.38999999999999</v>
      </c>
      <c r="F81" s="136">
        <v>122.38999999999999</v>
      </c>
      <c r="G81" s="136">
        <v>122.38999999999999</v>
      </c>
      <c r="H81" s="136">
        <v>122.38999999999999</v>
      </c>
      <c r="I81" s="136">
        <v>122.38999999999999</v>
      </c>
      <c r="J81" s="136">
        <v>122.38999999999999</v>
      </c>
      <c r="K81" s="136">
        <v>124.81</v>
      </c>
      <c r="L81" s="136">
        <v>119.69</v>
      </c>
      <c r="M81" s="136">
        <v>119.69</v>
      </c>
      <c r="N81" s="136">
        <v>119.69</v>
      </c>
      <c r="O81" s="136">
        <v>119.69</v>
      </c>
      <c r="P81" s="136">
        <v>119.69</v>
      </c>
      <c r="Q81" s="135">
        <f t="shared" si="41"/>
        <v>1457.6000000000001</v>
      </c>
      <c r="R81" s="136">
        <v>150.91999999999999</v>
      </c>
      <c r="S81" s="136">
        <v>150.91999999999999</v>
      </c>
      <c r="T81" s="136">
        <v>156.72</v>
      </c>
      <c r="U81" s="136">
        <v>156.72</v>
      </c>
      <c r="V81" s="136">
        <v>156.72</v>
      </c>
      <c r="W81" s="136">
        <v>150.91999999999999</v>
      </c>
      <c r="X81" s="72">
        <v>156.72</v>
      </c>
      <c r="Y81" s="72">
        <v>140.76</v>
      </c>
      <c r="Z81" s="72">
        <v>170</v>
      </c>
      <c r="AA81" s="72">
        <v>170</v>
      </c>
      <c r="AB81" s="72">
        <v>170</v>
      </c>
      <c r="AC81" s="72">
        <v>170</v>
      </c>
      <c r="AD81" s="127">
        <f t="shared" si="42"/>
        <v>1900.3999999999999</v>
      </c>
      <c r="AE81" s="72">
        <f t="shared" si="43"/>
        <v>-442.79999999999973</v>
      </c>
      <c r="AF81" s="128">
        <f t="shared" si="44"/>
        <v>-0.23300357819406428</v>
      </c>
      <c r="AG81" s="129">
        <v>1622.6699999999998</v>
      </c>
      <c r="AH81" s="133">
        <f t="shared" si="33"/>
        <v>165.06999999999971</v>
      </c>
    </row>
    <row r="82" spans="1:34">
      <c r="A82" s="105" t="s">
        <v>128</v>
      </c>
      <c r="B82" s="105" t="s">
        <v>256</v>
      </c>
      <c r="D82" s="105" t="s">
        <v>270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5">
        <f t="shared" si="41"/>
        <v>0</v>
      </c>
      <c r="R82" s="136">
        <v>0</v>
      </c>
      <c r="S82" s="136">
        <v>0</v>
      </c>
      <c r="T82" s="136">
        <v>0</v>
      </c>
      <c r="U82" s="136">
        <v>0</v>
      </c>
      <c r="V82" s="136">
        <v>0</v>
      </c>
      <c r="W82" s="136">
        <v>0</v>
      </c>
      <c r="X82" s="72">
        <v>0</v>
      </c>
      <c r="Y82" s="72">
        <v>0</v>
      </c>
      <c r="Z82" s="72">
        <v>0</v>
      </c>
      <c r="AA82" s="72">
        <v>0</v>
      </c>
      <c r="AB82" s="72">
        <v>0</v>
      </c>
      <c r="AC82" s="72">
        <v>0</v>
      </c>
      <c r="AD82" s="127">
        <f t="shared" si="42"/>
        <v>0</v>
      </c>
      <c r="AE82" s="72">
        <f t="shared" si="43"/>
        <v>0</v>
      </c>
      <c r="AF82" s="128" t="e">
        <f t="shared" si="44"/>
        <v>#DIV/0!</v>
      </c>
      <c r="AG82" s="129">
        <v>3518.3500000000004</v>
      </c>
      <c r="AH82" s="133">
        <f t="shared" si="33"/>
        <v>3518.3500000000004</v>
      </c>
    </row>
    <row r="83" spans="1:34">
      <c r="A83" s="105" t="s">
        <v>129</v>
      </c>
      <c r="B83" s="105" t="s">
        <v>256</v>
      </c>
      <c r="D83" s="105" t="s">
        <v>271</v>
      </c>
      <c r="E83" s="136">
        <v>5074.0499999999993</v>
      </c>
      <c r="F83" s="136">
        <v>5074.0499999999993</v>
      </c>
      <c r="G83" s="136">
        <v>5074.0499999999993</v>
      </c>
      <c r="H83" s="136">
        <v>5074.0499999999993</v>
      </c>
      <c r="I83" s="136">
        <v>5074.0499999999993</v>
      </c>
      <c r="J83" s="136">
        <v>5074.0499999999993</v>
      </c>
      <c r="K83" s="136">
        <v>5199.93</v>
      </c>
      <c r="L83" s="136">
        <v>4940.8899999999994</v>
      </c>
      <c r="M83" s="136">
        <v>4940.8899999999994</v>
      </c>
      <c r="N83" s="136">
        <v>4940.8899999999994</v>
      </c>
      <c r="O83" s="136">
        <v>4986.63</v>
      </c>
      <c r="P83" s="136">
        <v>4940.8899999999994</v>
      </c>
      <c r="Q83" s="135">
        <f t="shared" si="41"/>
        <v>60394.419999999991</v>
      </c>
      <c r="R83" s="136">
        <v>6370</v>
      </c>
      <c r="S83" s="136">
        <v>6370</v>
      </c>
      <c r="T83" s="136">
        <v>6520</v>
      </c>
      <c r="U83" s="136">
        <v>6520</v>
      </c>
      <c r="V83" s="136">
        <v>6520</v>
      </c>
      <c r="W83" s="136">
        <v>6370</v>
      </c>
      <c r="X83" s="72">
        <v>6632</v>
      </c>
      <c r="Y83" s="72">
        <v>5966</v>
      </c>
      <c r="Z83" s="72">
        <v>6616</v>
      </c>
      <c r="AA83" s="72">
        <v>6616</v>
      </c>
      <c r="AB83" s="72">
        <v>6616</v>
      </c>
      <c r="AC83" s="72">
        <v>6616</v>
      </c>
      <c r="AD83" s="127">
        <f t="shared" si="42"/>
        <v>77732</v>
      </c>
      <c r="AE83" s="72">
        <f t="shared" si="43"/>
        <v>-17337.580000000009</v>
      </c>
      <c r="AF83" s="128">
        <f t="shared" si="44"/>
        <v>-0.22304301960582526</v>
      </c>
      <c r="AG83" s="129">
        <v>49302</v>
      </c>
      <c r="AH83" s="133">
        <f t="shared" si="33"/>
        <v>-11092.419999999991</v>
      </c>
    </row>
    <row r="84" spans="1:34">
      <c r="A84" s="105" t="s">
        <v>130</v>
      </c>
      <c r="B84" s="105" t="s">
        <v>256</v>
      </c>
      <c r="D84" s="105" t="s">
        <v>272</v>
      </c>
      <c r="E84" s="136">
        <v>3200</v>
      </c>
      <c r="F84" s="136">
        <v>3092</v>
      </c>
      <c r="G84" s="136">
        <v>2578</v>
      </c>
      <c r="H84" s="136">
        <v>2467</v>
      </c>
      <c r="I84" s="136">
        <v>2536</v>
      </c>
      <c r="J84" s="136">
        <v>2290</v>
      </c>
      <c r="K84" s="136">
        <v>2560</v>
      </c>
      <c r="L84" s="136">
        <v>2683</v>
      </c>
      <c r="M84" s="136">
        <v>2238</v>
      </c>
      <c r="N84" s="136">
        <v>2587</v>
      </c>
      <c r="O84" s="136">
        <v>2322</v>
      </c>
      <c r="P84" s="136">
        <v>2514</v>
      </c>
      <c r="Q84" s="135">
        <f t="shared" si="41"/>
        <v>31067</v>
      </c>
      <c r="R84" s="136">
        <v>1520.78</v>
      </c>
      <c r="S84" s="136">
        <v>2898.48</v>
      </c>
      <c r="T84" s="136">
        <v>3203.07</v>
      </c>
      <c r="U84" s="136">
        <v>2693.97</v>
      </c>
      <c r="V84" s="136">
        <v>3765.72</v>
      </c>
      <c r="W84" s="136">
        <v>1816.36</v>
      </c>
      <c r="X84" s="72">
        <v>1675.58</v>
      </c>
      <c r="Y84" s="72">
        <v>1422.06</v>
      </c>
      <c r="Z84" s="72">
        <v>2987</v>
      </c>
      <c r="AA84" s="72">
        <v>2987</v>
      </c>
      <c r="AB84" s="72">
        <v>2987</v>
      </c>
      <c r="AC84" s="72">
        <v>2987</v>
      </c>
      <c r="AD84" s="127">
        <f t="shared" si="42"/>
        <v>30944.02</v>
      </c>
      <c r="AE84" s="72">
        <f t="shared" si="43"/>
        <v>122.97999999999956</v>
      </c>
      <c r="AF84" s="128">
        <f t="shared" si="44"/>
        <v>3.9742735429979543E-3</v>
      </c>
      <c r="AG84" s="129">
        <v>28347.25</v>
      </c>
      <c r="AH84" s="133">
        <f t="shared" si="33"/>
        <v>-2719.75</v>
      </c>
    </row>
    <row r="85" spans="1:34">
      <c r="A85" s="105" t="s">
        <v>340</v>
      </c>
      <c r="D85" s="105" t="s">
        <v>274</v>
      </c>
      <c r="E85" s="136">
        <v>0</v>
      </c>
      <c r="F85" s="136">
        <v>0</v>
      </c>
      <c r="G85" s="136">
        <v>0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0</v>
      </c>
      <c r="O85" s="136">
        <v>0</v>
      </c>
      <c r="P85" s="136">
        <v>0</v>
      </c>
      <c r="Q85" s="135">
        <f t="shared" si="41"/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136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72">
        <v>0</v>
      </c>
      <c r="AD85" s="127">
        <f t="shared" si="42"/>
        <v>0</v>
      </c>
      <c r="AE85" s="72">
        <f t="shared" si="43"/>
        <v>0</v>
      </c>
      <c r="AF85" s="128" t="e">
        <f t="shared" si="44"/>
        <v>#DIV/0!</v>
      </c>
      <c r="AG85" s="129">
        <v>0</v>
      </c>
      <c r="AH85" s="133">
        <f t="shared" si="33"/>
        <v>0</v>
      </c>
    </row>
    <row r="86" spans="1:34">
      <c r="D86" s="109" t="s">
        <v>275</v>
      </c>
      <c r="E86" s="135">
        <f t="shared" ref="E86:AD86" si="45">SUM(E78:E85)</f>
        <v>31869.949999999993</v>
      </c>
      <c r="F86" s="135">
        <f t="shared" si="45"/>
        <v>31761.949999999993</v>
      </c>
      <c r="G86" s="135">
        <f t="shared" si="45"/>
        <v>31247.949999999993</v>
      </c>
      <c r="H86" s="135">
        <f t="shared" si="45"/>
        <v>31136.949999999993</v>
      </c>
      <c r="I86" s="135">
        <f t="shared" si="45"/>
        <v>31205.949999999993</v>
      </c>
      <c r="J86" s="135">
        <f t="shared" si="45"/>
        <v>30959.949999999993</v>
      </c>
      <c r="K86" s="135">
        <f t="shared" si="45"/>
        <v>31840.160000000003</v>
      </c>
      <c r="L86" s="135">
        <f t="shared" si="45"/>
        <v>31580.1</v>
      </c>
      <c r="M86" s="135">
        <f t="shared" si="45"/>
        <v>31135.1</v>
      </c>
      <c r="N86" s="135">
        <f t="shared" si="45"/>
        <v>31484.1</v>
      </c>
      <c r="O86" s="135">
        <f t="shared" si="45"/>
        <v>31264.84</v>
      </c>
      <c r="P86" s="135">
        <f t="shared" si="45"/>
        <v>31411.1</v>
      </c>
      <c r="Q86" s="135">
        <f t="shared" si="45"/>
        <v>376898.09999999992</v>
      </c>
      <c r="R86" s="135">
        <f t="shared" si="45"/>
        <v>39484.709999999992</v>
      </c>
      <c r="S86" s="135">
        <f t="shared" si="45"/>
        <v>40862.409999999996</v>
      </c>
      <c r="T86" s="135">
        <f t="shared" si="45"/>
        <v>42530.3</v>
      </c>
      <c r="U86" s="135">
        <f t="shared" si="45"/>
        <v>42021.200000000004</v>
      </c>
      <c r="V86" s="135">
        <f t="shared" si="45"/>
        <v>43092.950000000004</v>
      </c>
      <c r="W86" s="135">
        <f t="shared" si="45"/>
        <v>39780.289999999994</v>
      </c>
      <c r="X86" s="135">
        <f t="shared" si="45"/>
        <v>38502.770000000004</v>
      </c>
      <c r="Y86" s="135">
        <f t="shared" si="45"/>
        <v>34507.94</v>
      </c>
      <c r="Z86" s="135">
        <f t="shared" si="45"/>
        <v>41934</v>
      </c>
      <c r="AA86" s="135">
        <f t="shared" si="45"/>
        <v>41934</v>
      </c>
      <c r="AB86" s="135">
        <f t="shared" si="45"/>
        <v>41934</v>
      </c>
      <c r="AC86" s="135">
        <f t="shared" si="45"/>
        <v>41934</v>
      </c>
      <c r="AD86" s="135">
        <f t="shared" si="45"/>
        <v>488518.57</v>
      </c>
      <c r="AE86" s="117">
        <f t="shared" si="43"/>
        <v>-111620.47000000009</v>
      </c>
      <c r="AF86" s="128">
        <f t="shared" si="44"/>
        <v>-0.22848767038681883</v>
      </c>
      <c r="AG86" s="129">
        <v>341387.35000000003</v>
      </c>
      <c r="AH86" s="133">
        <f t="shared" si="33"/>
        <v>-35510.749999999884</v>
      </c>
    </row>
    <row r="87" spans="1:34">
      <c r="D87" s="105" t="s">
        <v>154</v>
      </c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35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35"/>
      <c r="AF87" s="128"/>
      <c r="AG87" s="129"/>
      <c r="AH87" s="133">
        <f t="shared" si="33"/>
        <v>0</v>
      </c>
    </row>
    <row r="88" spans="1:34">
      <c r="A88" s="105" t="s">
        <v>342</v>
      </c>
      <c r="D88" s="105" t="s">
        <v>276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5">
        <f t="shared" ref="Q88:Q94" si="46">SUM(E88:P88)</f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136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72">
        <v>0</v>
      </c>
      <c r="AD88" s="127">
        <f t="shared" ref="AD88:AD96" si="47">SUM(R88:AC88)</f>
        <v>0</v>
      </c>
      <c r="AE88" s="72">
        <f t="shared" ref="AE88:AE98" si="48">Q88-AD88</f>
        <v>0</v>
      </c>
      <c r="AF88" s="128" t="e">
        <f t="shared" ref="AF88:AF98" si="49">AE88/AD88</f>
        <v>#DIV/0!</v>
      </c>
      <c r="AG88" s="129">
        <v>0</v>
      </c>
      <c r="AH88" s="133">
        <f t="shared" si="33"/>
        <v>0</v>
      </c>
    </row>
    <row r="89" spans="1:34">
      <c r="A89" s="105" t="s">
        <v>343</v>
      </c>
      <c r="D89" s="105" t="s">
        <v>277</v>
      </c>
      <c r="E89" s="136">
        <v>0</v>
      </c>
      <c r="F89" s="136">
        <v>0</v>
      </c>
      <c r="G89" s="136">
        <v>0</v>
      </c>
      <c r="H89" s="136">
        <v>0</v>
      </c>
      <c r="I89" s="136">
        <v>0</v>
      </c>
      <c r="J89" s="136">
        <v>0</v>
      </c>
      <c r="K89" s="136">
        <v>0</v>
      </c>
      <c r="L89" s="136">
        <v>0</v>
      </c>
      <c r="M89" s="136">
        <v>0</v>
      </c>
      <c r="N89" s="136">
        <v>0</v>
      </c>
      <c r="O89" s="136">
        <v>0</v>
      </c>
      <c r="P89" s="136">
        <v>0</v>
      </c>
      <c r="Q89" s="135">
        <f t="shared" si="46"/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136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72">
        <v>0</v>
      </c>
      <c r="AD89" s="127">
        <f t="shared" si="47"/>
        <v>0</v>
      </c>
      <c r="AE89" s="72">
        <f t="shared" si="48"/>
        <v>0</v>
      </c>
      <c r="AF89" s="128" t="e">
        <f t="shared" si="49"/>
        <v>#DIV/0!</v>
      </c>
      <c r="AG89" s="129">
        <v>0</v>
      </c>
      <c r="AH89" s="133">
        <f t="shared" si="33"/>
        <v>0</v>
      </c>
    </row>
    <row r="90" spans="1:34">
      <c r="A90" s="105" t="s">
        <v>344</v>
      </c>
      <c r="D90" s="105" t="s">
        <v>278</v>
      </c>
      <c r="E90" s="136">
        <v>0</v>
      </c>
      <c r="F90" s="136">
        <v>0</v>
      </c>
      <c r="G90" s="136">
        <v>0</v>
      </c>
      <c r="H90" s="136">
        <v>0</v>
      </c>
      <c r="I90" s="136">
        <v>0</v>
      </c>
      <c r="J90" s="136">
        <v>0</v>
      </c>
      <c r="K90" s="136">
        <v>0</v>
      </c>
      <c r="L90" s="136">
        <v>0</v>
      </c>
      <c r="M90" s="136">
        <v>0</v>
      </c>
      <c r="N90" s="136">
        <v>0</v>
      </c>
      <c r="O90" s="136">
        <v>0</v>
      </c>
      <c r="P90" s="136">
        <v>0</v>
      </c>
      <c r="Q90" s="135">
        <f t="shared" si="46"/>
        <v>0</v>
      </c>
      <c r="R90" s="136">
        <v>0</v>
      </c>
      <c r="S90" s="136">
        <v>0</v>
      </c>
      <c r="T90" s="136">
        <v>0</v>
      </c>
      <c r="U90" s="136">
        <v>0</v>
      </c>
      <c r="V90" s="136">
        <v>0</v>
      </c>
      <c r="W90" s="136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127">
        <f t="shared" si="47"/>
        <v>0</v>
      </c>
      <c r="AE90" s="72">
        <f t="shared" si="48"/>
        <v>0</v>
      </c>
      <c r="AF90" s="128" t="e">
        <f t="shared" si="49"/>
        <v>#DIV/0!</v>
      </c>
      <c r="AG90" s="129">
        <v>0</v>
      </c>
      <c r="AH90" s="133">
        <f t="shared" si="33"/>
        <v>0</v>
      </c>
    </row>
    <row r="91" spans="1:34">
      <c r="A91" s="105" t="s">
        <v>134</v>
      </c>
      <c r="B91" s="105" t="s">
        <v>256</v>
      </c>
      <c r="D91" s="105" t="s">
        <v>279</v>
      </c>
      <c r="E91" s="136">
        <v>266.66000000000003</v>
      </c>
      <c r="F91" s="136">
        <v>266.66000000000003</v>
      </c>
      <c r="G91" s="136">
        <v>266.66000000000003</v>
      </c>
      <c r="H91" s="136">
        <v>266.66000000000003</v>
      </c>
      <c r="I91" s="136">
        <v>266.66000000000003</v>
      </c>
      <c r="J91" s="136">
        <v>266.66000000000003</v>
      </c>
      <c r="K91" s="136">
        <v>266.66000000000003</v>
      </c>
      <c r="L91" s="136">
        <v>399.99</v>
      </c>
      <c r="M91" s="136">
        <v>399.99</v>
      </c>
      <c r="N91" s="136">
        <v>399.99</v>
      </c>
      <c r="O91" s="136">
        <v>399.99</v>
      </c>
      <c r="P91" s="136">
        <v>399.99</v>
      </c>
      <c r="Q91" s="135">
        <f t="shared" si="46"/>
        <v>3866.5699999999997</v>
      </c>
      <c r="R91" s="136">
        <v>290.2</v>
      </c>
      <c r="S91" s="136">
        <v>254</v>
      </c>
      <c r="T91" s="136">
        <v>272</v>
      </c>
      <c r="U91" s="136">
        <v>264</v>
      </c>
      <c r="V91" s="136">
        <v>272</v>
      </c>
      <c r="W91" s="136">
        <v>264</v>
      </c>
      <c r="X91" s="72">
        <v>272</v>
      </c>
      <c r="Y91" s="72">
        <v>272</v>
      </c>
      <c r="Z91" s="72">
        <v>267</v>
      </c>
      <c r="AA91" s="72">
        <v>267</v>
      </c>
      <c r="AB91" s="72">
        <v>267</v>
      </c>
      <c r="AC91" s="72">
        <v>267</v>
      </c>
      <c r="AD91" s="127">
        <f t="shared" si="47"/>
        <v>3228.2</v>
      </c>
      <c r="AE91" s="72">
        <f t="shared" si="48"/>
        <v>638.36999999999989</v>
      </c>
      <c r="AF91" s="128">
        <f t="shared" si="49"/>
        <v>0.19774797100551389</v>
      </c>
      <c r="AG91" s="129">
        <v>1733</v>
      </c>
      <c r="AH91" s="133">
        <f t="shared" si="33"/>
        <v>-2133.5699999999997</v>
      </c>
    </row>
    <row r="92" spans="1:34">
      <c r="A92" s="105" t="s">
        <v>135</v>
      </c>
      <c r="B92" s="105" t="s">
        <v>256</v>
      </c>
      <c r="D92" s="105" t="s">
        <v>280</v>
      </c>
      <c r="E92" s="136">
        <v>4049.83</v>
      </c>
      <c r="F92" s="136">
        <v>4049.83</v>
      </c>
      <c r="G92" s="136">
        <v>4049.83</v>
      </c>
      <c r="H92" s="136">
        <v>4049.83</v>
      </c>
      <c r="I92" s="136">
        <v>4049.83</v>
      </c>
      <c r="J92" s="136">
        <v>4049.83</v>
      </c>
      <c r="K92" s="136">
        <v>4049.83</v>
      </c>
      <c r="L92" s="136">
        <v>4049.83</v>
      </c>
      <c r="M92" s="136">
        <v>4049.83</v>
      </c>
      <c r="N92" s="136">
        <v>4049.83</v>
      </c>
      <c r="O92" s="136">
        <v>4049.83</v>
      </c>
      <c r="P92" s="136">
        <v>4049.83</v>
      </c>
      <c r="Q92" s="135">
        <f t="shared" si="46"/>
        <v>48597.960000000014</v>
      </c>
      <c r="R92" s="136">
        <v>207.36</v>
      </c>
      <c r="S92" s="136">
        <v>209.11</v>
      </c>
      <c r="T92" s="136">
        <v>226.21</v>
      </c>
      <c r="U92" s="136">
        <v>226.21</v>
      </c>
      <c r="V92" s="136">
        <v>236.09</v>
      </c>
      <c r="W92" s="136">
        <v>237.12</v>
      </c>
      <c r="X92" s="72">
        <v>239.75</v>
      </c>
      <c r="Y92" s="72">
        <v>215.47</v>
      </c>
      <c r="Z92" s="72">
        <v>146</v>
      </c>
      <c r="AA92" s="72">
        <v>146</v>
      </c>
      <c r="AB92" s="72">
        <v>146</v>
      </c>
      <c r="AC92" s="72">
        <v>146</v>
      </c>
      <c r="AD92" s="127">
        <f t="shared" si="47"/>
        <v>2381.3199999999997</v>
      </c>
      <c r="AE92" s="72">
        <f t="shared" si="48"/>
        <v>46216.640000000014</v>
      </c>
      <c r="AF92" s="128">
        <f t="shared" si="49"/>
        <v>19.407992206003403</v>
      </c>
      <c r="AG92" s="129">
        <v>26615.260000000002</v>
      </c>
      <c r="AH92" s="133">
        <f t="shared" si="33"/>
        <v>-21982.700000000012</v>
      </c>
    </row>
    <row r="93" spans="1:34">
      <c r="A93" s="105" t="s">
        <v>281</v>
      </c>
      <c r="B93" s="105" t="s">
        <v>256</v>
      </c>
      <c r="D93" s="105" t="s">
        <v>282</v>
      </c>
      <c r="E93" s="176">
        <v>3254</v>
      </c>
      <c r="F93" s="176">
        <v>2992</v>
      </c>
      <c r="G93" s="176">
        <v>3033</v>
      </c>
      <c r="H93" s="176">
        <v>3419</v>
      </c>
      <c r="I93" s="176">
        <v>3537</v>
      </c>
      <c r="J93" s="176">
        <v>3353</v>
      </c>
      <c r="K93" s="176">
        <v>3370</v>
      </c>
      <c r="L93" s="176">
        <v>3440</v>
      </c>
      <c r="M93" s="176">
        <v>3441</v>
      </c>
      <c r="N93" s="176">
        <v>3457</v>
      </c>
      <c r="O93" s="176">
        <v>3209</v>
      </c>
      <c r="P93" s="176">
        <v>3201</v>
      </c>
      <c r="Q93" s="135">
        <f t="shared" si="46"/>
        <v>39706</v>
      </c>
      <c r="R93" s="136">
        <v>2158.79</v>
      </c>
      <c r="S93" s="136">
        <v>3157.32</v>
      </c>
      <c r="T93" s="136">
        <v>3143.43</v>
      </c>
      <c r="U93" s="136">
        <v>3626.37</v>
      </c>
      <c r="V93" s="136">
        <v>3493.7</v>
      </c>
      <c r="W93" s="136">
        <v>4298.49</v>
      </c>
      <c r="X93" s="72">
        <v>2959.56</v>
      </c>
      <c r="Y93" s="72">
        <v>2630</v>
      </c>
      <c r="Z93" s="72">
        <v>3049</v>
      </c>
      <c r="AA93" s="72">
        <v>2899</v>
      </c>
      <c r="AB93" s="72">
        <v>2711</v>
      </c>
      <c r="AC93" s="72">
        <v>2712</v>
      </c>
      <c r="AD93" s="127">
        <f t="shared" si="47"/>
        <v>36838.660000000003</v>
      </c>
      <c r="AE93" s="72">
        <f t="shared" si="48"/>
        <v>2867.3399999999965</v>
      </c>
      <c r="AF93" s="128">
        <f t="shared" si="49"/>
        <v>7.7835078691787282E-2</v>
      </c>
      <c r="AG93" s="129">
        <v>38467.170000000006</v>
      </c>
      <c r="AH93" s="133">
        <f t="shared" si="33"/>
        <v>-1238.8299999999945</v>
      </c>
    </row>
    <row r="94" spans="1:34">
      <c r="A94" s="105" t="s">
        <v>137</v>
      </c>
      <c r="B94" s="105" t="s">
        <v>256</v>
      </c>
      <c r="D94" s="105" t="s">
        <v>283</v>
      </c>
      <c r="E94" s="176">
        <v>12110.36</v>
      </c>
      <c r="F94" s="176">
        <v>10324.36</v>
      </c>
      <c r="G94" s="176">
        <v>10346.74</v>
      </c>
      <c r="H94" s="176">
        <v>10498.74</v>
      </c>
      <c r="I94" s="176">
        <v>11236.36</v>
      </c>
      <c r="J94" s="176">
        <v>10505.76</v>
      </c>
      <c r="K94" s="176">
        <v>10439.76</v>
      </c>
      <c r="L94" s="176">
        <v>10429.76</v>
      </c>
      <c r="M94" s="176">
        <v>10497.76</v>
      </c>
      <c r="N94" s="176">
        <v>12089.79</v>
      </c>
      <c r="O94" s="176">
        <v>10466.74</v>
      </c>
      <c r="P94" s="176">
        <v>10457.74</v>
      </c>
      <c r="Q94" s="135">
        <f t="shared" si="46"/>
        <v>129403.87</v>
      </c>
      <c r="R94" s="136">
        <v>11186.69</v>
      </c>
      <c r="S94" s="136">
        <v>13375.83</v>
      </c>
      <c r="T94" s="136">
        <v>13873.5</v>
      </c>
      <c r="U94" s="136">
        <v>13388.65</v>
      </c>
      <c r="V94" s="136">
        <v>9922.5</v>
      </c>
      <c r="W94" s="136">
        <v>11253.28</v>
      </c>
      <c r="X94" s="72">
        <v>11374.41</v>
      </c>
      <c r="Y94" s="72">
        <v>10519.2</v>
      </c>
      <c r="Z94" s="72">
        <v>12486</v>
      </c>
      <c r="AA94" s="72">
        <v>13780</v>
      </c>
      <c r="AB94" s="72">
        <v>12643</v>
      </c>
      <c r="AC94" s="72">
        <v>12643</v>
      </c>
      <c r="AD94" s="127">
        <f t="shared" si="47"/>
        <v>146446.06</v>
      </c>
      <c r="AE94" s="72">
        <f t="shared" si="48"/>
        <v>-17042.190000000002</v>
      </c>
      <c r="AF94" s="128">
        <f t="shared" si="49"/>
        <v>-0.1163717890395959</v>
      </c>
      <c r="AG94" s="129">
        <v>217445.33999999997</v>
      </c>
      <c r="AH94" s="133">
        <f t="shared" si="33"/>
        <v>88041.469999999972</v>
      </c>
    </row>
    <row r="95" spans="1:34">
      <c r="A95" s="105" t="s">
        <v>345</v>
      </c>
      <c r="D95" s="105" t="s">
        <v>139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40">
        <v>0</v>
      </c>
      <c r="L95" s="140">
        <v>0</v>
      </c>
      <c r="M95" s="140">
        <v>0</v>
      </c>
      <c r="N95" s="140">
        <v>0</v>
      </c>
      <c r="O95" s="140">
        <v>0</v>
      </c>
      <c r="P95" s="140">
        <v>0</v>
      </c>
      <c r="Q95" s="135"/>
      <c r="R95" s="136"/>
      <c r="S95" s="136"/>
      <c r="T95" s="136"/>
      <c r="U95" s="136"/>
      <c r="V95" s="136"/>
      <c r="W95" s="136"/>
      <c r="X95" s="72">
        <v>0</v>
      </c>
      <c r="Y95" s="72">
        <v>0</v>
      </c>
      <c r="Z95" s="72">
        <v>0</v>
      </c>
      <c r="AA95" s="72">
        <v>0</v>
      </c>
      <c r="AB95" s="72">
        <v>0</v>
      </c>
      <c r="AC95" s="72">
        <v>0</v>
      </c>
      <c r="AD95" s="127">
        <f t="shared" si="47"/>
        <v>0</v>
      </c>
      <c r="AE95" s="72">
        <f t="shared" si="48"/>
        <v>0</v>
      </c>
      <c r="AF95" s="128" t="e">
        <f t="shared" si="49"/>
        <v>#DIV/0!</v>
      </c>
      <c r="AG95" s="129">
        <v>0</v>
      </c>
      <c r="AH95" s="133">
        <f t="shared" si="33"/>
        <v>0</v>
      </c>
    </row>
    <row r="96" spans="1:34">
      <c r="A96" s="105" t="s">
        <v>343</v>
      </c>
      <c r="D96" s="105" t="s">
        <v>285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40">
        <v>0</v>
      </c>
      <c r="L96" s="140">
        <v>0</v>
      </c>
      <c r="M96" s="140">
        <v>0</v>
      </c>
      <c r="N96" s="140">
        <v>0</v>
      </c>
      <c r="O96" s="140">
        <v>0</v>
      </c>
      <c r="P96" s="140">
        <v>0</v>
      </c>
      <c r="Q96" s="135"/>
      <c r="R96" s="136"/>
      <c r="S96" s="136"/>
      <c r="T96" s="136"/>
      <c r="U96" s="136"/>
      <c r="V96" s="136"/>
      <c r="W96" s="136"/>
      <c r="X96" s="72">
        <v>0</v>
      </c>
      <c r="Y96" s="72">
        <v>0</v>
      </c>
      <c r="Z96" s="72">
        <v>0</v>
      </c>
      <c r="AA96" s="72">
        <v>0</v>
      </c>
      <c r="AB96" s="72">
        <v>0</v>
      </c>
      <c r="AC96" s="72">
        <v>0</v>
      </c>
      <c r="AD96" s="127">
        <f t="shared" si="47"/>
        <v>0</v>
      </c>
      <c r="AE96" s="72">
        <f t="shared" si="48"/>
        <v>0</v>
      </c>
      <c r="AF96" s="128" t="e">
        <f t="shared" si="49"/>
        <v>#DIV/0!</v>
      </c>
      <c r="AG96" s="129">
        <v>0</v>
      </c>
      <c r="AH96" s="133">
        <f t="shared" si="33"/>
        <v>0</v>
      </c>
    </row>
    <row r="97" spans="1:34">
      <c r="D97" s="109" t="s">
        <v>286</v>
      </c>
      <c r="E97" s="135">
        <f t="shared" ref="E97:P97" si="50">SUM(E88:E96)</f>
        <v>19680.849999999999</v>
      </c>
      <c r="F97" s="135">
        <f t="shared" si="50"/>
        <v>17632.849999999999</v>
      </c>
      <c r="G97" s="135">
        <f t="shared" si="50"/>
        <v>17696.23</v>
      </c>
      <c r="H97" s="135">
        <f t="shared" si="50"/>
        <v>18234.23</v>
      </c>
      <c r="I97" s="135">
        <f t="shared" si="50"/>
        <v>19089.849999999999</v>
      </c>
      <c r="J97" s="135">
        <f t="shared" si="50"/>
        <v>18175.25</v>
      </c>
      <c r="K97" s="135">
        <f t="shared" si="50"/>
        <v>18126.25</v>
      </c>
      <c r="L97" s="135">
        <f t="shared" si="50"/>
        <v>18319.580000000002</v>
      </c>
      <c r="M97" s="135">
        <f t="shared" si="50"/>
        <v>18388.580000000002</v>
      </c>
      <c r="N97" s="135">
        <f t="shared" si="50"/>
        <v>19996.61</v>
      </c>
      <c r="O97" s="135">
        <f t="shared" si="50"/>
        <v>18125.559999999998</v>
      </c>
      <c r="P97" s="135">
        <f t="shared" si="50"/>
        <v>18108.559999999998</v>
      </c>
      <c r="Q97" s="135">
        <f>SUM(Q88:Q96)</f>
        <v>221574.40000000002</v>
      </c>
      <c r="R97" s="135">
        <f t="shared" ref="R97:AD97" si="51">SUM(R88:R96)</f>
        <v>13843.04</v>
      </c>
      <c r="S97" s="135">
        <f t="shared" si="51"/>
        <v>16996.260000000002</v>
      </c>
      <c r="T97" s="135">
        <f t="shared" si="51"/>
        <v>17515.14</v>
      </c>
      <c r="U97" s="135">
        <f t="shared" si="51"/>
        <v>17505.23</v>
      </c>
      <c r="V97" s="135">
        <f t="shared" si="51"/>
        <v>13924.29</v>
      </c>
      <c r="W97" s="135">
        <f t="shared" si="51"/>
        <v>16052.89</v>
      </c>
      <c r="X97" s="135">
        <f t="shared" si="51"/>
        <v>14845.72</v>
      </c>
      <c r="Y97" s="135">
        <f t="shared" si="51"/>
        <v>13636.670000000002</v>
      </c>
      <c r="Z97" s="135">
        <f t="shared" si="51"/>
        <v>15948</v>
      </c>
      <c r="AA97" s="135">
        <f t="shared" si="51"/>
        <v>17092</v>
      </c>
      <c r="AB97" s="135">
        <f t="shared" si="51"/>
        <v>15767</v>
      </c>
      <c r="AC97" s="135">
        <f t="shared" si="51"/>
        <v>15768</v>
      </c>
      <c r="AD97" s="135">
        <f t="shared" si="51"/>
        <v>188894.24</v>
      </c>
      <c r="AE97" s="117">
        <f t="shared" si="48"/>
        <v>32680.160000000033</v>
      </c>
      <c r="AF97" s="128">
        <f t="shared" si="49"/>
        <v>0.17300771055803518</v>
      </c>
      <c r="AG97" s="129">
        <v>284260.76999999996</v>
      </c>
      <c r="AH97" s="133">
        <f t="shared" si="33"/>
        <v>62686.369999999937</v>
      </c>
    </row>
    <row r="98" spans="1:34">
      <c r="D98" s="109" t="s">
        <v>287</v>
      </c>
      <c r="E98" s="135">
        <f t="shared" ref="E98:AD98" si="52">E76+E86+E97+E69</f>
        <v>211530.15</v>
      </c>
      <c r="F98" s="135">
        <f t="shared" si="52"/>
        <v>204018.13</v>
      </c>
      <c r="G98" s="135">
        <f t="shared" si="52"/>
        <v>177840.59</v>
      </c>
      <c r="H98" s="135">
        <f t="shared" si="52"/>
        <v>172719.86</v>
      </c>
      <c r="I98" s="135">
        <f t="shared" si="52"/>
        <v>177116.72999999998</v>
      </c>
      <c r="J98" s="135">
        <f t="shared" si="52"/>
        <v>163618.60999999999</v>
      </c>
      <c r="K98" s="135">
        <f t="shared" si="52"/>
        <v>177948.82</v>
      </c>
      <c r="L98" s="135">
        <f t="shared" si="52"/>
        <v>184061.90999999997</v>
      </c>
      <c r="M98" s="135">
        <f t="shared" si="52"/>
        <v>161405.90999999997</v>
      </c>
      <c r="N98" s="135">
        <f t="shared" si="52"/>
        <v>180832.65</v>
      </c>
      <c r="O98" s="135">
        <f t="shared" si="52"/>
        <v>165489.63</v>
      </c>
      <c r="P98" s="135">
        <f t="shared" si="52"/>
        <v>175214.88999999998</v>
      </c>
      <c r="Q98" s="135">
        <f t="shared" si="52"/>
        <v>2151797.88</v>
      </c>
      <c r="R98" s="135">
        <f t="shared" si="52"/>
        <v>208519.47</v>
      </c>
      <c r="S98" s="135">
        <f t="shared" si="52"/>
        <v>249530.22</v>
      </c>
      <c r="T98" s="135">
        <f t="shared" si="52"/>
        <v>175417.54</v>
      </c>
      <c r="U98" s="135">
        <f t="shared" si="52"/>
        <v>173339.2</v>
      </c>
      <c r="V98" s="135">
        <f t="shared" si="52"/>
        <v>188907.23</v>
      </c>
      <c r="W98" s="135">
        <f t="shared" si="52"/>
        <v>155141.5</v>
      </c>
      <c r="X98" s="135">
        <f t="shared" si="52"/>
        <v>168485.07</v>
      </c>
      <c r="Y98" s="135">
        <f t="shared" si="52"/>
        <v>159390.72999999998</v>
      </c>
      <c r="Z98" s="135">
        <f t="shared" si="52"/>
        <v>171559</v>
      </c>
      <c r="AA98" s="135">
        <f t="shared" si="52"/>
        <v>190801</v>
      </c>
      <c r="AB98" s="135">
        <f t="shared" si="52"/>
        <v>176145</v>
      </c>
      <c r="AC98" s="135">
        <f t="shared" si="52"/>
        <v>187591</v>
      </c>
      <c r="AD98" s="135">
        <f t="shared" si="52"/>
        <v>2204826.96</v>
      </c>
      <c r="AE98" s="117">
        <f t="shared" si="48"/>
        <v>-53029.080000000075</v>
      </c>
      <c r="AF98" s="128">
        <f t="shared" si="49"/>
        <v>-2.4051356846616242E-2</v>
      </c>
      <c r="AG98" s="129">
        <v>2060776.2100000002</v>
      </c>
      <c r="AH98" s="133">
        <f t="shared" si="33"/>
        <v>-91021.669999999693</v>
      </c>
    </row>
    <row r="99" spans="1:34">
      <c r="D99" s="105" t="s">
        <v>154</v>
      </c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35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35"/>
      <c r="AF99" s="128"/>
      <c r="AG99" s="129"/>
      <c r="AH99" s="133">
        <f t="shared" si="33"/>
        <v>0</v>
      </c>
    </row>
    <row r="100" spans="1:34">
      <c r="D100" s="105" t="s">
        <v>154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35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35"/>
      <c r="AF100" s="128"/>
      <c r="AG100" s="129"/>
      <c r="AH100" s="133">
        <f t="shared" si="33"/>
        <v>0</v>
      </c>
    </row>
    <row r="101" spans="1:34" s="109" customFormat="1">
      <c r="A101" s="109" t="s">
        <v>141</v>
      </c>
      <c r="B101" s="109" t="s">
        <v>256</v>
      </c>
      <c r="D101" s="109" t="s">
        <v>288</v>
      </c>
      <c r="E101" s="136">
        <v>11</v>
      </c>
      <c r="F101" s="136">
        <v>11</v>
      </c>
      <c r="G101" s="136">
        <v>11</v>
      </c>
      <c r="H101" s="136">
        <v>11</v>
      </c>
      <c r="I101" s="136">
        <v>11</v>
      </c>
      <c r="J101" s="136">
        <v>11</v>
      </c>
      <c r="K101" s="136">
        <v>11</v>
      </c>
      <c r="L101" s="136">
        <v>11</v>
      </c>
      <c r="M101" s="136">
        <v>11</v>
      </c>
      <c r="N101" s="136">
        <v>11</v>
      </c>
      <c r="O101" s="136">
        <v>11</v>
      </c>
      <c r="P101" s="136">
        <v>11</v>
      </c>
      <c r="Q101" s="137">
        <f>SUM(E101:P101)/12</f>
        <v>11</v>
      </c>
      <c r="R101" s="137">
        <v>11</v>
      </c>
      <c r="S101" s="137">
        <v>11</v>
      </c>
      <c r="T101" s="137">
        <v>12</v>
      </c>
      <c r="U101" s="137">
        <v>12</v>
      </c>
      <c r="V101" s="137">
        <v>12</v>
      </c>
      <c r="W101" s="137">
        <v>12</v>
      </c>
      <c r="X101" s="127">
        <v>12</v>
      </c>
      <c r="Y101" s="127">
        <v>11</v>
      </c>
      <c r="Z101" s="127">
        <v>11</v>
      </c>
      <c r="AA101" s="127">
        <v>11</v>
      </c>
      <c r="AB101" s="127">
        <v>11</v>
      </c>
      <c r="AC101" s="127">
        <v>11</v>
      </c>
      <c r="AD101" s="127">
        <f>SUM(R101:AC101)/12</f>
        <v>11.416666666666666</v>
      </c>
      <c r="AE101" s="127">
        <f t="shared" ref="AE101" si="53">Q101-AD101</f>
        <v>-0.41666666666666607</v>
      </c>
      <c r="AF101" s="132">
        <f t="shared" ref="AF101" si="54">AE101/AD101</f>
        <v>-3.6496350364963452E-2</v>
      </c>
      <c r="AG101" s="129">
        <v>13.166666666666666</v>
      </c>
      <c r="AH101" s="133">
        <f t="shared" si="33"/>
        <v>2.1666666666666661</v>
      </c>
    </row>
    <row r="102" spans="1:34">
      <c r="D102" s="105" t="s">
        <v>154</v>
      </c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35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35"/>
      <c r="AG102" s="168"/>
      <c r="AH102" s="133"/>
    </row>
    <row r="103" spans="1:34">
      <c r="Q103" s="117">
        <f>Q98/Q101</f>
        <v>195617.98909090908</v>
      </c>
      <c r="AD103" s="117">
        <f>AD98/AD101</f>
        <v>193123.52934306569</v>
      </c>
      <c r="AH103" s="133"/>
    </row>
    <row r="104" spans="1:34">
      <c r="AH104" s="133"/>
    </row>
    <row r="105" spans="1:34">
      <c r="D105" s="105" t="s">
        <v>172</v>
      </c>
      <c r="E105" s="116">
        <v>38158990</v>
      </c>
      <c r="F105" s="116">
        <v>28680652</v>
      </c>
      <c r="G105" s="116">
        <v>20100995</v>
      </c>
      <c r="H105" s="116">
        <v>16463034</v>
      </c>
      <c r="I105" s="116">
        <v>14271847</v>
      </c>
      <c r="J105" s="116">
        <v>13902001</v>
      </c>
      <c r="K105" s="116">
        <v>18703720</v>
      </c>
      <c r="L105" s="116">
        <v>22425016</v>
      </c>
      <c r="M105" s="116">
        <v>13222560</v>
      </c>
      <c r="N105" s="116">
        <v>17691055</v>
      </c>
      <c r="O105" s="116">
        <v>15672384</v>
      </c>
      <c r="P105" s="116">
        <v>25838748</v>
      </c>
      <c r="Q105" s="135">
        <f>SUM(E105:P105)</f>
        <v>245131002</v>
      </c>
      <c r="R105" s="140"/>
      <c r="S105" s="140"/>
      <c r="T105" s="140"/>
      <c r="U105" s="140"/>
      <c r="V105" s="140"/>
      <c r="W105" s="140"/>
      <c r="X105" s="140"/>
      <c r="Y105" s="116">
        <f>'Rooms+Summary'!Y15</f>
        <v>27004827.07</v>
      </c>
      <c r="Z105" s="116">
        <f>'Rooms+Summary'!Z15</f>
        <v>13001555</v>
      </c>
      <c r="AA105" s="182">
        <f>'Rooms+Summary'!AA15</f>
        <v>16010575</v>
      </c>
      <c r="AB105" s="182">
        <f>'Rooms+Summary'!AB15</f>
        <v>14455937</v>
      </c>
      <c r="AC105" s="182">
        <f>'Rooms+Summary'!AC15</f>
        <v>17813000</v>
      </c>
      <c r="AD105" s="127">
        <f>SUM(Y105:AC105)</f>
        <v>88285894.069999993</v>
      </c>
      <c r="AH105" s="133"/>
    </row>
    <row r="106" spans="1:34">
      <c r="V106" s="171">
        <v>1898.4285714285713</v>
      </c>
      <c r="AH106" s="133"/>
    </row>
    <row r="107" spans="1:34">
      <c r="D107" s="151" t="s">
        <v>346</v>
      </c>
      <c r="E107" s="116">
        <v>219</v>
      </c>
      <c r="F107" s="116">
        <v>219</v>
      </c>
      <c r="G107" s="116">
        <v>219</v>
      </c>
      <c r="H107" s="116">
        <v>219</v>
      </c>
      <c r="I107" s="116">
        <v>219</v>
      </c>
      <c r="J107" s="116">
        <v>219</v>
      </c>
      <c r="K107" s="116">
        <v>219</v>
      </c>
      <c r="L107" s="116">
        <v>219</v>
      </c>
      <c r="M107" s="116">
        <v>219</v>
      </c>
      <c r="N107" s="116">
        <v>219</v>
      </c>
      <c r="O107" s="116">
        <v>219</v>
      </c>
      <c r="P107" s="116">
        <v>219</v>
      </c>
      <c r="Q107" s="135">
        <f t="shared" ref="Q107:Q109" si="55">SUM(E107:P107)</f>
        <v>2628</v>
      </c>
      <c r="AH107" s="133"/>
    </row>
    <row r="108" spans="1:34">
      <c r="D108" s="152" t="s">
        <v>312</v>
      </c>
      <c r="E108" s="116">
        <v>0</v>
      </c>
      <c r="F108" s="116">
        <v>0</v>
      </c>
      <c r="G108" s="116">
        <v>0</v>
      </c>
      <c r="H108" s="116">
        <v>0</v>
      </c>
      <c r="I108" s="116">
        <v>0</v>
      </c>
      <c r="J108" s="116">
        <v>0</v>
      </c>
      <c r="K108" s="116">
        <v>0</v>
      </c>
      <c r="L108" s="116">
        <v>0</v>
      </c>
      <c r="M108" s="116">
        <v>0</v>
      </c>
      <c r="N108" s="116">
        <v>0</v>
      </c>
      <c r="O108" s="116">
        <v>0</v>
      </c>
      <c r="P108" s="116">
        <v>0</v>
      </c>
      <c r="Q108" s="135">
        <f t="shared" si="55"/>
        <v>0</v>
      </c>
      <c r="AH108" s="133"/>
    </row>
    <row r="109" spans="1:34">
      <c r="D109" s="151" t="s">
        <v>347</v>
      </c>
      <c r="E109" s="116">
        <v>10306.790000000001</v>
      </c>
      <c r="F109" s="116">
        <v>8829.83</v>
      </c>
      <c r="G109" s="116">
        <v>8851.83</v>
      </c>
      <c r="H109" s="116">
        <v>8976.83</v>
      </c>
      <c r="I109" s="116">
        <v>10327.790000000001</v>
      </c>
      <c r="J109" s="116">
        <v>8949.83</v>
      </c>
      <c r="K109" s="116">
        <v>8941.83</v>
      </c>
      <c r="L109" s="116">
        <v>8958.83</v>
      </c>
      <c r="M109" s="116">
        <v>8970.83</v>
      </c>
      <c r="N109" s="116">
        <v>10413.790000000001</v>
      </c>
      <c r="O109" s="116">
        <v>8917.83</v>
      </c>
      <c r="P109" s="116">
        <v>8913.83</v>
      </c>
      <c r="Q109" s="135">
        <f t="shared" si="55"/>
        <v>111359.84000000003</v>
      </c>
      <c r="AH109" s="133"/>
    </row>
    <row r="110" spans="1:34">
      <c r="AH110" s="133"/>
    </row>
    <row r="111" spans="1:34">
      <c r="AH111" s="133"/>
    </row>
    <row r="112" spans="1:34">
      <c r="AH112" s="133"/>
    </row>
    <row r="113" spans="34:34">
      <c r="AH113" s="133"/>
    </row>
    <row r="114" spans="34:34">
      <c r="AH114" s="133"/>
    </row>
    <row r="115" spans="34:34">
      <c r="AH115" s="133"/>
    </row>
    <row r="116" spans="34:34">
      <c r="AH116" s="133"/>
    </row>
    <row r="117" spans="34:34">
      <c r="AH117" s="133"/>
    </row>
    <row r="118" spans="34:34">
      <c r="AH118" s="133"/>
    </row>
    <row r="119" spans="34:34">
      <c r="AH119" s="133"/>
    </row>
    <row r="120" spans="34:34">
      <c r="AH120" s="133"/>
    </row>
    <row r="121" spans="34:34">
      <c r="AH121" s="133"/>
    </row>
    <row r="122" spans="34:34">
      <c r="AH122" s="133"/>
    </row>
    <row r="123" spans="34:34">
      <c r="AH123" s="133"/>
    </row>
    <row r="124" spans="34:34">
      <c r="AH124" s="133"/>
    </row>
    <row r="125" spans="34:34">
      <c r="AH125" s="133"/>
    </row>
    <row r="126" spans="34:34">
      <c r="AH126" s="133"/>
    </row>
    <row r="127" spans="34:34">
      <c r="AH127" s="133"/>
    </row>
    <row r="128" spans="34:34">
      <c r="AH128" s="133"/>
    </row>
    <row r="129" spans="34:34">
      <c r="AH129" s="133"/>
    </row>
    <row r="130" spans="34:34">
      <c r="AH130" s="133"/>
    </row>
  </sheetData>
  <phoneticPr fontId="7" type="noConversion"/>
  <dataValidations count="193">
    <dataValidation type="textLength" errorStyle="information" allowBlank="1" showInputMessage="1" showErrorMessage="1" error="XLBVal:6=290.2_x000d__x000a_" sqref="R91">
      <formula1>0</formula1>
      <formula2>300</formula2>
    </dataValidation>
    <dataValidation type="textLength" errorStyle="information" allowBlank="1" showInputMessage="1" showErrorMessage="1" error="XLBVal:6=5070_x000d__x000a_" sqref="R73">
      <formula1>0</formula1>
      <formula2>300</formula2>
    </dataValidation>
    <dataValidation type="textLength" errorStyle="information" allowBlank="1" showInputMessage="1" showErrorMessage="1" error="XLBVal:6=41441.38_x000d__x000a_" sqref="S64 U64">
      <formula1>0</formula1>
      <formula2>300</formula2>
    </dataValidation>
    <dataValidation type="textLength" errorStyle="information" allowBlank="1" showInputMessage="1" showErrorMessage="1" error="XLBVal:6=8_x000d__x000a_" sqref="W51">
      <formula1>0</formula1>
      <formula2>300</formula2>
    </dataValidation>
    <dataValidation type="textLength" errorStyle="information" allowBlank="1" showInputMessage="1" showErrorMessage="1" error="XLBVal:6=7_x000d__x000a_" sqref="S51">
      <formula1>0</formula1>
      <formula2>300</formula2>
    </dataValidation>
    <dataValidation type="textLength" errorStyle="information" allowBlank="1" showInputMessage="1" showErrorMessage="1" error="XLBVal:6=1471.32_x000d__x000a_" sqref="V43">
      <formula1>0</formula1>
      <formula2>300</formula2>
    </dataValidation>
    <dataValidation type="textLength" errorStyle="information" allowBlank="1" showInputMessage="1" showErrorMessage="1" error="XLBVal:6=1039.12_x000d__x000a_" sqref="S43">
      <formula1>0</formula1>
      <formula2>300</formula2>
    </dataValidation>
    <dataValidation type="textLength" errorStyle="information" allowBlank="1" showInputMessage="1" showErrorMessage="1" error="XLBVal:6=0_x000d__x000a_" sqref="U34">
      <formula1>0</formula1>
      <formula2>300</formula2>
    </dataValidation>
    <dataValidation type="textLength" errorStyle="information" allowBlank="1" showInputMessage="1" showErrorMessage="1" error="XLBVal:6=2551.8_x000d__x000a_" sqref="U22">
      <formula1>0</formula1>
      <formula2>300</formula2>
    </dataValidation>
    <dataValidation type="textLength" errorStyle="information" allowBlank="1" showInputMessage="1" showErrorMessage="1" error="XLBVal:6=2994.06_x000d__x000a_" sqref="T22">
      <formula1>0</formula1>
      <formula2>300</formula2>
    </dataValidation>
    <dataValidation type="textLength" errorStyle="information" allowBlank="1" showInputMessage="1" showErrorMessage="1" error="XLBVal:6=12634.18_x000d__x000a_" sqref="R22">
      <formula1>0</formula1>
      <formula2>300</formula2>
    </dataValidation>
    <dataValidation type="textLength" errorStyle="information" allowBlank="1" showInputMessage="1" showErrorMessage="1" error="XLBVal:6=264_x000d__x000a_" sqref="U91 W91">
      <formula1>0</formula1>
      <formula2>300</formula2>
    </dataValidation>
    <dataValidation type="textLength" errorStyle="information" allowBlank="1" showInputMessage="1" showErrorMessage="1" error="XLBVal:6=11664.33_x000d__x000a_" sqref="W72">
      <formula1>0</formula1>
      <formula2>300</formula2>
    </dataValidation>
    <dataValidation type="textLength" errorStyle="information" allowBlank="1" showInputMessage="1" showErrorMessage="1" error="XLBVal:6=11681.16_x000d__x000a_" sqref="V72">
      <formula1>0</formula1>
      <formula2>300</formula2>
    </dataValidation>
    <dataValidation type="textLength" errorStyle="information" allowBlank="1" showInputMessage="1" showErrorMessage="1" error="XLBVal:6=11697.83_x000d__x000a_" sqref="U72">
      <formula1>0</formula1>
      <formula2>300</formula2>
    </dataValidation>
    <dataValidation type="textLength" errorStyle="information" allowBlank="1" showInputMessage="1" showErrorMessage="1" error="XLBVal:6=3668.94_x000d__x000a_" sqref="R71">
      <formula1>0</formula1>
      <formula2>300</formula2>
    </dataValidation>
    <dataValidation type="textLength" errorStyle="information" allowBlank="1" showInputMessage="1" showErrorMessage="1" error="XLBVal:6=65_x000d__x000a_" sqref="U54">
      <formula1>0</formula1>
      <formula2>300</formula2>
    </dataValidation>
    <dataValidation type="textLength" errorStyle="information" allowBlank="1" showInputMessage="1" showErrorMessage="1" error="XLBVal:6=43_x000d__x000a_" sqref="S54">
      <formula1>0</formula1>
      <formula2>300</formula2>
    </dataValidation>
    <dataValidation type="textLength" errorStyle="information" allowBlank="1" showInputMessage="1" showErrorMessage="1" error="XLBVal:6=53_x000d__x000a_" sqref="V53">
      <formula1>0</formula1>
      <formula2>300</formula2>
    </dataValidation>
    <dataValidation type="textLength" errorStyle="information" allowBlank="1" showInputMessage="1" showErrorMessage="1" error="XLBVal:6=24_x000d__x000a_" sqref="V51">
      <formula1>0</formula1>
      <formula2>300</formula2>
    </dataValidation>
    <dataValidation type="textLength" errorStyle="information" allowBlank="1" showInputMessage="1" showErrorMessage="1" error="XLBVal:6=48_x000d__x000a_" sqref="AC54">
      <formula1>0</formula1>
      <formula2>300</formula2>
    </dataValidation>
    <dataValidation type="textLength" errorStyle="information" allowBlank="1" showInputMessage="1" showErrorMessage="1" error="XLBVal:6=121_x000d__x000a_" sqref="AC53">
      <formula1>0</formula1>
      <formula2>300</formula2>
    </dataValidation>
    <dataValidation type="textLength" errorStyle="information" allowBlank="1" showInputMessage="1" showErrorMessage="1" error="XLBVal:6=16116_x000d__x000a_" sqref="AC52">
      <formula1>0</formula1>
      <formula2>300</formula2>
    </dataValidation>
    <dataValidation type="textLength" errorStyle="information" allowBlank="1" showInputMessage="1" showErrorMessage="1" error="XLBVal:6=27_x000d__x000a_" sqref="AC51">
      <formula1>0</formula1>
      <formula2>300</formula2>
    </dataValidation>
    <dataValidation type="textLength" errorStyle="information" allowBlank="1" showInputMessage="1" showErrorMessage="1" error="XLBVal:6=1321_x000d__x000a_" sqref="AC50">
      <formula1>0</formula1>
      <formula2>300</formula2>
    </dataValidation>
    <dataValidation type="textLength" errorStyle="information" allowBlank="1" showInputMessage="1" showErrorMessage="1" error="XLBVal:6=58_x000d__x000a_" sqref="AB54">
      <formula1>0</formula1>
      <formula2>300</formula2>
    </dataValidation>
    <dataValidation type="textLength" errorStyle="information" allowBlank="1" showInputMessage="1" showErrorMessage="1" error="XLBVal:6=25_x000d__x000a_" sqref="AA54">
      <formula1>0</formula1>
      <formula2>300</formula2>
    </dataValidation>
    <dataValidation type="textLength" errorStyle="information" allowBlank="1" showInputMessage="1" showErrorMessage="1" error="XLBVal:6=66_x000d__x000a_" sqref="AA53">
      <formula1>0</formula1>
      <formula2>300</formula2>
    </dataValidation>
    <dataValidation type="textLength" errorStyle="information" allowBlank="1" showInputMessage="1" showErrorMessage="1" error="XLBVal:6=11508_x000d__x000a_" sqref="AB52">
      <formula1>0</formula1>
      <formula2>300</formula2>
    </dataValidation>
    <dataValidation type="textLength" errorStyle="information" allowBlank="1" showInputMessage="1" showErrorMessage="1" error="XLBVal:6=7900_x000d__x000a_" sqref="AA52">
      <formula1>0</formula1>
      <formula2>300</formula2>
    </dataValidation>
    <dataValidation type="textLength" errorStyle="information" allowBlank="1" showInputMessage="1" showErrorMessage="1" error="XLBVal:6=36_x000d__x000a_" sqref="AB51">
      <formula1>0</formula1>
      <formula2>300</formula2>
    </dataValidation>
    <dataValidation type="textLength" errorStyle="information" allowBlank="1" showInputMessage="1" showErrorMessage="1" error="XLBVal:6=157_x000d__x000a_" sqref="AA51">
      <formula1>0</formula1>
      <formula2>300</formula2>
    </dataValidation>
    <dataValidation type="textLength" errorStyle="information" allowBlank="1" showInputMessage="1" showErrorMessage="1" error="XLBVal:6=1896_x000d__x000a_" sqref="AB50">
      <formula1>0</formula1>
      <formula2>300</formula2>
    </dataValidation>
    <dataValidation type="textLength" errorStyle="information" allowBlank="1" showInputMessage="1" showErrorMessage="1" error="XLBVal:6=2095_x000d__x000a_" sqref="AA50">
      <formula1>0</formula1>
      <formula2>300</formula2>
    </dataValidation>
    <dataValidation type="textLength" errorStyle="information" allowBlank="1" showInputMessage="1" showErrorMessage="1" error="XLBVal:6=211_x000d__x000a_" sqref="Z54">
      <formula1>0</formula1>
      <formula2>300</formula2>
    </dataValidation>
    <dataValidation type="textLength" errorStyle="information" allowBlank="1" showInputMessage="1" showErrorMessage="1" error="XLBVal:6=8141_x000d__x000a_" sqref="Z52">
      <formula1>0</formula1>
      <formula2>300</formula2>
    </dataValidation>
    <dataValidation type="textLength" errorStyle="information" allowBlank="1" showInputMessage="1" showErrorMessage="1" error="XLBVal:6=1900_x000d__x000a_" sqref="Z50">
      <formula1>0</formula1>
      <formula2>300</formula2>
    </dataValidation>
    <dataValidation type="textLength" errorStyle="information" allowBlank="1" showInputMessage="1" showErrorMessage="1" error="XLBVal:6=14250_x000d__x000a_" sqref="Y52">
      <formula1>0</formula1>
      <formula2>300</formula2>
    </dataValidation>
    <dataValidation type="textLength" errorStyle="information" allowBlank="1" showInputMessage="1" showErrorMessage="1" error="XLBVal:6=179_x000d__x000a_" sqref="Y51">
      <formula1>0</formula1>
      <formula2>300</formula2>
    </dataValidation>
    <dataValidation type="textLength" errorStyle="information" allowBlank="1" showInputMessage="1" showErrorMessage="1" error="XLBVal:6=3348_x000d__x000a_" sqref="Y50">
      <formula1>0</formula1>
      <formula2>300</formula2>
    </dataValidation>
    <dataValidation type="textLength" errorStyle="information" allowBlank="1" showInputMessage="1" showErrorMessage="1" error="XLBVal:6=12783.85_x000d__x000a_" sqref="S22">
      <formula1>0</formula1>
      <formula2>300</formula2>
    </dataValidation>
    <dataValidation type="textLength" errorStyle="information" allowBlank="1" showInputMessage="1" showErrorMessage="1" error="XLBVal:6=207.36_x000d__x000a_" sqref="R92">
      <formula1>0</formula1>
      <formula2>300</formula2>
    </dataValidation>
    <dataValidation type="textLength" errorStyle="information" allowBlank="1" showInputMessage="1" showErrorMessage="1" error="XLBVal:6=1816.36_x000d__x000a_" sqref="W84">
      <formula1>0</formula1>
      <formula2>300</formula2>
    </dataValidation>
    <dataValidation type="textLength" errorStyle="information" allowBlank="1" showInputMessage="1" showErrorMessage="1" error="XLBVal:6=3765.72_x000d__x000a_" sqref="V84">
      <formula1>0</formula1>
      <formula2>300</formula2>
    </dataValidation>
    <dataValidation type="textLength" errorStyle="information" allowBlank="1" showInputMessage="1" showErrorMessage="1" error="XLBVal:6=2693.97_x000d__x000a_" sqref="U84">
      <formula1>0</formula1>
      <formula2>300</formula2>
    </dataValidation>
    <dataValidation type="textLength" errorStyle="information" allowBlank="1" showInputMessage="1" showErrorMessage="1" error="XLBVal:6=3203.07_x000d__x000a_" sqref="T84">
      <formula1>0</formula1>
      <formula2>300</formula2>
    </dataValidation>
    <dataValidation type="textLength" errorStyle="information" allowBlank="1" showInputMessage="1" showErrorMessage="1" error="XLBVal:6=2898.48_x000d__x000a_" sqref="S84">
      <formula1>0</formula1>
      <formula2>300</formula2>
    </dataValidation>
    <dataValidation type="textLength" errorStyle="information" allowBlank="1" showInputMessage="1" showErrorMessage="1" error="XLBVal:6=1520.78_x000d__x000a_" sqref="R84">
      <formula1>0</formula1>
      <formula2>300</formula2>
    </dataValidation>
    <dataValidation type="textLength" errorStyle="information" allowBlank="1" showInputMessage="1" showErrorMessage="1" error="XLBVal:6=6520_x000d__x000a_" sqref="T83:V83">
      <formula1>0</formula1>
      <formula2>300</formula2>
    </dataValidation>
    <dataValidation type="textLength" errorStyle="information" allowBlank="1" showInputMessage="1" showErrorMessage="1" error="XLBVal:6=156.72_x000d__x000a_" sqref="T81:V81">
      <formula1>0</formula1>
      <formula2>300</formula2>
    </dataValidation>
    <dataValidation type="textLength" errorStyle="information" allowBlank="1" showInputMessage="1" showErrorMessage="1" error="XLBVal:6=653_x000d__x000a_" sqref="T80:V80">
      <formula1>0</formula1>
      <formula2>300</formula2>
    </dataValidation>
    <dataValidation type="textLength" errorStyle="information" allowBlank="1" showInputMessage="1" showErrorMessage="1" error="XLBVal:6=11101.18_x000d__x000a_" sqref="T79:V79">
      <formula1>0</formula1>
      <formula2>300</formula2>
    </dataValidation>
    <dataValidation type="textLength" errorStyle="information" allowBlank="1" showInputMessage="1" showErrorMessage="1" error="XLBVal:6=20896.33_x000d__x000a_" sqref="T78:V78">
      <formula1>0</formula1>
      <formula2>300</formula2>
    </dataValidation>
    <dataValidation type="textLength" errorStyle="information" allowBlank="1" showInputMessage="1" showErrorMessage="1" error="XLBVal:6=5501.94_x000d__x000a_" sqref="W73">
      <formula1>0</formula1>
      <formula2>300</formula2>
    </dataValidation>
    <dataValidation type="textLength" errorStyle="information" allowBlank="1" showInputMessage="1" showErrorMessage="1" error="XLBVal:6=5800_x000d__x000a_" sqref="U73:V73">
      <formula1>0</formula1>
      <formula2>300</formula2>
    </dataValidation>
    <dataValidation type="textLength" errorStyle="information" allowBlank="1" showInputMessage="1" showErrorMessage="1" error="XLBVal:6=5531.72_x000d__x000a_" sqref="T73">
      <formula1>0</formula1>
      <formula2>300</formula2>
    </dataValidation>
    <dataValidation type="textLength" errorStyle="information" allowBlank="1" showInputMessage="1" showErrorMessage="1" error="XLBVal:6=16779.82_x000d__x000a_" sqref="S72">
      <formula1>0</formula1>
      <formula2>300</formula2>
    </dataValidation>
    <dataValidation type="textLength" errorStyle="information" allowBlank="1" showInputMessage="1" showErrorMessage="1" error="XLBVal:6=2662.05_x000d__x000a_" sqref="U71:W71">
      <formula1>0</formula1>
      <formula2>300</formula2>
    </dataValidation>
    <dataValidation type="textLength" errorStyle="information" allowBlank="1" showInputMessage="1" showErrorMessage="1" error="XLBVal:6=7572.36_x000d__x000a_" sqref="S71">
      <formula1>0</formula1>
      <formula2>300</formula2>
    </dataValidation>
    <dataValidation type="textLength" errorStyle="information" allowBlank="1" showInputMessage="1" showErrorMessage="1" error="XLBVal:6=25696.55_x000d__x000a_" sqref="W67">
      <formula1>0</formula1>
      <formula2>300</formula2>
    </dataValidation>
    <dataValidation type="textLength" errorStyle="information" allowBlank="1" showInputMessage="1" showErrorMessage="1" error="XLBVal:6=28300_x000d__x000a_" sqref="U67:V67">
      <formula1>0</formula1>
      <formula2>300</formula2>
    </dataValidation>
    <dataValidation type="textLength" errorStyle="information" allowBlank="1" showInputMessage="1" showErrorMessage="1" error="XLBVal:6=27472.42_x000d__x000a_" sqref="T67">
      <formula1>0</formula1>
      <formula2>300</formula2>
    </dataValidation>
    <dataValidation type="textLength" errorStyle="information" allowBlank="1" showInputMessage="1" showErrorMessage="1" error="XLBVal:6=41800_x000d__x000a_" sqref="T64 R64 V64:W64">
      <formula1>0</formula1>
      <formula2>300</formula2>
    </dataValidation>
    <dataValidation type="textLength" errorStyle="information" allowBlank="1" showInputMessage="1" showErrorMessage="1" error="XLBVal:6=654.68_x000d__x000a_" sqref="R40">
      <formula1>0</formula1>
      <formula2>300</formula2>
    </dataValidation>
    <dataValidation type="textLength" errorStyle="information" allowBlank="1" showInputMessage="1" showErrorMessage="1" error="XLBVal:6=492_x000d__x000a_" sqref="R34:T34">
      <formula1>0</formula1>
      <formula2>300</formula2>
    </dataValidation>
    <dataValidation type="textLength" errorStyle="information" allowBlank="1" showInputMessage="1" showErrorMessage="1" error="XLBVal:6=780_x000d__x000a_" sqref="V22">
      <formula1>0</formula1>
      <formula2>300</formula2>
    </dataValidation>
    <dataValidation type="textLength" errorStyle="information" allowBlank="1" showInputMessage="1" showErrorMessage="1" error="XLBVal:6=2262430.46_x000d__x000a_" sqref="R20">
      <formula1>0</formula1>
      <formula2>300</formula2>
    </dataValidation>
    <dataValidation type="textLength" errorStyle="information" allowBlank="1" showInputMessage="1" showErrorMessage="1" error="XLBVal:6=6370_x000d__x000a_" sqref="R83:S83 W83">
      <formula1>0</formula1>
      <formula2>300</formula2>
    </dataValidation>
    <dataValidation type="textLength" errorStyle="information" allowBlank="1" showInputMessage="1" showErrorMessage="1" error="XLBVal:6=150.92_x000d__x000a_" sqref="R81:S81 W81">
      <formula1>0</formula1>
      <formula2>300</formula2>
    </dataValidation>
    <dataValidation type="textLength" errorStyle="information" allowBlank="1" showInputMessage="1" showErrorMessage="1" error="XLBVal:6=628.85_x000d__x000a_" sqref="R80:S80 W80">
      <formula1>0</formula1>
      <formula2>300</formula2>
    </dataValidation>
    <dataValidation type="textLength" errorStyle="information" allowBlank="1" showInputMessage="1" showErrorMessage="1" error="XLBVal:6=10690.63_x000d__x000a_" sqref="R79:S79 W79">
      <formula1>0</formula1>
      <formula2>300</formula2>
    </dataValidation>
    <dataValidation type="textLength" errorStyle="information" allowBlank="1" showInputMessage="1" showErrorMessage="1" error="XLBVal:6=20123.53_x000d__x000a_" sqref="R78:S78 W78">
      <formula1>0</formula1>
      <formula2>300</formula2>
    </dataValidation>
    <dataValidation type="textLength" errorStyle="information" allowBlank="1" showInputMessage="1" showErrorMessage="1" error="XLBVal:6=5058.62_x000d__x000a_" sqref="S73">
      <formula1>0</formula1>
      <formula2>300</formula2>
    </dataValidation>
    <dataValidation type="textLength" errorStyle="information" allowBlank="1" showInputMessage="1" showErrorMessage="1" error="XLBVal:6=25300_x000d__x000a_" sqref="R67:S67">
      <formula1>0</formula1>
      <formula2>300</formula2>
    </dataValidation>
    <dataValidation type="textLength" errorStyle="information" allowBlank="1" showInputMessage="1" showErrorMessage="1" error="XLBVal:6=96_x000d__x000a_" sqref="R53">
      <formula1>0</formula1>
      <formula2>300</formula2>
    </dataValidation>
    <dataValidation type="textLength" errorStyle="information" allowBlank="1" showInputMessage="1" showErrorMessage="1" error="XLBVal:6=16748.78_x000d__x000a_" sqref="R72">
      <formula1>0</formula1>
      <formula2>300</formula2>
    </dataValidation>
    <dataValidation type="textLength" errorStyle="information" allowBlank="1" showInputMessage="1" showErrorMessage="1" error="XLBVal:6=39_x000d__x000a_" sqref="X54">
      <formula1>0</formula1>
      <formula2>300</formula2>
    </dataValidation>
    <dataValidation type="textLength" errorStyle="information" allowBlank="1" showInputMessage="1" showErrorMessage="1" error="XLBVal:6=19217_x000d__x000a_" sqref="X52">
      <formula1>0</formula1>
      <formula2>300</formula2>
    </dataValidation>
    <dataValidation type="textLength" errorStyle="information" allowBlank="1" showInputMessage="1" showErrorMessage="1" error="XLBVal:6=19_x000d__x000a_" sqref="X51">
      <formula1>0</formula1>
      <formula2>300</formula2>
    </dataValidation>
    <dataValidation type="textLength" errorStyle="information" allowBlank="1" showInputMessage="1" showErrorMessage="1" error="XLBVal:6=827_x000d__x000a_" sqref="X50">
      <formula1>0</formula1>
      <formula2>300</formula2>
    </dataValidation>
    <dataValidation type="textLength" errorStyle="information" allowBlank="1" showInputMessage="1" showErrorMessage="1" error="XLBVal:6=1899801.31_x000d__x000a_" sqref="X20:AC43 X64:AC68 X101:AC101 X78:AC85 X88:AC96 X71:AC75">
      <formula1>0</formula1>
      <formula2>300</formula2>
    </dataValidation>
    <dataValidation type="textLength" errorStyle="information" allowBlank="1" showInputMessage="1" showErrorMessage="1" error="XLBVal:6=875.6_x000d__x000a_" sqref="J43">
      <formula1>0</formula1>
      <formula2>300</formula2>
    </dataValidation>
    <dataValidation type="textLength" errorStyle="information" allowBlank="1" showInputMessage="1" showErrorMessage="1" error="XLBVal:6=92.06_x000d__x000a_" sqref="J41">
      <formula1>0</formula1>
      <formula2>300</formula2>
    </dataValidation>
    <dataValidation type="textLength" errorStyle="information" allowBlank="1" showInputMessage="1" showErrorMessage="1" error="XLBVal:6=17534.17_x000d__x000a_" sqref="T72">
      <formula1>0</formula1>
      <formula2>300</formula2>
    </dataValidation>
    <dataValidation type="textLength" errorStyle="information" allowBlank="1" showInputMessage="1" showErrorMessage="1" error="XLBVal:6=10_x000d__x000a_" sqref="U51">
      <formula1>0</formula1>
      <formula2>300</formula2>
    </dataValidation>
    <dataValidation type="textLength" errorStyle="information" allowBlank="1" showInputMessage="1" showErrorMessage="1" error="XLBVal:6=44500_x000d__x000a_" sqref="F64:P68">
      <formula1>0</formula1>
      <formula2>300</formula2>
    </dataValidation>
    <dataValidation type="textLength" errorStyle="information" allowBlank="1" showInputMessage="1" showErrorMessage="1" error="XLBVal:6=43000_x000d__x000a_" sqref="E64 E67 E71:P75 E78:P85 E88:P92 E101:P101">
      <formula1>0</formula1>
      <formula2>300</formula2>
    </dataValidation>
    <dataValidation type="textLength" errorStyle="information" allowBlank="1" showInputMessage="1" showErrorMessage="1" error="XLBVal:6=473_x000d__x000a_" sqref="T50">
      <formula1>0</formula1>
      <formula2>300</formula2>
    </dataValidation>
    <dataValidation type="textLength" errorStyle="information" allowBlank="1" showInputMessage="1" showErrorMessage="1" error="XLBVal:8=Oct 2016_x000d__x000a_" sqref="D4">
      <formula1>0</formula1>
      <formula2>300</formula2>
    </dataValidation>
    <dataValidation type="textLength" errorStyle="information" allowBlank="1" showInputMessage="1" showErrorMessage="1" error="XLBVal:6=11253.28_x000d__x000a_" sqref="W94">
      <formula1>0</formula1>
      <formula2>300</formula2>
    </dataValidation>
    <dataValidation type="textLength" errorStyle="information" allowBlank="1" showInputMessage="1" showErrorMessage="1" error="XLBVal:6=9922.5_x000d__x000a_" sqref="V94">
      <formula1>0</formula1>
      <formula2>300</formula2>
    </dataValidation>
    <dataValidation type="textLength" errorStyle="information" allowBlank="1" showInputMessage="1" showErrorMessage="1" error="XLBVal:6=13388.65_x000d__x000a_" sqref="U94">
      <formula1>0</formula1>
      <formula2>300</formula2>
    </dataValidation>
    <dataValidation type="textLength" errorStyle="information" allowBlank="1" showInputMessage="1" showErrorMessage="1" error="XLBVal:6=13873.5_x000d__x000a_" sqref="T94">
      <formula1>0</formula1>
      <formula2>300</formula2>
    </dataValidation>
    <dataValidation type="textLength" errorStyle="information" allowBlank="1" showInputMessage="1" showErrorMessage="1" error="XLBVal:6=13375.83_x000d__x000a_" sqref="S94">
      <formula1>0</formula1>
      <formula2>300</formula2>
    </dataValidation>
    <dataValidation type="textLength" errorStyle="information" allowBlank="1" showInputMessage="1" showErrorMessage="1" error="XLBVal:6=11186.69_x000d__x000a_" sqref="R94">
      <formula1>0</formula1>
      <formula2>300</formula2>
    </dataValidation>
    <dataValidation type="textLength" errorStyle="information" allowBlank="1" showInputMessage="1" showErrorMessage="1" error="XLBVal:6=4298.49_x000d__x000a_" sqref="W93">
      <formula1>0</formula1>
      <formula2>300</formula2>
    </dataValidation>
    <dataValidation type="textLength" errorStyle="information" allowBlank="1" showInputMessage="1" showErrorMessage="1" error="XLBVal:6=3493.7_x000d__x000a_" sqref="V93">
      <formula1>0</formula1>
      <formula2>300</formula2>
    </dataValidation>
    <dataValidation type="textLength" errorStyle="information" allowBlank="1" showInputMessage="1" showErrorMessage="1" error="XLBVal:6=3626.37_x000d__x000a_" sqref="U93">
      <formula1>0</formula1>
      <formula2>300</formula2>
    </dataValidation>
    <dataValidation type="textLength" errorStyle="information" allowBlank="1" showInputMessage="1" showErrorMessage="1" error="XLBVal:6=3143.43_x000d__x000a_" sqref="T93">
      <formula1>0</formula1>
      <formula2>300</formula2>
    </dataValidation>
    <dataValidation type="textLength" errorStyle="information" allowBlank="1" showInputMessage="1" showErrorMessage="1" error="XLBVal:6=3157.32_x000d__x000a_" sqref="S93">
      <formula1>0</formula1>
      <formula2>300</formula2>
    </dataValidation>
    <dataValidation type="textLength" errorStyle="information" allowBlank="1" showInputMessage="1" showErrorMessage="1" error="XLBVal:6=2158.79_x000d__x000a_" sqref="R93">
      <formula1>0</formula1>
      <formula2>300</formula2>
    </dataValidation>
    <dataValidation type="textLength" errorStyle="information" allowBlank="1" showInputMessage="1" showErrorMessage="1" error="XLBVal:6=237.12_x000d__x000a_" sqref="W92">
      <formula1>0</formula1>
      <formula2>300</formula2>
    </dataValidation>
    <dataValidation type="textLength" errorStyle="information" allowBlank="1" showInputMessage="1" showErrorMessage="1" error="XLBVal:6=236.09_x000d__x000a_" sqref="V92">
      <formula1>0</formula1>
      <formula2>300</formula2>
    </dataValidation>
    <dataValidation type="textLength" errorStyle="information" allowBlank="1" showInputMessage="1" showErrorMessage="1" error="XLBVal:6=226.21_x000d__x000a_" sqref="T92:U92">
      <formula1>0</formula1>
      <formula2>300</formula2>
    </dataValidation>
    <dataValidation type="textLength" errorStyle="information" allowBlank="1" showInputMessage="1" showErrorMessage="1" error="XLBVal:6=209.11_x000d__x000a_" sqref="S92">
      <formula1>0</formula1>
      <formula2>300</formula2>
    </dataValidation>
    <dataValidation type="textLength" errorStyle="information" allowBlank="1" showInputMessage="1" showErrorMessage="1" error="XLBVal:6=254_x000d__x000a_" sqref="S91">
      <formula1>0</formula1>
      <formula2>300</formula2>
    </dataValidation>
    <dataValidation type="textLength" errorStyle="information" allowBlank="1" showInputMessage="1" showErrorMessage="1" error="XLBVal:6=133_x000d__x000a_" sqref="X53">
      <formula1>0</formula1>
      <formula2>300</formula2>
    </dataValidation>
    <dataValidation type="textLength" errorStyle="information" allowBlank="1" showInputMessage="1" showErrorMessage="1" error="XLBVal:6=11983.45_x000d__x000a_" sqref="W75">
      <formula1>0</formula1>
      <formula2>300</formula2>
    </dataValidation>
    <dataValidation type="textLength" errorStyle="information" allowBlank="1" showInputMessage="1" showErrorMessage="1" error="XLBVal:6=41646.78_x000d__x000a_" sqref="V75">
      <formula1>0</formula1>
      <formula2>300</formula2>
    </dataValidation>
    <dataValidation type="textLength" errorStyle="information" allowBlank="1" showInputMessage="1" showErrorMessage="1" error="XLBVal:6=23911.51_x000d__x000a_" sqref="U75">
      <formula1>0</formula1>
      <formula2>300</formula2>
    </dataValidation>
    <dataValidation type="textLength" errorStyle="information" allowBlank="1" showInputMessage="1" showErrorMessage="1" error="XLBVal:6=23033.79_x000d__x000a_" sqref="T75">
      <formula1>0</formula1>
      <formula2>300</formula2>
    </dataValidation>
    <dataValidation type="textLength" errorStyle="information" allowBlank="1" showInputMessage="1" showErrorMessage="1" error="XLBVal:6=95519.37_x000d__x000a_" sqref="S75">
      <formula1>0</formula1>
      <formula2>300</formula2>
    </dataValidation>
    <dataValidation type="textLength" errorStyle="information" allowBlank="1" showInputMessage="1" showErrorMessage="1" error="XLBVal:6=62604_x000d__x000a_" sqref="R75">
      <formula1>0</formula1>
      <formula2>300</formula2>
    </dataValidation>
    <dataValidation type="textLength" errorStyle="information" allowBlank="1" showInputMessage="1" showErrorMessage="1" error="XLBVal:6=63_x000d__x000a_" sqref="V54">
      <formula1>0</formula1>
      <formula2>300</formula2>
    </dataValidation>
    <dataValidation type="textLength" errorStyle="information" allowBlank="1" showInputMessage="1" showErrorMessage="1" error="XLBVal:6=4_x000d__x000a_" sqref="Z53">
      <formula1>0</formula1>
      <formula2>300</formula2>
    </dataValidation>
    <dataValidation type="textLength" errorStyle="information" allowBlank="1" showInputMessage="1" showErrorMessage="1" error="XLBVal:6=49_x000d__x000a_" sqref="Y53 U53">
      <formula1>0</formula1>
      <formula2>300</formula2>
    </dataValidation>
    <dataValidation type="textLength" errorStyle="information" allowBlank="1" showInputMessage="1" showErrorMessage="1" error="XLBVal:6=59_x000d__x000a_" sqref="R54">
      <formula1>0</formula1>
      <formula2>300</formula2>
    </dataValidation>
    <dataValidation type="textLength" errorStyle="information" allowBlank="1" showInputMessage="1" showErrorMessage="1" error="XLBVal:6=82_x000d__x000a_" sqref="AB53">
      <formula1>0</formula1>
      <formula2>300</formula2>
    </dataValidation>
    <dataValidation type="textLength" errorStyle="information" allowBlank="1" showInputMessage="1" showErrorMessage="1" error="XLBVal:6=57_x000d__x000a_" sqref="W54 T54">
      <formula1>0</formula1>
      <formula2>300</formula2>
    </dataValidation>
    <dataValidation type="textLength" errorStyle="information" allowBlank="1" showInputMessage="1" showErrorMessage="1" error="XLBVal:6=74_x000d__x000a_" sqref="T53">
      <formula1>0</formula1>
      <formula2>300</formula2>
    </dataValidation>
    <dataValidation type="textLength" errorStyle="information" allowBlank="1" showInputMessage="1" showErrorMessage="1" error="XLBVal:6=29_x000d__x000a_" sqref="S53">
      <formula1>0</formula1>
      <formula2>300</formula2>
    </dataValidation>
    <dataValidation type="textLength" errorStyle="information" allowBlank="1" showInputMessage="1" showErrorMessage="1" error="XLBVal:6=61_x000d__x000a_" sqref="W53">
      <formula1>0</formula1>
      <formula2>300</formula2>
    </dataValidation>
    <dataValidation type="textLength" errorStyle="information" allowBlank="1" showInputMessage="1" showErrorMessage="1" error="XLBVal:6=17897_x000d__x000a_" sqref="W52">
      <formula1>0</formula1>
      <formula2>300</formula2>
    </dataValidation>
    <dataValidation type="textLength" errorStyle="information" allowBlank="1" showInputMessage="1" showErrorMessage="1" error="XLBVal:6=17477_x000d__x000a_" sqref="V52">
      <formula1>0</formula1>
      <formula2>300</formula2>
    </dataValidation>
    <dataValidation type="textLength" errorStyle="information" allowBlank="1" showInputMessage="1" showErrorMessage="1" error="XLBVal:6=18249_x000d__x000a_" sqref="U52">
      <formula1>0</formula1>
      <formula2>300</formula2>
    </dataValidation>
    <dataValidation type="textLength" errorStyle="information" allowBlank="1" showInputMessage="1" showErrorMessage="1" error="XLBVal:6=19772_x000d__x000a_" sqref="T52">
      <formula1>0</formula1>
      <formula2>300</formula2>
    </dataValidation>
    <dataValidation type="textLength" errorStyle="information" allowBlank="1" showInputMessage="1" showErrorMessage="1" error="XLBVal:6=18855_x000d__x000a_" sqref="S52">
      <formula1>0</formula1>
      <formula2>300</formula2>
    </dataValidation>
    <dataValidation type="textLength" errorStyle="information" allowBlank="1" showInputMessage="1" showErrorMessage="1" error="XLBVal:6=19715_x000d__x000a_" sqref="R52">
      <formula1>0</formula1>
      <formula2>300</formula2>
    </dataValidation>
    <dataValidation type="textLength" errorStyle="information" allowBlank="1" showInputMessage="1" showErrorMessage="1" error="XLBVal:6=11_x000d__x000a_" sqref="R101:S101">
      <formula1>0</formula1>
      <formula2>300</formula2>
    </dataValidation>
    <dataValidation type="textLength" errorStyle="information" allowBlank="1" showInputMessage="1" showErrorMessage="1" error="XLBVal:6=6_x000d__x000a_" sqref="T51">
      <formula1>0</formula1>
      <formula2>300</formula2>
    </dataValidation>
    <dataValidation type="textLength" errorStyle="information" allowBlank="1" showInputMessage="1" showErrorMessage="1" error="XLBVal:6=1433_x000d__x000a_" sqref="W50">
      <formula1>0</formula1>
      <formula2>300</formula2>
    </dataValidation>
    <dataValidation type="textLength" errorStyle="information" allowBlank="1" showInputMessage="1" showErrorMessage="1" error="XLBVal:6=1729_x000d__x000a_" sqref="V50">
      <formula1>0</formula1>
      <formula2>300</formula2>
    </dataValidation>
    <dataValidation type="textLength" errorStyle="information" allowBlank="1" showInputMessage="1" showErrorMessage="1" error="XLBVal:6=871_x000d__x000a_" sqref="U50">
      <formula1>0</formula1>
      <formula2>300</formula2>
    </dataValidation>
    <dataValidation type="textLength" errorStyle="information" allowBlank="1" showInputMessage="1" showErrorMessage="1" error="XLBVal:6=370_x000d__x000a_" sqref="S50">
      <formula1>0</formula1>
      <formula2>300</formula2>
    </dataValidation>
    <dataValidation type="textLength" errorStyle="information" allowBlank="1" showInputMessage="1" showErrorMessage="1" error="XLBVal:6=450_x000d__x000a_" sqref="R50">
      <formula1>0</formula1>
      <formula2>300</formula2>
    </dataValidation>
    <dataValidation type="textLength" errorStyle="information" allowBlank="1" showInputMessage="1" showErrorMessage="1" error="XLBVal:6=19604_x000d__x000a_" sqref="S48">
      <formula1>0</formula1>
      <formula2>300</formula2>
    </dataValidation>
    <dataValidation type="textLength" errorStyle="information" allowBlank="1" showInputMessage="1" showErrorMessage="1" error="XLBVal:6=992.18_x000d__x000a_" sqref="W40">
      <formula1>0</formula1>
      <formula2>300</formula2>
    </dataValidation>
    <dataValidation type="textLength" errorStyle="information" allowBlank="1" showInputMessage="1" showErrorMessage="1" error="XLBVal:6=993.2_x000d__x000a_" sqref="V40">
      <formula1>0</formula1>
      <formula2>300</formula2>
    </dataValidation>
    <dataValidation type="textLength" errorStyle="information" allowBlank="1" showInputMessage="1" showErrorMessage="1" error="XLBVal:6=990.87_x000d__x000a_" sqref="U40">
      <formula1>0</formula1>
      <formula2>300</formula2>
    </dataValidation>
    <dataValidation type="textLength" errorStyle="information" allowBlank="1" showInputMessage="1" showErrorMessage="1" error="XLBVal:6=986.14_x000d__x000a_" sqref="T40">
      <formula1>0</formula1>
      <formula2>300</formula2>
    </dataValidation>
    <dataValidation type="textLength" errorStyle="information" allowBlank="1" showInputMessage="1" showErrorMessage="1" error="XLBVal:6=993.26_x000d__x000a_" sqref="S40">
      <formula1>0</formula1>
      <formula2>300</formula2>
    </dataValidation>
    <dataValidation type="textLength" errorStyle="information" allowBlank="1" showInputMessage="1" showErrorMessage="1" error="XLBVal:6=1268.83_x000d__x000a_" sqref="E40:P40">
      <formula1>0</formula1>
      <formula2>300</formula2>
    </dataValidation>
    <dataValidation type="textLength" errorStyle="information" allowBlank="1" showInputMessage="1" showErrorMessage="1" error="XLBVal:6=210.73_x000d__x000a_" sqref="W39">
      <formula1>0</formula1>
      <formula2>300</formula2>
    </dataValidation>
    <dataValidation type="textLength" errorStyle="information" allowBlank="1" showInputMessage="1" showErrorMessage="1" error="XLBVal:6=40.31_x000d__x000a_" sqref="V39">
      <formula1>0</formula1>
      <formula2>300</formula2>
    </dataValidation>
    <dataValidation type="textLength" errorStyle="information" allowBlank="1" showInputMessage="1" showErrorMessage="1" error="XLBVal:6=134.71_x000d__x000a_" sqref="U39">
      <formula1>0</formula1>
      <formula2>300</formula2>
    </dataValidation>
    <dataValidation type="textLength" errorStyle="information" allowBlank="1" showInputMessage="1" showErrorMessage="1" error="XLBVal:6=144_x000d__x000a_" sqref="T39">
      <formula1>0</formula1>
      <formula2>300</formula2>
    </dataValidation>
    <dataValidation type="textLength" errorStyle="information" allowBlank="1" showInputMessage="1" showErrorMessage="1" error="XLBVal:6=166.88_x000d__x000a_" sqref="S39">
      <formula1>0</formula1>
      <formula2>300</formula2>
    </dataValidation>
    <dataValidation type="textLength" errorStyle="information" allowBlank="1" showInputMessage="1" showErrorMessage="1" error="XLBVal:6=183.44_x000d__x000a_" sqref="R39">
      <formula1>0</formula1>
      <formula2>300</formula2>
    </dataValidation>
    <dataValidation type="textLength" errorStyle="information" allowBlank="1" showInputMessage="1" showErrorMessage="1" error="XLBVal:6=-337.29_x000d__x000a_" sqref="W22">
      <formula1>0</formula1>
      <formula2>300</formula2>
    </dataValidation>
    <dataValidation type="textLength" errorStyle="information" allowBlank="1" showInputMessage="1" showErrorMessage="1" error="XLBVal:6=1000_x000d__x000a_" sqref="E34:P34">
      <formula1>0</formula1>
      <formula2>300</formula2>
    </dataValidation>
    <dataValidation type="textLength" errorStyle="information" allowBlank="1" showInputMessage="1" showErrorMessage="1" error="XLBVal:6=1296555.26_x000d__x000a_" sqref="W20">
      <formula1>0</formula1>
      <formula2>300</formula2>
    </dataValidation>
    <dataValidation type="textLength" errorStyle="information" allowBlank="1" showInputMessage="1" showErrorMessage="1" error="XLBVal:6=1489908.94_x000d__x000a_" sqref="V20">
      <formula1>0</formula1>
      <formula2>300</formula2>
    </dataValidation>
    <dataValidation type="textLength" errorStyle="information" allowBlank="1" showInputMessage="1" showErrorMessage="1" error="XLBVal:6=1534402.64_x000d__x000a_" sqref="U20">
      <formula1>0</formula1>
      <formula2>300</formula2>
    </dataValidation>
    <dataValidation type="textLength" errorStyle="information" allowBlank="1" showInputMessage="1" showErrorMessage="1" error="XLBVal:6=1592437.59_x000d__x000a_" sqref="T20">
      <formula1>0</formula1>
      <formula2>300</formula2>
    </dataValidation>
    <dataValidation type="textLength" errorStyle="information" allowBlank="1" showInputMessage="1" showErrorMessage="1" error="XLBVal:6=3870829.92_x000d__x000a_" sqref="S20">
      <formula1>0</formula1>
      <formula2>300</formula2>
    </dataValidation>
    <dataValidation type="textLength" errorStyle="information" allowBlank="1" showInputMessage="1" showErrorMessage="1" error="XLBVal:6=730551.46_x000d__x000a_" sqref="E20:P20">
      <formula1>0</formula1>
      <formula2>300</formula2>
    </dataValidation>
    <dataValidation type="textLength" errorStyle="information" allowBlank="1" showInputMessage="1" showErrorMessage="1" error="XLBVal:6=272_x000d__x000a_" sqref="T91 V91">
      <formula1>0</formula1>
      <formula2>300</formula2>
    </dataValidation>
    <dataValidation type="textLength" errorStyle="information" allowBlank="1" showInputMessage="1" showErrorMessage="1" error="XLBVal:6=20280_x000d__x000a_" sqref="U48 W48 Z48 AB48">
      <formula1>0</formula1>
      <formula2>300</formula2>
    </dataValidation>
    <dataValidation type="textLength" errorStyle="information" allowBlank="1" showInputMessage="1" showErrorMessage="1" error="XLBVal:6=12_x000d__x000a_" sqref="R51 T101:W101">
      <formula1>0</formula1>
      <formula2>300</formula2>
    </dataValidation>
    <dataValidation type="textLength" errorStyle="information" allowBlank="1" showInputMessage="1" showErrorMessage="1" error="XLBVal:6=2198801.83_x000d__x000a_" sqref="E95:J96 R95:W96">
      <formula1>0</formula1>
      <formula2>300</formula2>
    </dataValidation>
    <dataValidation type="textLength" errorStyle="information" allowBlank="1" showInputMessage="1" showErrorMessage="1" error="XLBVal:6=20956_x000d__x000a_" sqref="T48 V48 R48 X48:Y48 AA48 AC48">
      <formula1>0</formula1>
      <formula2>300</formula2>
    </dataValidation>
    <dataValidation type="textLength" errorStyle="information" allowBlank="1" showInputMessage="1" showErrorMessage="1" error="XLBVal:6=-8082962_x000d__x000a_" sqref="Q40">
      <formula1>0</formula1>
      <formula2>300</formula2>
    </dataValidation>
    <dataValidation type="textLength" errorStyle="information" allowBlank="1" showInputMessage="1" showErrorMessage="1" error="XLBVal:6=17592_x000d__x000a_" sqref="Q39">
      <formula1>0</formula1>
      <formula2>300</formula2>
    </dataValidation>
    <dataValidation type="textLength" errorStyle="information" allowBlank="1" showInputMessage="1" showErrorMessage="1" error="XLBVal:6=56560_x000d__x000a_" sqref="Q38">
      <formula1>0</formula1>
      <formula2>300</formula2>
    </dataValidation>
    <dataValidation type="textLength" errorStyle="information" allowBlank="1" showInputMessage="1" showErrorMessage="1" error="XLBVal:6=-1006046.71_x000d__x000a_" sqref="D40">
      <formula1>0</formula1>
      <formula2>300</formula2>
    </dataValidation>
    <dataValidation type="textLength" errorStyle="information" allowBlank="1" showInputMessage="1" showErrorMessage="1" error="XLBVal:6=2429.09_x000d__x000a_" sqref="D39">
      <formula1>0</formula1>
      <formula2>300</formula2>
    </dataValidation>
    <dataValidation type="textLength" errorStyle="information" allowBlank="1" showInputMessage="1" showErrorMessage="1" error="XLBVal:6=-29556.62_x000d__x000a_" sqref="D38">
      <formula1>0</formula1>
      <formula2>300</formula2>
    </dataValidation>
    <dataValidation type="textLength" errorStyle="information" allowBlank="1" showInputMessage="1" showErrorMessage="1" error="XLBVal:6=23680_x000d__x000a_" sqref="Q31">
      <formula1>0</formula1>
      <formula2>300</formula2>
    </dataValidation>
    <dataValidation type="textLength" errorStyle="information" allowBlank="1" showInputMessage="1" showErrorMessage="1" error="XLBVal:6=59208_x000d__x000a_" sqref="Q30">
      <formula1>0</formula1>
      <formula2>300</formula2>
    </dataValidation>
    <dataValidation type="textLength" errorStyle="information" allowBlank="1" showInputMessage="1" showErrorMessage="1" error="XLBVal:6=6424_x000d__x000a_" sqref="Q27 Q29">
      <formula1>0</formula1>
      <formula2>300</formula2>
    </dataValidation>
    <dataValidation type="textLength" errorStyle="information" allowBlank="1" showInputMessage="1" showErrorMessage="1" error="XLBVal:6=5168_x000d__x000a_" sqref="Q28">
      <formula1>0</formula1>
      <formula2>300</formula2>
    </dataValidation>
    <dataValidation type="textLength" errorStyle="information" allowBlank="1" showInputMessage="1" showErrorMessage="1" error="XLBVal:6=103048_x000d__x000a_" sqref="Q26">
      <formula1>0</formula1>
      <formula2>300</formula2>
    </dataValidation>
    <dataValidation type="textLength" errorStyle="information" allowBlank="1" showInputMessage="1" showErrorMessage="1" error="XLBVal:6=234832_x000d__x000a_" sqref="Q25">
      <formula1>0</formula1>
      <formula2>300</formula2>
    </dataValidation>
    <dataValidation type="textLength" errorStyle="information" allowBlank="1" showInputMessage="1" showErrorMessage="1" error="XLBVal:6=7155.49_x000d__x000a_" sqref="O29">
      <formula1>0</formula1>
      <formula2>300</formula2>
    </dataValidation>
    <dataValidation type="textLength" errorStyle="information" allowBlank="1" showInputMessage="1" showErrorMessage="1" error="XLBVal:6=2983.74_x000d__x000a_" sqref="O28">
      <formula1>0</formula1>
      <formula2>300</formula2>
    </dataValidation>
    <dataValidation type="textLength" errorStyle="information" allowBlank="1" showInputMessage="1" showErrorMessage="1" error="XLBVal:6=3240.19_x000d__x000a_" sqref="D31">
      <formula1>0</formula1>
      <formula2>300</formula2>
    </dataValidation>
    <dataValidation type="textLength" errorStyle="information" allowBlank="1" showInputMessage="1" showErrorMessage="1" error="XLBVal:6=8774_x000d__x000a_" sqref="D30">
      <formula1>0</formula1>
      <formula2>300</formula2>
    </dataValidation>
    <dataValidation type="textLength" errorStyle="information" allowBlank="1" showInputMessage="1" showErrorMessage="1" error="XLBVal:6=964.51_x000d__x000a_" sqref="D29 D27">
      <formula1>0</formula1>
      <formula2>300</formula2>
    </dataValidation>
    <dataValidation type="textLength" errorStyle="information" allowBlank="1" showInputMessage="1" showErrorMessage="1" error="XLBVal:6=33.13_x000d__x000a_" sqref="D28">
      <formula1>0</formula1>
      <formula2>300</formula2>
    </dataValidation>
    <dataValidation type="textLength" errorStyle="information" allowBlank="1" showInputMessage="1" showErrorMessage="1" error="XLBVal:6=15431.21_x000d__x000a_" sqref="D26">
      <formula1>0</formula1>
      <formula2>300</formula2>
    </dataValidation>
    <dataValidation type="textLength" errorStyle="information" allowBlank="1" showInputMessage="1" showErrorMessage="1" error="XLBVal:6=36649.11_x000d__x000a_" sqref="D25">
      <formula1>0</formula1>
      <formula2>300</formula2>
    </dataValidation>
    <dataValidation type="textLength" errorStyle="information" allowBlank="1" showInputMessage="1" showErrorMessage="1" error="XLBVal:6=221984_x000d__x000a_" sqref="Q22">
      <formula1>0</formula1>
      <formula2>300</formula2>
    </dataValidation>
    <dataValidation type="textLength" errorStyle="information" allowBlank="1" showInputMessage="1" showErrorMessage="1" error="XLBVal:6=96963_x000d__x000a_" sqref="Q21">
      <formula1>0</formula1>
      <formula2>300</formula2>
    </dataValidation>
    <dataValidation type="textLength" errorStyle="information" allowBlank="1" showInputMessage="1" showErrorMessage="1" error="XLBVal:6=7135.64_x000d__x000a_" sqref="D24">
      <formula1>0</formula1>
      <formula2>300</formula2>
    </dataValidation>
    <dataValidation type="textLength" errorStyle="information" allowBlank="1" showInputMessage="1" showErrorMessage="1" error="XLBVal:6=132795_x000d__x000a_" sqref="D23">
      <formula1>0</formula1>
      <formula2>300</formula2>
    </dataValidation>
    <dataValidation type="textLength" errorStyle="information" allowBlank="1" showInputMessage="1" showErrorMessage="1" error="XLBVal:6=27748_x000d__x000a_" sqref="D22">
      <formula1>0</formula1>
      <formula2>300</formula2>
    </dataValidation>
    <dataValidation type="textLength" errorStyle="information" allowBlank="1" showInputMessage="1" showErrorMessage="1" error="XLBVal:6=1183968_x000d__x000a_" sqref="Q18">
      <formula1>0</formula1>
      <formula2>300</formula2>
    </dataValidation>
    <dataValidation type="textLength" errorStyle="information" allowBlank="1" showInputMessage="1" showErrorMessage="1" error="XLBVal:6=1046342.1_x000d__x000a_" sqref="O18">
      <formula1>0</formula1>
      <formula2>300</formula2>
    </dataValidation>
    <dataValidation type="textLength" errorStyle="information" allowBlank="1" showInputMessage="1" showErrorMessage="1" error="XLBVal:6=52996.83_x000d__x000a_" sqref="D18">
      <formula1>0</formula1>
      <formula2>300</formula2>
    </dataValidation>
    <dataValidation type="textLength" errorStyle="information" allowBlank="1" showInputMessage="1" showErrorMessage="1" error="XLBVal:6=260430337_x000d__x000a_" sqref="Q14">
      <formula1>0</formula1>
      <formula2>300</formula2>
    </dataValidation>
    <dataValidation type="textLength" errorStyle="information" allowBlank="1" showInputMessage="1" showErrorMessage="1" error="XLBVal:6=266264227.77_x000d__x000a_" sqref="O14">
      <formula1>0</formula1>
      <formula2>300</formula2>
    </dataValidation>
    <dataValidation type="textLength" errorStyle="information" allowBlank="1" showInputMessage="1" showErrorMessage="1" error="XLBVal:6=31830625.91_x000d__x000a_" sqref="D14">
      <formula1>0</formula1>
      <formula2>300</formula2>
    </dataValidation>
    <dataValidation type="textLength" errorStyle="information" allowBlank="1" showInputMessage="1" showErrorMessage="1" error="XLBVal:2=0_x000d__x000a_" sqref="D32:J32 O35 J42 T71 E68 V41:V42 R68:W68 E9:J11 E13:J14 E65:E66 E49:P49 R88:W90 E33:J33 Q32:W32 R74:W74 Q35:W37 E41:I43 R85:W85 R82:W82 D36:D37 Y54 R21:W21 R9:AC11 E35:J38 Z51 Q23:W24 R49:AC49 R25:W31 R65:W66 R38:W38 R33:W33 R13:AC14 D21:J21 E23:J31 R41:R43 S41:S42 T41:U43 W41:W43 V34:W34">
      <formula1>0</formula1>
      <formula2>300</formula2>
    </dataValidation>
  </dataValidations>
  <printOptions horizontalCentered="1"/>
  <pageMargins left="0.11811023622047245" right="0.11811023622047245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AH109"/>
  <sheetViews>
    <sheetView view="pageBreakPreview" zoomScaleNormal="100" zoomScaleSheetLayoutView="100" workbookViewId="0">
      <pane xSplit="5" ySplit="7" topLeftCell="L77" activePane="bottomRight" state="frozen"/>
      <selection activeCell="AP43" sqref="AP43"/>
      <selection pane="topRight" activeCell="AP43" sqref="AP43"/>
      <selection pane="bottomLeft" activeCell="AP43" sqref="AP43"/>
      <selection pane="bottomRight" activeCell="O91" sqref="O91"/>
    </sheetView>
  </sheetViews>
  <sheetFormatPr defaultColWidth="9" defaultRowHeight="14.25" outlineLevelCol="2"/>
  <cols>
    <col min="1" max="1" width="10.375" style="105" hidden="1" customWidth="1" outlineLevel="1"/>
    <col min="2" max="3" width="9" style="105" hidden="1" customWidth="1" outlineLevel="1"/>
    <col min="4" max="4" width="43.5" style="105" customWidth="1" collapsed="1"/>
    <col min="5" max="16" width="14.125" style="116" customWidth="1"/>
    <col min="17" max="17" width="20.75" style="117" bestFit="1" customWidth="1"/>
    <col min="18" max="24" width="20.75" style="116" hidden="1" customWidth="1" outlineLevel="1"/>
    <col min="25" max="29" width="18.25" style="116" hidden="1" customWidth="1" outlineLevel="2"/>
    <col min="30" max="30" width="19.5" style="117" customWidth="1" collapsed="1"/>
    <col min="31" max="31" width="17" style="116" customWidth="1"/>
    <col min="32" max="32" width="10.5" style="116" customWidth="1"/>
    <col min="33" max="33" width="17" style="109" hidden="1" customWidth="1"/>
    <col min="34" max="34" width="18.375" style="124" hidden="1" customWidth="1"/>
    <col min="35" max="16384" width="9" style="105"/>
  </cols>
  <sheetData>
    <row r="1" spans="1:34" s="100" customFormat="1">
      <c r="A1" s="100" t="s">
        <v>348</v>
      </c>
      <c r="D1" s="100" t="s">
        <v>146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02"/>
      <c r="AE1" s="101"/>
      <c r="AF1" s="101"/>
      <c r="AG1" s="103"/>
      <c r="AH1" s="183"/>
    </row>
    <row r="2" spans="1:34" s="100" customFormat="1">
      <c r="D2" s="100" t="s">
        <v>147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02"/>
      <c r="AE2" s="101"/>
      <c r="AF2" s="101"/>
      <c r="AG2" s="103"/>
      <c r="AH2" s="183"/>
    </row>
    <row r="3" spans="1:34">
      <c r="D3" s="106" t="s">
        <v>349</v>
      </c>
      <c r="E3" s="2" t="s">
        <v>0</v>
      </c>
      <c r="F3" s="2" t="s">
        <v>350</v>
      </c>
      <c r="G3" s="2" t="s">
        <v>351</v>
      </c>
      <c r="H3" s="2" t="s">
        <v>351</v>
      </c>
      <c r="I3" s="2" t="s">
        <v>350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352</v>
      </c>
      <c r="P3" s="2" t="s">
        <v>352</v>
      </c>
      <c r="Q3" s="107"/>
      <c r="R3" s="108" t="s">
        <v>351</v>
      </c>
      <c r="S3" s="108" t="s">
        <v>0</v>
      </c>
      <c r="T3" s="108" t="s">
        <v>0</v>
      </c>
      <c r="U3" s="108" t="s">
        <v>350</v>
      </c>
      <c r="V3" s="108" t="s">
        <v>353</v>
      </c>
      <c r="W3" s="108" t="s">
        <v>351</v>
      </c>
      <c r="X3" s="108" t="s">
        <v>351</v>
      </c>
      <c r="Y3" s="108" t="s">
        <v>350</v>
      </c>
      <c r="Z3" s="108" t="s">
        <v>350</v>
      </c>
      <c r="AA3" s="108" t="s">
        <v>0</v>
      </c>
      <c r="AB3" s="108" t="s">
        <v>350</v>
      </c>
      <c r="AC3" s="108" t="s">
        <v>350</v>
      </c>
      <c r="AD3" s="107"/>
      <c r="AE3" s="2"/>
      <c r="AF3" s="2"/>
      <c r="AH3" s="184"/>
    </row>
    <row r="4" spans="1:34" s="100" customFormat="1" ht="18">
      <c r="D4" s="18">
        <f>+'2025 Summay'!$D$7</f>
        <v>2025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2"/>
      <c r="AE4" s="101"/>
      <c r="AF4" s="101"/>
      <c r="AG4" s="103"/>
      <c r="AH4" s="183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2"/>
      <c r="AE5" s="101"/>
      <c r="AF5" s="101"/>
      <c r="AG5" s="103"/>
      <c r="AH5" s="183"/>
    </row>
    <row r="6" spans="1:34" s="100" customFormat="1">
      <c r="D6" s="100" t="s">
        <v>154</v>
      </c>
      <c r="E6" s="112">
        <f>'Rooms+Summary'!E6</f>
        <v>1</v>
      </c>
      <c r="F6" s="112">
        <f>'Rooms+Summary'!F6</f>
        <v>2</v>
      </c>
      <c r="G6" s="112">
        <f>'Rooms+Summary'!G6</f>
        <v>3</v>
      </c>
      <c r="H6" s="112">
        <f>'Rooms+Summary'!H6</f>
        <v>4</v>
      </c>
      <c r="I6" s="112">
        <f>'Rooms+Summary'!I6</f>
        <v>5</v>
      </c>
      <c r="J6" s="112">
        <f>'Rooms+Summary'!J6</f>
        <v>6</v>
      </c>
      <c r="K6" s="112">
        <f>'Rooms+Summary'!K6</f>
        <v>7</v>
      </c>
      <c r="L6" s="112">
        <f>'Rooms+Summary'!L6</f>
        <v>8</v>
      </c>
      <c r="M6" s="112">
        <f>'Rooms+Summary'!M6</f>
        <v>9</v>
      </c>
      <c r="N6" s="112">
        <f>'Rooms+Summary'!N6</f>
        <v>10</v>
      </c>
      <c r="O6" s="112">
        <f>'Rooms+Summary'!O6</f>
        <v>11</v>
      </c>
      <c r="P6" s="112">
        <f>'Rooms+Summary'!P6</f>
        <v>12</v>
      </c>
      <c r="Q6" s="156">
        <f>'Rooms+Summary'!Q6</f>
        <v>2025</v>
      </c>
      <c r="R6" s="114">
        <f>'Rooms+Summary'!R6</f>
        <v>202401</v>
      </c>
      <c r="S6" s="114">
        <f>'Rooms+Summary'!S6</f>
        <v>202402</v>
      </c>
      <c r="T6" s="114">
        <f>'Rooms+Summary'!T6</f>
        <v>202403</v>
      </c>
      <c r="U6" s="114">
        <f>'Rooms+Summary'!U6</f>
        <v>202404</v>
      </c>
      <c r="V6" s="114">
        <f>'Rooms+Summary'!V6</f>
        <v>202405</v>
      </c>
      <c r="W6" s="114">
        <f>'Rooms+Summary'!W6</f>
        <v>202406</v>
      </c>
      <c r="X6" s="114">
        <f>'Rooms+Summary'!X6</f>
        <v>202407</v>
      </c>
      <c r="Y6" s="114">
        <f>'Rooms+Summary'!Y6</f>
        <v>202408</v>
      </c>
      <c r="Z6" s="114">
        <f>'Rooms+Summary'!Z6</f>
        <v>202409</v>
      </c>
      <c r="AA6" s="114">
        <f>'Rooms+Summary'!AA6</f>
        <v>202410</v>
      </c>
      <c r="AB6" s="114">
        <f>'Rooms+Summary'!AB6</f>
        <v>202411</v>
      </c>
      <c r="AC6" s="114">
        <f>'Rooms+Summary'!AC6</f>
        <v>202412</v>
      </c>
      <c r="AD6" s="115">
        <f>'Rooms+Summary'!AD6</f>
        <v>2024</v>
      </c>
      <c r="AE6" s="114"/>
      <c r="AF6" s="114"/>
      <c r="AG6" s="172">
        <v>2019</v>
      </c>
      <c r="AH6" s="183"/>
    </row>
    <row r="7" spans="1:34">
      <c r="D7" s="105" t="s">
        <v>154</v>
      </c>
      <c r="E7" s="116" t="str">
        <f>'Rooms+Summary'!E7</f>
        <v>Budget</v>
      </c>
      <c r="F7" s="116" t="str">
        <f>'Rooms+Summary'!F7</f>
        <v>Budget</v>
      </c>
      <c r="G7" s="116" t="str">
        <f>'Rooms+Summary'!G7</f>
        <v>Budget</v>
      </c>
      <c r="H7" s="116" t="str">
        <f>'Rooms+Summary'!H7</f>
        <v>Budget</v>
      </c>
      <c r="I7" s="116" t="str">
        <f>'Rooms+Summary'!I7</f>
        <v>Budget</v>
      </c>
      <c r="J7" s="116" t="str">
        <f>'Rooms+Summary'!J7</f>
        <v>Budget</v>
      </c>
      <c r="K7" s="116" t="str">
        <f>'Rooms+Summary'!K7</f>
        <v>Budget</v>
      </c>
      <c r="L7" s="116" t="str">
        <f>'Rooms+Summary'!L7</f>
        <v>Budget</v>
      </c>
      <c r="M7" s="116" t="str">
        <f>'Rooms+Summary'!M7</f>
        <v>Budget</v>
      </c>
      <c r="N7" s="116" t="str">
        <f>'Rooms+Summary'!N7</f>
        <v>Budget</v>
      </c>
      <c r="O7" s="116" t="str">
        <f>'Rooms+Summary'!O7</f>
        <v>Budget</v>
      </c>
      <c r="P7" s="116" t="str">
        <f>'Rooms+Summary'!P7</f>
        <v>Budget</v>
      </c>
      <c r="Q7" s="117" t="str">
        <f>'Rooms+Summary'!Q7</f>
        <v>Budget</v>
      </c>
      <c r="R7" s="118" t="str">
        <f>'Rooms+Summary'!R7</f>
        <v>Actual</v>
      </c>
      <c r="S7" s="118" t="str">
        <f>'Rooms+Summary'!S7</f>
        <v>Actual</v>
      </c>
      <c r="T7" s="118" t="str">
        <f>'Rooms+Summary'!T7</f>
        <v>Actual</v>
      </c>
      <c r="U7" s="118" t="str">
        <f>'Rooms+Summary'!U7</f>
        <v>Actual</v>
      </c>
      <c r="V7" s="118" t="str">
        <f>'Rooms+Summary'!V7</f>
        <v>Actual</v>
      </c>
      <c r="W7" s="118" t="str">
        <f>'Rooms+Summary'!W7</f>
        <v>Actual</v>
      </c>
      <c r="X7" s="118" t="str">
        <f>'Rooms+Summary'!X7</f>
        <v>Actual</v>
      </c>
      <c r="Y7" s="118" t="str">
        <f>'Rooms+Summary'!Y7</f>
        <v>Actual</v>
      </c>
      <c r="Z7" s="118" t="str">
        <f>'Rooms+Summary'!Z7</f>
        <v>Forecast</v>
      </c>
      <c r="AA7" s="118" t="str">
        <f>'Rooms+Summary'!AA7</f>
        <v>Forecast</v>
      </c>
      <c r="AB7" s="118" t="str">
        <f>'Rooms+Summary'!AB7</f>
        <v>Forecast</v>
      </c>
      <c r="AC7" s="118" t="str">
        <f>'Rooms+Summary'!AC7</f>
        <v>Forecast</v>
      </c>
      <c r="AD7" s="119" t="str">
        <f>'Rooms+Summary'!AD7</f>
        <v>Forecast</v>
      </c>
      <c r="AE7" s="118" t="s">
        <v>354</v>
      </c>
      <c r="AF7" s="120" t="s">
        <v>156</v>
      </c>
      <c r="AG7" s="129" t="s">
        <v>12</v>
      </c>
    </row>
    <row r="8" spans="1:34">
      <c r="D8" s="105" t="s">
        <v>158</v>
      </c>
      <c r="AG8" s="129"/>
    </row>
    <row r="9" spans="1:34">
      <c r="A9" s="105" t="s">
        <v>159</v>
      </c>
      <c r="B9" s="105" t="s">
        <v>355</v>
      </c>
      <c r="C9" s="105" t="s">
        <v>356</v>
      </c>
      <c r="D9" s="105" t="s">
        <v>162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117">
        <f>SUM(E9:P9)</f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/>
      <c r="Y9" s="72"/>
      <c r="Z9" s="72"/>
      <c r="AA9" s="72"/>
      <c r="AB9" s="72"/>
      <c r="AC9" s="72"/>
      <c r="AD9" s="127">
        <f>SUM(R9:AC9)</f>
        <v>0</v>
      </c>
      <c r="AE9" s="72">
        <f>Q9-AD9</f>
        <v>0</v>
      </c>
      <c r="AF9" s="128" t="e">
        <f>AE9/AD9</f>
        <v>#DIV/0!</v>
      </c>
      <c r="AG9" s="129">
        <v>0</v>
      </c>
      <c r="AH9" s="124">
        <f t="shared" ref="AH9:AH16" si="0">Q9-AG9</f>
        <v>0</v>
      </c>
    </row>
    <row r="10" spans="1:34">
      <c r="A10" s="105" t="s">
        <v>159</v>
      </c>
      <c r="B10" s="105" t="s">
        <v>355</v>
      </c>
      <c r="C10" s="105" t="s">
        <v>357</v>
      </c>
      <c r="D10" s="105" t="s">
        <v>164</v>
      </c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117">
        <f>SUM(E10:P10)</f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/>
      <c r="Y10" s="72"/>
      <c r="Z10" s="72"/>
      <c r="AA10" s="72"/>
      <c r="AB10" s="72"/>
      <c r="AC10" s="72"/>
      <c r="AD10" s="127">
        <f t="shared" ref="AD10:AD17" si="1">SUM(R10:AC10)</f>
        <v>0</v>
      </c>
      <c r="AE10" s="72">
        <f t="shared" ref="AE10:AE15" si="2">Q10-AD10</f>
        <v>0</v>
      </c>
      <c r="AF10" s="128" t="e">
        <f t="shared" ref="AF10:AF46" si="3">AE10/AD10</f>
        <v>#DIV/0!</v>
      </c>
      <c r="AG10" s="129">
        <v>0</v>
      </c>
      <c r="AH10" s="124">
        <f t="shared" si="0"/>
        <v>0</v>
      </c>
    </row>
    <row r="11" spans="1:34">
      <c r="A11" s="105" t="s">
        <v>300</v>
      </c>
      <c r="D11" s="105" t="s">
        <v>166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117">
        <f>SUM(E11:P11)</f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/>
      <c r="Y11" s="72"/>
      <c r="Z11" s="72"/>
      <c r="AA11" s="72"/>
      <c r="AB11" s="72"/>
      <c r="AC11" s="72"/>
      <c r="AD11" s="127">
        <f t="shared" si="1"/>
        <v>0</v>
      </c>
      <c r="AE11" s="72">
        <f t="shared" si="2"/>
        <v>0</v>
      </c>
      <c r="AF11" s="128"/>
      <c r="AG11" s="129">
        <v>0</v>
      </c>
      <c r="AH11" s="124">
        <f t="shared" si="0"/>
        <v>0</v>
      </c>
    </row>
    <row r="12" spans="1:34">
      <c r="A12" s="105" t="s">
        <v>358</v>
      </c>
      <c r="D12" s="109" t="s">
        <v>168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17">
        <f>SUM(Q9:Q11)</f>
        <v>0</v>
      </c>
      <c r="R12" s="127">
        <f t="shared" ref="R12:AC12" si="4">SUM(R9:R11)</f>
        <v>0</v>
      </c>
      <c r="S12" s="127">
        <f t="shared" si="4"/>
        <v>0</v>
      </c>
      <c r="T12" s="127">
        <f t="shared" si="4"/>
        <v>0</v>
      </c>
      <c r="U12" s="127">
        <f t="shared" si="4"/>
        <v>0</v>
      </c>
      <c r="V12" s="127">
        <f t="shared" si="4"/>
        <v>0</v>
      </c>
      <c r="W12" s="127">
        <f t="shared" si="4"/>
        <v>0</v>
      </c>
      <c r="X12" s="127">
        <f t="shared" si="4"/>
        <v>0</v>
      </c>
      <c r="Y12" s="127">
        <f t="shared" si="4"/>
        <v>0</v>
      </c>
      <c r="Z12" s="127">
        <f t="shared" si="4"/>
        <v>0</v>
      </c>
      <c r="AA12" s="127">
        <f t="shared" si="4"/>
        <v>0</v>
      </c>
      <c r="AB12" s="127">
        <f t="shared" si="4"/>
        <v>0</v>
      </c>
      <c r="AC12" s="127">
        <f t="shared" si="4"/>
        <v>0</v>
      </c>
      <c r="AD12" s="127">
        <f t="shared" si="1"/>
        <v>0</v>
      </c>
      <c r="AE12" s="72">
        <f t="shared" si="2"/>
        <v>0</v>
      </c>
      <c r="AF12" s="128" t="e">
        <f t="shared" si="3"/>
        <v>#DIV/0!</v>
      </c>
      <c r="AG12" s="129">
        <v>0</v>
      </c>
      <c r="AH12" s="124">
        <f t="shared" si="0"/>
        <v>0</v>
      </c>
    </row>
    <row r="13" spans="1:34">
      <c r="A13" s="105" t="s">
        <v>169</v>
      </c>
      <c r="B13" s="105" t="s">
        <v>355</v>
      </c>
      <c r="D13" s="105" t="s">
        <v>170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117">
        <f>SUM(E13:P13)</f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/>
      <c r="Y13" s="72"/>
      <c r="Z13" s="72"/>
      <c r="AA13" s="72"/>
      <c r="AB13" s="72"/>
      <c r="AC13" s="72"/>
      <c r="AD13" s="127">
        <f t="shared" si="1"/>
        <v>0</v>
      </c>
      <c r="AE13" s="72">
        <f t="shared" si="2"/>
        <v>0</v>
      </c>
      <c r="AF13" s="128" t="e">
        <f t="shared" si="3"/>
        <v>#DIV/0!</v>
      </c>
      <c r="AG13" s="129">
        <v>0</v>
      </c>
      <c r="AH13" s="124">
        <f t="shared" si="0"/>
        <v>0</v>
      </c>
    </row>
    <row r="14" spans="1:34">
      <c r="A14" s="105" t="s">
        <v>300</v>
      </c>
      <c r="D14" s="105" t="s">
        <v>171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117">
        <f>SUM(E14:P14)</f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/>
      <c r="Y14" s="72"/>
      <c r="Z14" s="72"/>
      <c r="AA14" s="72"/>
      <c r="AB14" s="72"/>
      <c r="AC14" s="72"/>
      <c r="AD14" s="127">
        <f t="shared" si="1"/>
        <v>0</v>
      </c>
      <c r="AE14" s="72">
        <f t="shared" si="2"/>
        <v>0</v>
      </c>
      <c r="AF14" s="128"/>
      <c r="AG14" s="129">
        <v>0</v>
      </c>
      <c r="AH14" s="124">
        <f t="shared" si="0"/>
        <v>0</v>
      </c>
    </row>
    <row r="15" spans="1:34">
      <c r="D15" s="105" t="s">
        <v>172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17">
        <f>SUM(Q12:Q14)</f>
        <v>0</v>
      </c>
      <c r="R15" s="127">
        <f t="shared" ref="R15:AC15" si="5">SUM(R12:R14)</f>
        <v>0</v>
      </c>
      <c r="S15" s="127">
        <f t="shared" si="5"/>
        <v>0</v>
      </c>
      <c r="T15" s="127">
        <f t="shared" si="5"/>
        <v>0</v>
      </c>
      <c r="U15" s="127">
        <f t="shared" si="5"/>
        <v>0</v>
      </c>
      <c r="V15" s="127">
        <f t="shared" si="5"/>
        <v>0</v>
      </c>
      <c r="W15" s="127">
        <f t="shared" si="5"/>
        <v>0</v>
      </c>
      <c r="X15" s="127">
        <f t="shared" si="5"/>
        <v>0</v>
      </c>
      <c r="Y15" s="127">
        <f t="shared" si="5"/>
        <v>0</v>
      </c>
      <c r="Z15" s="127">
        <f t="shared" si="5"/>
        <v>0</v>
      </c>
      <c r="AA15" s="127">
        <f t="shared" si="5"/>
        <v>0</v>
      </c>
      <c r="AB15" s="127">
        <f t="shared" si="5"/>
        <v>0</v>
      </c>
      <c r="AC15" s="127">
        <f t="shared" si="5"/>
        <v>0</v>
      </c>
      <c r="AD15" s="127">
        <f t="shared" si="1"/>
        <v>0</v>
      </c>
      <c r="AE15" s="72">
        <f t="shared" si="2"/>
        <v>0</v>
      </c>
      <c r="AF15" s="128" t="e">
        <f t="shared" si="3"/>
        <v>#DIV/0!</v>
      </c>
      <c r="AG15" s="129">
        <v>0</v>
      </c>
      <c r="AH15" s="124">
        <f t="shared" si="0"/>
        <v>0</v>
      </c>
    </row>
    <row r="16" spans="1:34">
      <c r="D16" s="105" t="s">
        <v>154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127">
        <f t="shared" si="1"/>
        <v>0</v>
      </c>
      <c r="AE16" s="72"/>
      <c r="AF16" s="128" t="e">
        <f t="shared" si="3"/>
        <v>#DIV/0!</v>
      </c>
      <c r="AG16" s="129">
        <v>0</v>
      </c>
      <c r="AH16" s="124">
        <f t="shared" si="0"/>
        <v>0</v>
      </c>
    </row>
    <row r="17" spans="1:34" s="109" customFormat="1">
      <c r="A17" s="109" t="s">
        <v>173</v>
      </c>
      <c r="B17" s="109" t="s">
        <v>355</v>
      </c>
      <c r="D17" s="109" t="s">
        <v>175</v>
      </c>
      <c r="E17" s="127">
        <f t="shared" ref="E17:AC17" si="6">E98</f>
        <v>37504.99</v>
      </c>
      <c r="F17" s="127">
        <f t="shared" si="6"/>
        <v>37504.99</v>
      </c>
      <c r="G17" s="127">
        <f t="shared" si="6"/>
        <v>38592.49</v>
      </c>
      <c r="H17" s="127">
        <f t="shared" si="6"/>
        <v>38592.49</v>
      </c>
      <c r="I17" s="127">
        <f t="shared" si="6"/>
        <v>38592.49</v>
      </c>
      <c r="J17" s="127">
        <f t="shared" si="6"/>
        <v>38592.49</v>
      </c>
      <c r="K17" s="127">
        <f t="shared" si="6"/>
        <v>38729.4</v>
      </c>
      <c r="L17" s="127">
        <f t="shared" si="6"/>
        <v>38667.410000000003</v>
      </c>
      <c r="M17" s="127">
        <f t="shared" si="6"/>
        <v>51717.36</v>
      </c>
      <c r="N17" s="127">
        <f t="shared" si="6"/>
        <v>51717.36</v>
      </c>
      <c r="O17" s="127">
        <f t="shared" si="6"/>
        <v>51646.3</v>
      </c>
      <c r="P17" s="127">
        <f t="shared" si="6"/>
        <v>51717.36</v>
      </c>
      <c r="Q17" s="117">
        <f t="shared" si="6"/>
        <v>513575.13</v>
      </c>
      <c r="R17" s="127">
        <f t="shared" si="6"/>
        <v>35016.949999999997</v>
      </c>
      <c r="S17" s="127">
        <f t="shared" si="6"/>
        <v>35351.769999999997</v>
      </c>
      <c r="T17" s="127">
        <f t="shared" si="6"/>
        <v>43757.09</v>
      </c>
      <c r="U17" s="127">
        <f t="shared" si="6"/>
        <v>41520.89</v>
      </c>
      <c r="V17" s="127">
        <f t="shared" si="6"/>
        <v>40802.559999999998</v>
      </c>
      <c r="W17" s="127">
        <f t="shared" si="6"/>
        <v>40625.35</v>
      </c>
      <c r="X17" s="127">
        <f t="shared" si="6"/>
        <v>39292.089999999997</v>
      </c>
      <c r="Y17" s="127">
        <f t="shared" si="6"/>
        <v>40297.629999999997</v>
      </c>
      <c r="Z17" s="127">
        <f t="shared" si="6"/>
        <v>39203.33</v>
      </c>
      <c r="AA17" s="127">
        <f t="shared" si="6"/>
        <v>39402.33</v>
      </c>
      <c r="AB17" s="127">
        <f t="shared" si="6"/>
        <v>39227.33</v>
      </c>
      <c r="AC17" s="127">
        <f t="shared" si="6"/>
        <v>39227.33</v>
      </c>
      <c r="AD17" s="127">
        <f t="shared" si="1"/>
        <v>473724.65000000008</v>
      </c>
      <c r="AE17" s="127">
        <f>Q17-AD17</f>
        <v>39850.479999999923</v>
      </c>
      <c r="AF17" s="132">
        <f>AE17/AD17</f>
        <v>8.4121609462374222E-2</v>
      </c>
      <c r="AG17" s="129">
        <v>61369.66</v>
      </c>
      <c r="AH17" s="129">
        <f>AG17-Q17</f>
        <v>-452205.47</v>
      </c>
    </row>
    <row r="18" spans="1:34">
      <c r="D18" s="105" t="s">
        <v>154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127"/>
      <c r="AE18" s="72"/>
      <c r="AF18" s="128" t="e">
        <f t="shared" si="3"/>
        <v>#DIV/0!</v>
      </c>
      <c r="AG18" s="129"/>
    </row>
    <row r="19" spans="1:34">
      <c r="D19" s="105" t="s">
        <v>176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127"/>
      <c r="AE19" s="72"/>
      <c r="AF19" s="128" t="e">
        <f t="shared" si="3"/>
        <v>#DIV/0!</v>
      </c>
      <c r="AG19" s="129"/>
    </row>
    <row r="20" spans="1:34">
      <c r="A20" s="105" t="s">
        <v>177</v>
      </c>
      <c r="B20" s="105" t="s">
        <v>355</v>
      </c>
      <c r="D20" s="105" t="s">
        <v>302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117">
        <f>SUM(E20:P20)</f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127">
        <f t="shared" ref="AD20:AD43" si="7">SUM(R20:AC20)</f>
        <v>0</v>
      </c>
      <c r="AE20" s="72">
        <f t="shared" ref="AE20:AE45" si="8">Q20-AD20</f>
        <v>0</v>
      </c>
      <c r="AF20" s="128" t="e">
        <f t="shared" si="3"/>
        <v>#DIV/0!</v>
      </c>
      <c r="AG20" s="129">
        <v>0</v>
      </c>
      <c r="AH20" s="124">
        <f t="shared" ref="AH20:AH44" si="9">AG20-Q20</f>
        <v>0</v>
      </c>
    </row>
    <row r="21" spans="1:34">
      <c r="A21" s="105" t="s">
        <v>179</v>
      </c>
      <c r="B21" s="105" t="s">
        <v>355</v>
      </c>
      <c r="D21" s="105" t="s">
        <v>143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117">
        <f t="shared" ref="Q21:Q43" si="10">SUM(E21:P21)</f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127">
        <f t="shared" si="7"/>
        <v>0</v>
      </c>
      <c r="AE21" s="72">
        <f t="shared" si="8"/>
        <v>0</v>
      </c>
      <c r="AF21" s="128" t="e">
        <f t="shared" si="3"/>
        <v>#DIV/0!</v>
      </c>
      <c r="AG21" s="129">
        <v>0</v>
      </c>
      <c r="AH21" s="124">
        <f t="shared" si="9"/>
        <v>0</v>
      </c>
    </row>
    <row r="22" spans="1:34">
      <c r="A22" s="105" t="s">
        <v>180</v>
      </c>
      <c r="B22" s="105" t="s">
        <v>355</v>
      </c>
      <c r="D22" s="105" t="s">
        <v>144</v>
      </c>
      <c r="E22" s="164">
        <f>+E107+E108+E109</f>
        <v>0</v>
      </c>
      <c r="F22" s="164">
        <f t="shared" ref="F22:P22" si="11">+F107+F108+F109</f>
        <v>0</v>
      </c>
      <c r="G22" s="164">
        <f t="shared" si="11"/>
        <v>0</v>
      </c>
      <c r="H22" s="164">
        <f t="shared" si="11"/>
        <v>0</v>
      </c>
      <c r="I22" s="164">
        <f t="shared" si="11"/>
        <v>0</v>
      </c>
      <c r="J22" s="164">
        <f t="shared" si="11"/>
        <v>0</v>
      </c>
      <c r="K22" s="164">
        <f t="shared" si="11"/>
        <v>0</v>
      </c>
      <c r="L22" s="164">
        <f t="shared" si="11"/>
        <v>0</v>
      </c>
      <c r="M22" s="164">
        <f t="shared" si="11"/>
        <v>0</v>
      </c>
      <c r="N22" s="164">
        <f t="shared" si="11"/>
        <v>0</v>
      </c>
      <c r="O22" s="164">
        <f t="shared" si="11"/>
        <v>0</v>
      </c>
      <c r="P22" s="164">
        <f t="shared" si="11"/>
        <v>0</v>
      </c>
      <c r="Q22" s="117">
        <f t="shared" si="10"/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2">
        <v>0</v>
      </c>
      <c r="AB22" s="72">
        <v>0</v>
      </c>
      <c r="AC22" s="72">
        <v>0</v>
      </c>
      <c r="AD22" s="127">
        <f t="shared" si="7"/>
        <v>0</v>
      </c>
      <c r="AE22" s="72">
        <f t="shared" si="8"/>
        <v>0</v>
      </c>
      <c r="AF22" s="128" t="e">
        <f t="shared" si="3"/>
        <v>#DIV/0!</v>
      </c>
      <c r="AG22" s="129">
        <v>0</v>
      </c>
      <c r="AH22" s="124">
        <f t="shared" si="9"/>
        <v>0</v>
      </c>
    </row>
    <row r="23" spans="1:34">
      <c r="A23" s="105" t="s">
        <v>181</v>
      </c>
      <c r="B23" s="105" t="s">
        <v>355</v>
      </c>
      <c r="D23" s="105" t="s">
        <v>182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117">
        <f t="shared" si="10"/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127">
        <f t="shared" si="7"/>
        <v>0</v>
      </c>
      <c r="AE23" s="72">
        <f t="shared" si="8"/>
        <v>0</v>
      </c>
      <c r="AF23" s="128" t="e">
        <f t="shared" si="3"/>
        <v>#DIV/0!</v>
      </c>
      <c r="AG23" s="129">
        <v>0</v>
      </c>
      <c r="AH23" s="124">
        <f t="shared" si="9"/>
        <v>0</v>
      </c>
    </row>
    <row r="24" spans="1:34">
      <c r="A24" s="105" t="s">
        <v>183</v>
      </c>
      <c r="B24" s="105" t="s">
        <v>355</v>
      </c>
      <c r="D24" s="105" t="s">
        <v>184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117">
        <f t="shared" si="10"/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72">
        <v>0</v>
      </c>
      <c r="AD24" s="127">
        <f t="shared" si="7"/>
        <v>0</v>
      </c>
      <c r="AE24" s="72">
        <f t="shared" si="8"/>
        <v>0</v>
      </c>
      <c r="AF24" s="128" t="e">
        <f t="shared" si="3"/>
        <v>#DIV/0!</v>
      </c>
      <c r="AG24" s="129">
        <v>0</v>
      </c>
      <c r="AH24" s="124">
        <f t="shared" si="9"/>
        <v>0</v>
      </c>
    </row>
    <row r="25" spans="1:34">
      <c r="A25" s="105" t="s">
        <v>185</v>
      </c>
      <c r="B25" s="105" t="s">
        <v>355</v>
      </c>
      <c r="D25" s="105" t="s">
        <v>186</v>
      </c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117">
        <f t="shared" si="10"/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72">
        <v>0</v>
      </c>
      <c r="AD25" s="127">
        <f t="shared" si="7"/>
        <v>0</v>
      </c>
      <c r="AE25" s="72">
        <f t="shared" si="8"/>
        <v>0</v>
      </c>
      <c r="AF25" s="128" t="e">
        <f t="shared" si="3"/>
        <v>#DIV/0!</v>
      </c>
      <c r="AG25" s="129">
        <v>0</v>
      </c>
      <c r="AH25" s="124">
        <f t="shared" si="9"/>
        <v>0</v>
      </c>
    </row>
    <row r="26" spans="1:34">
      <c r="A26" s="105" t="s">
        <v>187</v>
      </c>
      <c r="B26" s="105" t="s">
        <v>355</v>
      </c>
      <c r="D26" s="105" t="s">
        <v>188</v>
      </c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117">
        <f t="shared" si="10"/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72">
        <v>0</v>
      </c>
      <c r="AD26" s="127">
        <f t="shared" si="7"/>
        <v>0</v>
      </c>
      <c r="AE26" s="72">
        <f t="shared" si="8"/>
        <v>0</v>
      </c>
      <c r="AF26" s="128" t="e">
        <f t="shared" si="3"/>
        <v>#DIV/0!</v>
      </c>
      <c r="AG26" s="129">
        <v>0</v>
      </c>
      <c r="AH26" s="124">
        <f t="shared" si="9"/>
        <v>0</v>
      </c>
    </row>
    <row r="27" spans="1:34">
      <c r="A27" s="105" t="s">
        <v>189</v>
      </c>
      <c r="B27" s="105" t="s">
        <v>355</v>
      </c>
      <c r="D27" s="105" t="s">
        <v>190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117">
        <f t="shared" si="10"/>
        <v>0</v>
      </c>
      <c r="R27" s="72">
        <v>0</v>
      </c>
      <c r="S27" s="72">
        <v>0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127">
        <f t="shared" si="7"/>
        <v>0</v>
      </c>
      <c r="AE27" s="72">
        <f t="shared" si="8"/>
        <v>0</v>
      </c>
      <c r="AF27" s="128" t="e">
        <f t="shared" si="3"/>
        <v>#DIV/0!</v>
      </c>
      <c r="AG27" s="129">
        <v>0</v>
      </c>
      <c r="AH27" s="124">
        <f t="shared" si="9"/>
        <v>0</v>
      </c>
    </row>
    <row r="28" spans="1:34">
      <c r="A28" s="105" t="s">
        <v>359</v>
      </c>
      <c r="D28" s="105" t="s">
        <v>192</v>
      </c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5">
        <f t="shared" si="10"/>
        <v>0</v>
      </c>
      <c r="R28" s="136">
        <v>0</v>
      </c>
      <c r="S28" s="136">
        <v>0</v>
      </c>
      <c r="T28" s="136">
        <v>0</v>
      </c>
      <c r="U28" s="136">
        <v>0</v>
      </c>
      <c r="V28" s="136">
        <v>0</v>
      </c>
      <c r="W28" s="136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127">
        <f t="shared" si="7"/>
        <v>0</v>
      </c>
      <c r="AE28" s="72">
        <f t="shared" si="8"/>
        <v>0</v>
      </c>
      <c r="AF28" s="128" t="e">
        <f t="shared" si="3"/>
        <v>#DIV/0!</v>
      </c>
      <c r="AG28" s="129">
        <v>0</v>
      </c>
      <c r="AH28" s="124">
        <f t="shared" si="9"/>
        <v>0</v>
      </c>
    </row>
    <row r="29" spans="1:34">
      <c r="A29" s="175" t="s">
        <v>360</v>
      </c>
      <c r="B29" s="105" t="s">
        <v>355</v>
      </c>
      <c r="D29" s="105" t="s">
        <v>361</v>
      </c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5">
        <f t="shared" si="10"/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127">
        <f t="shared" si="7"/>
        <v>0</v>
      </c>
      <c r="AE29" s="72">
        <f t="shared" si="8"/>
        <v>0</v>
      </c>
      <c r="AF29" s="128" t="e">
        <f t="shared" si="3"/>
        <v>#DIV/0!</v>
      </c>
      <c r="AG29" s="129">
        <v>0</v>
      </c>
      <c r="AH29" s="124">
        <f t="shared" si="9"/>
        <v>0</v>
      </c>
    </row>
    <row r="30" spans="1:34">
      <c r="A30" s="105" t="s">
        <v>195</v>
      </c>
      <c r="B30" s="105" t="s">
        <v>355</v>
      </c>
      <c r="D30" s="105" t="s">
        <v>196</v>
      </c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5">
        <f t="shared" si="10"/>
        <v>0</v>
      </c>
      <c r="R30" s="136">
        <v>0</v>
      </c>
      <c r="S30" s="136">
        <v>0</v>
      </c>
      <c r="T30" s="136">
        <v>0</v>
      </c>
      <c r="U30" s="136">
        <v>0</v>
      </c>
      <c r="V30" s="136">
        <v>0</v>
      </c>
      <c r="W30" s="136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72">
        <v>0</v>
      </c>
      <c r="AD30" s="127">
        <f t="shared" si="7"/>
        <v>0</v>
      </c>
      <c r="AE30" s="72">
        <f t="shared" si="8"/>
        <v>0</v>
      </c>
      <c r="AF30" s="128" t="e">
        <f t="shared" si="3"/>
        <v>#DIV/0!</v>
      </c>
      <c r="AG30" s="129">
        <v>0</v>
      </c>
      <c r="AH30" s="124">
        <f t="shared" si="9"/>
        <v>0</v>
      </c>
    </row>
    <row r="31" spans="1:34">
      <c r="A31" s="105" t="s">
        <v>197</v>
      </c>
      <c r="B31" s="105" t="s">
        <v>355</v>
      </c>
      <c r="D31" s="105" t="s">
        <v>305</v>
      </c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5">
        <f t="shared" si="10"/>
        <v>0</v>
      </c>
      <c r="R31" s="136">
        <v>0</v>
      </c>
      <c r="S31" s="136">
        <v>0</v>
      </c>
      <c r="T31" s="136">
        <v>0</v>
      </c>
      <c r="U31" s="136">
        <v>0</v>
      </c>
      <c r="V31" s="136">
        <v>0</v>
      </c>
      <c r="W31" s="136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127">
        <f t="shared" si="7"/>
        <v>0</v>
      </c>
      <c r="AE31" s="72">
        <f t="shared" si="8"/>
        <v>0</v>
      </c>
      <c r="AF31" s="128" t="e">
        <f t="shared" si="3"/>
        <v>#DIV/0!</v>
      </c>
      <c r="AG31" s="129">
        <v>0</v>
      </c>
      <c r="AH31" s="124">
        <f t="shared" si="9"/>
        <v>0</v>
      </c>
    </row>
    <row r="32" spans="1:34">
      <c r="A32" s="105" t="s">
        <v>199</v>
      </c>
      <c r="B32" s="105" t="s">
        <v>355</v>
      </c>
      <c r="D32" s="105" t="s">
        <v>200</v>
      </c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5">
        <f t="shared" si="10"/>
        <v>0</v>
      </c>
      <c r="R32" s="136">
        <v>0</v>
      </c>
      <c r="S32" s="136">
        <v>0</v>
      </c>
      <c r="T32" s="136">
        <v>0</v>
      </c>
      <c r="U32" s="136">
        <v>0</v>
      </c>
      <c r="V32" s="136">
        <v>0</v>
      </c>
      <c r="W32" s="136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127">
        <f t="shared" si="7"/>
        <v>0</v>
      </c>
      <c r="AE32" s="72">
        <f t="shared" si="8"/>
        <v>0</v>
      </c>
      <c r="AF32" s="128" t="e">
        <f t="shared" si="3"/>
        <v>#DIV/0!</v>
      </c>
      <c r="AG32" s="129">
        <v>0</v>
      </c>
      <c r="AH32" s="124">
        <f t="shared" si="9"/>
        <v>0</v>
      </c>
    </row>
    <row r="33" spans="1:34">
      <c r="A33" s="105" t="s">
        <v>201</v>
      </c>
      <c r="B33" s="105" t="s">
        <v>355</v>
      </c>
      <c r="D33" s="105" t="s">
        <v>202</v>
      </c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5">
        <f t="shared" si="10"/>
        <v>0</v>
      </c>
      <c r="R33" s="136">
        <v>0</v>
      </c>
      <c r="S33" s="136">
        <v>0</v>
      </c>
      <c r="T33" s="136">
        <v>0</v>
      </c>
      <c r="U33" s="136">
        <v>0</v>
      </c>
      <c r="V33" s="136">
        <v>0</v>
      </c>
      <c r="W33" s="136">
        <v>0</v>
      </c>
      <c r="X33" s="72">
        <v>0</v>
      </c>
      <c r="Y33" s="72">
        <v>0</v>
      </c>
      <c r="Z33" s="72">
        <v>0</v>
      </c>
      <c r="AA33" s="72">
        <v>0</v>
      </c>
      <c r="AB33" s="72">
        <v>0</v>
      </c>
      <c r="AC33" s="72">
        <v>0</v>
      </c>
      <c r="AD33" s="127">
        <f t="shared" si="7"/>
        <v>0</v>
      </c>
      <c r="AE33" s="72">
        <f t="shared" si="8"/>
        <v>0</v>
      </c>
      <c r="AF33" s="128" t="e">
        <f t="shared" si="3"/>
        <v>#DIV/0!</v>
      </c>
      <c r="AG33" s="129">
        <v>0</v>
      </c>
      <c r="AH33" s="124">
        <f t="shared" si="9"/>
        <v>0</v>
      </c>
    </row>
    <row r="34" spans="1:34">
      <c r="A34" s="105" t="s">
        <v>203</v>
      </c>
      <c r="B34" s="105" t="s">
        <v>355</v>
      </c>
      <c r="D34" s="105" t="s">
        <v>204</v>
      </c>
      <c r="E34" s="136">
        <v>43</v>
      </c>
      <c r="F34" s="136">
        <v>43</v>
      </c>
      <c r="G34" s="136">
        <v>43</v>
      </c>
      <c r="H34" s="136">
        <v>43</v>
      </c>
      <c r="I34" s="136">
        <v>43</v>
      </c>
      <c r="J34" s="136">
        <v>43</v>
      </c>
      <c r="K34" s="136">
        <v>43</v>
      </c>
      <c r="L34" s="136">
        <v>43</v>
      </c>
      <c r="M34" s="136">
        <v>43</v>
      </c>
      <c r="N34" s="136">
        <v>43</v>
      </c>
      <c r="O34" s="136">
        <v>43</v>
      </c>
      <c r="P34" s="136">
        <v>43</v>
      </c>
      <c r="Q34" s="135">
        <f t="shared" si="10"/>
        <v>516</v>
      </c>
      <c r="R34" s="136">
        <v>92</v>
      </c>
      <c r="S34" s="136">
        <v>92</v>
      </c>
      <c r="T34" s="136">
        <v>92</v>
      </c>
      <c r="U34" s="136">
        <v>0</v>
      </c>
      <c r="V34" s="136">
        <v>0</v>
      </c>
      <c r="W34" s="136">
        <v>0</v>
      </c>
      <c r="X34" s="72">
        <v>0</v>
      </c>
      <c r="Y34" s="72">
        <v>0</v>
      </c>
      <c r="Z34" s="72">
        <v>0</v>
      </c>
      <c r="AA34" s="72">
        <v>0</v>
      </c>
      <c r="AB34" s="72">
        <v>0</v>
      </c>
      <c r="AC34" s="72">
        <v>0</v>
      </c>
      <c r="AD34" s="127">
        <f t="shared" si="7"/>
        <v>276</v>
      </c>
      <c r="AE34" s="72">
        <f t="shared" si="8"/>
        <v>240</v>
      </c>
      <c r="AF34" s="128">
        <f t="shared" si="3"/>
        <v>0.86956521739130432</v>
      </c>
      <c r="AG34" s="129">
        <v>0</v>
      </c>
      <c r="AH34" s="124">
        <f t="shared" si="9"/>
        <v>-516</v>
      </c>
    </row>
    <row r="35" spans="1:34">
      <c r="A35" s="105" t="s">
        <v>306</v>
      </c>
      <c r="B35" s="105" t="s">
        <v>355</v>
      </c>
      <c r="D35" s="105" t="s">
        <v>206</v>
      </c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5">
        <f t="shared" si="10"/>
        <v>0</v>
      </c>
      <c r="R35" s="136">
        <v>0</v>
      </c>
      <c r="S35" s="136">
        <v>0</v>
      </c>
      <c r="T35" s="136">
        <v>0</v>
      </c>
      <c r="U35" s="136">
        <v>0</v>
      </c>
      <c r="V35" s="136">
        <v>0</v>
      </c>
      <c r="W35" s="136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127">
        <f>SUM(R35:AC35)</f>
        <v>0</v>
      </c>
      <c r="AE35" s="72">
        <f t="shared" si="8"/>
        <v>0</v>
      </c>
      <c r="AF35" s="128" t="e">
        <f t="shared" si="3"/>
        <v>#DIV/0!</v>
      </c>
      <c r="AG35" s="129">
        <v>-20238.400000000001</v>
      </c>
      <c r="AH35" s="124">
        <f t="shared" si="9"/>
        <v>-20238.400000000001</v>
      </c>
    </row>
    <row r="36" spans="1:34">
      <c r="A36" s="105" t="s">
        <v>207</v>
      </c>
      <c r="B36" s="105" t="s">
        <v>355</v>
      </c>
      <c r="D36" s="105" t="s">
        <v>208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5">
        <f t="shared" si="10"/>
        <v>0</v>
      </c>
      <c r="R36" s="136">
        <v>0</v>
      </c>
      <c r="S36" s="136">
        <v>0</v>
      </c>
      <c r="T36" s="136">
        <v>0</v>
      </c>
      <c r="U36" s="136">
        <v>0</v>
      </c>
      <c r="V36" s="136">
        <v>0</v>
      </c>
      <c r="W36" s="136">
        <v>0</v>
      </c>
      <c r="X36" s="72">
        <v>0</v>
      </c>
      <c r="Y36" s="72">
        <v>0</v>
      </c>
      <c r="Z36" s="72">
        <v>0</v>
      </c>
      <c r="AA36" s="72">
        <v>0</v>
      </c>
      <c r="AB36" s="72">
        <v>0</v>
      </c>
      <c r="AC36" s="72">
        <v>0</v>
      </c>
      <c r="AD36" s="127">
        <f t="shared" si="7"/>
        <v>0</v>
      </c>
      <c r="AE36" s="72">
        <f t="shared" si="8"/>
        <v>0</v>
      </c>
      <c r="AF36" s="128" t="e">
        <f t="shared" si="3"/>
        <v>#DIV/0!</v>
      </c>
      <c r="AG36" s="129">
        <v>0</v>
      </c>
      <c r="AH36" s="124">
        <f t="shared" si="9"/>
        <v>0</v>
      </c>
    </row>
    <row r="37" spans="1:34">
      <c r="A37" s="105" t="s">
        <v>209</v>
      </c>
      <c r="B37" s="105" t="s">
        <v>355</v>
      </c>
      <c r="D37" s="105" t="s">
        <v>210</v>
      </c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5">
        <f t="shared" si="10"/>
        <v>0</v>
      </c>
      <c r="R37" s="136">
        <v>0</v>
      </c>
      <c r="S37" s="136">
        <v>0</v>
      </c>
      <c r="T37" s="136">
        <v>0</v>
      </c>
      <c r="U37" s="136">
        <v>0</v>
      </c>
      <c r="V37" s="136">
        <v>0</v>
      </c>
      <c r="W37" s="136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72">
        <v>0</v>
      </c>
      <c r="AD37" s="127">
        <f t="shared" si="7"/>
        <v>0</v>
      </c>
      <c r="AE37" s="72">
        <f t="shared" si="8"/>
        <v>0</v>
      </c>
      <c r="AF37" s="128" t="e">
        <f t="shared" si="3"/>
        <v>#DIV/0!</v>
      </c>
      <c r="AG37" s="129">
        <v>0</v>
      </c>
      <c r="AH37" s="124">
        <f t="shared" si="9"/>
        <v>0</v>
      </c>
    </row>
    <row r="38" spans="1:34">
      <c r="A38" s="105" t="s">
        <v>211</v>
      </c>
      <c r="B38" s="105" t="s">
        <v>355</v>
      </c>
      <c r="D38" s="105" t="s">
        <v>212</v>
      </c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5">
        <f t="shared" si="10"/>
        <v>0</v>
      </c>
      <c r="R38" s="136">
        <v>0</v>
      </c>
      <c r="S38" s="136">
        <v>0</v>
      </c>
      <c r="T38" s="136">
        <v>0</v>
      </c>
      <c r="U38" s="136">
        <v>0</v>
      </c>
      <c r="V38" s="136">
        <v>0</v>
      </c>
      <c r="W38" s="136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72">
        <v>0</v>
      </c>
      <c r="AD38" s="127">
        <f t="shared" si="7"/>
        <v>0</v>
      </c>
      <c r="AE38" s="72">
        <f t="shared" si="8"/>
        <v>0</v>
      </c>
      <c r="AF38" s="128" t="e">
        <f t="shared" si="3"/>
        <v>#DIV/0!</v>
      </c>
      <c r="AG38" s="129">
        <v>446.95000000000005</v>
      </c>
      <c r="AH38" s="124">
        <f t="shared" si="9"/>
        <v>446.95000000000005</v>
      </c>
    </row>
    <row r="39" spans="1:34">
      <c r="A39" s="105" t="s">
        <v>213</v>
      </c>
      <c r="B39" s="105" t="s">
        <v>355</v>
      </c>
      <c r="D39" s="105" t="s">
        <v>214</v>
      </c>
      <c r="E39" s="164">
        <f>Laundry!E123</f>
        <v>26</v>
      </c>
      <c r="F39" s="164">
        <f>Laundry!F123</f>
        <v>24</v>
      </c>
      <c r="G39" s="164">
        <f>Laundry!G123</f>
        <v>24</v>
      </c>
      <c r="H39" s="164">
        <f>Laundry!H123</f>
        <v>25</v>
      </c>
      <c r="I39" s="164">
        <f>Laundry!I123</f>
        <v>25</v>
      </c>
      <c r="J39" s="164">
        <f>Laundry!J123</f>
        <v>24</v>
      </c>
      <c r="K39" s="164">
        <f>Laundry!K123</f>
        <v>26</v>
      </c>
      <c r="L39" s="164">
        <f>Laundry!L123</f>
        <v>26</v>
      </c>
      <c r="M39" s="164">
        <f>Laundry!M123</f>
        <v>25</v>
      </c>
      <c r="N39" s="164">
        <f>Laundry!N123</f>
        <v>28</v>
      </c>
      <c r="O39" s="164">
        <f>Laundry!O123</f>
        <v>25</v>
      </c>
      <c r="P39" s="164">
        <f>Laundry!P123</f>
        <v>25</v>
      </c>
      <c r="Q39" s="135">
        <f t="shared" si="10"/>
        <v>303</v>
      </c>
      <c r="R39" s="136">
        <v>0</v>
      </c>
      <c r="S39" s="136">
        <v>0</v>
      </c>
      <c r="T39" s="136">
        <v>0</v>
      </c>
      <c r="U39" s="136">
        <v>0</v>
      </c>
      <c r="V39" s="136">
        <v>0</v>
      </c>
      <c r="W39" s="136">
        <v>30.11</v>
      </c>
      <c r="X39" s="72">
        <v>27.83</v>
      </c>
      <c r="Y39" s="72">
        <v>0</v>
      </c>
      <c r="Z39" s="72">
        <v>0</v>
      </c>
      <c r="AA39" s="72">
        <v>0</v>
      </c>
      <c r="AB39" s="72">
        <v>0</v>
      </c>
      <c r="AC39" s="72">
        <v>0</v>
      </c>
      <c r="AD39" s="127">
        <f t="shared" si="7"/>
        <v>57.94</v>
      </c>
      <c r="AE39" s="72">
        <f t="shared" si="8"/>
        <v>245.06</v>
      </c>
      <c r="AF39" s="128">
        <f t="shared" si="3"/>
        <v>4.2295478080773217</v>
      </c>
      <c r="AG39" s="129">
        <v>0</v>
      </c>
      <c r="AH39" s="124">
        <f t="shared" si="9"/>
        <v>-303</v>
      </c>
    </row>
    <row r="40" spans="1:34">
      <c r="A40" s="105" t="s">
        <v>215</v>
      </c>
      <c r="B40" s="105" t="s">
        <v>355</v>
      </c>
      <c r="D40" s="105" t="s">
        <v>216</v>
      </c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5">
        <f t="shared" si="10"/>
        <v>0</v>
      </c>
      <c r="R40" s="136">
        <v>5.16</v>
      </c>
      <c r="S40" s="136">
        <v>6</v>
      </c>
      <c r="T40" s="136">
        <v>6</v>
      </c>
      <c r="U40" s="136">
        <v>6</v>
      </c>
      <c r="V40" s="136">
        <v>6</v>
      </c>
      <c r="W40" s="136">
        <v>6</v>
      </c>
      <c r="X40" s="72">
        <v>6</v>
      </c>
      <c r="Y40" s="72">
        <v>6</v>
      </c>
      <c r="Z40" s="72">
        <v>6</v>
      </c>
      <c r="AA40" s="72">
        <v>6</v>
      </c>
      <c r="AB40" s="72">
        <v>6</v>
      </c>
      <c r="AC40" s="72">
        <v>6</v>
      </c>
      <c r="AD40" s="127">
        <f t="shared" si="7"/>
        <v>71.16</v>
      </c>
      <c r="AE40" s="72">
        <f t="shared" si="8"/>
        <v>-71.16</v>
      </c>
      <c r="AF40" s="128">
        <f t="shared" si="3"/>
        <v>-1</v>
      </c>
      <c r="AG40" s="129">
        <v>137.54</v>
      </c>
      <c r="AH40" s="124">
        <f t="shared" si="9"/>
        <v>137.54</v>
      </c>
    </row>
    <row r="41" spans="1:34">
      <c r="A41" s="105" t="s">
        <v>217</v>
      </c>
      <c r="B41" s="105" t="s">
        <v>355</v>
      </c>
      <c r="D41" s="105" t="s">
        <v>218</v>
      </c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5">
        <f t="shared" si="10"/>
        <v>0</v>
      </c>
      <c r="R41" s="136">
        <v>285</v>
      </c>
      <c r="S41" s="136">
        <v>285</v>
      </c>
      <c r="T41" s="136">
        <v>285</v>
      </c>
      <c r="U41" s="136">
        <v>285</v>
      </c>
      <c r="V41" s="136">
        <v>285</v>
      </c>
      <c r="W41" s="136">
        <v>285</v>
      </c>
      <c r="X41" s="72">
        <v>524.52</v>
      </c>
      <c r="Y41" s="72">
        <v>333.64</v>
      </c>
      <c r="Z41" s="72">
        <v>285</v>
      </c>
      <c r="AA41" s="72">
        <v>285</v>
      </c>
      <c r="AB41" s="72">
        <v>285</v>
      </c>
      <c r="AC41" s="72">
        <v>285</v>
      </c>
      <c r="AD41" s="127">
        <f t="shared" si="7"/>
        <v>3708.16</v>
      </c>
      <c r="AE41" s="72">
        <f t="shared" si="8"/>
        <v>-3708.16</v>
      </c>
      <c r="AF41" s="128">
        <f t="shared" si="3"/>
        <v>-1</v>
      </c>
      <c r="AG41" s="129">
        <v>0</v>
      </c>
      <c r="AH41" s="124">
        <f t="shared" si="9"/>
        <v>0</v>
      </c>
    </row>
    <row r="42" spans="1:34">
      <c r="A42" s="105" t="s">
        <v>219</v>
      </c>
      <c r="B42" s="105" t="s">
        <v>355</v>
      </c>
      <c r="D42" s="105" t="s">
        <v>220</v>
      </c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5">
        <f t="shared" si="10"/>
        <v>0</v>
      </c>
      <c r="R42" s="136">
        <v>0</v>
      </c>
      <c r="S42" s="136">
        <v>0</v>
      </c>
      <c r="T42" s="136">
        <v>0</v>
      </c>
      <c r="U42" s="136">
        <v>0</v>
      </c>
      <c r="V42" s="136">
        <v>0</v>
      </c>
      <c r="W42" s="136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127">
        <f t="shared" si="7"/>
        <v>0</v>
      </c>
      <c r="AE42" s="72">
        <f t="shared" si="8"/>
        <v>0</v>
      </c>
      <c r="AF42" s="128" t="e">
        <f t="shared" si="3"/>
        <v>#DIV/0!</v>
      </c>
      <c r="AG42" s="129">
        <v>0</v>
      </c>
      <c r="AH42" s="124">
        <f t="shared" si="9"/>
        <v>0</v>
      </c>
    </row>
    <row r="43" spans="1:34">
      <c r="A43" s="105" t="s">
        <v>221</v>
      </c>
      <c r="B43" s="105" t="s">
        <v>355</v>
      </c>
      <c r="D43" s="105" t="s">
        <v>222</v>
      </c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5">
        <f t="shared" si="10"/>
        <v>0</v>
      </c>
      <c r="R43" s="136">
        <v>26389.82</v>
      </c>
      <c r="S43" s="136">
        <v>37999.730000000003</v>
      </c>
      <c r="T43" s="136">
        <v>42615.38</v>
      </c>
      <c r="U43" s="136">
        <v>17282.59</v>
      </c>
      <c r="V43" s="136">
        <v>-40740.71</v>
      </c>
      <c r="W43" s="136">
        <v>35680.31</v>
      </c>
      <c r="X43" s="72">
        <v>32130.13</v>
      </c>
      <c r="Y43" s="72">
        <v>39666.910000000003</v>
      </c>
      <c r="Z43" s="72">
        <v>20000</v>
      </c>
      <c r="AA43" s="72">
        <v>20000</v>
      </c>
      <c r="AB43" s="72">
        <v>20000</v>
      </c>
      <c r="AC43" s="72">
        <v>20000</v>
      </c>
      <c r="AD43" s="127">
        <f t="shared" si="7"/>
        <v>271024.16000000003</v>
      </c>
      <c r="AE43" s="72">
        <f t="shared" si="8"/>
        <v>-271024.16000000003</v>
      </c>
      <c r="AF43" s="128">
        <f t="shared" si="3"/>
        <v>-1</v>
      </c>
      <c r="AG43" s="129">
        <v>-83360.710000000021</v>
      </c>
      <c r="AH43" s="124">
        <f t="shared" si="9"/>
        <v>-83360.710000000021</v>
      </c>
    </row>
    <row r="44" spans="1:34" s="109" customFormat="1">
      <c r="D44" s="109" t="s">
        <v>223</v>
      </c>
      <c r="E44" s="137">
        <f t="shared" ref="E44:AD44" si="12">SUM(E20:E43)</f>
        <v>69</v>
      </c>
      <c r="F44" s="137">
        <f t="shared" si="12"/>
        <v>67</v>
      </c>
      <c r="G44" s="137">
        <f t="shared" si="12"/>
        <v>67</v>
      </c>
      <c r="H44" s="137">
        <f t="shared" si="12"/>
        <v>68</v>
      </c>
      <c r="I44" s="137">
        <f t="shared" si="12"/>
        <v>68</v>
      </c>
      <c r="J44" s="137">
        <f t="shared" si="12"/>
        <v>67</v>
      </c>
      <c r="K44" s="137">
        <f t="shared" si="12"/>
        <v>69</v>
      </c>
      <c r="L44" s="137">
        <f t="shared" si="12"/>
        <v>69</v>
      </c>
      <c r="M44" s="137">
        <f t="shared" si="12"/>
        <v>68</v>
      </c>
      <c r="N44" s="137">
        <f t="shared" si="12"/>
        <v>71</v>
      </c>
      <c r="O44" s="137">
        <f t="shared" si="12"/>
        <v>68</v>
      </c>
      <c r="P44" s="137">
        <f t="shared" si="12"/>
        <v>68</v>
      </c>
      <c r="Q44" s="135">
        <f t="shared" si="12"/>
        <v>819</v>
      </c>
      <c r="R44" s="137">
        <f t="shared" si="12"/>
        <v>26771.98</v>
      </c>
      <c r="S44" s="137">
        <f t="shared" si="12"/>
        <v>38382.730000000003</v>
      </c>
      <c r="T44" s="137">
        <f t="shared" si="12"/>
        <v>42998.38</v>
      </c>
      <c r="U44" s="137">
        <f t="shared" si="12"/>
        <v>17573.59</v>
      </c>
      <c r="V44" s="137">
        <f t="shared" si="12"/>
        <v>-40449.71</v>
      </c>
      <c r="W44" s="137">
        <f t="shared" si="12"/>
        <v>36001.42</v>
      </c>
      <c r="X44" s="137">
        <f t="shared" si="12"/>
        <v>32688.48</v>
      </c>
      <c r="Y44" s="137">
        <f t="shared" si="12"/>
        <v>40006.550000000003</v>
      </c>
      <c r="Z44" s="137">
        <f t="shared" si="12"/>
        <v>20291</v>
      </c>
      <c r="AA44" s="137">
        <f t="shared" si="12"/>
        <v>20291</v>
      </c>
      <c r="AB44" s="137">
        <f t="shared" si="12"/>
        <v>20291</v>
      </c>
      <c r="AC44" s="137">
        <f t="shared" si="12"/>
        <v>20291</v>
      </c>
      <c r="AD44" s="137">
        <f t="shared" si="12"/>
        <v>275137.42000000004</v>
      </c>
      <c r="AE44" s="127">
        <f t="shared" si="8"/>
        <v>-274318.42000000004</v>
      </c>
      <c r="AF44" s="132">
        <f t="shared" si="3"/>
        <v>-0.99702330566303921</v>
      </c>
      <c r="AG44" s="129">
        <v>-103014.62000000002</v>
      </c>
      <c r="AH44" s="129">
        <f t="shared" si="9"/>
        <v>-103833.62000000002</v>
      </c>
    </row>
    <row r="45" spans="1:34" s="109" customFormat="1">
      <c r="D45" s="109" t="s">
        <v>224</v>
      </c>
      <c r="E45" s="137">
        <f t="shared" ref="E45:AD45" si="13">E15-E17-E44</f>
        <v>-37573.99</v>
      </c>
      <c r="F45" s="137">
        <f t="shared" si="13"/>
        <v>-37571.99</v>
      </c>
      <c r="G45" s="137">
        <f t="shared" si="13"/>
        <v>-38659.49</v>
      </c>
      <c r="H45" s="137">
        <f t="shared" si="13"/>
        <v>-38660.49</v>
      </c>
      <c r="I45" s="137">
        <f t="shared" si="13"/>
        <v>-38660.49</v>
      </c>
      <c r="J45" s="137">
        <f t="shared" si="13"/>
        <v>-38659.49</v>
      </c>
      <c r="K45" s="137">
        <f t="shared" si="13"/>
        <v>-38798.400000000001</v>
      </c>
      <c r="L45" s="137">
        <f t="shared" si="13"/>
        <v>-38736.410000000003</v>
      </c>
      <c r="M45" s="137">
        <f t="shared" si="13"/>
        <v>-51785.36</v>
      </c>
      <c r="N45" s="137">
        <f t="shared" si="13"/>
        <v>-51788.36</v>
      </c>
      <c r="O45" s="137">
        <f t="shared" si="13"/>
        <v>-51714.3</v>
      </c>
      <c r="P45" s="137">
        <f t="shared" si="13"/>
        <v>-51785.36</v>
      </c>
      <c r="Q45" s="137">
        <f t="shared" si="13"/>
        <v>-514394.13</v>
      </c>
      <c r="R45" s="137">
        <f t="shared" si="13"/>
        <v>-61788.929999999993</v>
      </c>
      <c r="S45" s="137">
        <f t="shared" si="13"/>
        <v>-73734.5</v>
      </c>
      <c r="T45" s="137">
        <f t="shared" si="13"/>
        <v>-86755.47</v>
      </c>
      <c r="U45" s="137">
        <f t="shared" si="13"/>
        <v>-59094.479999999996</v>
      </c>
      <c r="V45" s="137">
        <f t="shared" si="13"/>
        <v>-352.84999999999854</v>
      </c>
      <c r="W45" s="137">
        <f t="shared" si="13"/>
        <v>-76626.76999999999</v>
      </c>
      <c r="X45" s="137">
        <f t="shared" si="13"/>
        <v>-71980.569999999992</v>
      </c>
      <c r="Y45" s="137">
        <f t="shared" si="13"/>
        <v>-80304.179999999993</v>
      </c>
      <c r="Z45" s="137">
        <f t="shared" si="13"/>
        <v>-59494.33</v>
      </c>
      <c r="AA45" s="137">
        <f t="shared" si="13"/>
        <v>-59693.33</v>
      </c>
      <c r="AB45" s="137">
        <f t="shared" si="13"/>
        <v>-59518.33</v>
      </c>
      <c r="AC45" s="137">
        <f t="shared" si="13"/>
        <v>-59518.33</v>
      </c>
      <c r="AD45" s="137">
        <f t="shared" si="13"/>
        <v>-748862.07000000007</v>
      </c>
      <c r="AE45" s="127">
        <f t="shared" si="8"/>
        <v>234467.94000000006</v>
      </c>
      <c r="AF45" s="132">
        <f t="shared" si="3"/>
        <v>-0.31309896627559203</v>
      </c>
      <c r="AG45" s="129">
        <v>41644.960000000021</v>
      </c>
      <c r="AH45" s="129">
        <f>Q45-AG45</f>
        <v>-556039.09000000008</v>
      </c>
    </row>
    <row r="46" spans="1:34" s="109" customFormat="1">
      <c r="D46" s="109" t="s">
        <v>225</v>
      </c>
      <c r="E46" s="139">
        <f t="shared" ref="E46:AD46" si="14">E45/E105</f>
        <v>-9.8466940555816591E-4</v>
      </c>
      <c r="F46" s="139">
        <f t="shared" si="14"/>
        <v>-1.3100117110308371E-3</v>
      </c>
      <c r="G46" s="139">
        <f t="shared" si="14"/>
        <v>-1.9232625051645452E-3</v>
      </c>
      <c r="H46" s="139">
        <f t="shared" si="14"/>
        <v>-2.3483210931836743E-3</v>
      </c>
      <c r="I46" s="139">
        <f t="shared" si="14"/>
        <v>-2.7088638211998769E-3</v>
      </c>
      <c r="J46" s="139">
        <f t="shared" si="14"/>
        <v>-2.7808579498735469E-3</v>
      </c>
      <c r="K46" s="139">
        <f t="shared" si="14"/>
        <v>-2.0743680936198788E-3</v>
      </c>
      <c r="L46" s="139">
        <f t="shared" si="14"/>
        <v>-1.727374910234178E-3</v>
      </c>
      <c r="M46" s="139">
        <f t="shared" si="14"/>
        <v>-3.9164397817064173E-3</v>
      </c>
      <c r="N46" s="139">
        <f t="shared" si="14"/>
        <v>-2.9273754448222561E-3</v>
      </c>
      <c r="O46" s="139">
        <f t="shared" si="14"/>
        <v>-3.2997085829443691E-3</v>
      </c>
      <c r="P46" s="139">
        <f t="shared" si="14"/>
        <v>-2.004174505668773E-3</v>
      </c>
      <c r="Q46" s="139">
        <f t="shared" si="14"/>
        <v>-2.0984458342808879E-3</v>
      </c>
      <c r="R46" s="139" t="e">
        <f t="shared" si="14"/>
        <v>#DIV/0!</v>
      </c>
      <c r="S46" s="139" t="e">
        <f t="shared" si="14"/>
        <v>#DIV/0!</v>
      </c>
      <c r="T46" s="139" t="e">
        <f t="shared" si="14"/>
        <v>#DIV/0!</v>
      </c>
      <c r="U46" s="139" t="e">
        <f t="shared" si="14"/>
        <v>#DIV/0!</v>
      </c>
      <c r="V46" s="139" t="e">
        <f t="shared" si="14"/>
        <v>#DIV/0!</v>
      </c>
      <c r="W46" s="139" t="e">
        <f t="shared" si="14"/>
        <v>#DIV/0!</v>
      </c>
      <c r="X46" s="139" t="e">
        <f t="shared" si="14"/>
        <v>#DIV/0!</v>
      </c>
      <c r="Y46" s="139">
        <f t="shared" si="14"/>
        <v>-2.9736972501931296E-3</v>
      </c>
      <c r="Z46" s="139">
        <f t="shared" si="14"/>
        <v>-4.5759395703052442E-3</v>
      </c>
      <c r="AA46" s="139">
        <f t="shared" si="14"/>
        <v>-3.7283689061760744E-3</v>
      </c>
      <c r="AB46" s="139">
        <f t="shared" si="14"/>
        <v>-4.1172239475033689E-3</v>
      </c>
      <c r="AC46" s="139">
        <f t="shared" si="14"/>
        <v>-3.3412861393364397E-3</v>
      </c>
      <c r="AD46" s="139">
        <f t="shared" si="14"/>
        <v>-8.4822391831501798E-3</v>
      </c>
      <c r="AE46" s="132"/>
      <c r="AF46" s="132">
        <f t="shared" si="3"/>
        <v>0</v>
      </c>
      <c r="AG46" s="129">
        <v>4.5912007116412286E-4</v>
      </c>
      <c r="AH46" s="129">
        <f>Q46-AG46</f>
        <v>-2.5575659054450106E-3</v>
      </c>
    </row>
    <row r="47" spans="1:34">
      <c r="D47" s="105" t="s">
        <v>154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35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35"/>
      <c r="AF47" s="128"/>
      <c r="AG47" s="129"/>
    </row>
    <row r="48" spans="1:34">
      <c r="A48" s="105" t="s">
        <v>226</v>
      </c>
      <c r="B48" s="105" t="s">
        <v>160</v>
      </c>
      <c r="D48" s="105" t="s">
        <v>227</v>
      </c>
      <c r="E48" s="136">
        <f>'Rooms+Summary'!E48</f>
        <v>20956</v>
      </c>
      <c r="F48" s="136">
        <f>'Rooms+Summary'!F48</f>
        <v>18928</v>
      </c>
      <c r="G48" s="136">
        <f>'Rooms+Summary'!G48</f>
        <v>20956</v>
      </c>
      <c r="H48" s="136">
        <f>'Rooms+Summary'!H48</f>
        <v>20280</v>
      </c>
      <c r="I48" s="136">
        <f>'Rooms+Summary'!I48</f>
        <v>20956</v>
      </c>
      <c r="J48" s="136">
        <f>'Rooms+Summary'!J48</f>
        <v>20280</v>
      </c>
      <c r="K48" s="136">
        <f>'Rooms+Summary'!K48</f>
        <v>20956</v>
      </c>
      <c r="L48" s="136">
        <f>'Rooms+Summary'!L48</f>
        <v>20956</v>
      </c>
      <c r="M48" s="136">
        <f>'Rooms+Summary'!M48</f>
        <v>20280</v>
      </c>
      <c r="N48" s="136">
        <f>'Rooms+Summary'!N48</f>
        <v>20956</v>
      </c>
      <c r="O48" s="136">
        <f>'Rooms+Summary'!O48</f>
        <v>20280</v>
      </c>
      <c r="P48" s="136">
        <f>'Rooms+Summary'!P48</f>
        <v>20956</v>
      </c>
      <c r="Q48" s="137">
        <f t="shared" ref="Q48:Q54" si="15">SUM(E48:P48)</f>
        <v>246740</v>
      </c>
      <c r="R48" s="136">
        <v>20956</v>
      </c>
      <c r="S48" s="136">
        <v>19604</v>
      </c>
      <c r="T48" s="136">
        <v>20956</v>
      </c>
      <c r="U48" s="136">
        <v>20280</v>
      </c>
      <c r="V48" s="136">
        <v>20956</v>
      </c>
      <c r="W48" s="136">
        <v>20280</v>
      </c>
      <c r="X48" s="136">
        <f>'Rooms+Summary'!X48</f>
        <v>20956</v>
      </c>
      <c r="Y48" s="136">
        <f>'Rooms+Summary'!Y48</f>
        <v>20956</v>
      </c>
      <c r="Z48" s="136">
        <f>'Rooms+Summary'!Z48</f>
        <v>20280</v>
      </c>
      <c r="AA48" s="136">
        <f>'Rooms+Summary'!AA48</f>
        <v>20956</v>
      </c>
      <c r="AB48" s="136">
        <f>'Rooms+Summary'!AB48</f>
        <v>20280</v>
      </c>
      <c r="AC48" s="136">
        <f>'Rooms+Summary'!AC48</f>
        <v>20956</v>
      </c>
      <c r="AD48" s="127">
        <f t="shared" ref="AD48:AD54" si="16">SUM(R48:AC48)</f>
        <v>247416</v>
      </c>
      <c r="AE48" s="72">
        <f t="shared" ref="AE48:AE60" si="17">Q48-AD48</f>
        <v>-676</v>
      </c>
      <c r="AF48" s="128">
        <f t="shared" ref="AF48:AF60" si="18">AE48/AD48</f>
        <v>-2.7322404371584699E-3</v>
      </c>
      <c r="AG48" s="129">
        <v>246740</v>
      </c>
      <c r="AH48" s="124">
        <f t="shared" ref="AH48:AH59" si="19">Q48-AG48</f>
        <v>0</v>
      </c>
    </row>
    <row r="49" spans="1:34">
      <c r="A49" s="105" t="s">
        <v>228</v>
      </c>
      <c r="B49" s="105" t="s">
        <v>160</v>
      </c>
      <c r="D49" s="105" t="s">
        <v>229</v>
      </c>
      <c r="E49" s="136">
        <f>E48-E50-E51</f>
        <v>20956</v>
      </c>
      <c r="F49" s="136">
        <f>F48-F50-F51</f>
        <v>18928</v>
      </c>
      <c r="G49" s="136">
        <f>G48-G50-G51</f>
        <v>20956</v>
      </c>
      <c r="H49" s="136">
        <f>H48-H50-H51</f>
        <v>20280</v>
      </c>
      <c r="I49" s="136">
        <f>I48-I50-I51</f>
        <v>20956</v>
      </c>
      <c r="J49" s="136">
        <f t="shared" ref="J49:P49" si="20">J48-J50-J51</f>
        <v>20280</v>
      </c>
      <c r="K49" s="136">
        <f t="shared" si="20"/>
        <v>20956</v>
      </c>
      <c r="L49" s="136">
        <f t="shared" si="20"/>
        <v>20956</v>
      </c>
      <c r="M49" s="136">
        <f t="shared" si="20"/>
        <v>20280</v>
      </c>
      <c r="N49" s="136">
        <f t="shared" si="20"/>
        <v>20956</v>
      </c>
      <c r="O49" s="136">
        <f t="shared" si="20"/>
        <v>20280</v>
      </c>
      <c r="P49" s="136">
        <f t="shared" si="20"/>
        <v>20956</v>
      </c>
      <c r="Q49" s="137">
        <f t="shared" si="15"/>
        <v>246740</v>
      </c>
      <c r="R49" s="136">
        <f t="shared" ref="R49:W49" si="21">R48-R50-R51</f>
        <v>20494</v>
      </c>
      <c r="S49" s="136">
        <f t="shared" si="21"/>
        <v>19227</v>
      </c>
      <c r="T49" s="136">
        <f t="shared" si="21"/>
        <v>20477</v>
      </c>
      <c r="U49" s="136">
        <f t="shared" si="21"/>
        <v>19399</v>
      </c>
      <c r="V49" s="136">
        <f t="shared" si="21"/>
        <v>19203</v>
      </c>
      <c r="W49" s="136">
        <f t="shared" si="21"/>
        <v>18839</v>
      </c>
      <c r="X49" s="136">
        <f>'Rooms+Summary'!X49</f>
        <v>20556</v>
      </c>
      <c r="Y49" s="136">
        <f>'Rooms+Summary'!Y49</f>
        <v>20436</v>
      </c>
      <c r="Z49" s="136">
        <f>'Rooms+Summary'!Z49</f>
        <v>19680</v>
      </c>
      <c r="AA49" s="136">
        <f>'Rooms+Summary'!AA49</f>
        <v>20356</v>
      </c>
      <c r="AB49" s="136">
        <f>'Rooms+Summary'!AB49</f>
        <v>19680</v>
      </c>
      <c r="AC49" s="136">
        <f>'Rooms+Summary'!AC49</f>
        <v>20356</v>
      </c>
      <c r="AD49" s="127">
        <f t="shared" si="16"/>
        <v>238703</v>
      </c>
      <c r="AE49" s="72">
        <f t="shared" si="17"/>
        <v>8037</v>
      </c>
      <c r="AF49" s="128">
        <f t="shared" si="18"/>
        <v>3.3669455348277984E-2</v>
      </c>
      <c r="AG49" s="129">
        <v>238727</v>
      </c>
      <c r="AH49" s="124">
        <f t="shared" si="19"/>
        <v>8013</v>
      </c>
    </row>
    <row r="50" spans="1:34">
      <c r="A50" s="105" t="s">
        <v>230</v>
      </c>
      <c r="B50" s="105" t="s">
        <v>160</v>
      </c>
      <c r="D50" s="105" t="s">
        <v>231</v>
      </c>
      <c r="E50" s="136">
        <f>'Rooms+Summary'!E50</f>
        <v>0</v>
      </c>
      <c r="F50" s="136">
        <f>'Rooms+Summary'!F50</f>
        <v>0</v>
      </c>
      <c r="G50" s="136">
        <f>'Rooms+Summary'!G50</f>
        <v>0</v>
      </c>
      <c r="H50" s="136">
        <f>'Rooms+Summary'!H50</f>
        <v>0</v>
      </c>
      <c r="I50" s="136">
        <f>'Rooms+Summary'!I50</f>
        <v>0</v>
      </c>
      <c r="J50" s="136">
        <f>'Rooms+Summary'!J50</f>
        <v>0</v>
      </c>
      <c r="K50" s="136">
        <f>'Rooms+Summary'!K50</f>
        <v>0</v>
      </c>
      <c r="L50" s="136">
        <f>'Rooms+Summary'!L50</f>
        <v>0</v>
      </c>
      <c r="M50" s="136">
        <f>'Rooms+Summary'!M50</f>
        <v>0</v>
      </c>
      <c r="N50" s="136">
        <f>'Rooms+Summary'!N50</f>
        <v>0</v>
      </c>
      <c r="O50" s="136">
        <f>'Rooms+Summary'!O50</f>
        <v>0</v>
      </c>
      <c r="P50" s="136">
        <f>'Rooms+Summary'!P50</f>
        <v>0</v>
      </c>
      <c r="Q50" s="137">
        <f t="shared" si="15"/>
        <v>0</v>
      </c>
      <c r="R50" s="136">
        <v>450</v>
      </c>
      <c r="S50" s="136">
        <v>370</v>
      </c>
      <c r="T50" s="136">
        <v>473</v>
      </c>
      <c r="U50" s="136">
        <v>871</v>
      </c>
      <c r="V50" s="136">
        <v>1729</v>
      </c>
      <c r="W50" s="136">
        <v>1433</v>
      </c>
      <c r="X50" s="136">
        <f>'Rooms+Summary'!X50</f>
        <v>400</v>
      </c>
      <c r="Y50" s="136">
        <f>'Rooms+Summary'!Y50</f>
        <v>520</v>
      </c>
      <c r="Z50" s="136">
        <f>'Rooms+Summary'!Z50</f>
        <v>600</v>
      </c>
      <c r="AA50" s="136">
        <f>'Rooms+Summary'!AA50</f>
        <v>600</v>
      </c>
      <c r="AB50" s="136">
        <f>'Rooms+Summary'!AB50</f>
        <v>600</v>
      </c>
      <c r="AC50" s="136">
        <f>'Rooms+Summary'!AC50</f>
        <v>600</v>
      </c>
      <c r="AD50" s="127">
        <f t="shared" si="16"/>
        <v>8646</v>
      </c>
      <c r="AE50" s="72">
        <f t="shared" si="17"/>
        <v>-8646</v>
      </c>
      <c r="AF50" s="128">
        <f t="shared" si="18"/>
        <v>-1</v>
      </c>
      <c r="AG50" s="129">
        <v>6262</v>
      </c>
      <c r="AH50" s="124">
        <f t="shared" si="19"/>
        <v>-6262</v>
      </c>
    </row>
    <row r="51" spans="1:34">
      <c r="A51" s="105" t="s">
        <v>232</v>
      </c>
      <c r="B51" s="105" t="s">
        <v>160</v>
      </c>
      <c r="D51" s="105" t="s">
        <v>233</v>
      </c>
      <c r="E51" s="136">
        <f>'Rooms+Summary'!E51</f>
        <v>0</v>
      </c>
      <c r="F51" s="136">
        <f>'Rooms+Summary'!F51</f>
        <v>0</v>
      </c>
      <c r="G51" s="136">
        <f>'Rooms+Summary'!G51</f>
        <v>0</v>
      </c>
      <c r="H51" s="136">
        <f>'Rooms+Summary'!H51</f>
        <v>0</v>
      </c>
      <c r="I51" s="136">
        <f>'Rooms+Summary'!I51</f>
        <v>0</v>
      </c>
      <c r="J51" s="136">
        <f>'Rooms+Summary'!J51</f>
        <v>0</v>
      </c>
      <c r="K51" s="136">
        <f>'Rooms+Summary'!K51</f>
        <v>0</v>
      </c>
      <c r="L51" s="136">
        <f>'Rooms+Summary'!L51</f>
        <v>0</v>
      </c>
      <c r="M51" s="136">
        <f>'Rooms+Summary'!M51</f>
        <v>0</v>
      </c>
      <c r="N51" s="136">
        <f>'Rooms+Summary'!N51</f>
        <v>0</v>
      </c>
      <c r="O51" s="136">
        <f>'Rooms+Summary'!O51</f>
        <v>0</v>
      </c>
      <c r="P51" s="136">
        <f>'Rooms+Summary'!P51</f>
        <v>0</v>
      </c>
      <c r="Q51" s="137">
        <f t="shared" si="15"/>
        <v>0</v>
      </c>
      <c r="R51" s="136">
        <v>12</v>
      </c>
      <c r="S51" s="136">
        <v>7</v>
      </c>
      <c r="T51" s="136">
        <v>6</v>
      </c>
      <c r="U51" s="136">
        <v>10</v>
      </c>
      <c r="V51" s="136">
        <v>24</v>
      </c>
      <c r="W51" s="136">
        <v>8</v>
      </c>
      <c r="X51" s="136">
        <f>'Rooms+Summary'!X51</f>
        <v>9</v>
      </c>
      <c r="Y51" s="136">
        <f>'Rooms+Summary'!Y51</f>
        <v>14</v>
      </c>
      <c r="Z51" s="136">
        <f>'Rooms+Summary'!Z51</f>
        <v>5</v>
      </c>
      <c r="AA51" s="136">
        <f>'Rooms+Summary'!AA51</f>
        <v>5</v>
      </c>
      <c r="AB51" s="136">
        <f>'Rooms+Summary'!AB51</f>
        <v>5</v>
      </c>
      <c r="AC51" s="136">
        <f>'Rooms+Summary'!AC51</f>
        <v>5</v>
      </c>
      <c r="AD51" s="127">
        <f t="shared" si="16"/>
        <v>110</v>
      </c>
      <c r="AE51" s="72">
        <f t="shared" si="17"/>
        <v>-110</v>
      </c>
      <c r="AF51" s="128">
        <f t="shared" si="18"/>
        <v>-1</v>
      </c>
      <c r="AG51" s="129">
        <v>1751</v>
      </c>
      <c r="AH51" s="124">
        <f t="shared" si="19"/>
        <v>-1751</v>
      </c>
    </row>
    <row r="52" spans="1:34">
      <c r="A52" s="105" t="s">
        <v>234</v>
      </c>
      <c r="B52" s="105" t="s">
        <v>160</v>
      </c>
      <c r="D52" s="105" t="s">
        <v>235</v>
      </c>
      <c r="E52" s="136">
        <f>'Rooms+Summary'!E52</f>
        <v>18860</v>
      </c>
      <c r="F52" s="136">
        <f>'Rooms+Summary'!F52</f>
        <v>17035</v>
      </c>
      <c r="G52" s="136">
        <f>'Rooms+Summary'!G52</f>
        <v>17813</v>
      </c>
      <c r="H52" s="136">
        <f>'Rooms+Summary'!H52</f>
        <v>17005</v>
      </c>
      <c r="I52" s="136">
        <f>'Rooms+Summary'!I52</f>
        <v>17603</v>
      </c>
      <c r="J52" s="136">
        <f>'Rooms+Summary'!J52</f>
        <v>16867</v>
      </c>
      <c r="K52" s="136">
        <f>'Rooms+Summary'!K52</f>
        <v>18860</v>
      </c>
      <c r="L52" s="136">
        <f>'Rooms+Summary'!L52</f>
        <v>18860</v>
      </c>
      <c r="M52" s="136">
        <f>'Rooms+Summary'!M52</f>
        <v>16630</v>
      </c>
      <c r="N52" s="136">
        <f>'Rooms+Summary'!N52</f>
        <v>17393</v>
      </c>
      <c r="O52" s="136">
        <f>'Rooms+Summary'!O52</f>
        <v>16832</v>
      </c>
      <c r="P52" s="136">
        <f>'Rooms+Summary'!P52</f>
        <v>18441</v>
      </c>
      <c r="Q52" s="137">
        <f t="shared" si="15"/>
        <v>212199</v>
      </c>
      <c r="R52" s="136">
        <v>19715</v>
      </c>
      <c r="S52" s="136">
        <v>18855</v>
      </c>
      <c r="T52" s="136">
        <v>19772</v>
      </c>
      <c r="U52" s="136">
        <v>18249</v>
      </c>
      <c r="V52" s="136">
        <v>17477</v>
      </c>
      <c r="W52" s="136">
        <v>17897</v>
      </c>
      <c r="X52" s="136">
        <f>'Rooms+Summary'!X52</f>
        <v>19826</v>
      </c>
      <c r="Y52" s="136">
        <f>'Rooms+Summary'!Y52</f>
        <v>19726</v>
      </c>
      <c r="Z52" s="136">
        <f>'Rooms+Summary'!Z52</f>
        <v>16224</v>
      </c>
      <c r="AA52" s="136">
        <f>'Rooms+Summary'!AA52</f>
        <v>16765</v>
      </c>
      <c r="AB52" s="136">
        <f>'Rooms+Summary'!AB52</f>
        <v>16832</v>
      </c>
      <c r="AC52" s="136">
        <f>'Rooms+Summary'!AC52</f>
        <v>17813</v>
      </c>
      <c r="AD52" s="127">
        <f t="shared" si="16"/>
        <v>219151</v>
      </c>
      <c r="AE52" s="72">
        <f t="shared" si="17"/>
        <v>-6952</v>
      </c>
      <c r="AF52" s="128">
        <f t="shared" si="18"/>
        <v>-3.1722419701484365E-2</v>
      </c>
      <c r="AG52" s="129">
        <v>213673</v>
      </c>
      <c r="AH52" s="124">
        <f t="shared" si="19"/>
        <v>-1474</v>
      </c>
    </row>
    <row r="53" spans="1:34">
      <c r="A53" s="105" t="s">
        <v>236</v>
      </c>
      <c r="B53" s="105" t="s">
        <v>160</v>
      </c>
      <c r="D53" s="105" t="s">
        <v>237</v>
      </c>
      <c r="E53" s="136">
        <f>'Rooms+Summary'!E53</f>
        <v>62</v>
      </c>
      <c r="F53" s="136">
        <f>'Rooms+Summary'!F53</f>
        <v>62</v>
      </c>
      <c r="G53" s="136">
        <f>'Rooms+Summary'!G53</f>
        <v>62</v>
      </c>
      <c r="H53" s="136">
        <f>'Rooms+Summary'!H53</f>
        <v>62</v>
      </c>
      <c r="I53" s="136">
        <f>'Rooms+Summary'!I53</f>
        <v>62</v>
      </c>
      <c r="J53" s="136">
        <f>'Rooms+Summary'!J53</f>
        <v>62</v>
      </c>
      <c r="K53" s="136">
        <f>'Rooms+Summary'!K53</f>
        <v>62</v>
      </c>
      <c r="L53" s="136">
        <f>'Rooms+Summary'!L53</f>
        <v>62</v>
      </c>
      <c r="M53" s="136">
        <f>'Rooms+Summary'!M53</f>
        <v>62</v>
      </c>
      <c r="N53" s="136">
        <f>'Rooms+Summary'!N53</f>
        <v>62</v>
      </c>
      <c r="O53" s="136">
        <f>'Rooms+Summary'!O53</f>
        <v>62</v>
      </c>
      <c r="P53" s="136">
        <f>'Rooms+Summary'!P53</f>
        <v>62</v>
      </c>
      <c r="Q53" s="137">
        <f t="shared" si="15"/>
        <v>744</v>
      </c>
      <c r="R53" s="136">
        <v>96</v>
      </c>
      <c r="S53" s="136">
        <v>29</v>
      </c>
      <c r="T53" s="136">
        <v>74</v>
      </c>
      <c r="U53" s="136">
        <v>49</v>
      </c>
      <c r="V53" s="136">
        <v>53</v>
      </c>
      <c r="W53" s="136">
        <v>61</v>
      </c>
      <c r="X53" s="136">
        <f>'Rooms+Summary'!X53</f>
        <v>73</v>
      </c>
      <c r="Y53" s="136">
        <f>'Rooms+Summary'!Y53</f>
        <v>93</v>
      </c>
      <c r="Z53" s="136">
        <f>'Rooms+Summary'!Z53</f>
        <v>200</v>
      </c>
      <c r="AA53" s="136">
        <f>'Rooms+Summary'!AA53</f>
        <v>150</v>
      </c>
      <c r="AB53" s="136">
        <f>'Rooms+Summary'!AB53</f>
        <v>200</v>
      </c>
      <c r="AC53" s="136">
        <f>'Rooms+Summary'!AC53</f>
        <v>150</v>
      </c>
      <c r="AD53" s="127">
        <f t="shared" si="16"/>
        <v>1228</v>
      </c>
      <c r="AE53" s="72">
        <f t="shared" si="17"/>
        <v>-484</v>
      </c>
      <c r="AF53" s="128">
        <f t="shared" si="18"/>
        <v>-0.39413680781758959</v>
      </c>
      <c r="AG53" s="129">
        <v>1723</v>
      </c>
      <c r="AH53" s="124">
        <f t="shared" si="19"/>
        <v>-979</v>
      </c>
    </row>
    <row r="54" spans="1:34">
      <c r="A54" s="105" t="s">
        <v>238</v>
      </c>
      <c r="B54" s="105" t="s">
        <v>160</v>
      </c>
      <c r="D54" s="105" t="s">
        <v>239</v>
      </c>
      <c r="E54" s="136">
        <f>'Rooms+Summary'!E54</f>
        <v>54</v>
      </c>
      <c r="F54" s="136">
        <f>'Rooms+Summary'!F54</f>
        <v>54</v>
      </c>
      <c r="G54" s="136">
        <f>'Rooms+Summary'!G54</f>
        <v>54</v>
      </c>
      <c r="H54" s="136">
        <f>'Rooms+Summary'!H54</f>
        <v>54</v>
      </c>
      <c r="I54" s="136">
        <f>'Rooms+Summary'!I54</f>
        <v>54</v>
      </c>
      <c r="J54" s="136">
        <f>'Rooms+Summary'!J54</f>
        <v>54</v>
      </c>
      <c r="K54" s="136">
        <f>'Rooms+Summary'!K54</f>
        <v>54</v>
      </c>
      <c r="L54" s="136">
        <f>'Rooms+Summary'!L54</f>
        <v>54</v>
      </c>
      <c r="M54" s="136">
        <f>'Rooms+Summary'!M54</f>
        <v>54</v>
      </c>
      <c r="N54" s="136">
        <f>'Rooms+Summary'!N54</f>
        <v>54</v>
      </c>
      <c r="O54" s="136">
        <f>'Rooms+Summary'!O54</f>
        <v>54</v>
      </c>
      <c r="P54" s="136">
        <f>'Rooms+Summary'!P54</f>
        <v>54</v>
      </c>
      <c r="Q54" s="137">
        <f t="shared" si="15"/>
        <v>648</v>
      </c>
      <c r="R54" s="136">
        <v>59</v>
      </c>
      <c r="S54" s="136">
        <v>43</v>
      </c>
      <c r="T54" s="136">
        <v>57</v>
      </c>
      <c r="U54" s="136">
        <v>65</v>
      </c>
      <c r="V54" s="136">
        <v>63</v>
      </c>
      <c r="W54" s="136">
        <v>57</v>
      </c>
      <c r="X54" s="136">
        <f>'Rooms+Summary'!X54</f>
        <v>40</v>
      </c>
      <c r="Y54" s="136">
        <f>'Rooms+Summary'!Y54</f>
        <v>44</v>
      </c>
      <c r="Z54" s="136">
        <f>'Rooms+Summary'!Z54</f>
        <v>60</v>
      </c>
      <c r="AA54" s="136">
        <f>'Rooms+Summary'!AA54</f>
        <v>60</v>
      </c>
      <c r="AB54" s="136">
        <f>'Rooms+Summary'!AB54</f>
        <v>60</v>
      </c>
      <c r="AC54" s="136">
        <f>'Rooms+Summary'!AC54</f>
        <v>60</v>
      </c>
      <c r="AD54" s="127">
        <f t="shared" si="16"/>
        <v>668</v>
      </c>
      <c r="AE54" s="72">
        <f t="shared" si="17"/>
        <v>-20</v>
      </c>
      <c r="AF54" s="128">
        <f t="shared" si="18"/>
        <v>-2.9940119760479042E-2</v>
      </c>
      <c r="AG54" s="129">
        <v>711</v>
      </c>
      <c r="AH54" s="124">
        <f t="shared" si="19"/>
        <v>-63</v>
      </c>
    </row>
    <row r="55" spans="1:34">
      <c r="D55" s="105" t="s">
        <v>240</v>
      </c>
      <c r="E55" s="137">
        <f t="shared" ref="E55:Q55" si="22">SUM(E52:E54)</f>
        <v>18976</v>
      </c>
      <c r="F55" s="137">
        <f t="shared" si="22"/>
        <v>17151</v>
      </c>
      <c r="G55" s="137">
        <f t="shared" si="22"/>
        <v>17929</v>
      </c>
      <c r="H55" s="137">
        <f t="shared" si="22"/>
        <v>17121</v>
      </c>
      <c r="I55" s="137">
        <f t="shared" si="22"/>
        <v>17719</v>
      </c>
      <c r="J55" s="137">
        <f t="shared" si="22"/>
        <v>16983</v>
      </c>
      <c r="K55" s="137">
        <f t="shared" si="22"/>
        <v>18976</v>
      </c>
      <c r="L55" s="137">
        <f t="shared" si="22"/>
        <v>18976</v>
      </c>
      <c r="M55" s="137">
        <f t="shared" si="22"/>
        <v>16746</v>
      </c>
      <c r="N55" s="137">
        <f t="shared" si="22"/>
        <v>17509</v>
      </c>
      <c r="O55" s="137">
        <f t="shared" si="22"/>
        <v>16948</v>
      </c>
      <c r="P55" s="137">
        <f t="shared" si="22"/>
        <v>18557</v>
      </c>
      <c r="Q55" s="137">
        <f t="shared" si="22"/>
        <v>213591</v>
      </c>
      <c r="R55" s="137">
        <f t="shared" ref="R55:AD55" si="23">SUM(R52:R54)</f>
        <v>19870</v>
      </c>
      <c r="S55" s="137">
        <f t="shared" si="23"/>
        <v>18927</v>
      </c>
      <c r="T55" s="137">
        <f t="shared" si="23"/>
        <v>19903</v>
      </c>
      <c r="U55" s="137">
        <f t="shared" si="23"/>
        <v>18363</v>
      </c>
      <c r="V55" s="137">
        <f t="shared" si="23"/>
        <v>17593</v>
      </c>
      <c r="W55" s="137">
        <f t="shared" si="23"/>
        <v>18015</v>
      </c>
      <c r="X55" s="137">
        <f t="shared" si="23"/>
        <v>19939</v>
      </c>
      <c r="Y55" s="137">
        <f t="shared" si="23"/>
        <v>19863</v>
      </c>
      <c r="Z55" s="137">
        <f t="shared" si="23"/>
        <v>16484</v>
      </c>
      <c r="AA55" s="137">
        <f t="shared" si="23"/>
        <v>16975</v>
      </c>
      <c r="AB55" s="137">
        <f t="shared" si="23"/>
        <v>17092</v>
      </c>
      <c r="AC55" s="137">
        <f t="shared" si="23"/>
        <v>18023</v>
      </c>
      <c r="AD55" s="137">
        <f t="shared" si="23"/>
        <v>221047</v>
      </c>
      <c r="AE55" s="72">
        <f t="shared" si="17"/>
        <v>-7456</v>
      </c>
      <c r="AF55" s="128">
        <f t="shared" si="18"/>
        <v>-3.3730383131189291E-2</v>
      </c>
      <c r="AG55" s="129">
        <v>216107</v>
      </c>
      <c r="AH55" s="124">
        <f t="shared" si="19"/>
        <v>-2516</v>
      </c>
    </row>
    <row r="56" spans="1:34">
      <c r="D56" s="105" t="s">
        <v>241</v>
      </c>
      <c r="E56" s="138">
        <f t="shared" ref="E56:AD56" si="24">E55/E48</f>
        <v>0.90551631990837944</v>
      </c>
      <c r="F56" s="138">
        <f t="shared" si="24"/>
        <v>0.90611792054099749</v>
      </c>
      <c r="G56" s="138">
        <f t="shared" si="24"/>
        <v>0.85555449513265891</v>
      </c>
      <c r="H56" s="138">
        <f t="shared" si="24"/>
        <v>0.84423076923076923</v>
      </c>
      <c r="I56" s="138">
        <f t="shared" si="24"/>
        <v>0.84553349875930517</v>
      </c>
      <c r="J56" s="138">
        <f t="shared" si="24"/>
        <v>0.83742603550295858</v>
      </c>
      <c r="K56" s="138">
        <f t="shared" si="24"/>
        <v>0.90551631990837944</v>
      </c>
      <c r="L56" s="138">
        <f t="shared" si="24"/>
        <v>0.90551631990837944</v>
      </c>
      <c r="M56" s="138">
        <f t="shared" si="24"/>
        <v>0.82573964497041419</v>
      </c>
      <c r="N56" s="138">
        <f t="shared" si="24"/>
        <v>0.83551250238595154</v>
      </c>
      <c r="O56" s="138">
        <f t="shared" si="24"/>
        <v>0.83570019723865874</v>
      </c>
      <c r="P56" s="138">
        <f t="shared" si="24"/>
        <v>0.88552204619202135</v>
      </c>
      <c r="Q56" s="139">
        <f t="shared" si="24"/>
        <v>0.86565210342871035</v>
      </c>
      <c r="R56" s="138">
        <f t="shared" si="24"/>
        <v>0.94817713304065665</v>
      </c>
      <c r="S56" s="138">
        <f t="shared" si="24"/>
        <v>0.96546623138135079</v>
      </c>
      <c r="T56" s="138">
        <f t="shared" si="24"/>
        <v>0.94975186104218368</v>
      </c>
      <c r="U56" s="138">
        <f t="shared" si="24"/>
        <v>0.9054733727810651</v>
      </c>
      <c r="V56" s="138">
        <f t="shared" si="24"/>
        <v>0.83952090093529297</v>
      </c>
      <c r="W56" s="138">
        <f t="shared" si="24"/>
        <v>0.88831360946745563</v>
      </c>
      <c r="X56" s="138">
        <f t="shared" si="24"/>
        <v>0.95146974613475854</v>
      </c>
      <c r="Y56" s="138">
        <f t="shared" si="24"/>
        <v>0.94784309982821147</v>
      </c>
      <c r="Z56" s="138">
        <f t="shared" si="24"/>
        <v>0.81282051282051282</v>
      </c>
      <c r="AA56" s="138">
        <f t="shared" si="24"/>
        <v>0.81003054017942355</v>
      </c>
      <c r="AB56" s="138">
        <f t="shared" si="24"/>
        <v>0.84280078895463506</v>
      </c>
      <c r="AC56" s="138">
        <f t="shared" si="24"/>
        <v>0.86004008398549336</v>
      </c>
      <c r="AD56" s="139">
        <f t="shared" si="24"/>
        <v>0.89342241407184664</v>
      </c>
      <c r="AE56" s="128">
        <f t="shared" si="17"/>
        <v>-2.7770310643136287E-2</v>
      </c>
      <c r="AF56" s="128">
        <f t="shared" si="18"/>
        <v>-3.1083069112370704E-2</v>
      </c>
      <c r="AG56" s="129">
        <v>0.87584907189754402</v>
      </c>
      <c r="AH56" s="124">
        <f t="shared" si="19"/>
        <v>-1.0196968468833667E-2</v>
      </c>
    </row>
    <row r="57" spans="1:34">
      <c r="D57" s="105" t="s">
        <v>242</v>
      </c>
      <c r="E57" s="138">
        <f t="shared" ref="E57:AD57" si="25">E52/E48</f>
        <v>0.89998091238786027</v>
      </c>
      <c r="F57" s="138">
        <f t="shared" si="25"/>
        <v>0.89998943364327977</v>
      </c>
      <c r="G57" s="138">
        <f t="shared" si="25"/>
        <v>0.85001908761213973</v>
      </c>
      <c r="H57" s="138">
        <f t="shared" si="25"/>
        <v>0.83851084812623278</v>
      </c>
      <c r="I57" s="138">
        <f t="shared" si="25"/>
        <v>0.83999809123878599</v>
      </c>
      <c r="J57" s="138">
        <f t="shared" si="25"/>
        <v>0.83170611439842212</v>
      </c>
      <c r="K57" s="138">
        <f t="shared" si="25"/>
        <v>0.89998091238786027</v>
      </c>
      <c r="L57" s="138">
        <f t="shared" si="25"/>
        <v>0.89998091238786027</v>
      </c>
      <c r="M57" s="138">
        <f t="shared" si="25"/>
        <v>0.82001972386587774</v>
      </c>
      <c r="N57" s="138">
        <f t="shared" si="25"/>
        <v>0.82997709486543236</v>
      </c>
      <c r="O57" s="138">
        <f t="shared" si="25"/>
        <v>0.82998027613412229</v>
      </c>
      <c r="P57" s="138">
        <f t="shared" si="25"/>
        <v>0.87998663867150217</v>
      </c>
      <c r="Q57" s="139">
        <f t="shared" si="25"/>
        <v>0.86001053740779765</v>
      </c>
      <c r="R57" s="138">
        <f t="shared" si="25"/>
        <v>0.94078068333651466</v>
      </c>
      <c r="S57" s="138">
        <f t="shared" si="25"/>
        <v>0.96179351152825954</v>
      </c>
      <c r="T57" s="138">
        <f t="shared" si="25"/>
        <v>0.94350066806642485</v>
      </c>
      <c r="U57" s="138">
        <f t="shared" si="25"/>
        <v>0.89985207100591713</v>
      </c>
      <c r="V57" s="138">
        <f t="shared" si="25"/>
        <v>0.83398549341477379</v>
      </c>
      <c r="W57" s="138">
        <f t="shared" si="25"/>
        <v>0.88249506903353059</v>
      </c>
      <c r="X57" s="138">
        <f t="shared" si="25"/>
        <v>0.94607749570528732</v>
      </c>
      <c r="Y57" s="138">
        <f t="shared" si="25"/>
        <v>0.94130559267035696</v>
      </c>
      <c r="Z57" s="138">
        <f t="shared" si="25"/>
        <v>0.8</v>
      </c>
      <c r="AA57" s="138">
        <f t="shared" si="25"/>
        <v>0.80000954380606981</v>
      </c>
      <c r="AB57" s="138">
        <f t="shared" si="25"/>
        <v>0.82998027613412229</v>
      </c>
      <c r="AC57" s="138">
        <f t="shared" si="25"/>
        <v>0.85001908761213973</v>
      </c>
      <c r="AD57" s="139">
        <f t="shared" si="25"/>
        <v>0.88575920716526013</v>
      </c>
      <c r="AE57" s="128">
        <f t="shared" si="17"/>
        <v>-2.5748669757462483E-2</v>
      </c>
      <c r="AF57" s="128">
        <f t="shared" si="18"/>
        <v>-2.9069604412995321E-2</v>
      </c>
      <c r="AG57" s="129">
        <v>0.86598443705925265</v>
      </c>
      <c r="AH57" s="124">
        <f t="shared" si="19"/>
        <v>-5.9738996514550058E-3</v>
      </c>
    </row>
    <row r="58" spans="1:34">
      <c r="D58" s="105" t="s">
        <v>243</v>
      </c>
      <c r="E58" s="136">
        <f t="shared" ref="E58:AD58" si="26">E15/E52</f>
        <v>0</v>
      </c>
      <c r="F58" s="136">
        <f t="shared" si="26"/>
        <v>0</v>
      </c>
      <c r="G58" s="136">
        <f t="shared" si="26"/>
        <v>0</v>
      </c>
      <c r="H58" s="136">
        <f t="shared" si="26"/>
        <v>0</v>
      </c>
      <c r="I58" s="136">
        <f t="shared" si="26"/>
        <v>0</v>
      </c>
      <c r="J58" s="136">
        <f t="shared" si="26"/>
        <v>0</v>
      </c>
      <c r="K58" s="136">
        <f t="shared" si="26"/>
        <v>0</v>
      </c>
      <c r="L58" s="136">
        <f t="shared" si="26"/>
        <v>0</v>
      </c>
      <c r="M58" s="136">
        <f t="shared" si="26"/>
        <v>0</v>
      </c>
      <c r="N58" s="136">
        <f t="shared" si="26"/>
        <v>0</v>
      </c>
      <c r="O58" s="136">
        <f t="shared" si="26"/>
        <v>0</v>
      </c>
      <c r="P58" s="136">
        <f t="shared" si="26"/>
        <v>0</v>
      </c>
      <c r="Q58" s="137">
        <f t="shared" si="26"/>
        <v>0</v>
      </c>
      <c r="R58" s="136">
        <f t="shared" si="26"/>
        <v>0</v>
      </c>
      <c r="S58" s="136">
        <f t="shared" si="26"/>
        <v>0</v>
      </c>
      <c r="T58" s="136">
        <f t="shared" si="26"/>
        <v>0</v>
      </c>
      <c r="U58" s="136">
        <f t="shared" si="26"/>
        <v>0</v>
      </c>
      <c r="V58" s="136">
        <f t="shared" si="26"/>
        <v>0</v>
      </c>
      <c r="W58" s="136">
        <f t="shared" si="26"/>
        <v>0</v>
      </c>
      <c r="X58" s="136">
        <f t="shared" si="26"/>
        <v>0</v>
      </c>
      <c r="Y58" s="136">
        <f t="shared" si="26"/>
        <v>0</v>
      </c>
      <c r="Z58" s="136">
        <f t="shared" si="26"/>
        <v>0</v>
      </c>
      <c r="AA58" s="136">
        <f t="shared" si="26"/>
        <v>0</v>
      </c>
      <c r="AB58" s="136">
        <f t="shared" si="26"/>
        <v>0</v>
      </c>
      <c r="AC58" s="136">
        <f t="shared" si="26"/>
        <v>0</v>
      </c>
      <c r="AD58" s="137">
        <f t="shared" si="26"/>
        <v>0</v>
      </c>
      <c r="AE58" s="72">
        <f t="shared" si="17"/>
        <v>0</v>
      </c>
      <c r="AF58" s="128" t="e">
        <f t="shared" si="18"/>
        <v>#DIV/0!</v>
      </c>
      <c r="AG58" s="129">
        <v>0</v>
      </c>
      <c r="AH58" s="124">
        <f t="shared" si="19"/>
        <v>0</v>
      </c>
    </row>
    <row r="59" spans="1:34">
      <c r="D59" s="105" t="s">
        <v>244</v>
      </c>
      <c r="E59" s="136">
        <f t="shared" ref="E59:AD59" si="27">E15/E48</f>
        <v>0</v>
      </c>
      <c r="F59" s="136">
        <f t="shared" si="27"/>
        <v>0</v>
      </c>
      <c r="G59" s="136">
        <f t="shared" si="27"/>
        <v>0</v>
      </c>
      <c r="H59" s="136">
        <f t="shared" si="27"/>
        <v>0</v>
      </c>
      <c r="I59" s="136">
        <f t="shared" si="27"/>
        <v>0</v>
      </c>
      <c r="J59" s="136">
        <f t="shared" si="27"/>
        <v>0</v>
      </c>
      <c r="K59" s="136">
        <f t="shared" si="27"/>
        <v>0</v>
      </c>
      <c r="L59" s="136">
        <f t="shared" si="27"/>
        <v>0</v>
      </c>
      <c r="M59" s="136">
        <f t="shared" si="27"/>
        <v>0</v>
      </c>
      <c r="N59" s="136">
        <f t="shared" si="27"/>
        <v>0</v>
      </c>
      <c r="O59" s="136">
        <f t="shared" si="27"/>
        <v>0</v>
      </c>
      <c r="P59" s="136">
        <f t="shared" si="27"/>
        <v>0</v>
      </c>
      <c r="Q59" s="137">
        <f t="shared" si="27"/>
        <v>0</v>
      </c>
      <c r="R59" s="136">
        <f t="shared" si="27"/>
        <v>0</v>
      </c>
      <c r="S59" s="136">
        <f t="shared" si="27"/>
        <v>0</v>
      </c>
      <c r="T59" s="136">
        <f t="shared" si="27"/>
        <v>0</v>
      </c>
      <c r="U59" s="136">
        <f t="shared" si="27"/>
        <v>0</v>
      </c>
      <c r="V59" s="136">
        <f t="shared" si="27"/>
        <v>0</v>
      </c>
      <c r="W59" s="136">
        <f t="shared" si="27"/>
        <v>0</v>
      </c>
      <c r="X59" s="136">
        <f t="shared" si="27"/>
        <v>0</v>
      </c>
      <c r="Y59" s="136">
        <f t="shared" si="27"/>
        <v>0</v>
      </c>
      <c r="Z59" s="136">
        <f t="shared" si="27"/>
        <v>0</v>
      </c>
      <c r="AA59" s="136">
        <f t="shared" si="27"/>
        <v>0</v>
      </c>
      <c r="AB59" s="136">
        <f t="shared" si="27"/>
        <v>0</v>
      </c>
      <c r="AC59" s="136">
        <f t="shared" si="27"/>
        <v>0</v>
      </c>
      <c r="AD59" s="137">
        <f t="shared" si="27"/>
        <v>0</v>
      </c>
      <c r="AE59" s="72">
        <f t="shared" si="17"/>
        <v>0</v>
      </c>
      <c r="AF59" s="128" t="e">
        <f t="shared" si="18"/>
        <v>#DIV/0!</v>
      </c>
      <c r="AG59" s="129">
        <v>0</v>
      </c>
      <c r="AH59" s="124">
        <f t="shared" si="19"/>
        <v>0</v>
      </c>
    </row>
    <row r="60" spans="1:34">
      <c r="D60" s="105" t="s">
        <v>245</v>
      </c>
      <c r="E60" s="135">
        <f t="shared" ref="E60:AD60" si="28">(E44+E17)/E55</f>
        <v>1.9800795741989881</v>
      </c>
      <c r="F60" s="135">
        <f t="shared" si="28"/>
        <v>2.1906588537111538</v>
      </c>
      <c r="G60" s="135">
        <f t="shared" si="28"/>
        <v>2.1562546712030786</v>
      </c>
      <c r="H60" s="135">
        <f t="shared" si="28"/>
        <v>2.258074294725775</v>
      </c>
      <c r="I60" s="135">
        <f t="shared" si="28"/>
        <v>2.181866358146622</v>
      </c>
      <c r="J60" s="135">
        <f t="shared" si="28"/>
        <v>2.2763640110698935</v>
      </c>
      <c r="K60" s="135">
        <f t="shared" si="28"/>
        <v>2.0446037099494099</v>
      </c>
      <c r="L60" s="135">
        <f t="shared" si="28"/>
        <v>2.0413369519392921</v>
      </c>
      <c r="M60" s="135">
        <f t="shared" si="28"/>
        <v>3.0924017675862894</v>
      </c>
      <c r="N60" s="135">
        <f t="shared" si="28"/>
        <v>2.9578136958135817</v>
      </c>
      <c r="O60" s="135">
        <f t="shared" si="28"/>
        <v>3.0513511918810479</v>
      </c>
      <c r="P60" s="135">
        <f t="shared" si="28"/>
        <v>2.7906105512744519</v>
      </c>
      <c r="Q60" s="135">
        <f t="shared" si="28"/>
        <v>2.4083136929926825</v>
      </c>
      <c r="R60" s="135">
        <f t="shared" si="28"/>
        <v>3.1096592853548057</v>
      </c>
      <c r="S60" s="135">
        <f t="shared" si="28"/>
        <v>3.8957309663443755</v>
      </c>
      <c r="T60" s="135">
        <f t="shared" si="28"/>
        <v>4.3589142340350699</v>
      </c>
      <c r="U60" s="135">
        <f t="shared" si="28"/>
        <v>3.2181277569024669</v>
      </c>
      <c r="V60" s="135">
        <f t="shared" si="28"/>
        <v>2.0056272381060565E-2</v>
      </c>
      <c r="W60" s="135">
        <f t="shared" si="28"/>
        <v>4.2534981959478211</v>
      </c>
      <c r="X60" s="135">
        <f t="shared" si="28"/>
        <v>3.6100391193139072</v>
      </c>
      <c r="Y60" s="135">
        <f t="shared" si="28"/>
        <v>4.0429028847606094</v>
      </c>
      <c r="Z60" s="135">
        <f t="shared" si="28"/>
        <v>3.6092168163067218</v>
      </c>
      <c r="AA60" s="135">
        <f t="shared" si="28"/>
        <v>3.5165437407952873</v>
      </c>
      <c r="AB60" s="135">
        <f t="shared" si="28"/>
        <v>3.4822332085186054</v>
      </c>
      <c r="AC60" s="135">
        <f t="shared" si="28"/>
        <v>3.3023542140598128</v>
      </c>
      <c r="AD60" s="135">
        <f t="shared" si="28"/>
        <v>3.3877956724135596</v>
      </c>
      <c r="AE60" s="117">
        <f t="shared" si="17"/>
        <v>-0.97948197942087711</v>
      </c>
      <c r="AF60" s="128">
        <f t="shared" si="18"/>
        <v>-0.28912073635275265</v>
      </c>
      <c r="AG60" s="129">
        <v>-0.19270528025468875</v>
      </c>
      <c r="AH60" s="124">
        <f t="shared" ref="AH60:AH101" si="29">AG60-Q60</f>
        <v>-2.6010189732473714</v>
      </c>
    </row>
    <row r="61" spans="1:34">
      <c r="D61" s="105" t="s">
        <v>154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35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35"/>
      <c r="AF61" s="128"/>
      <c r="AG61" s="129"/>
      <c r="AH61" s="124">
        <f t="shared" si="29"/>
        <v>0</v>
      </c>
    </row>
    <row r="62" spans="1:34">
      <c r="D62" s="109" t="s">
        <v>246</v>
      </c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35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35"/>
      <c r="AF62" s="128"/>
      <c r="AG62" s="129"/>
      <c r="AH62" s="124">
        <f t="shared" si="29"/>
        <v>0</v>
      </c>
    </row>
    <row r="63" spans="1:34">
      <c r="D63" s="105" t="s">
        <v>247</v>
      </c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35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35"/>
      <c r="AF63" s="128"/>
      <c r="AG63" s="129"/>
      <c r="AH63" s="124">
        <f t="shared" si="29"/>
        <v>0</v>
      </c>
    </row>
    <row r="64" spans="1:34">
      <c r="A64" s="105" t="s">
        <v>248</v>
      </c>
      <c r="B64" s="105" t="s">
        <v>355</v>
      </c>
      <c r="D64" s="105" t="s">
        <v>250</v>
      </c>
      <c r="E64" s="136">
        <v>18480</v>
      </c>
      <c r="F64" s="136">
        <v>18480</v>
      </c>
      <c r="G64" s="136">
        <v>19404</v>
      </c>
      <c r="H64" s="136">
        <v>19404</v>
      </c>
      <c r="I64" s="136">
        <v>19404</v>
      </c>
      <c r="J64" s="136">
        <v>19404</v>
      </c>
      <c r="K64" s="136">
        <v>19404</v>
      </c>
      <c r="L64" s="136">
        <v>19404</v>
      </c>
      <c r="M64" s="136">
        <v>27720</v>
      </c>
      <c r="N64" s="136">
        <v>27720</v>
      </c>
      <c r="O64" s="136">
        <v>27720</v>
      </c>
      <c r="P64" s="136">
        <v>27720</v>
      </c>
      <c r="Q64" s="135">
        <f>SUM(E64:P64)</f>
        <v>264264</v>
      </c>
      <c r="R64" s="136">
        <v>21000</v>
      </c>
      <c r="S64" s="136">
        <v>21000</v>
      </c>
      <c r="T64" s="136">
        <v>21000</v>
      </c>
      <c r="U64" s="136">
        <v>21000</v>
      </c>
      <c r="V64" s="136">
        <v>21000</v>
      </c>
      <c r="W64" s="136">
        <v>21000</v>
      </c>
      <c r="X64" s="72">
        <v>21000</v>
      </c>
      <c r="Y64" s="72">
        <v>21000</v>
      </c>
      <c r="Z64" s="72">
        <v>21000</v>
      </c>
      <c r="AA64" s="72">
        <v>21000</v>
      </c>
      <c r="AB64" s="72">
        <v>21000</v>
      </c>
      <c r="AC64" s="72">
        <v>21000</v>
      </c>
      <c r="AD64" s="127">
        <f>SUM(R64:AC64)</f>
        <v>252000</v>
      </c>
      <c r="AE64" s="72">
        <f t="shared" ref="AE64:AE69" si="30">Q64-AD64</f>
        <v>12264</v>
      </c>
      <c r="AF64" s="128">
        <f t="shared" ref="AF64:AF69" si="31">AE64/AD64</f>
        <v>4.8666666666666664E-2</v>
      </c>
      <c r="AG64" s="129">
        <v>0</v>
      </c>
      <c r="AH64" s="124">
        <f t="shared" si="29"/>
        <v>-264264</v>
      </c>
    </row>
    <row r="65" spans="1:34">
      <c r="A65" s="105" t="s">
        <v>362</v>
      </c>
      <c r="D65" s="105" t="s">
        <v>253</v>
      </c>
      <c r="E65" s="136">
        <v>0</v>
      </c>
      <c r="F65" s="136">
        <v>0</v>
      </c>
      <c r="G65" s="136">
        <v>0</v>
      </c>
      <c r="H65" s="136">
        <v>0</v>
      </c>
      <c r="I65" s="136">
        <v>0</v>
      </c>
      <c r="J65" s="136">
        <v>0</v>
      </c>
      <c r="K65" s="136">
        <v>0</v>
      </c>
      <c r="L65" s="136">
        <v>0</v>
      </c>
      <c r="M65" s="136">
        <v>0</v>
      </c>
      <c r="N65" s="136">
        <v>0</v>
      </c>
      <c r="O65" s="136">
        <v>0</v>
      </c>
      <c r="P65" s="136">
        <v>0</v>
      </c>
      <c r="Q65" s="135">
        <f>SUM(E65:P65)</f>
        <v>0</v>
      </c>
      <c r="R65" s="136">
        <v>0</v>
      </c>
      <c r="S65" s="136">
        <v>0</v>
      </c>
      <c r="T65" s="136">
        <v>0</v>
      </c>
      <c r="U65" s="136">
        <v>0</v>
      </c>
      <c r="V65" s="136">
        <v>0</v>
      </c>
      <c r="W65" s="136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127">
        <f>SUM(R65:AC65)</f>
        <v>0</v>
      </c>
      <c r="AE65" s="72">
        <f t="shared" si="30"/>
        <v>0</v>
      </c>
      <c r="AF65" s="128" t="e">
        <f t="shared" si="31"/>
        <v>#DIV/0!</v>
      </c>
      <c r="AG65" s="129">
        <v>0</v>
      </c>
      <c r="AH65" s="124">
        <f t="shared" si="29"/>
        <v>0</v>
      </c>
    </row>
    <row r="66" spans="1:34">
      <c r="A66" s="105" t="s">
        <v>363</v>
      </c>
      <c r="D66" s="105" t="s">
        <v>255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0</v>
      </c>
      <c r="L66" s="136">
        <v>0</v>
      </c>
      <c r="M66" s="136">
        <v>0</v>
      </c>
      <c r="N66" s="136">
        <v>0</v>
      </c>
      <c r="O66" s="136">
        <v>0</v>
      </c>
      <c r="P66" s="136">
        <v>0</v>
      </c>
      <c r="Q66" s="135">
        <f>SUM(E66:P66)</f>
        <v>0</v>
      </c>
      <c r="R66" s="136">
        <v>0</v>
      </c>
      <c r="S66" s="136">
        <v>0</v>
      </c>
      <c r="T66" s="136">
        <v>0</v>
      </c>
      <c r="U66" s="136">
        <v>0</v>
      </c>
      <c r="V66" s="136">
        <v>0</v>
      </c>
      <c r="W66" s="136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127">
        <f>SUM(R66:AC66)</f>
        <v>0</v>
      </c>
      <c r="AE66" s="72">
        <f t="shared" si="30"/>
        <v>0</v>
      </c>
      <c r="AF66" s="128" t="e">
        <f t="shared" si="31"/>
        <v>#DIV/0!</v>
      </c>
      <c r="AG66" s="129">
        <v>0</v>
      </c>
      <c r="AH66" s="124">
        <f t="shared" si="29"/>
        <v>0</v>
      </c>
    </row>
    <row r="67" spans="1:34">
      <c r="A67" s="105" t="s">
        <v>363</v>
      </c>
      <c r="D67" s="105" t="s">
        <v>257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  <c r="Q67" s="135">
        <f>SUM(E67:P67)</f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136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127">
        <f>SUM(R67:AC67)</f>
        <v>0</v>
      </c>
      <c r="AE67" s="72">
        <f t="shared" si="30"/>
        <v>0</v>
      </c>
      <c r="AF67" s="128" t="e">
        <f t="shared" si="31"/>
        <v>#DIV/0!</v>
      </c>
      <c r="AG67" s="129">
        <v>0</v>
      </c>
      <c r="AH67" s="124">
        <f t="shared" si="29"/>
        <v>0</v>
      </c>
    </row>
    <row r="68" spans="1:34">
      <c r="A68" s="105" t="s">
        <v>251</v>
      </c>
      <c r="B68" s="105" t="s">
        <v>355</v>
      </c>
      <c r="D68" s="105" t="s">
        <v>364</v>
      </c>
      <c r="E68" s="136">
        <v>2850</v>
      </c>
      <c r="F68" s="136">
        <v>2850</v>
      </c>
      <c r="G68" s="136">
        <v>2992.5</v>
      </c>
      <c r="H68" s="136">
        <v>2992.5</v>
      </c>
      <c r="I68" s="136">
        <v>2992.5</v>
      </c>
      <c r="J68" s="136">
        <v>2992.5</v>
      </c>
      <c r="K68" s="136">
        <v>2992.5</v>
      </c>
      <c r="L68" s="136">
        <v>2992.5</v>
      </c>
      <c r="M68" s="136">
        <v>2992.5</v>
      </c>
      <c r="N68" s="136">
        <v>2992.5</v>
      </c>
      <c r="O68" s="136">
        <v>2992.5</v>
      </c>
      <c r="P68" s="136">
        <v>2992.5</v>
      </c>
      <c r="Q68" s="135">
        <f>SUM(E68:P68)</f>
        <v>35625</v>
      </c>
      <c r="R68" s="136">
        <v>0</v>
      </c>
      <c r="S68" s="136">
        <v>0</v>
      </c>
      <c r="T68" s="136">
        <v>3800</v>
      </c>
      <c r="U68" s="136">
        <v>3800</v>
      </c>
      <c r="V68" s="136">
        <v>3800</v>
      </c>
      <c r="W68" s="136">
        <v>3800</v>
      </c>
      <c r="X68" s="72">
        <v>3094.54</v>
      </c>
      <c r="Y68" s="72">
        <v>3800</v>
      </c>
      <c r="Z68" s="72">
        <v>3800</v>
      </c>
      <c r="AA68" s="72">
        <v>3800</v>
      </c>
      <c r="AB68" s="72">
        <v>3800</v>
      </c>
      <c r="AC68" s="72">
        <v>3800</v>
      </c>
      <c r="AD68" s="127">
        <f>SUM(R68:AC68)</f>
        <v>37294.54</v>
      </c>
      <c r="AE68" s="72">
        <f t="shared" si="30"/>
        <v>-1669.5400000000009</v>
      </c>
      <c r="AF68" s="128">
        <f t="shared" si="31"/>
        <v>-4.4766338450615048E-2</v>
      </c>
      <c r="AG68" s="129">
        <v>0</v>
      </c>
      <c r="AH68" s="124">
        <f t="shared" si="29"/>
        <v>-35625</v>
      </c>
    </row>
    <row r="69" spans="1:34">
      <c r="D69" s="109" t="s">
        <v>259</v>
      </c>
      <c r="E69" s="135">
        <f t="shared" ref="E69:AD69" si="32">SUM(E64:E68)</f>
        <v>21330</v>
      </c>
      <c r="F69" s="135">
        <f t="shared" si="32"/>
        <v>21330</v>
      </c>
      <c r="G69" s="135">
        <f t="shared" si="32"/>
        <v>22396.5</v>
      </c>
      <c r="H69" s="135">
        <f t="shared" si="32"/>
        <v>22396.5</v>
      </c>
      <c r="I69" s="135">
        <f t="shared" si="32"/>
        <v>22396.5</v>
      </c>
      <c r="J69" s="135">
        <f t="shared" si="32"/>
        <v>22396.5</v>
      </c>
      <c r="K69" s="135">
        <f t="shared" si="32"/>
        <v>22396.5</v>
      </c>
      <c r="L69" s="135">
        <f t="shared" si="32"/>
        <v>22396.5</v>
      </c>
      <c r="M69" s="135">
        <f t="shared" si="32"/>
        <v>30712.5</v>
      </c>
      <c r="N69" s="135">
        <f t="shared" si="32"/>
        <v>30712.5</v>
      </c>
      <c r="O69" s="135">
        <f t="shared" si="32"/>
        <v>30712.5</v>
      </c>
      <c r="P69" s="135">
        <f t="shared" si="32"/>
        <v>30712.5</v>
      </c>
      <c r="Q69" s="135">
        <f t="shared" si="32"/>
        <v>299889</v>
      </c>
      <c r="R69" s="135">
        <f t="shared" si="32"/>
        <v>21000</v>
      </c>
      <c r="S69" s="135">
        <f t="shared" si="32"/>
        <v>21000</v>
      </c>
      <c r="T69" s="135">
        <f t="shared" si="32"/>
        <v>24800</v>
      </c>
      <c r="U69" s="135">
        <f t="shared" si="32"/>
        <v>24800</v>
      </c>
      <c r="V69" s="135">
        <f t="shared" si="32"/>
        <v>24800</v>
      </c>
      <c r="W69" s="135">
        <f t="shared" si="32"/>
        <v>24800</v>
      </c>
      <c r="X69" s="135">
        <f t="shared" si="32"/>
        <v>24094.54</v>
      </c>
      <c r="Y69" s="135">
        <f t="shared" si="32"/>
        <v>24800</v>
      </c>
      <c r="Z69" s="135">
        <f t="shared" si="32"/>
        <v>24800</v>
      </c>
      <c r="AA69" s="135">
        <f t="shared" si="32"/>
        <v>24800</v>
      </c>
      <c r="AB69" s="135">
        <f t="shared" si="32"/>
        <v>24800</v>
      </c>
      <c r="AC69" s="135">
        <f t="shared" si="32"/>
        <v>24800</v>
      </c>
      <c r="AD69" s="135">
        <f t="shared" si="32"/>
        <v>289294.53999999998</v>
      </c>
      <c r="AE69" s="117">
        <f t="shared" si="30"/>
        <v>10594.460000000021</v>
      </c>
      <c r="AF69" s="128">
        <f t="shared" si="31"/>
        <v>3.6621707412798118E-2</v>
      </c>
      <c r="AG69" s="129">
        <v>0</v>
      </c>
      <c r="AH69" s="124">
        <f t="shared" si="29"/>
        <v>-299889</v>
      </c>
    </row>
    <row r="70" spans="1:34">
      <c r="D70" s="105" t="s">
        <v>154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35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35"/>
      <c r="AE70" s="116">
        <f t="shared" ref="AE70:AE87" si="33">AD70-Q70</f>
        <v>0</v>
      </c>
      <c r="AF70" s="128"/>
      <c r="AG70" s="129"/>
      <c r="AH70" s="124">
        <f t="shared" si="29"/>
        <v>0</v>
      </c>
    </row>
    <row r="71" spans="1:34">
      <c r="A71" s="105" t="s">
        <v>119</v>
      </c>
      <c r="B71" s="105" t="s">
        <v>355</v>
      </c>
      <c r="D71" s="105" t="s">
        <v>260</v>
      </c>
      <c r="E71" s="136">
        <v>0</v>
      </c>
      <c r="F71" s="136">
        <v>0</v>
      </c>
      <c r="G71" s="136">
        <v>0</v>
      </c>
      <c r="H71" s="136">
        <v>0</v>
      </c>
      <c r="I71" s="136">
        <v>0</v>
      </c>
      <c r="J71" s="136">
        <v>0</v>
      </c>
      <c r="K71" s="136">
        <v>0</v>
      </c>
      <c r="L71" s="136">
        <v>0</v>
      </c>
      <c r="M71" s="136">
        <v>0</v>
      </c>
      <c r="N71" s="136">
        <v>0</v>
      </c>
      <c r="O71" s="136">
        <v>0</v>
      </c>
      <c r="P71" s="136">
        <v>0</v>
      </c>
      <c r="Q71" s="135">
        <f>SUM(E71:P71)</f>
        <v>0</v>
      </c>
      <c r="R71" s="136">
        <v>0</v>
      </c>
      <c r="S71" s="136">
        <v>0</v>
      </c>
      <c r="T71" s="136">
        <v>0</v>
      </c>
      <c r="U71" s="136">
        <v>0</v>
      </c>
      <c r="V71" s="136">
        <v>0</v>
      </c>
      <c r="W71" s="136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127">
        <f>SUM(R71:AC71)</f>
        <v>0</v>
      </c>
      <c r="AE71" s="72">
        <f t="shared" ref="AE71:AE76" si="34">Q71-AD71</f>
        <v>0</v>
      </c>
      <c r="AF71" s="128" t="e">
        <f t="shared" ref="AF71:AF76" si="35">AE71/AD71</f>
        <v>#DIV/0!</v>
      </c>
      <c r="AG71" s="129">
        <v>0</v>
      </c>
      <c r="AH71" s="124">
        <f t="shared" si="29"/>
        <v>0</v>
      </c>
    </row>
    <row r="72" spans="1:34">
      <c r="A72" s="105" t="s">
        <v>120</v>
      </c>
      <c r="B72" s="105" t="s">
        <v>355</v>
      </c>
      <c r="D72" s="105" t="s">
        <v>261</v>
      </c>
      <c r="E72" s="136">
        <v>4125</v>
      </c>
      <c r="F72" s="136">
        <v>4125</v>
      </c>
      <c r="G72" s="136">
        <v>4125</v>
      </c>
      <c r="H72" s="136">
        <v>4125</v>
      </c>
      <c r="I72" s="136">
        <v>4125</v>
      </c>
      <c r="J72" s="136">
        <v>4125</v>
      </c>
      <c r="K72" s="136">
        <v>4125</v>
      </c>
      <c r="L72" s="136">
        <v>4125</v>
      </c>
      <c r="M72" s="136">
        <v>5625</v>
      </c>
      <c r="N72" s="136">
        <v>5625</v>
      </c>
      <c r="O72" s="136">
        <v>5625</v>
      </c>
      <c r="P72" s="136">
        <v>5625</v>
      </c>
      <c r="Q72" s="135">
        <f>SUM(E72:P72)</f>
        <v>55500</v>
      </c>
      <c r="R72" s="136">
        <v>5281.77</v>
      </c>
      <c r="S72" s="136">
        <v>5230.96</v>
      </c>
      <c r="T72" s="136">
        <v>6228.35</v>
      </c>
      <c r="U72" s="136">
        <v>4112.5200000000004</v>
      </c>
      <c r="V72" s="136">
        <v>4112.47</v>
      </c>
      <c r="W72" s="136">
        <v>4137.53</v>
      </c>
      <c r="X72" s="72">
        <v>4134.6099999999997</v>
      </c>
      <c r="Y72" s="72">
        <v>4149.24</v>
      </c>
      <c r="Z72" s="72">
        <v>4133.33</v>
      </c>
      <c r="AA72" s="72">
        <v>4133.33</v>
      </c>
      <c r="AB72" s="72">
        <v>4133.33</v>
      </c>
      <c r="AC72" s="72">
        <v>4133.33</v>
      </c>
      <c r="AD72" s="127">
        <f>SUM(R72:AC72)</f>
        <v>53920.770000000004</v>
      </c>
      <c r="AE72" s="72">
        <f t="shared" si="34"/>
        <v>1579.2299999999959</v>
      </c>
      <c r="AF72" s="128">
        <f t="shared" si="35"/>
        <v>2.9287971963308311E-2</v>
      </c>
      <c r="AG72" s="129">
        <v>61211.58</v>
      </c>
      <c r="AH72" s="124">
        <f t="shared" si="29"/>
        <v>5711.5800000000017</v>
      </c>
    </row>
    <row r="73" spans="1:34">
      <c r="A73" s="105" t="s">
        <v>121</v>
      </c>
      <c r="B73" s="105" t="s">
        <v>355</v>
      </c>
      <c r="D73" s="105" t="s">
        <v>262</v>
      </c>
      <c r="E73" s="136">
        <v>530</v>
      </c>
      <c r="F73" s="136">
        <v>530</v>
      </c>
      <c r="G73" s="136">
        <v>530</v>
      </c>
      <c r="H73" s="136">
        <v>530</v>
      </c>
      <c r="I73" s="136">
        <v>530</v>
      </c>
      <c r="J73" s="136">
        <v>530</v>
      </c>
      <c r="K73" s="136">
        <v>530</v>
      </c>
      <c r="L73" s="136">
        <v>530</v>
      </c>
      <c r="M73" s="136">
        <v>530</v>
      </c>
      <c r="N73" s="136">
        <v>530</v>
      </c>
      <c r="O73" s="136">
        <v>530</v>
      </c>
      <c r="P73" s="136">
        <v>530</v>
      </c>
      <c r="Q73" s="135">
        <f>SUM(E73:P73)</f>
        <v>6360</v>
      </c>
      <c r="R73" s="136">
        <v>0</v>
      </c>
      <c r="S73" s="136">
        <v>0</v>
      </c>
      <c r="T73" s="136">
        <v>330</v>
      </c>
      <c r="U73" s="136">
        <v>330</v>
      </c>
      <c r="V73" s="136">
        <v>330</v>
      </c>
      <c r="W73" s="136">
        <v>330</v>
      </c>
      <c r="X73" s="72">
        <v>353</v>
      </c>
      <c r="Y73" s="72">
        <v>430</v>
      </c>
      <c r="Z73" s="72">
        <v>330</v>
      </c>
      <c r="AA73" s="72">
        <v>330</v>
      </c>
      <c r="AB73" s="72">
        <v>330</v>
      </c>
      <c r="AC73" s="72">
        <v>330</v>
      </c>
      <c r="AD73" s="127">
        <f>SUM(R73:AC73)</f>
        <v>3423</v>
      </c>
      <c r="AE73" s="72">
        <f t="shared" si="34"/>
        <v>2937</v>
      </c>
      <c r="AF73" s="128">
        <f t="shared" si="35"/>
        <v>0.85801928133216476</v>
      </c>
      <c r="AG73" s="129">
        <v>0</v>
      </c>
      <c r="AH73" s="124">
        <f t="shared" si="29"/>
        <v>-6360</v>
      </c>
    </row>
    <row r="74" spans="1:34">
      <c r="A74" s="105" t="s">
        <v>122</v>
      </c>
      <c r="B74" s="105" t="s">
        <v>355</v>
      </c>
      <c r="D74" s="105" t="s">
        <v>263</v>
      </c>
      <c r="E74" s="136">
        <v>0</v>
      </c>
      <c r="F74" s="136">
        <v>0</v>
      </c>
      <c r="G74" s="136">
        <v>0</v>
      </c>
      <c r="H74" s="136">
        <v>0</v>
      </c>
      <c r="I74" s="136">
        <v>0</v>
      </c>
      <c r="J74" s="136">
        <v>0</v>
      </c>
      <c r="K74" s="136">
        <v>0</v>
      </c>
      <c r="L74" s="136">
        <v>0</v>
      </c>
      <c r="M74" s="136">
        <v>0</v>
      </c>
      <c r="N74" s="136">
        <v>0</v>
      </c>
      <c r="O74" s="136">
        <v>0</v>
      </c>
      <c r="P74" s="136">
        <v>0</v>
      </c>
      <c r="Q74" s="135">
        <f>SUM(E74:P74)</f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72">
        <v>0</v>
      </c>
      <c r="AD74" s="127">
        <f>SUM(R74:AC74)</f>
        <v>0</v>
      </c>
      <c r="AE74" s="72">
        <f t="shared" si="34"/>
        <v>0</v>
      </c>
      <c r="AF74" s="128" t="e">
        <f t="shared" si="35"/>
        <v>#DIV/0!</v>
      </c>
      <c r="AG74" s="129">
        <v>0</v>
      </c>
      <c r="AH74" s="124">
        <f t="shared" si="29"/>
        <v>0</v>
      </c>
    </row>
    <row r="75" spans="1:34">
      <c r="A75" s="105" t="s">
        <v>123</v>
      </c>
      <c r="B75" s="105" t="s">
        <v>355</v>
      </c>
      <c r="D75" s="105" t="s">
        <v>264</v>
      </c>
      <c r="E75" s="136">
        <v>0</v>
      </c>
      <c r="F75" s="136">
        <v>0</v>
      </c>
      <c r="G75" s="136">
        <v>0</v>
      </c>
      <c r="H75" s="136">
        <v>0</v>
      </c>
      <c r="I75" s="136">
        <v>0</v>
      </c>
      <c r="J75" s="136">
        <v>0</v>
      </c>
      <c r="K75" s="136">
        <v>0</v>
      </c>
      <c r="L75" s="136">
        <v>0</v>
      </c>
      <c r="M75" s="136">
        <v>0</v>
      </c>
      <c r="N75" s="136">
        <v>0</v>
      </c>
      <c r="O75" s="136">
        <v>0</v>
      </c>
      <c r="P75" s="136">
        <v>0</v>
      </c>
      <c r="Q75" s="135">
        <f>SUM(E75:P75)</f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136">
        <v>0</v>
      </c>
      <c r="X75" s="72">
        <v>0</v>
      </c>
      <c r="Y75" s="72">
        <v>100</v>
      </c>
      <c r="Z75" s="72">
        <v>0</v>
      </c>
      <c r="AA75" s="72">
        <v>0</v>
      </c>
      <c r="AB75" s="72">
        <v>0</v>
      </c>
      <c r="AC75" s="72">
        <v>0</v>
      </c>
      <c r="AD75" s="127">
        <f>SUM(R75:AC75)</f>
        <v>100</v>
      </c>
      <c r="AE75" s="72">
        <f t="shared" si="34"/>
        <v>-100</v>
      </c>
      <c r="AF75" s="128">
        <f t="shared" si="35"/>
        <v>-1</v>
      </c>
      <c r="AG75" s="129">
        <v>0</v>
      </c>
      <c r="AH75" s="124">
        <f t="shared" si="29"/>
        <v>0</v>
      </c>
    </row>
    <row r="76" spans="1:34">
      <c r="D76" s="109" t="s">
        <v>265</v>
      </c>
      <c r="E76" s="135">
        <f t="shared" ref="E76:AD76" si="36">SUM(E71:E75)</f>
        <v>4655</v>
      </c>
      <c r="F76" s="135">
        <f t="shared" si="36"/>
        <v>4655</v>
      </c>
      <c r="G76" s="135">
        <f t="shared" si="36"/>
        <v>4655</v>
      </c>
      <c r="H76" s="135">
        <f t="shared" si="36"/>
        <v>4655</v>
      </c>
      <c r="I76" s="135">
        <f t="shared" si="36"/>
        <v>4655</v>
      </c>
      <c r="J76" s="135">
        <f t="shared" si="36"/>
        <v>4655</v>
      </c>
      <c r="K76" s="135">
        <f t="shared" si="36"/>
        <v>4655</v>
      </c>
      <c r="L76" s="135">
        <f t="shared" si="36"/>
        <v>4655</v>
      </c>
      <c r="M76" s="135">
        <f t="shared" si="36"/>
        <v>6155</v>
      </c>
      <c r="N76" s="135">
        <f t="shared" si="36"/>
        <v>6155</v>
      </c>
      <c r="O76" s="135">
        <f t="shared" si="36"/>
        <v>6155</v>
      </c>
      <c r="P76" s="135">
        <f t="shared" si="36"/>
        <v>6155</v>
      </c>
      <c r="Q76" s="135">
        <f t="shared" si="36"/>
        <v>61860</v>
      </c>
      <c r="R76" s="135">
        <f t="shared" si="36"/>
        <v>5281.77</v>
      </c>
      <c r="S76" s="135">
        <f t="shared" si="36"/>
        <v>5230.96</v>
      </c>
      <c r="T76" s="135">
        <f t="shared" si="36"/>
        <v>6558.35</v>
      </c>
      <c r="U76" s="135">
        <f t="shared" si="36"/>
        <v>4442.5200000000004</v>
      </c>
      <c r="V76" s="135">
        <f t="shared" si="36"/>
        <v>4442.47</v>
      </c>
      <c r="W76" s="135">
        <f t="shared" si="36"/>
        <v>4467.53</v>
      </c>
      <c r="X76" s="135">
        <f t="shared" si="36"/>
        <v>4487.6099999999997</v>
      </c>
      <c r="Y76" s="135">
        <f t="shared" si="36"/>
        <v>4679.24</v>
      </c>
      <c r="Z76" s="135">
        <f t="shared" si="36"/>
        <v>4463.33</v>
      </c>
      <c r="AA76" s="135">
        <f t="shared" si="36"/>
        <v>4463.33</v>
      </c>
      <c r="AB76" s="135">
        <f t="shared" si="36"/>
        <v>4463.33</v>
      </c>
      <c r="AC76" s="135">
        <f t="shared" si="36"/>
        <v>4463.33</v>
      </c>
      <c r="AD76" s="135">
        <f t="shared" si="36"/>
        <v>57443.770000000004</v>
      </c>
      <c r="AE76" s="117">
        <f t="shared" si="34"/>
        <v>4416.2299999999959</v>
      </c>
      <c r="AF76" s="128">
        <f t="shared" si="35"/>
        <v>7.6879181154022369E-2</v>
      </c>
      <c r="AG76" s="129">
        <v>61211.58</v>
      </c>
      <c r="AH76" s="124">
        <f t="shared" si="29"/>
        <v>-648.41999999999825</v>
      </c>
    </row>
    <row r="77" spans="1:34">
      <c r="D77" s="105" t="s">
        <v>154</v>
      </c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35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35"/>
      <c r="AE77" s="116">
        <f t="shared" si="33"/>
        <v>0</v>
      </c>
      <c r="AF77" s="128"/>
      <c r="AG77" s="129"/>
      <c r="AH77" s="124">
        <f t="shared" si="29"/>
        <v>0</v>
      </c>
    </row>
    <row r="78" spans="1:34">
      <c r="A78" s="105" t="s">
        <v>124</v>
      </c>
      <c r="B78" s="105" t="s">
        <v>355</v>
      </c>
      <c r="D78" s="105" t="s">
        <v>266</v>
      </c>
      <c r="E78" s="136">
        <v>4560.58</v>
      </c>
      <c r="F78" s="136">
        <v>4560.58</v>
      </c>
      <c r="G78" s="136">
        <v>4560.58</v>
      </c>
      <c r="H78" s="136">
        <v>4560.58</v>
      </c>
      <c r="I78" s="136">
        <v>4560.58</v>
      </c>
      <c r="J78" s="136">
        <v>4560.58</v>
      </c>
      <c r="K78" s="136">
        <v>4615.0200000000004</v>
      </c>
      <c r="L78" s="136">
        <v>4615.0200000000004</v>
      </c>
      <c r="M78" s="136">
        <v>5205.76</v>
      </c>
      <c r="N78" s="136">
        <v>5205.76</v>
      </c>
      <c r="O78" s="136">
        <v>5205.76</v>
      </c>
      <c r="P78" s="136">
        <v>5205.76</v>
      </c>
      <c r="Q78" s="135">
        <f t="shared" ref="Q78:Q85" si="37">SUM(E78:P78)</f>
        <v>57416.560000000012</v>
      </c>
      <c r="R78" s="136">
        <v>3864</v>
      </c>
      <c r="S78" s="136">
        <v>3864</v>
      </c>
      <c r="T78" s="136">
        <v>4636.8</v>
      </c>
      <c r="U78" s="136">
        <v>4636.8</v>
      </c>
      <c r="V78" s="136">
        <v>4636.8</v>
      </c>
      <c r="W78" s="136">
        <v>4636.8</v>
      </c>
      <c r="X78" s="72">
        <v>4636.8</v>
      </c>
      <c r="Y78" s="72">
        <v>4636.8</v>
      </c>
      <c r="Z78" s="72">
        <v>3780</v>
      </c>
      <c r="AA78" s="72">
        <v>3780</v>
      </c>
      <c r="AB78" s="72">
        <v>3780</v>
      </c>
      <c r="AC78" s="72">
        <v>3780</v>
      </c>
      <c r="AD78" s="127">
        <f t="shared" ref="AD78:AD85" si="38">SUM(R78:AC78)</f>
        <v>50668.799999999996</v>
      </c>
      <c r="AE78" s="72">
        <f t="shared" ref="AE78:AE86" si="39">Q78-AD78</f>
        <v>6747.7600000000166</v>
      </c>
      <c r="AF78" s="128">
        <f t="shared" ref="AF78:AF86" si="40">AE78/AD78</f>
        <v>0.13317386636352188</v>
      </c>
      <c r="AG78" s="129">
        <v>0</v>
      </c>
      <c r="AH78" s="124">
        <f t="shared" si="29"/>
        <v>-57416.560000000012</v>
      </c>
    </row>
    <row r="79" spans="1:34">
      <c r="A79" s="105" t="s">
        <v>125</v>
      </c>
      <c r="B79" s="105" t="s">
        <v>355</v>
      </c>
      <c r="D79" s="105" t="s">
        <v>267</v>
      </c>
      <c r="E79" s="136">
        <v>1849.31</v>
      </c>
      <c r="F79" s="136">
        <v>1849.31</v>
      </c>
      <c r="G79" s="136">
        <v>1849.31</v>
      </c>
      <c r="H79" s="136">
        <v>1849.31</v>
      </c>
      <c r="I79" s="136">
        <v>1849.31</v>
      </c>
      <c r="J79" s="136">
        <v>1849.31</v>
      </c>
      <c r="K79" s="136">
        <v>1868</v>
      </c>
      <c r="L79" s="136">
        <v>1868</v>
      </c>
      <c r="M79" s="136">
        <v>2107.9900000000002</v>
      </c>
      <c r="N79" s="136">
        <v>2107.9900000000002</v>
      </c>
      <c r="O79" s="136">
        <v>2107.9900000000002</v>
      </c>
      <c r="P79" s="136">
        <v>2107.9900000000002</v>
      </c>
      <c r="Q79" s="135">
        <f t="shared" si="37"/>
        <v>23263.820000000003</v>
      </c>
      <c r="R79" s="136">
        <v>2052.75</v>
      </c>
      <c r="S79" s="136">
        <v>2052.75</v>
      </c>
      <c r="T79" s="136">
        <v>2463.3000000000002</v>
      </c>
      <c r="U79" s="136">
        <v>2463.3000000000002</v>
      </c>
      <c r="V79" s="136">
        <v>2463.3000000000002</v>
      </c>
      <c r="W79" s="136">
        <v>2463.3000000000002</v>
      </c>
      <c r="X79" s="72">
        <v>1883.7</v>
      </c>
      <c r="Y79" s="72">
        <v>1883.7</v>
      </c>
      <c r="Z79" s="72">
        <v>1838</v>
      </c>
      <c r="AA79" s="72">
        <v>1838</v>
      </c>
      <c r="AB79" s="72">
        <v>1838</v>
      </c>
      <c r="AC79" s="72">
        <v>1838</v>
      </c>
      <c r="AD79" s="127">
        <f t="shared" si="38"/>
        <v>25078.100000000002</v>
      </c>
      <c r="AE79" s="72">
        <f t="shared" si="39"/>
        <v>-1814.2799999999988</v>
      </c>
      <c r="AF79" s="128">
        <f t="shared" si="40"/>
        <v>-7.2345193615146228E-2</v>
      </c>
      <c r="AG79" s="129">
        <v>0</v>
      </c>
      <c r="AH79" s="124">
        <f t="shared" si="29"/>
        <v>-23263.820000000003</v>
      </c>
    </row>
    <row r="80" spans="1:34">
      <c r="A80" s="105" t="s">
        <v>126</v>
      </c>
      <c r="B80" s="105" t="s">
        <v>355</v>
      </c>
      <c r="D80" s="105" t="s">
        <v>268</v>
      </c>
      <c r="E80" s="136">
        <v>142.26</v>
      </c>
      <c r="F80" s="136">
        <v>142.26</v>
      </c>
      <c r="G80" s="136">
        <v>142.26</v>
      </c>
      <c r="H80" s="136">
        <v>142.26</v>
      </c>
      <c r="I80" s="136">
        <v>142.26</v>
      </c>
      <c r="J80" s="136">
        <v>142.26</v>
      </c>
      <c r="K80" s="136">
        <v>143.69999999999999</v>
      </c>
      <c r="L80" s="136">
        <v>143.69999999999999</v>
      </c>
      <c r="M80" s="136">
        <v>162.16</v>
      </c>
      <c r="N80" s="136">
        <v>162.16</v>
      </c>
      <c r="O80" s="136">
        <v>162.16</v>
      </c>
      <c r="P80" s="136">
        <v>162.16</v>
      </c>
      <c r="Q80" s="135">
        <f t="shared" si="37"/>
        <v>1789.6000000000004</v>
      </c>
      <c r="R80" s="136">
        <v>120.75</v>
      </c>
      <c r="S80" s="136">
        <v>120.75</v>
      </c>
      <c r="T80" s="136">
        <v>144.9</v>
      </c>
      <c r="U80" s="136">
        <v>144.9</v>
      </c>
      <c r="V80" s="136">
        <v>144.9</v>
      </c>
      <c r="W80" s="136">
        <v>144.9</v>
      </c>
      <c r="X80" s="72">
        <v>144.9</v>
      </c>
      <c r="Y80" s="72">
        <v>144.9</v>
      </c>
      <c r="Z80" s="72">
        <v>115</v>
      </c>
      <c r="AA80" s="72">
        <v>115</v>
      </c>
      <c r="AB80" s="72">
        <v>115</v>
      </c>
      <c r="AC80" s="72">
        <v>115</v>
      </c>
      <c r="AD80" s="127">
        <f t="shared" si="38"/>
        <v>1570.8999999999999</v>
      </c>
      <c r="AE80" s="72">
        <f t="shared" si="39"/>
        <v>218.7000000000005</v>
      </c>
      <c r="AF80" s="128">
        <f t="shared" si="40"/>
        <v>0.13921955566872526</v>
      </c>
      <c r="AG80" s="129">
        <v>0</v>
      </c>
      <c r="AH80" s="124">
        <f t="shared" si="29"/>
        <v>-1789.6000000000004</v>
      </c>
    </row>
    <row r="81" spans="1:34">
      <c r="A81" s="105" t="s">
        <v>127</v>
      </c>
      <c r="B81" s="105" t="s">
        <v>355</v>
      </c>
      <c r="D81" s="105" t="s">
        <v>269</v>
      </c>
      <c r="E81" s="136">
        <v>34.14</v>
      </c>
      <c r="F81" s="136">
        <v>34.14</v>
      </c>
      <c r="G81" s="136">
        <v>34.14</v>
      </c>
      <c r="H81" s="136">
        <v>34.14</v>
      </c>
      <c r="I81" s="136">
        <v>34.14</v>
      </c>
      <c r="J81" s="136">
        <v>34.14</v>
      </c>
      <c r="K81" s="136">
        <v>34.49</v>
      </c>
      <c r="L81" s="136">
        <v>34.49</v>
      </c>
      <c r="M81" s="136">
        <v>38.92</v>
      </c>
      <c r="N81" s="136">
        <v>38.92</v>
      </c>
      <c r="O81" s="136">
        <v>38.92</v>
      </c>
      <c r="P81" s="136">
        <v>38.92</v>
      </c>
      <c r="Q81" s="135">
        <f t="shared" si="37"/>
        <v>429.50000000000006</v>
      </c>
      <c r="R81" s="136">
        <v>28.98</v>
      </c>
      <c r="S81" s="136">
        <v>28.98</v>
      </c>
      <c r="T81" s="136">
        <v>34.78</v>
      </c>
      <c r="U81" s="136">
        <v>34.78</v>
      </c>
      <c r="V81" s="136">
        <v>34.78</v>
      </c>
      <c r="W81" s="136">
        <v>34.78</v>
      </c>
      <c r="X81" s="72">
        <v>34.78</v>
      </c>
      <c r="Y81" s="72">
        <v>34.78</v>
      </c>
      <c r="Z81" s="72">
        <v>43</v>
      </c>
      <c r="AA81" s="72">
        <v>43</v>
      </c>
      <c r="AB81" s="72">
        <v>43</v>
      </c>
      <c r="AC81" s="72">
        <v>43</v>
      </c>
      <c r="AD81" s="127">
        <f t="shared" si="38"/>
        <v>438.64</v>
      </c>
      <c r="AE81" s="72">
        <f t="shared" si="39"/>
        <v>-9.1399999999999295</v>
      </c>
      <c r="AF81" s="128">
        <f t="shared" si="40"/>
        <v>-2.0837132956410563E-2</v>
      </c>
      <c r="AG81" s="129">
        <v>0</v>
      </c>
      <c r="AH81" s="124">
        <f t="shared" si="29"/>
        <v>-429.50000000000006</v>
      </c>
    </row>
    <row r="82" spans="1:34">
      <c r="A82" s="105" t="s">
        <v>128</v>
      </c>
      <c r="B82" s="105" t="s">
        <v>355</v>
      </c>
      <c r="D82" s="105" t="s">
        <v>270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5">
        <f t="shared" si="37"/>
        <v>0</v>
      </c>
      <c r="R82" s="136">
        <v>0</v>
      </c>
      <c r="S82" s="136">
        <v>0</v>
      </c>
      <c r="T82" s="136">
        <v>0</v>
      </c>
      <c r="U82" s="136">
        <v>0</v>
      </c>
      <c r="V82" s="136">
        <v>0</v>
      </c>
      <c r="W82" s="136">
        <v>0</v>
      </c>
      <c r="X82" s="72">
        <v>0</v>
      </c>
      <c r="Y82" s="72">
        <v>0</v>
      </c>
      <c r="Z82" s="72">
        <v>0</v>
      </c>
      <c r="AA82" s="72">
        <v>0</v>
      </c>
      <c r="AB82" s="72">
        <v>0</v>
      </c>
      <c r="AC82" s="72">
        <v>0</v>
      </c>
      <c r="AD82" s="127">
        <f t="shared" si="38"/>
        <v>0</v>
      </c>
      <c r="AE82" s="72">
        <f t="shared" si="39"/>
        <v>0</v>
      </c>
      <c r="AF82" s="128" t="e">
        <f t="shared" si="40"/>
        <v>#DIV/0!</v>
      </c>
      <c r="AG82" s="129">
        <v>0</v>
      </c>
      <c r="AH82" s="124">
        <f t="shared" si="29"/>
        <v>0</v>
      </c>
    </row>
    <row r="83" spans="1:34">
      <c r="A83" s="105" t="s">
        <v>129</v>
      </c>
      <c r="B83" s="105" t="s">
        <v>355</v>
      </c>
      <c r="D83" s="105" t="s">
        <v>271</v>
      </c>
      <c r="E83" s="136">
        <v>1374.94</v>
      </c>
      <c r="F83" s="136">
        <v>1374.94</v>
      </c>
      <c r="G83" s="136">
        <v>1374.94</v>
      </c>
      <c r="H83" s="136">
        <v>1374.94</v>
      </c>
      <c r="I83" s="136">
        <v>1374.94</v>
      </c>
      <c r="J83" s="136">
        <v>1374.94</v>
      </c>
      <c r="K83" s="136">
        <v>1436.93</v>
      </c>
      <c r="L83" s="136">
        <v>1374.94</v>
      </c>
      <c r="M83" s="136">
        <v>1692.6</v>
      </c>
      <c r="N83" s="136">
        <v>1692.6</v>
      </c>
      <c r="O83" s="136">
        <v>1621.54</v>
      </c>
      <c r="P83" s="136">
        <v>1692.6</v>
      </c>
      <c r="Q83" s="135">
        <f t="shared" si="37"/>
        <v>17760.850000000002</v>
      </c>
      <c r="R83" s="136">
        <v>1248</v>
      </c>
      <c r="S83" s="136">
        <v>1248</v>
      </c>
      <c r="T83" s="136">
        <v>1443</v>
      </c>
      <c r="U83" s="136">
        <v>1443</v>
      </c>
      <c r="V83" s="136">
        <v>1443</v>
      </c>
      <c r="W83" s="136">
        <v>1443</v>
      </c>
      <c r="X83" s="72">
        <v>1443</v>
      </c>
      <c r="Y83" s="72">
        <v>1443</v>
      </c>
      <c r="Z83" s="72">
        <v>1255</v>
      </c>
      <c r="AA83" s="72">
        <v>1255</v>
      </c>
      <c r="AB83" s="72">
        <v>1255</v>
      </c>
      <c r="AC83" s="72">
        <v>1255</v>
      </c>
      <c r="AD83" s="127">
        <f t="shared" si="38"/>
        <v>16174</v>
      </c>
      <c r="AE83" s="72">
        <f t="shared" si="39"/>
        <v>1586.8500000000022</v>
      </c>
      <c r="AF83" s="128">
        <f t="shared" si="40"/>
        <v>9.8111166068999764E-2</v>
      </c>
      <c r="AG83" s="129">
        <v>0</v>
      </c>
      <c r="AH83" s="124">
        <f t="shared" si="29"/>
        <v>-17760.850000000002</v>
      </c>
    </row>
    <row r="84" spans="1:34">
      <c r="A84" s="105" t="s">
        <v>130</v>
      </c>
      <c r="B84" s="105" t="s">
        <v>355</v>
      </c>
      <c r="D84" s="105" t="s">
        <v>272</v>
      </c>
      <c r="E84" s="136">
        <v>520</v>
      </c>
      <c r="F84" s="136">
        <v>520</v>
      </c>
      <c r="G84" s="136">
        <v>541</v>
      </c>
      <c r="H84" s="136">
        <v>541</v>
      </c>
      <c r="I84" s="136">
        <v>541</v>
      </c>
      <c r="J84" s="136">
        <v>541</v>
      </c>
      <c r="K84" s="136">
        <v>541</v>
      </c>
      <c r="L84" s="136">
        <v>541</v>
      </c>
      <c r="M84" s="136">
        <v>737</v>
      </c>
      <c r="N84" s="136">
        <v>737</v>
      </c>
      <c r="O84" s="136">
        <v>737</v>
      </c>
      <c r="P84" s="136">
        <v>737</v>
      </c>
      <c r="Q84" s="135">
        <f t="shared" si="37"/>
        <v>7234</v>
      </c>
      <c r="R84" s="136">
        <v>420</v>
      </c>
      <c r="S84" s="136">
        <v>420</v>
      </c>
      <c r="T84" s="136">
        <v>777.88</v>
      </c>
      <c r="U84" s="136">
        <v>684.79</v>
      </c>
      <c r="V84" s="136">
        <v>502.6</v>
      </c>
      <c r="W84" s="136">
        <v>504.2</v>
      </c>
      <c r="X84" s="72">
        <v>488.95</v>
      </c>
      <c r="Y84" s="72">
        <v>505.2</v>
      </c>
      <c r="Z84" s="72">
        <v>606</v>
      </c>
      <c r="AA84" s="72">
        <v>606</v>
      </c>
      <c r="AB84" s="72">
        <v>606</v>
      </c>
      <c r="AC84" s="72">
        <v>606</v>
      </c>
      <c r="AD84" s="127">
        <f t="shared" si="38"/>
        <v>6727.62</v>
      </c>
      <c r="AE84" s="72">
        <f t="shared" si="39"/>
        <v>506.38000000000011</v>
      </c>
      <c r="AF84" s="128">
        <f t="shared" si="40"/>
        <v>7.5268817204301092E-2</v>
      </c>
      <c r="AG84" s="129">
        <v>0</v>
      </c>
      <c r="AH84" s="124">
        <f t="shared" si="29"/>
        <v>-7234</v>
      </c>
    </row>
    <row r="85" spans="1:34">
      <c r="A85" s="105" t="s">
        <v>365</v>
      </c>
      <c r="D85" s="105" t="s">
        <v>274</v>
      </c>
      <c r="E85" s="136">
        <v>0</v>
      </c>
      <c r="F85" s="136">
        <v>0</v>
      </c>
      <c r="G85" s="136">
        <v>0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0</v>
      </c>
      <c r="O85" s="136">
        <v>0</v>
      </c>
      <c r="P85" s="136">
        <v>0</v>
      </c>
      <c r="Q85" s="135">
        <f t="shared" si="37"/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136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72">
        <v>0</v>
      </c>
      <c r="AD85" s="127">
        <f t="shared" si="38"/>
        <v>0</v>
      </c>
      <c r="AE85" s="72">
        <f t="shared" si="39"/>
        <v>0</v>
      </c>
      <c r="AF85" s="128" t="e">
        <f t="shared" si="40"/>
        <v>#DIV/0!</v>
      </c>
      <c r="AG85" s="129">
        <v>0</v>
      </c>
      <c r="AH85" s="124">
        <f t="shared" si="29"/>
        <v>0</v>
      </c>
    </row>
    <row r="86" spans="1:34">
      <c r="D86" s="109" t="s">
        <v>275</v>
      </c>
      <c r="E86" s="135">
        <f t="shared" ref="E86:AD86" si="41">SUM(E78:E85)</f>
        <v>8481.23</v>
      </c>
      <c r="F86" s="135">
        <f t="shared" si="41"/>
        <v>8481.23</v>
      </c>
      <c r="G86" s="135">
        <f t="shared" si="41"/>
        <v>8502.23</v>
      </c>
      <c r="H86" s="135">
        <f t="shared" si="41"/>
        <v>8502.23</v>
      </c>
      <c r="I86" s="135">
        <f t="shared" si="41"/>
        <v>8502.23</v>
      </c>
      <c r="J86" s="135">
        <f t="shared" si="41"/>
        <v>8502.23</v>
      </c>
      <c r="K86" s="135">
        <f t="shared" si="41"/>
        <v>8639.14</v>
      </c>
      <c r="L86" s="135">
        <f t="shared" si="41"/>
        <v>8577.15</v>
      </c>
      <c r="M86" s="135">
        <f t="shared" si="41"/>
        <v>9944.43</v>
      </c>
      <c r="N86" s="135">
        <f t="shared" si="41"/>
        <v>9944.43</v>
      </c>
      <c r="O86" s="135">
        <f t="shared" si="41"/>
        <v>9873.369999999999</v>
      </c>
      <c r="P86" s="135">
        <f t="shared" si="41"/>
        <v>9944.43</v>
      </c>
      <c r="Q86" s="135">
        <f t="shared" si="41"/>
        <v>107894.33000000003</v>
      </c>
      <c r="R86" s="135">
        <f t="shared" si="41"/>
        <v>7734.48</v>
      </c>
      <c r="S86" s="135">
        <f t="shared" si="41"/>
        <v>7734.48</v>
      </c>
      <c r="T86" s="135">
        <f t="shared" si="41"/>
        <v>9500.659999999998</v>
      </c>
      <c r="U86" s="135">
        <f t="shared" si="41"/>
        <v>9407.57</v>
      </c>
      <c r="V86" s="135">
        <f t="shared" si="41"/>
        <v>9225.3799999999992</v>
      </c>
      <c r="W86" s="135">
        <f t="shared" si="41"/>
        <v>9226.98</v>
      </c>
      <c r="X86" s="135">
        <f t="shared" si="41"/>
        <v>8632.1299999999992</v>
      </c>
      <c r="Y86" s="135">
        <f t="shared" si="41"/>
        <v>8648.3799999999992</v>
      </c>
      <c r="Z86" s="135">
        <f t="shared" si="41"/>
        <v>7637</v>
      </c>
      <c r="AA86" s="135">
        <f t="shared" si="41"/>
        <v>7637</v>
      </c>
      <c r="AB86" s="135">
        <f t="shared" si="41"/>
        <v>7637</v>
      </c>
      <c r="AC86" s="135">
        <f t="shared" si="41"/>
        <v>7637</v>
      </c>
      <c r="AD86" s="135">
        <f t="shared" si="41"/>
        <v>100658.05999999998</v>
      </c>
      <c r="AE86" s="117">
        <f t="shared" si="39"/>
        <v>7236.2700000000477</v>
      </c>
      <c r="AF86" s="128">
        <f t="shared" si="40"/>
        <v>7.188962314592641E-2</v>
      </c>
      <c r="AG86" s="129">
        <v>0</v>
      </c>
      <c r="AH86" s="124">
        <f t="shared" si="29"/>
        <v>-107894.33000000003</v>
      </c>
    </row>
    <row r="87" spans="1:34">
      <c r="D87" s="105" t="s">
        <v>154</v>
      </c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35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35"/>
      <c r="AE87" s="116">
        <f t="shared" si="33"/>
        <v>0</v>
      </c>
      <c r="AF87" s="128"/>
      <c r="AG87" s="129"/>
      <c r="AH87" s="124">
        <f t="shared" si="29"/>
        <v>0</v>
      </c>
    </row>
    <row r="88" spans="1:34">
      <c r="A88" s="105" t="s">
        <v>363</v>
      </c>
      <c r="D88" s="105" t="s">
        <v>276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5">
        <f t="shared" ref="Q88:Q94" si="42">SUM(E88:P88)</f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136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72">
        <v>0</v>
      </c>
      <c r="AD88" s="127">
        <f t="shared" ref="AD88:AD96" si="43">SUM(R88:AC88)</f>
        <v>0</v>
      </c>
      <c r="AE88" s="72">
        <f t="shared" ref="AE88:AE98" si="44">Q88-AD88</f>
        <v>0</v>
      </c>
      <c r="AF88" s="128" t="e">
        <f t="shared" ref="AF88:AF98" si="45">AE88/AD88</f>
        <v>#DIV/0!</v>
      </c>
      <c r="AG88" s="129">
        <v>0</v>
      </c>
      <c r="AH88" s="124">
        <f t="shared" si="29"/>
        <v>0</v>
      </c>
    </row>
    <row r="89" spans="1:34">
      <c r="A89" s="105" t="s">
        <v>363</v>
      </c>
      <c r="D89" s="105" t="s">
        <v>277</v>
      </c>
      <c r="E89" s="136">
        <v>0</v>
      </c>
      <c r="F89" s="136">
        <v>0</v>
      </c>
      <c r="G89" s="136">
        <v>0</v>
      </c>
      <c r="H89" s="136">
        <v>0</v>
      </c>
      <c r="I89" s="136">
        <v>0</v>
      </c>
      <c r="J89" s="136">
        <v>0</v>
      </c>
      <c r="K89" s="136">
        <v>0</v>
      </c>
      <c r="L89" s="136">
        <v>0</v>
      </c>
      <c r="M89" s="136">
        <v>0</v>
      </c>
      <c r="N89" s="136">
        <v>0</v>
      </c>
      <c r="O89" s="136">
        <v>0</v>
      </c>
      <c r="P89" s="136">
        <v>0</v>
      </c>
      <c r="Q89" s="135">
        <f t="shared" si="42"/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136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72">
        <v>0</v>
      </c>
      <c r="AD89" s="127">
        <f t="shared" si="43"/>
        <v>0</v>
      </c>
      <c r="AE89" s="72">
        <f t="shared" si="44"/>
        <v>0</v>
      </c>
      <c r="AF89" s="128" t="e">
        <f t="shared" si="45"/>
        <v>#DIV/0!</v>
      </c>
      <c r="AG89" s="129">
        <v>0</v>
      </c>
      <c r="AH89" s="124">
        <f t="shared" si="29"/>
        <v>0</v>
      </c>
    </row>
    <row r="90" spans="1:34">
      <c r="A90" s="105" t="s">
        <v>363</v>
      </c>
      <c r="D90" s="105" t="s">
        <v>278</v>
      </c>
      <c r="E90" s="136">
        <v>0</v>
      </c>
      <c r="F90" s="136">
        <v>0</v>
      </c>
      <c r="G90" s="136">
        <v>0</v>
      </c>
      <c r="H90" s="136">
        <v>0</v>
      </c>
      <c r="I90" s="136">
        <v>0</v>
      </c>
      <c r="J90" s="136">
        <v>0</v>
      </c>
      <c r="K90" s="136">
        <v>0</v>
      </c>
      <c r="L90" s="136">
        <v>0</v>
      </c>
      <c r="M90" s="136">
        <v>0</v>
      </c>
      <c r="N90" s="136">
        <v>0</v>
      </c>
      <c r="O90" s="136">
        <v>0</v>
      </c>
      <c r="P90" s="136">
        <v>0</v>
      </c>
      <c r="Q90" s="135">
        <f t="shared" si="42"/>
        <v>0</v>
      </c>
      <c r="R90" s="136">
        <v>0</v>
      </c>
      <c r="S90" s="136">
        <v>0</v>
      </c>
      <c r="T90" s="136">
        <v>0</v>
      </c>
      <c r="U90" s="136">
        <v>0</v>
      </c>
      <c r="V90" s="136">
        <v>0</v>
      </c>
      <c r="W90" s="136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127">
        <f t="shared" si="43"/>
        <v>0</v>
      </c>
      <c r="AE90" s="72">
        <f t="shared" si="44"/>
        <v>0</v>
      </c>
      <c r="AF90" s="128" t="e">
        <f t="shared" si="45"/>
        <v>#DIV/0!</v>
      </c>
      <c r="AG90" s="129">
        <v>0</v>
      </c>
      <c r="AH90" s="124">
        <f t="shared" si="29"/>
        <v>0</v>
      </c>
    </row>
    <row r="91" spans="1:34">
      <c r="A91" s="105" t="s">
        <v>134</v>
      </c>
      <c r="B91" s="105" t="s">
        <v>355</v>
      </c>
      <c r="D91" s="105" t="s">
        <v>279</v>
      </c>
      <c r="E91" s="136">
        <v>133.33000000000001</v>
      </c>
      <c r="F91" s="136">
        <v>133.33000000000001</v>
      </c>
      <c r="G91" s="136">
        <v>133.33000000000001</v>
      </c>
      <c r="H91" s="136">
        <v>133.33000000000001</v>
      </c>
      <c r="I91" s="136">
        <v>133.33000000000001</v>
      </c>
      <c r="J91" s="136">
        <v>133.33000000000001</v>
      </c>
      <c r="K91" s="136">
        <v>133.33000000000001</v>
      </c>
      <c r="L91" s="136">
        <v>133.33000000000001</v>
      </c>
      <c r="M91" s="136">
        <v>2000</v>
      </c>
      <c r="N91" s="136">
        <v>2000</v>
      </c>
      <c r="O91" s="136">
        <v>2000</v>
      </c>
      <c r="P91" s="136">
        <v>2000</v>
      </c>
      <c r="Q91" s="135">
        <f t="shared" si="42"/>
        <v>9066.64</v>
      </c>
      <c r="R91" s="136">
        <v>184</v>
      </c>
      <c r="S91" s="136">
        <v>127</v>
      </c>
      <c r="T91" s="136">
        <v>136</v>
      </c>
      <c r="U91" s="136">
        <v>132</v>
      </c>
      <c r="V91" s="136">
        <v>136</v>
      </c>
      <c r="W91" s="136">
        <v>132</v>
      </c>
      <c r="X91" s="72">
        <v>136</v>
      </c>
      <c r="Y91" s="72">
        <v>136</v>
      </c>
      <c r="Z91" s="72">
        <v>133</v>
      </c>
      <c r="AA91" s="72">
        <v>133</v>
      </c>
      <c r="AB91" s="72">
        <v>133</v>
      </c>
      <c r="AC91" s="72">
        <v>133</v>
      </c>
      <c r="AD91" s="127">
        <f t="shared" si="43"/>
        <v>1651</v>
      </c>
      <c r="AE91" s="72">
        <f t="shared" si="44"/>
        <v>7415.6399999999994</v>
      </c>
      <c r="AF91" s="128">
        <f t="shared" si="45"/>
        <v>4.49160508782556</v>
      </c>
      <c r="AG91" s="129">
        <v>133</v>
      </c>
      <c r="AH91" s="124">
        <f t="shared" si="29"/>
        <v>-8933.64</v>
      </c>
    </row>
    <row r="92" spans="1:34">
      <c r="A92" s="105" t="s">
        <v>135</v>
      </c>
      <c r="B92" s="105" t="s">
        <v>355</v>
      </c>
      <c r="D92" s="105" t="s">
        <v>280</v>
      </c>
      <c r="E92" s="136">
        <v>1945.43</v>
      </c>
      <c r="F92" s="136">
        <v>1945.43</v>
      </c>
      <c r="G92" s="136">
        <v>1945.43</v>
      </c>
      <c r="H92" s="136">
        <v>1945.43</v>
      </c>
      <c r="I92" s="136">
        <v>1945.43</v>
      </c>
      <c r="J92" s="136">
        <v>1945.43</v>
      </c>
      <c r="K92" s="136">
        <v>1945.43</v>
      </c>
      <c r="L92" s="136">
        <v>1945.43</v>
      </c>
      <c r="M92" s="136">
        <v>1945.43</v>
      </c>
      <c r="N92" s="136">
        <v>1945.43</v>
      </c>
      <c r="O92" s="136">
        <v>1945.43</v>
      </c>
      <c r="P92" s="136">
        <v>1945.43</v>
      </c>
      <c r="Q92" s="135">
        <f t="shared" si="42"/>
        <v>23345.16</v>
      </c>
      <c r="R92" s="136">
        <v>18.850000000000001</v>
      </c>
      <c r="S92" s="136">
        <v>19.010000000000002</v>
      </c>
      <c r="T92" s="136">
        <v>37.700000000000003</v>
      </c>
      <c r="U92" s="136">
        <v>37.700000000000003</v>
      </c>
      <c r="V92" s="136">
        <v>39.35</v>
      </c>
      <c r="W92" s="136">
        <v>39.520000000000003</v>
      </c>
      <c r="X92" s="72">
        <v>39.96</v>
      </c>
      <c r="Y92" s="72">
        <v>39.18</v>
      </c>
      <c r="Z92" s="72">
        <v>0</v>
      </c>
      <c r="AA92" s="72">
        <v>0</v>
      </c>
      <c r="AB92" s="72">
        <v>0</v>
      </c>
      <c r="AC92" s="72">
        <v>0</v>
      </c>
      <c r="AD92" s="127">
        <f t="shared" si="43"/>
        <v>271.27000000000004</v>
      </c>
      <c r="AE92" s="72">
        <f t="shared" si="44"/>
        <v>23073.89</v>
      </c>
      <c r="AF92" s="128">
        <f t="shared" si="45"/>
        <v>85.058760644376434</v>
      </c>
      <c r="AG92" s="129">
        <v>25.08</v>
      </c>
      <c r="AH92" s="124">
        <f t="shared" si="29"/>
        <v>-23320.079999999998</v>
      </c>
    </row>
    <row r="93" spans="1:34">
      <c r="A93" s="105" t="s">
        <v>281</v>
      </c>
      <c r="B93" s="105" t="s">
        <v>355</v>
      </c>
      <c r="D93" s="105" t="s">
        <v>282</v>
      </c>
      <c r="E93" s="176">
        <v>0</v>
      </c>
      <c r="F93" s="176">
        <v>0</v>
      </c>
      <c r="G93" s="176">
        <v>0</v>
      </c>
      <c r="H93" s="176">
        <v>0</v>
      </c>
      <c r="I93" s="176">
        <v>0</v>
      </c>
      <c r="J93" s="176">
        <v>0</v>
      </c>
      <c r="K93" s="176">
        <v>0</v>
      </c>
      <c r="L93" s="176">
        <v>0</v>
      </c>
      <c r="M93" s="176">
        <v>0</v>
      </c>
      <c r="N93" s="176">
        <v>0</v>
      </c>
      <c r="O93" s="176">
        <v>0</v>
      </c>
      <c r="P93" s="176">
        <v>0</v>
      </c>
      <c r="Q93" s="135">
        <f t="shared" si="42"/>
        <v>0</v>
      </c>
      <c r="R93" s="136">
        <v>21.82</v>
      </c>
      <c r="S93" s="136">
        <v>26.54</v>
      </c>
      <c r="T93" s="136">
        <v>404.38</v>
      </c>
      <c r="U93" s="136">
        <v>465.34</v>
      </c>
      <c r="V93" s="136">
        <v>505.59</v>
      </c>
      <c r="W93" s="136">
        <v>83.76</v>
      </c>
      <c r="X93" s="72">
        <v>67.73</v>
      </c>
      <c r="Y93" s="72">
        <v>85.54</v>
      </c>
      <c r="Z93" s="72">
        <v>0</v>
      </c>
      <c r="AA93" s="72">
        <v>0</v>
      </c>
      <c r="AB93" s="72">
        <v>0</v>
      </c>
      <c r="AC93" s="72">
        <v>0</v>
      </c>
      <c r="AD93" s="127">
        <f t="shared" si="43"/>
        <v>1660.6999999999998</v>
      </c>
      <c r="AE93" s="72">
        <f t="shared" si="44"/>
        <v>-1660.6999999999998</v>
      </c>
      <c r="AF93" s="128">
        <f t="shared" si="45"/>
        <v>-1</v>
      </c>
      <c r="AG93" s="129">
        <v>0</v>
      </c>
      <c r="AH93" s="124">
        <f t="shared" si="29"/>
        <v>0</v>
      </c>
    </row>
    <row r="94" spans="1:34">
      <c r="A94" s="105" t="s">
        <v>137</v>
      </c>
      <c r="B94" s="105" t="s">
        <v>355</v>
      </c>
      <c r="D94" s="105" t="s">
        <v>283</v>
      </c>
      <c r="E94" s="176">
        <v>960</v>
      </c>
      <c r="F94" s="176">
        <v>960</v>
      </c>
      <c r="G94" s="176">
        <v>960</v>
      </c>
      <c r="H94" s="176">
        <v>960</v>
      </c>
      <c r="I94" s="176">
        <v>960</v>
      </c>
      <c r="J94" s="176">
        <v>960</v>
      </c>
      <c r="K94" s="176">
        <v>960</v>
      </c>
      <c r="L94" s="176">
        <v>960</v>
      </c>
      <c r="M94" s="176">
        <v>960</v>
      </c>
      <c r="N94" s="176">
        <v>960</v>
      </c>
      <c r="O94" s="176">
        <v>960</v>
      </c>
      <c r="P94" s="176">
        <v>960</v>
      </c>
      <c r="Q94" s="135">
        <f t="shared" si="42"/>
        <v>11520</v>
      </c>
      <c r="R94" s="136">
        <v>776.03</v>
      </c>
      <c r="S94" s="136">
        <v>1213.78</v>
      </c>
      <c r="T94" s="136">
        <v>2320</v>
      </c>
      <c r="U94" s="136">
        <v>2235.7600000000002</v>
      </c>
      <c r="V94" s="136">
        <v>1653.77</v>
      </c>
      <c r="W94" s="136">
        <v>1875.56</v>
      </c>
      <c r="X94" s="72">
        <v>1834.12</v>
      </c>
      <c r="Y94" s="72">
        <v>1909.29</v>
      </c>
      <c r="Z94" s="72">
        <v>2170</v>
      </c>
      <c r="AA94" s="72">
        <v>2369</v>
      </c>
      <c r="AB94" s="72">
        <v>2194</v>
      </c>
      <c r="AC94" s="72">
        <v>2194</v>
      </c>
      <c r="AD94" s="127">
        <f t="shared" si="43"/>
        <v>22745.31</v>
      </c>
      <c r="AE94" s="72">
        <f t="shared" si="44"/>
        <v>-11225.310000000001</v>
      </c>
      <c r="AF94" s="128">
        <f t="shared" si="45"/>
        <v>-0.49352196123068892</v>
      </c>
      <c r="AG94" s="129">
        <v>0</v>
      </c>
      <c r="AH94" s="124">
        <f t="shared" si="29"/>
        <v>-11520</v>
      </c>
    </row>
    <row r="95" spans="1:34">
      <c r="A95" s="105" t="s">
        <v>363</v>
      </c>
      <c r="D95" s="105" t="s">
        <v>139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40">
        <v>0</v>
      </c>
      <c r="L95" s="140">
        <v>0</v>
      </c>
      <c r="M95" s="140">
        <v>0</v>
      </c>
      <c r="N95" s="140">
        <v>0</v>
      </c>
      <c r="O95" s="140">
        <v>0</v>
      </c>
      <c r="P95" s="140">
        <v>0</v>
      </c>
      <c r="Q95" s="135"/>
      <c r="R95" s="136"/>
      <c r="S95" s="136"/>
      <c r="T95" s="136"/>
      <c r="U95" s="136"/>
      <c r="V95" s="136"/>
      <c r="W95" s="136"/>
      <c r="X95" s="72">
        <v>0</v>
      </c>
      <c r="Y95" s="72">
        <v>0</v>
      </c>
      <c r="Z95" s="72">
        <v>0</v>
      </c>
      <c r="AA95" s="72">
        <v>0</v>
      </c>
      <c r="AB95" s="72">
        <v>0</v>
      </c>
      <c r="AC95" s="72">
        <v>0</v>
      </c>
      <c r="AD95" s="127">
        <f t="shared" si="43"/>
        <v>0</v>
      </c>
      <c r="AE95" s="72">
        <f t="shared" si="44"/>
        <v>0</v>
      </c>
      <c r="AF95" s="128" t="e">
        <f t="shared" si="45"/>
        <v>#DIV/0!</v>
      </c>
      <c r="AG95" s="129">
        <v>0</v>
      </c>
      <c r="AH95" s="124">
        <f t="shared" si="29"/>
        <v>0</v>
      </c>
    </row>
    <row r="96" spans="1:34">
      <c r="A96" s="105" t="s">
        <v>365</v>
      </c>
      <c r="D96" s="105" t="s">
        <v>285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40">
        <v>0</v>
      </c>
      <c r="L96" s="140">
        <v>0</v>
      </c>
      <c r="M96" s="140">
        <v>0</v>
      </c>
      <c r="N96" s="140">
        <v>0</v>
      </c>
      <c r="O96" s="140">
        <v>0</v>
      </c>
      <c r="P96" s="140">
        <v>0</v>
      </c>
      <c r="Q96" s="135"/>
      <c r="R96" s="136"/>
      <c r="S96" s="136"/>
      <c r="T96" s="136"/>
      <c r="U96" s="136"/>
      <c r="V96" s="136"/>
      <c r="W96" s="136"/>
      <c r="X96" s="72">
        <v>0</v>
      </c>
      <c r="Y96" s="72">
        <v>0</v>
      </c>
      <c r="Z96" s="72">
        <v>0</v>
      </c>
      <c r="AA96" s="72">
        <v>0</v>
      </c>
      <c r="AB96" s="72">
        <v>0</v>
      </c>
      <c r="AC96" s="72">
        <v>0</v>
      </c>
      <c r="AD96" s="127">
        <f t="shared" si="43"/>
        <v>0</v>
      </c>
      <c r="AE96" s="72">
        <f t="shared" si="44"/>
        <v>0</v>
      </c>
      <c r="AF96" s="128" t="e">
        <f t="shared" si="45"/>
        <v>#DIV/0!</v>
      </c>
      <c r="AG96" s="129">
        <v>0</v>
      </c>
      <c r="AH96" s="124">
        <f t="shared" si="29"/>
        <v>0</v>
      </c>
    </row>
    <row r="97" spans="1:34">
      <c r="D97" s="109" t="s">
        <v>286</v>
      </c>
      <c r="E97" s="135">
        <f t="shared" ref="E97:P97" si="46">SUM(E88:E96)</f>
        <v>3038.76</v>
      </c>
      <c r="F97" s="135">
        <f t="shared" si="46"/>
        <v>3038.76</v>
      </c>
      <c r="G97" s="135">
        <f t="shared" si="46"/>
        <v>3038.76</v>
      </c>
      <c r="H97" s="135">
        <f t="shared" si="46"/>
        <v>3038.76</v>
      </c>
      <c r="I97" s="135">
        <f t="shared" si="46"/>
        <v>3038.76</v>
      </c>
      <c r="J97" s="135">
        <f t="shared" si="46"/>
        <v>3038.76</v>
      </c>
      <c r="K97" s="135">
        <f t="shared" si="46"/>
        <v>3038.76</v>
      </c>
      <c r="L97" s="135">
        <f t="shared" si="46"/>
        <v>3038.76</v>
      </c>
      <c r="M97" s="135">
        <f t="shared" si="46"/>
        <v>4905.43</v>
      </c>
      <c r="N97" s="135">
        <f t="shared" si="46"/>
        <v>4905.43</v>
      </c>
      <c r="O97" s="135">
        <f t="shared" si="46"/>
        <v>4905.43</v>
      </c>
      <c r="P97" s="135">
        <f t="shared" si="46"/>
        <v>4905.43</v>
      </c>
      <c r="Q97" s="135">
        <f>SUM(Q88:Q96)</f>
        <v>43931.8</v>
      </c>
      <c r="R97" s="135">
        <f t="shared" ref="R97:AD97" si="47">SUM(R88:R96)</f>
        <v>1000.6999999999999</v>
      </c>
      <c r="S97" s="135">
        <f t="shared" si="47"/>
        <v>1386.33</v>
      </c>
      <c r="T97" s="135">
        <f t="shared" si="47"/>
        <v>2898.08</v>
      </c>
      <c r="U97" s="135">
        <f t="shared" si="47"/>
        <v>2870.8</v>
      </c>
      <c r="V97" s="135">
        <f t="shared" si="47"/>
        <v>2334.71</v>
      </c>
      <c r="W97" s="135">
        <f t="shared" si="47"/>
        <v>2130.84</v>
      </c>
      <c r="X97" s="135">
        <f t="shared" si="47"/>
        <v>2077.81</v>
      </c>
      <c r="Y97" s="135">
        <f t="shared" si="47"/>
        <v>2170.0100000000002</v>
      </c>
      <c r="Z97" s="135">
        <f t="shared" si="47"/>
        <v>2303</v>
      </c>
      <c r="AA97" s="135">
        <f t="shared" si="47"/>
        <v>2502</v>
      </c>
      <c r="AB97" s="135">
        <f t="shared" si="47"/>
        <v>2327</v>
      </c>
      <c r="AC97" s="135">
        <f t="shared" si="47"/>
        <v>2327</v>
      </c>
      <c r="AD97" s="135">
        <f t="shared" si="47"/>
        <v>26328.280000000002</v>
      </c>
      <c r="AE97" s="117">
        <f t="shared" si="44"/>
        <v>17603.52</v>
      </c>
      <c r="AF97" s="128">
        <f t="shared" si="45"/>
        <v>0.66861640790815047</v>
      </c>
      <c r="AG97" s="129">
        <v>158.07999999999998</v>
      </c>
      <c r="AH97" s="124">
        <f t="shared" si="29"/>
        <v>-43773.72</v>
      </c>
    </row>
    <row r="98" spans="1:34">
      <c r="D98" s="109" t="s">
        <v>287</v>
      </c>
      <c r="E98" s="135">
        <f t="shared" ref="E98:AD98" si="48">E76+E86+E97+E69</f>
        <v>37504.99</v>
      </c>
      <c r="F98" s="135">
        <f t="shared" si="48"/>
        <v>37504.99</v>
      </c>
      <c r="G98" s="135">
        <f t="shared" si="48"/>
        <v>38592.49</v>
      </c>
      <c r="H98" s="135">
        <f t="shared" si="48"/>
        <v>38592.49</v>
      </c>
      <c r="I98" s="135">
        <f t="shared" si="48"/>
        <v>38592.49</v>
      </c>
      <c r="J98" s="135">
        <f t="shared" si="48"/>
        <v>38592.49</v>
      </c>
      <c r="K98" s="135">
        <f t="shared" si="48"/>
        <v>38729.4</v>
      </c>
      <c r="L98" s="135">
        <f t="shared" si="48"/>
        <v>38667.410000000003</v>
      </c>
      <c r="M98" s="135">
        <f t="shared" si="48"/>
        <v>51717.36</v>
      </c>
      <c r="N98" s="135">
        <f t="shared" si="48"/>
        <v>51717.36</v>
      </c>
      <c r="O98" s="135">
        <f t="shared" si="48"/>
        <v>51646.3</v>
      </c>
      <c r="P98" s="135">
        <f t="shared" si="48"/>
        <v>51717.36</v>
      </c>
      <c r="Q98" s="135">
        <f t="shared" si="48"/>
        <v>513575.13</v>
      </c>
      <c r="R98" s="135">
        <f t="shared" si="48"/>
        <v>35016.949999999997</v>
      </c>
      <c r="S98" s="135">
        <f t="shared" si="48"/>
        <v>35351.769999999997</v>
      </c>
      <c r="T98" s="135">
        <f t="shared" si="48"/>
        <v>43757.09</v>
      </c>
      <c r="U98" s="135">
        <f t="shared" si="48"/>
        <v>41520.89</v>
      </c>
      <c r="V98" s="135">
        <f t="shared" si="48"/>
        <v>40802.559999999998</v>
      </c>
      <c r="W98" s="135">
        <f t="shared" si="48"/>
        <v>40625.35</v>
      </c>
      <c r="X98" s="135">
        <f t="shared" si="48"/>
        <v>39292.089999999997</v>
      </c>
      <c r="Y98" s="135">
        <f t="shared" si="48"/>
        <v>40297.629999999997</v>
      </c>
      <c r="Z98" s="135">
        <f t="shared" si="48"/>
        <v>39203.33</v>
      </c>
      <c r="AA98" s="135">
        <f t="shared" si="48"/>
        <v>39402.33</v>
      </c>
      <c r="AB98" s="135">
        <f t="shared" si="48"/>
        <v>39227.33</v>
      </c>
      <c r="AC98" s="135">
        <f t="shared" si="48"/>
        <v>39227.33</v>
      </c>
      <c r="AD98" s="135">
        <f t="shared" si="48"/>
        <v>473724.64999999997</v>
      </c>
      <c r="AE98" s="117">
        <f t="shared" si="44"/>
        <v>39850.48000000004</v>
      </c>
      <c r="AF98" s="128">
        <f t="shared" si="45"/>
        <v>8.4121609462374486E-2</v>
      </c>
      <c r="AG98" s="129">
        <v>61369.66</v>
      </c>
      <c r="AH98" s="124">
        <f t="shared" si="29"/>
        <v>-452205.47</v>
      </c>
    </row>
    <row r="99" spans="1:34">
      <c r="D99" s="105" t="s">
        <v>154</v>
      </c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35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35"/>
      <c r="AF99" s="128"/>
      <c r="AG99" s="129"/>
      <c r="AH99" s="124">
        <f t="shared" si="29"/>
        <v>0</v>
      </c>
    </row>
    <row r="100" spans="1:34">
      <c r="D100" s="105" t="s">
        <v>154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35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35"/>
      <c r="AF100" s="128"/>
      <c r="AG100" s="129"/>
      <c r="AH100" s="124">
        <f t="shared" si="29"/>
        <v>0</v>
      </c>
    </row>
    <row r="101" spans="1:34" s="109" customFormat="1">
      <c r="A101" s="109" t="s">
        <v>141</v>
      </c>
      <c r="B101" s="109" t="s">
        <v>355</v>
      </c>
      <c r="D101" s="109" t="s">
        <v>288</v>
      </c>
      <c r="E101" s="136">
        <v>2</v>
      </c>
      <c r="F101" s="136">
        <v>2</v>
      </c>
      <c r="G101" s="136">
        <v>2</v>
      </c>
      <c r="H101" s="136">
        <v>2</v>
      </c>
      <c r="I101" s="136">
        <v>2</v>
      </c>
      <c r="J101" s="136">
        <v>2</v>
      </c>
      <c r="K101" s="136">
        <v>2</v>
      </c>
      <c r="L101" s="136">
        <v>2</v>
      </c>
      <c r="M101" s="136">
        <v>2</v>
      </c>
      <c r="N101" s="136">
        <v>2</v>
      </c>
      <c r="O101" s="136">
        <v>2</v>
      </c>
      <c r="P101" s="136">
        <v>2</v>
      </c>
      <c r="Q101" s="137">
        <f>SUM(E101:P101)/12</f>
        <v>2</v>
      </c>
      <c r="R101" s="137">
        <v>1</v>
      </c>
      <c r="S101" s="137">
        <v>1</v>
      </c>
      <c r="T101" s="137">
        <v>2</v>
      </c>
      <c r="U101" s="137">
        <v>2</v>
      </c>
      <c r="V101" s="137">
        <v>2</v>
      </c>
      <c r="W101" s="137">
        <v>2</v>
      </c>
      <c r="X101" s="127">
        <v>2</v>
      </c>
      <c r="Y101" s="127">
        <v>2</v>
      </c>
      <c r="Z101" s="127">
        <v>2</v>
      </c>
      <c r="AA101" s="127">
        <v>2</v>
      </c>
      <c r="AB101" s="127">
        <v>2</v>
      </c>
      <c r="AC101" s="127">
        <v>2</v>
      </c>
      <c r="AD101" s="127">
        <f>SUM(R101:AC101)/12</f>
        <v>1.8333333333333333</v>
      </c>
      <c r="AE101" s="127">
        <f>Q101-AD101</f>
        <v>0.16666666666666674</v>
      </c>
      <c r="AF101" s="132">
        <f>AE101/AD101</f>
        <v>9.0909090909090953E-2</v>
      </c>
      <c r="AG101" s="129">
        <v>0</v>
      </c>
      <c r="AH101" s="129">
        <f t="shared" si="29"/>
        <v>-2</v>
      </c>
    </row>
    <row r="102" spans="1:34">
      <c r="D102" s="105" t="s">
        <v>154</v>
      </c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35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35"/>
    </row>
    <row r="105" spans="1:34">
      <c r="D105" s="105" t="s">
        <v>172</v>
      </c>
      <c r="E105" s="116">
        <v>38158990</v>
      </c>
      <c r="F105" s="116">
        <v>28680652</v>
      </c>
      <c r="G105" s="116">
        <v>20100995</v>
      </c>
      <c r="H105" s="116">
        <v>16463034</v>
      </c>
      <c r="I105" s="116">
        <v>14271847</v>
      </c>
      <c r="J105" s="116">
        <v>13902001</v>
      </c>
      <c r="K105" s="116">
        <v>18703720</v>
      </c>
      <c r="L105" s="116">
        <v>22425016</v>
      </c>
      <c r="M105" s="116">
        <v>13222560</v>
      </c>
      <c r="N105" s="116">
        <v>17691055</v>
      </c>
      <c r="O105" s="116">
        <v>15672384</v>
      </c>
      <c r="P105" s="116">
        <v>25838748</v>
      </c>
      <c r="Q105" s="135">
        <f>SUM(E105:P105)</f>
        <v>245131002</v>
      </c>
      <c r="R105" s="140"/>
      <c r="S105" s="140"/>
      <c r="T105" s="140"/>
      <c r="U105" s="140"/>
      <c r="V105" s="140"/>
      <c r="W105" s="140"/>
      <c r="X105" s="140"/>
      <c r="Y105" s="116">
        <f>'Rooms+Summary'!Y15</f>
        <v>27004827.07</v>
      </c>
      <c r="Z105" s="116">
        <f>'Rooms+Summary'!Z15</f>
        <v>13001555</v>
      </c>
      <c r="AA105" s="116">
        <f>'Rooms+Summary'!AA15</f>
        <v>16010575</v>
      </c>
      <c r="AB105" s="116">
        <f>'Rooms+Summary'!AB15</f>
        <v>14455937</v>
      </c>
      <c r="AC105" s="116">
        <f>'Rooms+Summary'!AC15</f>
        <v>17813000</v>
      </c>
      <c r="AD105" s="127">
        <f>SUM(Y105:AC105)</f>
        <v>88285894.069999993</v>
      </c>
    </row>
    <row r="107" spans="1:34">
      <c r="D107" s="151" t="s">
        <v>292</v>
      </c>
      <c r="E107" s="116">
        <v>0</v>
      </c>
      <c r="F107" s="116">
        <v>0</v>
      </c>
      <c r="G107" s="116">
        <v>0</v>
      </c>
      <c r="H107" s="116">
        <v>0</v>
      </c>
      <c r="I107" s="116">
        <v>0</v>
      </c>
      <c r="J107" s="116">
        <v>0</v>
      </c>
      <c r="K107" s="116">
        <v>0</v>
      </c>
      <c r="L107" s="116">
        <v>0</v>
      </c>
      <c r="M107" s="116">
        <v>0</v>
      </c>
      <c r="N107" s="116">
        <v>0</v>
      </c>
      <c r="O107" s="116">
        <v>0</v>
      </c>
      <c r="P107" s="116">
        <v>0</v>
      </c>
      <c r="Q107" s="135">
        <f t="shared" ref="Q107:Q109" si="49">SUM(E107:P107)</f>
        <v>0</v>
      </c>
    </row>
    <row r="108" spans="1:34">
      <c r="D108" s="152" t="s">
        <v>366</v>
      </c>
      <c r="E108" s="116">
        <v>0</v>
      </c>
      <c r="F108" s="116">
        <v>0</v>
      </c>
      <c r="G108" s="116">
        <v>0</v>
      </c>
      <c r="H108" s="116">
        <v>0</v>
      </c>
      <c r="I108" s="116">
        <v>0</v>
      </c>
      <c r="J108" s="116">
        <v>0</v>
      </c>
      <c r="K108" s="116">
        <v>0</v>
      </c>
      <c r="L108" s="116">
        <v>0</v>
      </c>
      <c r="M108" s="116">
        <v>0</v>
      </c>
      <c r="N108" s="116">
        <v>0</v>
      </c>
      <c r="O108" s="116">
        <v>0</v>
      </c>
      <c r="P108" s="116">
        <v>0</v>
      </c>
      <c r="Q108" s="135">
        <f t="shared" si="49"/>
        <v>0</v>
      </c>
    </row>
    <row r="109" spans="1:34">
      <c r="D109" s="151" t="s">
        <v>367</v>
      </c>
      <c r="E109" s="116">
        <v>0</v>
      </c>
      <c r="F109" s="116">
        <v>0</v>
      </c>
      <c r="G109" s="116">
        <v>0</v>
      </c>
      <c r="H109" s="116">
        <v>0</v>
      </c>
      <c r="I109" s="116">
        <v>0</v>
      </c>
      <c r="J109" s="116">
        <v>0</v>
      </c>
      <c r="K109" s="116">
        <v>0</v>
      </c>
      <c r="L109" s="116">
        <v>0</v>
      </c>
      <c r="M109" s="116">
        <v>0</v>
      </c>
      <c r="N109" s="116">
        <v>0</v>
      </c>
      <c r="O109" s="116">
        <v>0</v>
      </c>
      <c r="P109" s="116">
        <v>0</v>
      </c>
      <c r="Q109" s="135">
        <f t="shared" si="49"/>
        <v>0</v>
      </c>
    </row>
  </sheetData>
  <phoneticPr fontId="7" type="noConversion"/>
  <dataValidations count="153">
    <dataValidation type="textLength" errorStyle="information" allowBlank="1" showInputMessage="1" showErrorMessage="1" error="XLBVal:6=2_x000d__x000a_" sqref="T101:W101">
      <formula1>0</formula1>
      <formula2>300</formula2>
    </dataValidation>
    <dataValidation type="textLength" errorStyle="information" allowBlank="1" showInputMessage="1" showErrorMessage="1" error="XLBVal:6=1653.77_x000d__x000a_" sqref="V94">
      <formula1>0</formula1>
      <formula2>300</formula2>
    </dataValidation>
    <dataValidation type="textLength" errorStyle="information" allowBlank="1" showInputMessage="1" showErrorMessage="1" error="XLBVal:6=2235.76_x000d__x000a_" sqref="U94">
      <formula1>0</formula1>
      <formula2>300</formula2>
    </dataValidation>
    <dataValidation type="textLength" errorStyle="information" allowBlank="1" showInputMessage="1" showErrorMessage="1" error="XLBVal:6=2320_x000d__x000a_" sqref="T94">
      <formula1>0</formula1>
      <formula2>300</formula2>
    </dataValidation>
    <dataValidation type="textLength" errorStyle="information" allowBlank="1" showInputMessage="1" showErrorMessage="1" error="XLBVal:6=1213.78_x000d__x000a_" sqref="S94">
      <formula1>0</formula1>
      <formula2>300</formula2>
    </dataValidation>
    <dataValidation type="textLength" errorStyle="information" allowBlank="1" showInputMessage="1" showErrorMessage="1" error="XLBVal:6=776.03_x000d__x000a_" sqref="R94">
      <formula1>0</formula1>
      <formula2>300</formula2>
    </dataValidation>
    <dataValidation type="textLength" errorStyle="information" allowBlank="1" showInputMessage="1" showErrorMessage="1" error="XLBVal:6=505.59_x000d__x000a_" sqref="V93">
      <formula1>0</formula1>
      <formula2>300</formula2>
    </dataValidation>
    <dataValidation type="textLength" errorStyle="information" allowBlank="1" showInputMessage="1" showErrorMessage="1" error="XLBVal:6=465.34_x000d__x000a_" sqref="U93">
      <formula1>0</formula1>
      <formula2>300</formula2>
    </dataValidation>
    <dataValidation type="textLength" errorStyle="information" allowBlank="1" showInputMessage="1" showErrorMessage="1" error="XLBVal:6=404.38_x000d__x000a_" sqref="T93">
      <formula1>0</formula1>
      <formula2>300</formula2>
    </dataValidation>
    <dataValidation type="textLength" errorStyle="information" allowBlank="1" showInputMessage="1" showErrorMessage="1" error="XLBVal:6=26.54_x000d__x000a_" sqref="S93">
      <formula1>0</formula1>
      <formula2>300</formula2>
    </dataValidation>
    <dataValidation type="textLength" errorStyle="information" allowBlank="1" showInputMessage="1" showErrorMessage="1" error="XLBVal:6=21.82_x000d__x000a_" sqref="R93">
      <formula1>0</formula1>
      <formula2>300</formula2>
    </dataValidation>
    <dataValidation type="textLength" errorStyle="information" allowBlank="1" showInputMessage="1" showErrorMessage="1" error="XLBVal:6=39.35_x000d__x000a_" sqref="V92">
      <formula1>0</formula1>
      <formula2>300</formula2>
    </dataValidation>
    <dataValidation type="textLength" errorStyle="information" allowBlank="1" showInputMessage="1" showErrorMessage="1" error="XLBVal:6=37.7_x000d__x000a_" sqref="T92:U92">
      <formula1>0</formula1>
      <formula2>300</formula2>
    </dataValidation>
    <dataValidation type="textLength" errorStyle="information" allowBlank="1" showInputMessage="1" showErrorMessage="1" error="XLBVal:6=19.01_x000d__x000a_" sqref="S92">
      <formula1>0</formula1>
      <formula2>300</formula2>
    </dataValidation>
    <dataValidation type="textLength" errorStyle="information" allowBlank="1" showInputMessage="1" showErrorMessage="1" error="XLBVal:6=18.85_x000d__x000a_" sqref="R92">
      <formula1>0</formula1>
      <formula2>300</formula2>
    </dataValidation>
    <dataValidation type="textLength" errorStyle="information" allowBlank="1" showInputMessage="1" showErrorMessage="1" error="XLBVal:6=132_x000d__x000a_" sqref="U91 W91">
      <formula1>0</formula1>
      <formula2>300</formula2>
    </dataValidation>
    <dataValidation type="textLength" errorStyle="information" allowBlank="1" showInputMessage="1" showErrorMessage="1" error="XLBVal:6=136_x000d__x000a_" sqref="T91 V91">
      <formula1>0</formula1>
      <formula2>300</formula2>
    </dataValidation>
    <dataValidation type="textLength" errorStyle="information" allowBlank="1" showInputMessage="1" showErrorMessage="1" error="XLBVal:6=127_x000d__x000a_" sqref="S91">
      <formula1>0</formula1>
      <formula2>300</formula2>
    </dataValidation>
    <dataValidation type="textLength" errorStyle="information" allowBlank="1" showInputMessage="1" showErrorMessage="1" error="XLBVal:6=184_x000d__x000a_" sqref="R91">
      <formula1>0</formula1>
      <formula2>300</formula2>
    </dataValidation>
    <dataValidation type="textLength" errorStyle="information" allowBlank="1" showInputMessage="1" showErrorMessage="1" error="XLBVal:6=504.2_x000d__x000a_" sqref="W84">
      <formula1>0</formula1>
      <formula2>300</formula2>
    </dataValidation>
    <dataValidation type="textLength" errorStyle="information" allowBlank="1" showInputMessage="1" showErrorMessage="1" error="XLBVal:6=502.6_x000d__x000a_" sqref="V84">
      <formula1>0</formula1>
      <formula2>300</formula2>
    </dataValidation>
    <dataValidation type="textLength" errorStyle="information" allowBlank="1" showInputMessage="1" showErrorMessage="1" error="XLBVal:6=684.79_x000d__x000a_" sqref="U84">
      <formula1>0</formula1>
      <formula2>300</formula2>
    </dataValidation>
    <dataValidation type="textLength" errorStyle="information" allowBlank="1" showInputMessage="1" showErrorMessage="1" error="XLBVal:6=777.88_x000d__x000a_" sqref="T84">
      <formula1>0</formula1>
      <formula2>300</formula2>
    </dataValidation>
    <dataValidation type="textLength" errorStyle="information" allowBlank="1" showInputMessage="1" showErrorMessage="1" error="XLBVal:6=420_x000d__x000a_" sqref="R84:S84">
      <formula1>0</formula1>
      <formula2>300</formula2>
    </dataValidation>
    <dataValidation type="textLength" errorStyle="information" allowBlank="1" showInputMessage="1" showErrorMessage="1" error="XLBVal:6=1443_x000d__x000a_" sqref="T83:W83">
      <formula1>0</formula1>
      <formula2>300</formula2>
    </dataValidation>
    <dataValidation type="textLength" errorStyle="information" allowBlank="1" showInputMessage="1" showErrorMessage="1" error="XLBVal:6=1248_x000d__x000a_" sqref="R83:S83">
      <formula1>0</formula1>
      <formula2>300</formula2>
    </dataValidation>
    <dataValidation type="textLength" errorStyle="information" allowBlank="1" showInputMessage="1" showErrorMessage="1" error="XLBVal:6=34.78_x000d__x000a_" sqref="T81:W81">
      <formula1>0</formula1>
      <formula2>300</formula2>
    </dataValidation>
    <dataValidation type="textLength" errorStyle="information" allowBlank="1" showInputMessage="1" showErrorMessage="1" error="XLBVal:6=28.98_x000d__x000a_" sqref="R81:S81">
      <formula1>0</formula1>
      <formula2>300</formula2>
    </dataValidation>
    <dataValidation type="textLength" errorStyle="information" allowBlank="1" showInputMessage="1" showErrorMessage="1" error="XLBVal:6=144.9_x000d__x000a_" sqref="T80:W80">
      <formula1>0</formula1>
      <formula2>300</formula2>
    </dataValidation>
    <dataValidation type="textLength" errorStyle="information" allowBlank="1" showInputMessage="1" showErrorMessage="1" error="XLBVal:6=120.75_x000d__x000a_" sqref="R80:S80">
      <formula1>0</formula1>
      <formula2>300</formula2>
    </dataValidation>
    <dataValidation type="textLength" errorStyle="information" allowBlank="1" showInputMessage="1" showErrorMessage="1" error="XLBVal:6=2463.3_x000d__x000a_" sqref="T79:W79">
      <formula1>0</formula1>
      <formula2>300</formula2>
    </dataValidation>
    <dataValidation type="textLength" errorStyle="information" allowBlank="1" showInputMessage="1" showErrorMessage="1" error="XLBVal:6=2052.75_x000d__x000a_" sqref="R79:S79">
      <formula1>0</formula1>
      <formula2>300</formula2>
    </dataValidation>
    <dataValidation type="textLength" errorStyle="information" allowBlank="1" showInputMessage="1" showErrorMessage="1" error="XLBVal:6=4636.8_x000d__x000a_" sqref="T78:W78">
      <formula1>0</formula1>
      <formula2>300</formula2>
    </dataValidation>
    <dataValidation type="textLength" errorStyle="information" allowBlank="1" showInputMessage="1" showErrorMessage="1" error="XLBVal:6=3864_x000d__x000a_" sqref="R78:S78">
      <formula1>0</formula1>
      <formula2>300</formula2>
    </dataValidation>
    <dataValidation type="textLength" errorStyle="information" allowBlank="1" showInputMessage="1" showErrorMessage="1" error="XLBVal:6=330_x000d__x000a_" sqref="T73:W73">
      <formula1>0</formula1>
      <formula2>300</formula2>
    </dataValidation>
    <dataValidation type="textLength" errorStyle="information" allowBlank="1" showInputMessage="1" showErrorMessage="1" error="XLBVal:6=4137.53_x000d__x000a_" sqref="W72">
      <formula1>0</formula1>
      <formula2>300</formula2>
    </dataValidation>
    <dataValidation type="textLength" errorStyle="information" allowBlank="1" showInputMessage="1" showErrorMessage="1" error="XLBVal:6=4112.47_x000d__x000a_" sqref="V72">
      <formula1>0</formula1>
      <formula2>300</formula2>
    </dataValidation>
    <dataValidation type="textLength" errorStyle="information" allowBlank="1" showInputMessage="1" showErrorMessage="1" error="XLBVal:6=4112.52_x000d__x000a_" sqref="U72">
      <formula1>0</formula1>
      <formula2>300</formula2>
    </dataValidation>
    <dataValidation type="textLength" errorStyle="information" allowBlank="1" showInputMessage="1" showErrorMessage="1" error="XLBVal:6=6228.35_x000d__x000a_" sqref="T72">
      <formula1>0</formula1>
      <formula2>300</formula2>
    </dataValidation>
    <dataValidation type="textLength" errorStyle="information" allowBlank="1" showInputMessage="1" showErrorMessage="1" error="XLBVal:6=3800_x000d__x000a_" sqref="T68:W68">
      <formula1>0</formula1>
      <formula2>300</formula2>
    </dataValidation>
    <dataValidation type="textLength" errorStyle="information" allowBlank="1" showInputMessage="1" showErrorMessage="1" error="XLBVal:6=21000_x000d__x000a_" sqref="R64:W64">
      <formula1>0</formula1>
      <formula2>300</formula2>
    </dataValidation>
    <dataValidation type="textLength" errorStyle="information" allowBlank="1" showInputMessage="1" showErrorMessage="1" error="XLBVal:6=8_x000d__x000a_" sqref="W51">
      <formula1>0</formula1>
      <formula2>300</formula2>
    </dataValidation>
    <dataValidation type="textLength" errorStyle="information" allowBlank="1" showInputMessage="1" showErrorMessage="1" error="XLBVal:6=5.16_x000d__x000a_" sqref="R40">
      <formula1>0</formula1>
      <formula2>300</formula2>
    </dataValidation>
    <dataValidation type="textLength" errorStyle="information" allowBlank="1" showInputMessage="1" showErrorMessage="1" error="XLBVal:6=30.11_x000d__x000a_" sqref="W39">
      <formula1>0</formula1>
      <formula2>300</formula2>
    </dataValidation>
    <dataValidation type="textLength" errorStyle="information" allowBlank="1" showInputMessage="1" showErrorMessage="1" error="XLBVal:6=0_x000d__x000a_" sqref="U34">
      <formula1>0</formula1>
      <formula2>300</formula2>
    </dataValidation>
    <dataValidation type="textLength" errorStyle="information" allowBlank="1" showInputMessage="1" showErrorMessage="1" error="XLBVal:6=92_x000d__x000a_" sqref="R34:T34">
      <formula1>0</formula1>
      <formula2>300</formula2>
    </dataValidation>
    <dataValidation type="textLength" errorStyle="information" allowBlank="1" showInputMessage="1" showErrorMessage="1" error="XLBVal:6=1_x000d__x000a_" sqref="R101:S101">
      <formula1>0</formula1>
      <formula2>300</formula2>
    </dataValidation>
    <dataValidation type="textLength" errorStyle="information" allowBlank="1" showInputMessage="1" showErrorMessage="1" error="XLBVal:6=1875.56_x000d__x000a_" sqref="W94">
      <formula1>0</formula1>
      <formula2>300</formula2>
    </dataValidation>
    <dataValidation type="textLength" errorStyle="information" allowBlank="1" showInputMessage="1" showErrorMessage="1" error="XLBVal:6=83.76_x000d__x000a_" sqref="W93">
      <formula1>0</formula1>
      <formula2>300</formula2>
    </dataValidation>
    <dataValidation type="textLength" errorStyle="information" allowBlank="1" showInputMessage="1" showErrorMessage="1" error="XLBVal:6=39.52_x000d__x000a_" sqref="W92">
      <formula1>0</formula1>
      <formula2>300</formula2>
    </dataValidation>
    <dataValidation type="textLength" errorStyle="information" allowBlank="1" showInputMessage="1" showErrorMessage="1" error="XLBVal:6=65_x000d__x000a_" sqref="U54">
      <formula1>0</formula1>
      <formula2>300</formula2>
    </dataValidation>
    <dataValidation type="textLength" errorStyle="information" allowBlank="1" showInputMessage="1" showErrorMessage="1" error="XLBVal:6=43_x000d__x000a_" sqref="S54">
      <formula1>0</formula1>
      <formula2>300</formula2>
    </dataValidation>
    <dataValidation type="textLength" errorStyle="information" allowBlank="1" showInputMessage="1" showErrorMessage="1" error="XLBVal:6=53_x000d__x000a_" sqref="V53">
      <formula1>0</formula1>
      <formula2>300</formula2>
    </dataValidation>
    <dataValidation type="textLength" errorStyle="information" allowBlank="1" showInputMessage="1" showErrorMessage="1" error="XLBVal:6=285_x000d__x000a_" sqref="R41:W41">
      <formula1>0</formula1>
      <formula2>300</formula2>
    </dataValidation>
    <dataValidation type="textLength" errorStyle="information" allowBlank="1" showInputMessage="1" showErrorMessage="1" error="XLBVal:6=48_x000d__x000a_" sqref="AC54">
      <formula1>0</formula1>
      <formula2>300</formula2>
    </dataValidation>
    <dataValidation type="textLength" errorStyle="information" allowBlank="1" showInputMessage="1" showErrorMessage="1" error="XLBVal:6=121_x000d__x000a_" sqref="AC53">
      <formula1>0</formula1>
      <formula2>300</formula2>
    </dataValidation>
    <dataValidation type="textLength" errorStyle="information" allowBlank="1" showInputMessage="1" showErrorMessage="1" error="XLBVal:6=16116_x000d__x000a_" sqref="AC52">
      <formula1>0</formula1>
      <formula2>300</formula2>
    </dataValidation>
    <dataValidation type="textLength" errorStyle="information" allowBlank="1" showInputMessage="1" showErrorMessage="1" error="XLBVal:6=27_x000d__x000a_" sqref="AC51">
      <formula1>0</formula1>
      <formula2>300</formula2>
    </dataValidation>
    <dataValidation type="textLength" errorStyle="information" allowBlank="1" showInputMessage="1" showErrorMessage="1" error="XLBVal:6=1321_x000d__x000a_" sqref="AC50">
      <formula1>0</formula1>
      <formula2>300</formula2>
    </dataValidation>
    <dataValidation type="textLength" errorStyle="information" allowBlank="1" showInputMessage="1" showErrorMessage="1" error="XLBVal:6=58_x000d__x000a_" sqref="AB54">
      <formula1>0</formula1>
      <formula2>300</formula2>
    </dataValidation>
    <dataValidation type="textLength" errorStyle="information" allowBlank="1" showInputMessage="1" showErrorMessage="1" error="XLBVal:6=25_x000d__x000a_" sqref="AA54">
      <formula1>0</formula1>
      <formula2>300</formula2>
    </dataValidation>
    <dataValidation type="textLength" errorStyle="information" allowBlank="1" showInputMessage="1" showErrorMessage="1" error="XLBVal:6=66_x000d__x000a_" sqref="AA53">
      <formula1>0</formula1>
      <formula2>300</formula2>
    </dataValidation>
    <dataValidation type="textLength" errorStyle="information" allowBlank="1" showInputMessage="1" showErrorMessage="1" error="XLBVal:6=11508_x000d__x000a_" sqref="AB52">
      <formula1>0</formula1>
      <formula2>300</formula2>
    </dataValidation>
    <dataValidation type="textLength" errorStyle="information" allowBlank="1" showInputMessage="1" showErrorMessage="1" error="XLBVal:6=7900_x000d__x000a_" sqref="AA52">
      <formula1>0</formula1>
      <formula2>300</formula2>
    </dataValidation>
    <dataValidation type="textLength" errorStyle="information" allowBlank="1" showInputMessage="1" showErrorMessage="1" error="XLBVal:6=36_x000d__x000a_" sqref="AB51">
      <formula1>0</formula1>
      <formula2>300</formula2>
    </dataValidation>
    <dataValidation type="textLength" errorStyle="information" allowBlank="1" showInputMessage="1" showErrorMessage="1" error="XLBVal:6=157_x000d__x000a_" sqref="AA51">
      <formula1>0</formula1>
      <formula2>300</formula2>
    </dataValidation>
    <dataValidation type="textLength" errorStyle="information" allowBlank="1" showInputMessage="1" showErrorMessage="1" error="XLBVal:6=1896_x000d__x000a_" sqref="AB50">
      <formula1>0</formula1>
      <formula2>300</formula2>
    </dataValidation>
    <dataValidation type="textLength" errorStyle="information" allowBlank="1" showInputMessage="1" showErrorMessage="1" error="XLBVal:6=2095_x000d__x000a_" sqref="AA50">
      <formula1>0</formula1>
      <formula2>300</formula2>
    </dataValidation>
    <dataValidation type="textLength" errorStyle="information" allowBlank="1" showInputMessage="1" showErrorMessage="1" error="XLBVal:6=211_x000d__x000a_" sqref="Z54">
      <formula1>0</formula1>
      <formula2>300</formula2>
    </dataValidation>
    <dataValidation type="textLength" errorStyle="information" allowBlank="1" showInputMessage="1" showErrorMessage="1" error="XLBVal:6=8141_x000d__x000a_" sqref="Z52">
      <formula1>0</formula1>
      <formula2>300</formula2>
    </dataValidation>
    <dataValidation type="textLength" errorStyle="information" allowBlank="1" showInputMessage="1" showErrorMessage="1" error="XLBVal:6=1900_x000d__x000a_" sqref="Z50">
      <formula1>0</formula1>
      <formula2>300</formula2>
    </dataValidation>
    <dataValidation type="textLength" errorStyle="information" allowBlank="1" showInputMessage="1" showErrorMessage="1" error="XLBVal:6=14250_x000d__x000a_" sqref="Y52">
      <formula1>0</formula1>
      <formula2>300</formula2>
    </dataValidation>
    <dataValidation type="textLength" errorStyle="information" allowBlank="1" showInputMessage="1" showErrorMessage="1" error="XLBVal:6=179_x000d__x000a_" sqref="Y51">
      <formula1>0</formula1>
      <formula2>300</formula2>
    </dataValidation>
    <dataValidation type="textLength" errorStyle="information" allowBlank="1" showInputMessage="1" showErrorMessage="1" error="XLBVal:6=3348_x000d__x000a_" sqref="Y50">
      <formula1>0</formula1>
      <formula2>300</formula2>
    </dataValidation>
    <dataValidation type="textLength" errorStyle="information" allowBlank="1" showInputMessage="1" showErrorMessage="1" error="XLBVal:6=5230.96_x000d__x000a_" sqref="S72">
      <formula1>0</formula1>
      <formula2>300</formula2>
    </dataValidation>
    <dataValidation type="textLength" errorStyle="information" allowBlank="1" showInputMessage="1" showErrorMessage="1" error="XLBVal:6=96_x000d__x000a_" sqref="R53">
      <formula1>0</formula1>
      <formula2>300</formula2>
    </dataValidation>
    <dataValidation type="textLength" errorStyle="information" allowBlank="1" showInputMessage="1" showErrorMessage="1" error="XLBVal:6=7_x000d__x000a_" sqref="S51">
      <formula1>0</formula1>
      <formula2>300</formula2>
    </dataValidation>
    <dataValidation type="textLength" errorStyle="information" allowBlank="1" showInputMessage="1" showErrorMessage="1" error="XLBVal:6=12_x000d__x000a_" sqref="R51">
      <formula1>0</formula1>
      <formula2>300</formula2>
    </dataValidation>
    <dataValidation type="textLength" errorStyle="information" allowBlank="1" showInputMessage="1" showErrorMessage="1" error="XLBVal:6=26389.82_x000d__x000a_" sqref="R43">
      <formula1>0</formula1>
      <formula2>300</formula2>
    </dataValidation>
    <dataValidation type="textLength" errorStyle="information" allowBlank="1" showInputMessage="1" showErrorMessage="1" error="XLBVal:6=5281.77_x000d__x000a_" sqref="R72">
      <formula1>0</formula1>
      <formula2>300</formula2>
    </dataValidation>
    <dataValidation type="textLength" errorStyle="information" allowBlank="1" showInputMessage="1" showErrorMessage="1" error="XLBVal:6=39_x000d__x000a_" sqref="X54">
      <formula1>0</formula1>
      <formula2>300</formula2>
    </dataValidation>
    <dataValidation type="textLength" errorStyle="information" allowBlank="1" showInputMessage="1" showErrorMessage="1" error="XLBVal:6=133_x000d__x000a_" sqref="X53">
      <formula1>0</formula1>
      <formula2>300</formula2>
    </dataValidation>
    <dataValidation type="textLength" errorStyle="information" allowBlank="1" showInputMessage="1" showErrorMessage="1" error="XLBVal:6=19217_x000d__x000a_" sqref="X52">
      <formula1>0</formula1>
      <formula2>300</formula2>
    </dataValidation>
    <dataValidation type="textLength" errorStyle="information" allowBlank="1" showInputMessage="1" showErrorMessage="1" error="XLBVal:6=19_x000d__x000a_" sqref="X51">
      <formula1>0</formula1>
      <formula2>300</formula2>
    </dataValidation>
    <dataValidation type="textLength" errorStyle="information" allowBlank="1" showInputMessage="1" showErrorMessage="1" error="XLBVal:6=827_x000d__x000a_" sqref="X50">
      <formula1>0</formula1>
      <formula2>300</formula2>
    </dataValidation>
    <dataValidation type="textLength" errorStyle="information" allowBlank="1" showInputMessage="1" showErrorMessage="1" error="XLBVal:6=32.35_x000d__x000a_" sqref="J41">
      <formula1>0</formula1>
      <formula2>300</formula2>
    </dataValidation>
    <dataValidation type="textLength" errorStyle="information" allowBlank="1" showInputMessage="1" showErrorMessage="1" error="XLBVal:6=10_x000d__x000a_" sqref="U51">
      <formula1>0</formula1>
      <formula2>300</formula2>
    </dataValidation>
    <dataValidation type="textLength" errorStyle="information" allowBlank="1" showInputMessage="1" showErrorMessage="1" error="XLBVal:6=473_x000d__x000a_" sqref="T50">
      <formula1>0</formula1>
      <formula2>300</formula2>
    </dataValidation>
    <dataValidation type="textLength" errorStyle="information" allowBlank="1" showInputMessage="1" showErrorMessage="1" error="XLBVal:8=Oct 2016_x000d__x000a_" sqref="D4">
      <formula1>0</formula1>
      <formula2>300</formula2>
    </dataValidation>
    <dataValidation type="textLength" errorStyle="information" allowBlank="1" showInputMessage="1" showErrorMessage="1" error="XLBVal:6=63_x000d__x000a_" sqref="V54">
      <formula1>0</formula1>
      <formula2>300</formula2>
    </dataValidation>
    <dataValidation type="textLength" errorStyle="information" allowBlank="1" showInputMessage="1" showErrorMessage="1" error="XLBVal:6=49_x000d__x000a_" sqref="Y53 U53">
      <formula1>0</formula1>
      <formula2>300</formula2>
    </dataValidation>
    <dataValidation type="textLength" errorStyle="information" allowBlank="1" showInputMessage="1" showErrorMessage="1" error="XLBVal:6=59_x000d__x000a_" sqref="R54">
      <formula1>0</formula1>
      <formula2>300</formula2>
    </dataValidation>
    <dataValidation type="textLength" errorStyle="information" allowBlank="1" showInputMessage="1" showErrorMessage="1" error="XLBVal:6=82_x000d__x000a_" sqref="AB53">
      <formula1>0</formula1>
      <formula2>300</formula2>
    </dataValidation>
    <dataValidation type="textLength" errorStyle="information" allowBlank="1" showInputMessage="1" showErrorMessage="1" error="XLBVal:6=57_x000d__x000a_" sqref="W54 T54">
      <formula1>0</formula1>
      <formula2>300</formula2>
    </dataValidation>
    <dataValidation type="textLength" errorStyle="information" allowBlank="1" showInputMessage="1" showErrorMessage="1" error="XLBVal:6=74_x000d__x000a_" sqref="T53">
      <formula1>0</formula1>
      <formula2>300</formula2>
    </dataValidation>
    <dataValidation type="textLength" errorStyle="information" allowBlank="1" showInputMessage="1" showErrorMessage="1" error="XLBVal:6=29_x000d__x000a_" sqref="S53">
      <formula1>0</formula1>
      <formula2>300</formula2>
    </dataValidation>
    <dataValidation type="textLength" errorStyle="information" allowBlank="1" showInputMessage="1" showErrorMessage="1" error="XLBVal:6=61_x000d__x000a_" sqref="W53">
      <formula1>0</formula1>
      <formula2>300</formula2>
    </dataValidation>
    <dataValidation type="textLength" errorStyle="information" allowBlank="1" showInputMessage="1" showErrorMessage="1" error="XLBVal:6=17897_x000d__x000a_" sqref="W52">
      <formula1>0</formula1>
      <formula2>300</formula2>
    </dataValidation>
    <dataValidation type="textLength" errorStyle="information" allowBlank="1" showInputMessage="1" showErrorMessage="1" error="XLBVal:6=17477_x000d__x000a_" sqref="V52">
      <formula1>0</formula1>
      <formula2>300</formula2>
    </dataValidation>
    <dataValidation type="textLength" errorStyle="information" allowBlank="1" showInputMessage="1" showErrorMessage="1" error="XLBVal:6=18249_x000d__x000a_" sqref="U52">
      <formula1>0</formula1>
      <formula2>300</formula2>
    </dataValidation>
    <dataValidation type="textLength" errorStyle="information" allowBlank="1" showInputMessage="1" showErrorMessage="1" error="XLBVal:6=19772_x000d__x000a_" sqref="T52">
      <formula1>0</formula1>
      <formula2>300</formula2>
    </dataValidation>
    <dataValidation type="textLength" errorStyle="information" allowBlank="1" showInputMessage="1" showErrorMessage="1" error="XLBVal:6=18855_x000d__x000a_" sqref="S52">
      <formula1>0</formula1>
      <formula2>300</formula2>
    </dataValidation>
    <dataValidation type="textLength" errorStyle="information" allowBlank="1" showInputMessage="1" showErrorMessage="1" error="XLBVal:6=19715_x000d__x000a_" sqref="R52">
      <formula1>0</formula1>
      <formula2>300</formula2>
    </dataValidation>
    <dataValidation type="textLength" errorStyle="information" allowBlank="1" showInputMessage="1" showErrorMessage="1" error="XLBVal:6=4_x000d__x000a_" sqref="Z53">
      <formula1>0</formula1>
      <formula2>300</formula2>
    </dataValidation>
    <dataValidation type="textLength" errorStyle="information" allowBlank="1" showInputMessage="1" showErrorMessage="1" error="XLBVal:6=24_x000d__x000a_" sqref="V51">
      <formula1>0</formula1>
      <formula2>300</formula2>
    </dataValidation>
    <dataValidation type="textLength" errorStyle="information" allowBlank="1" showInputMessage="1" showErrorMessage="1" error="XLBVal:6=1433_x000d__x000a_" sqref="W50">
      <formula1>0</formula1>
      <formula2>300</formula2>
    </dataValidation>
    <dataValidation type="textLength" errorStyle="information" allowBlank="1" showInputMessage="1" showErrorMessage="1" error="XLBVal:6=1729_x000d__x000a_" sqref="V50">
      <formula1>0</formula1>
      <formula2>300</formula2>
    </dataValidation>
    <dataValidation type="textLength" errorStyle="information" allowBlank="1" showInputMessage="1" showErrorMessage="1" error="XLBVal:6=871_x000d__x000a_" sqref="U50">
      <formula1>0</formula1>
      <formula2>300</formula2>
    </dataValidation>
    <dataValidation type="textLength" errorStyle="information" allowBlank="1" showInputMessage="1" showErrorMessage="1" error="XLBVal:6=370_x000d__x000a_" sqref="S50">
      <formula1>0</formula1>
      <formula2>300</formula2>
    </dataValidation>
    <dataValidation type="textLength" errorStyle="information" allowBlank="1" showInputMessage="1" showErrorMessage="1" error="XLBVal:6=450_x000d__x000a_" sqref="R50">
      <formula1>0</formula1>
      <formula2>300</formula2>
    </dataValidation>
    <dataValidation type="textLength" errorStyle="information" allowBlank="1" showInputMessage="1" showErrorMessage="1" error="XLBVal:6=19604_x000d__x000a_" sqref="S48">
      <formula1>0</formula1>
      <formula2>300</formula2>
    </dataValidation>
    <dataValidation type="textLength" errorStyle="information" allowBlank="1" showInputMessage="1" showErrorMessage="1" error="XLBVal:6=35680.31_x000d__x000a_" sqref="W43">
      <formula1>0</formula1>
      <formula2>300</formula2>
    </dataValidation>
    <dataValidation type="textLength" errorStyle="information" allowBlank="1" showInputMessage="1" showErrorMessage="1" error="XLBVal:6=-40740.71_x000d__x000a_" sqref="V43">
      <formula1>0</formula1>
      <formula2>300</formula2>
    </dataValidation>
    <dataValidation type="textLength" errorStyle="information" allowBlank="1" showInputMessage="1" showErrorMessage="1" error="XLBVal:6=17282.59_x000d__x000a_" sqref="U43">
      <formula1>0</formula1>
      <formula2>300</formula2>
    </dataValidation>
    <dataValidation type="textLength" errorStyle="information" allowBlank="1" showInputMessage="1" showErrorMessage="1" error="XLBVal:6=42615.38_x000d__x000a_" sqref="T43">
      <formula1>0</formula1>
      <formula2>300</formula2>
    </dataValidation>
    <dataValidation type="textLength" errorStyle="information" allowBlank="1" showInputMessage="1" showErrorMessage="1" error="XLBVal:6=37999.73_x000d__x000a_" sqref="S43">
      <formula1>0</formula1>
      <formula2>300</formula2>
    </dataValidation>
    <dataValidation type="textLength" errorStyle="information" allowBlank="1" showInputMessage="1" showErrorMessage="1" error="XLBVal:6=-61326.99_x000d__x000a_" sqref="E43:P43">
      <formula1>0</formula1>
      <formula2>300</formula2>
    </dataValidation>
    <dataValidation type="textLength" errorStyle="information" allowBlank="1" showInputMessage="1" showErrorMessage="1" error="XLBVal:6=20280_x000d__x000a_" sqref="U48 W48 Z48 AB48">
      <formula1>0</formula1>
      <formula2>300</formula2>
    </dataValidation>
    <dataValidation type="textLength" errorStyle="information" allowBlank="1" showInputMessage="1" showErrorMessage="1" error="XLBVal:6=31830625.91_x000d__x000a_" sqref="D14">
      <formula1>0</formula1>
      <formula2>300</formula2>
    </dataValidation>
    <dataValidation type="textLength" errorStyle="information" allowBlank="1" showInputMessage="1" showErrorMessage="1" error="XLBVal:6=266264227.77_x000d__x000a_" sqref="O14">
      <formula1>0</formula1>
      <formula2>300</formula2>
    </dataValidation>
    <dataValidation type="textLength" errorStyle="information" allowBlank="1" showInputMessage="1" showErrorMessage="1" error="XLBVal:6=260430337_x000d__x000a_" sqref="Q14">
      <formula1>0</formula1>
      <formula2>300</formula2>
    </dataValidation>
    <dataValidation type="textLength" errorStyle="information" allowBlank="1" showInputMessage="1" showErrorMessage="1" error="XLBVal:6=52996.83_x000d__x000a_" sqref="D18">
      <formula1>0</formula1>
      <formula2>300</formula2>
    </dataValidation>
    <dataValidation type="textLength" errorStyle="information" allowBlank="1" showInputMessage="1" showErrorMessage="1" error="XLBVal:6=1046342.1_x000d__x000a_" sqref="O18">
      <formula1>0</formula1>
      <formula2>300</formula2>
    </dataValidation>
    <dataValidation type="textLength" errorStyle="information" allowBlank="1" showInputMessage="1" showErrorMessage="1" error="XLBVal:6=1183968_x000d__x000a_" sqref="Q18">
      <formula1>0</formula1>
      <formula2>300</formula2>
    </dataValidation>
    <dataValidation type="textLength" errorStyle="information" allowBlank="1" showInputMessage="1" showErrorMessage="1" error="XLBVal:6=27748_x000d__x000a_" sqref="D22">
      <formula1>0</formula1>
      <formula2>300</formula2>
    </dataValidation>
    <dataValidation type="textLength" errorStyle="information" allowBlank="1" showInputMessage="1" showErrorMessage="1" error="XLBVal:6=132795_x000d__x000a_" sqref="D23">
      <formula1>0</formula1>
      <formula2>300</formula2>
    </dataValidation>
    <dataValidation type="textLength" errorStyle="information" allowBlank="1" showInputMessage="1" showErrorMessage="1" error="XLBVal:6=7135.64_x000d__x000a_" sqref="D24">
      <formula1>0</formula1>
      <formula2>300</formula2>
    </dataValidation>
    <dataValidation type="textLength" errorStyle="information" allowBlank="1" showInputMessage="1" showErrorMessage="1" error="XLBVal:6=96963_x000d__x000a_" sqref="Q21">
      <formula1>0</formula1>
      <formula2>300</formula2>
    </dataValidation>
    <dataValidation type="textLength" errorStyle="information" allowBlank="1" showInputMessage="1" showErrorMessage="1" error="XLBVal:6=221984_x000d__x000a_" sqref="Q22">
      <formula1>0</formula1>
      <formula2>300</formula2>
    </dataValidation>
    <dataValidation type="textLength" errorStyle="information" allowBlank="1" showInputMessage="1" showErrorMessage="1" error="XLBVal:6=36649.11_x000d__x000a_" sqref="D25">
      <formula1>0</formula1>
      <formula2>300</formula2>
    </dataValidation>
    <dataValidation type="textLength" errorStyle="information" allowBlank="1" showInputMessage="1" showErrorMessage="1" error="XLBVal:6=15431.21_x000d__x000a_" sqref="D26">
      <formula1>0</formula1>
      <formula2>300</formula2>
    </dataValidation>
    <dataValidation type="textLength" errorStyle="information" allowBlank="1" showInputMessage="1" showErrorMessage="1" error="XLBVal:6=33.13_x000d__x000a_" sqref="D28">
      <formula1>0</formula1>
      <formula2>300</formula2>
    </dataValidation>
    <dataValidation type="textLength" errorStyle="information" allowBlank="1" showInputMessage="1" showErrorMessage="1" error="XLBVal:6=964.51_x000d__x000a_" sqref="D29 D27">
      <formula1>0</formula1>
      <formula2>300</formula2>
    </dataValidation>
    <dataValidation type="textLength" errorStyle="information" allowBlank="1" showInputMessage="1" showErrorMessage="1" error="XLBVal:6=8774_x000d__x000a_" sqref="D30">
      <formula1>0</formula1>
      <formula2>300</formula2>
    </dataValidation>
    <dataValidation type="textLength" errorStyle="information" allowBlank="1" showInputMessage="1" showErrorMessage="1" error="XLBVal:6=3240.19_x000d__x000a_" sqref="D31">
      <formula1>0</formula1>
      <formula2>300</formula2>
    </dataValidation>
    <dataValidation type="textLength" errorStyle="information" allowBlank="1" showInputMessage="1" showErrorMessage="1" error="XLBVal:6=2983.74_x000d__x000a_" sqref="O28">
      <formula1>0</formula1>
      <formula2>300</formula2>
    </dataValidation>
    <dataValidation type="textLength" errorStyle="information" allowBlank="1" showInputMessage="1" showErrorMessage="1" error="XLBVal:6=7155.49_x000d__x000a_" sqref="O29">
      <formula1>0</formula1>
      <formula2>300</formula2>
    </dataValidation>
    <dataValidation type="textLength" errorStyle="information" allowBlank="1" showInputMessage="1" showErrorMessage="1" error="XLBVal:6=234832_x000d__x000a_" sqref="Q25">
      <formula1>0</formula1>
      <formula2>300</formula2>
    </dataValidation>
    <dataValidation type="textLength" errorStyle="information" allowBlank="1" showInputMessage="1" showErrorMessage="1" error="XLBVal:6=103048_x000d__x000a_" sqref="Q26">
      <formula1>0</formula1>
      <formula2>300</formula2>
    </dataValidation>
    <dataValidation type="textLength" errorStyle="information" allowBlank="1" showInputMessage="1" showErrorMessage="1" error="XLBVal:6=5168_x000d__x000a_" sqref="Q28">
      <formula1>0</formula1>
      <formula2>300</formula2>
    </dataValidation>
    <dataValidation type="textLength" errorStyle="information" allowBlank="1" showInputMessage="1" showErrorMessage="1" error="XLBVal:6=6424_x000d__x000a_" sqref="Q27 Q29">
      <formula1>0</formula1>
      <formula2>300</formula2>
    </dataValidation>
    <dataValidation type="textLength" errorStyle="information" allowBlank="1" showInputMessage="1" showErrorMessage="1" error="XLBVal:6=59208_x000d__x000a_" sqref="Q30">
      <formula1>0</formula1>
      <formula2>300</formula2>
    </dataValidation>
    <dataValidation type="textLength" errorStyle="information" allowBlank="1" showInputMessage="1" showErrorMessage="1" error="XLBVal:6=23680_x000d__x000a_" sqref="Q31">
      <formula1>0</formula1>
      <formula2>300</formula2>
    </dataValidation>
    <dataValidation type="textLength" errorStyle="information" allowBlank="1" showInputMessage="1" showErrorMessage="1" error="XLBVal:6=-29556.62_x000d__x000a_" sqref="D38">
      <formula1>0</formula1>
      <formula2>300</formula2>
    </dataValidation>
    <dataValidation type="textLength" errorStyle="information" allowBlank="1" showInputMessage="1" showErrorMessage="1" error="XLBVal:6=2429.09_x000d__x000a_" sqref="D39">
      <formula1>0</formula1>
      <formula2>300</formula2>
    </dataValidation>
    <dataValidation type="textLength" errorStyle="information" allowBlank="1" showInputMessage="1" showErrorMessage="1" error="XLBVal:6=-1006046.71_x000d__x000a_" sqref="D40">
      <formula1>0</formula1>
      <formula2>300</formula2>
    </dataValidation>
    <dataValidation type="textLength" errorStyle="information" allowBlank="1" showInputMessage="1" showErrorMessage="1" error="XLBVal:6=56560_x000d__x000a_" sqref="Q38">
      <formula1>0</formula1>
      <formula2>300</formula2>
    </dataValidation>
    <dataValidation type="textLength" errorStyle="information" allowBlank="1" showInputMessage="1" showErrorMessage="1" error="XLBVal:6=17592_x000d__x000a_" sqref="Q39">
      <formula1>0</formula1>
      <formula2>300</formula2>
    </dataValidation>
    <dataValidation type="textLength" errorStyle="information" allowBlank="1" showInputMessage="1" showErrorMessage="1" error="XLBVal:6=-8082962_x000d__x000a_" sqref="Q40">
      <formula1>0</formula1>
      <formula2>300</formula2>
    </dataValidation>
    <dataValidation type="textLength" errorStyle="information" allowBlank="1" showInputMessage="1" showErrorMessage="1" error="XLBVal:6=20956_x000d__x000a_" sqref="T48 V48 R48 X48:Y48 AA48 AC48">
      <formula1>0</formula1>
      <formula2>300</formula2>
    </dataValidation>
    <dataValidation type="textLength" errorStyle="information" allowBlank="1" showInputMessage="1" showErrorMessage="1" error="XLBVal:6=2198801.83_x000d__x000a_" sqref="E95:J96 R95:W96">
      <formula1>0</formula1>
      <formula2>300</formula2>
    </dataValidation>
    <dataValidation type="textLength" errorStyle="information" allowBlank="1" showInputMessage="1" showErrorMessage="1" error="XLBVal:6=6_x000d__x000a_" sqref="E40:J40 T51 S40:W40">
      <formula1>0</formula1>
      <formula2>300</formula2>
    </dataValidation>
    <dataValidation type="textLength" errorStyle="information" allowBlank="1" showInputMessage="1" showErrorMessage="1" error="XLBVal:2=0_x000d__x000a_" sqref="D21 Q35:Q37 D32:J32 Q23:Q24 E9:J11 E13:J14 E49:P49 R88:W90 E88:P92 E41:I42 J42 X78:AC85 E71:P75 D36:D37 E64:P68 E78:P85 R82:W82 E22:P22 E101:P101 R71:AC71 Y54 Q32:AC32 Z51 R13:AC14 R9:AC11 X88:AC96 R49:AC49 W33:W38 X101:AC101 R20:AC31 X33:AC41 X43:AC43 E33:J33 E35:J38 E20:J21 E23:J31 R35:U39 R33:U33 V33:V39 R42:AC42 R65:S68 T65:W67 X64:AC68 R73:S75 T74:W75 X72:AC75 R85:W85 O34:O35 E34:N34 P34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0"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D7C3F6"/>
  </sheetPr>
  <dimension ref="A1:AL235"/>
  <sheetViews>
    <sheetView view="pageBreakPreview" zoomScaleNormal="85" zoomScaleSheetLayoutView="100" workbookViewId="0">
      <pane xSplit="4" ySplit="7" topLeftCell="L149" activePane="bottomRight" state="frozen"/>
      <selection activeCell="AP43" sqref="AP43"/>
      <selection pane="topRight" activeCell="AP43" sqref="AP43"/>
      <selection pane="bottomLeft" activeCell="AP43" sqref="AP43"/>
      <selection pane="bottomRight" activeCell="D151" sqref="D151"/>
    </sheetView>
  </sheetViews>
  <sheetFormatPr defaultColWidth="9" defaultRowHeight="14.25" outlineLevelCol="2"/>
  <cols>
    <col min="1" max="2" width="9" style="105" hidden="1" customWidth="1" outlineLevel="1"/>
    <col min="3" max="3" width="40.75" style="105" customWidth="1" collapsed="1"/>
    <col min="4" max="4" width="18.25" style="124" bestFit="1" customWidth="1"/>
    <col min="5" max="15" width="18.875" style="124" customWidth="1"/>
    <col min="16" max="16" width="22.875" style="129" bestFit="1" customWidth="1"/>
    <col min="17" max="17" width="18.25" style="124" hidden="1" customWidth="1" outlineLevel="1"/>
    <col min="18" max="18" width="19.5" style="124" hidden="1" customWidth="1" outlineLevel="1"/>
    <col min="19" max="23" width="18.25" style="124" hidden="1" customWidth="1" outlineLevel="1"/>
    <col min="24" max="28" width="18.25" style="124" hidden="1" customWidth="1" outlineLevel="2"/>
    <col min="29" max="29" width="19.5" style="129" customWidth="1" collapsed="1"/>
    <col min="30" max="30" width="20.75" style="124" bestFit="1" customWidth="1"/>
    <col min="31" max="31" width="10.5" style="105" bestFit="1" customWidth="1"/>
    <col min="32" max="32" width="19.5" style="109" hidden="1" customWidth="1"/>
    <col min="33" max="33" width="18.375" style="124" hidden="1" customWidth="1"/>
    <col min="34" max="34" width="18.375" style="105" bestFit="1" customWidth="1"/>
    <col min="35" max="36" width="17.25" style="105" bestFit="1" customWidth="1"/>
    <col min="37" max="37" width="9" style="105"/>
    <col min="38" max="38" width="17.25" style="105" bestFit="1" customWidth="1"/>
    <col min="39" max="16384" width="9" style="105"/>
  </cols>
  <sheetData>
    <row r="1" spans="1:38" s="100" customFormat="1">
      <c r="A1" s="100" t="s">
        <v>118</v>
      </c>
      <c r="C1" s="100" t="s">
        <v>146</v>
      </c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72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72"/>
      <c r="AD1" s="183"/>
      <c r="AF1" s="103"/>
      <c r="AG1" s="183"/>
    </row>
    <row r="2" spans="1:38" s="100" customFormat="1">
      <c r="C2" s="100" t="s">
        <v>147</v>
      </c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7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72"/>
      <c r="AD2" s="183"/>
      <c r="AF2" s="103"/>
      <c r="AG2" s="183"/>
    </row>
    <row r="3" spans="1:38">
      <c r="C3" s="105" t="s">
        <v>368</v>
      </c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5"/>
      <c r="Q3" s="184"/>
      <c r="R3" s="184"/>
      <c r="S3" s="184"/>
      <c r="T3" s="184"/>
      <c r="U3" s="184"/>
      <c r="V3" s="184"/>
      <c r="W3" s="184"/>
      <c r="X3" s="108"/>
      <c r="Y3" s="108"/>
      <c r="Z3" s="108"/>
      <c r="AA3" s="108"/>
      <c r="AB3" s="108"/>
      <c r="AC3" s="185"/>
      <c r="AD3" s="184"/>
      <c r="AG3" s="184"/>
    </row>
    <row r="4" spans="1:38" s="100" customFormat="1" ht="18">
      <c r="C4" s="18">
        <f>+'2025 Summay'!$D$7</f>
        <v>2025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6"/>
      <c r="R4" s="186"/>
      <c r="S4" s="186"/>
      <c r="T4" s="186"/>
      <c r="U4" s="186"/>
      <c r="V4" s="186"/>
      <c r="W4" s="186"/>
      <c r="X4" s="183"/>
      <c r="Y4" s="183"/>
      <c r="Z4" s="183"/>
      <c r="AA4" s="183"/>
      <c r="AB4" s="183"/>
      <c r="AC4" s="177"/>
      <c r="AD4" s="183"/>
      <c r="AF4" s="103"/>
      <c r="AG4" s="183"/>
    </row>
    <row r="5" spans="1:38" s="100" customFormat="1">
      <c r="C5" s="100" t="s">
        <v>154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72"/>
      <c r="AD5" s="183"/>
      <c r="AF5" s="103"/>
      <c r="AG5" s="183"/>
    </row>
    <row r="6" spans="1:38" s="100" customFormat="1">
      <c r="C6" s="100" t="s">
        <v>154</v>
      </c>
      <c r="D6" s="183">
        <f>'2025 Summay'!E9</f>
        <v>1</v>
      </c>
      <c r="E6" s="183">
        <f>'2025 Summay'!F9</f>
        <v>2</v>
      </c>
      <c r="F6" s="183">
        <f>'2025 Summay'!G9</f>
        <v>3</v>
      </c>
      <c r="G6" s="183">
        <f>'2025 Summay'!H9</f>
        <v>4</v>
      </c>
      <c r="H6" s="183">
        <f>'2025 Summay'!I9</f>
        <v>5</v>
      </c>
      <c r="I6" s="183">
        <f>'2025 Summay'!J9</f>
        <v>6</v>
      </c>
      <c r="J6" s="183">
        <f>'2025 Summay'!K9</f>
        <v>7</v>
      </c>
      <c r="K6" s="183">
        <f>'2025 Summay'!L9</f>
        <v>8</v>
      </c>
      <c r="L6" s="183">
        <f>'2025 Summay'!M9</f>
        <v>9</v>
      </c>
      <c r="M6" s="183">
        <f>'2025 Summay'!N9</f>
        <v>10</v>
      </c>
      <c r="N6" s="183">
        <f>'2025 Summay'!O9</f>
        <v>11</v>
      </c>
      <c r="O6" s="183">
        <f>'2025 Summay'!P9</f>
        <v>12</v>
      </c>
      <c r="P6" s="187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/>
      <c r="AF6" s="103">
        <v>2019</v>
      </c>
      <c r="AG6" s="183"/>
    </row>
    <row r="7" spans="1:38">
      <c r="C7" s="105" t="s">
        <v>154</v>
      </c>
      <c r="D7" s="124" t="str">
        <f>'2025 Summay'!E10</f>
        <v>Budget</v>
      </c>
      <c r="E7" s="124" t="str">
        <f>'2025 Summay'!F10</f>
        <v>Budget</v>
      </c>
      <c r="F7" s="124" t="str">
        <f>'2025 Summay'!G10</f>
        <v>Budget</v>
      </c>
      <c r="G7" s="124" t="str">
        <f>'2025 Summay'!H10</f>
        <v>Budget</v>
      </c>
      <c r="H7" s="124" t="str">
        <f>'2025 Summay'!I10</f>
        <v>Budget</v>
      </c>
      <c r="I7" s="124" t="str">
        <f>'2025 Summay'!J10</f>
        <v>Budget</v>
      </c>
      <c r="J7" s="124" t="str">
        <f>'2025 Summay'!K10</f>
        <v>Budget</v>
      </c>
      <c r="K7" s="124" t="str">
        <f>'2025 Summay'!L10</f>
        <v>Budget</v>
      </c>
      <c r="L7" s="124" t="str">
        <f>'2025 Summay'!M10</f>
        <v>Budget</v>
      </c>
      <c r="M7" s="124" t="str">
        <f>'2025 Summay'!N10</f>
        <v>Budget</v>
      </c>
      <c r="N7" s="124" t="str">
        <f>'2025 Summay'!O10</f>
        <v>Budget</v>
      </c>
      <c r="O7" s="124" t="str">
        <f>'2025 Summay'!P10</f>
        <v>Budget</v>
      </c>
      <c r="P7" s="129" t="str">
        <f>'2025 Summay'!Q10</f>
        <v>Budget</v>
      </c>
      <c r="Q7" s="118" t="str">
        <f>'2025 Summay'!R10</f>
        <v>Actual</v>
      </c>
      <c r="R7" s="118" t="str">
        <f>'2025 Summay'!S10</f>
        <v>Actual</v>
      </c>
      <c r="S7" s="118" t="str">
        <f>'2025 Summay'!T10</f>
        <v>Actual</v>
      </c>
      <c r="T7" s="118" t="str">
        <f>'2025 Summay'!U10</f>
        <v>Actual</v>
      </c>
      <c r="U7" s="118" t="str">
        <f>'2025 Summay'!V10</f>
        <v>Actual</v>
      </c>
      <c r="V7" s="118" t="str">
        <f>'2025 Summay'!W10</f>
        <v>Actual</v>
      </c>
      <c r="W7" s="118" t="str">
        <f>'2025 Summay'!X10</f>
        <v>Actual</v>
      </c>
      <c r="X7" s="118" t="str">
        <f>'2025 Summay'!Y10</f>
        <v>Actual</v>
      </c>
      <c r="Y7" s="118" t="str">
        <f>'2025 Summay'!Z10</f>
        <v>Forecast</v>
      </c>
      <c r="Z7" s="118" t="str">
        <f>'2025 Summay'!AA10</f>
        <v>Forecast</v>
      </c>
      <c r="AA7" s="118" t="str">
        <f>'2025 Summay'!AB10</f>
        <v>Forecast</v>
      </c>
      <c r="AB7" s="118" t="str">
        <f>'2025 Summay'!AC10</f>
        <v>Forecast</v>
      </c>
      <c r="AC7" s="119" t="str">
        <f>'2025 Summay'!AD10</f>
        <v>Forecast</v>
      </c>
      <c r="AD7" s="189" t="s">
        <v>369</v>
      </c>
      <c r="AE7" s="190" t="s">
        <v>156</v>
      </c>
      <c r="AF7" s="191" t="s">
        <v>12</v>
      </c>
    </row>
    <row r="8" spans="1:38">
      <c r="C8" s="105" t="s">
        <v>370</v>
      </c>
      <c r="AF8" s="133"/>
    </row>
    <row r="9" spans="1:38">
      <c r="C9" s="105" t="s">
        <v>371</v>
      </c>
      <c r="D9" s="124" t="s">
        <v>372</v>
      </c>
      <c r="E9" s="124" t="s">
        <v>372</v>
      </c>
      <c r="F9" s="124" t="s">
        <v>372</v>
      </c>
      <c r="G9" s="124" t="s">
        <v>372</v>
      </c>
      <c r="H9" s="124" t="s">
        <v>372</v>
      </c>
      <c r="I9" s="124" t="s">
        <v>372</v>
      </c>
      <c r="J9" s="124" t="s">
        <v>372</v>
      </c>
      <c r="K9" s="124" t="s">
        <v>372</v>
      </c>
      <c r="L9" s="124" t="s">
        <v>372</v>
      </c>
      <c r="M9" s="124" t="s">
        <v>372</v>
      </c>
      <c r="N9" s="124" t="s">
        <v>372</v>
      </c>
      <c r="O9" s="124" t="s">
        <v>372</v>
      </c>
      <c r="P9" s="129" t="s">
        <v>372</v>
      </c>
      <c r="AD9" s="124">
        <v>0</v>
      </c>
      <c r="AF9" s="133"/>
    </row>
    <row r="10" spans="1:38">
      <c r="C10" s="105" t="s">
        <v>373</v>
      </c>
      <c r="D10" s="124" t="s">
        <v>372</v>
      </c>
      <c r="E10" s="124" t="s">
        <v>372</v>
      </c>
      <c r="F10" s="124" t="s">
        <v>372</v>
      </c>
      <c r="G10" s="124" t="s">
        <v>372</v>
      </c>
      <c r="H10" s="124" t="s">
        <v>372</v>
      </c>
      <c r="I10" s="124" t="s">
        <v>372</v>
      </c>
      <c r="J10" s="124" t="s">
        <v>372</v>
      </c>
      <c r="K10" s="124" t="s">
        <v>372</v>
      </c>
      <c r="L10" s="124" t="s">
        <v>372</v>
      </c>
      <c r="M10" s="124" t="s">
        <v>372</v>
      </c>
      <c r="N10" s="124" t="s">
        <v>372</v>
      </c>
      <c r="O10" s="124" t="s">
        <v>372</v>
      </c>
      <c r="P10" s="129" t="s">
        <v>372</v>
      </c>
      <c r="AD10" s="124">
        <v>0</v>
      </c>
      <c r="AF10" s="133"/>
    </row>
    <row r="11" spans="1:38">
      <c r="A11" s="105" t="s">
        <v>374</v>
      </c>
      <c r="B11" s="105" t="s">
        <v>375</v>
      </c>
      <c r="C11" s="105" t="s">
        <v>376</v>
      </c>
      <c r="D11" s="124">
        <f>'Hai Tang'!D14</f>
        <v>2773000</v>
      </c>
      <c r="E11" s="124">
        <f>'Hai Tang'!E14</f>
        <v>2565000</v>
      </c>
      <c r="F11" s="124">
        <f>'Hai Tang'!F14</f>
        <v>2125000</v>
      </c>
      <c r="G11" s="124">
        <f>'Hai Tang'!G14</f>
        <v>2125000</v>
      </c>
      <c r="H11" s="124">
        <f>'Hai Tang'!H14</f>
        <v>2125000</v>
      </c>
      <c r="I11" s="124">
        <f>'Hai Tang'!I14</f>
        <v>1955000</v>
      </c>
      <c r="J11" s="124">
        <f>'Hai Tang'!J14</f>
        <v>2668000</v>
      </c>
      <c r="K11" s="124">
        <f>'Hai Tang'!K14</f>
        <v>2668000</v>
      </c>
      <c r="L11" s="124">
        <f>'Hai Tang'!L14</f>
        <v>1955000</v>
      </c>
      <c r="M11" s="124">
        <f>'Hai Tang'!M14</f>
        <v>2125000</v>
      </c>
      <c r="N11" s="124">
        <f>'Hai Tang'!N14</f>
        <v>2040000</v>
      </c>
      <c r="O11" s="124">
        <f>'Hai Tang'!O14</f>
        <v>2295000</v>
      </c>
      <c r="P11" s="129">
        <f>SUM(D11:O11)</f>
        <v>27419000</v>
      </c>
      <c r="Q11" s="124">
        <f>'Hai Tang'!Q14</f>
        <v>2709477.82</v>
      </c>
      <c r="R11" s="124">
        <f>'Hai Tang'!R14</f>
        <v>3136202.49</v>
      </c>
      <c r="S11" s="124">
        <f>'Hai Tang'!S14</f>
        <v>2505337.77</v>
      </c>
      <c r="T11" s="124">
        <f>'Hai Tang'!T14</f>
        <v>2459299.37</v>
      </c>
      <c r="U11" s="124">
        <f>'Hai Tang'!U14</f>
        <v>1928997.18</v>
      </c>
      <c r="V11" s="124">
        <f>'Hai Tang'!V14</f>
        <v>2115710.6</v>
      </c>
      <c r="W11" s="124">
        <f>'Hai Tang'!W14</f>
        <v>2738819.03</v>
      </c>
      <c r="X11" s="124">
        <f>'Hai Tang'!X14</f>
        <v>2815151.89</v>
      </c>
      <c r="Y11" s="124">
        <f>'Hai Tang'!Y14</f>
        <v>1196911</v>
      </c>
      <c r="Z11" s="123">
        <f>'Hai Tang'!Z14</f>
        <v>1980000</v>
      </c>
      <c r="AA11" s="124">
        <f>'Hai Tang'!AA14</f>
        <v>1710000</v>
      </c>
      <c r="AB11" s="124">
        <f>'Hai Tang'!AB14</f>
        <v>1959600</v>
      </c>
      <c r="AC11" s="129">
        <f>SUM(Q11:AB11)</f>
        <v>27255507.149999999</v>
      </c>
      <c r="AD11" s="124">
        <f>P11-AC11</f>
        <v>163492.85000000149</v>
      </c>
      <c r="AE11" s="192">
        <f t="shared" ref="AE11:AE42" si="0">AD11/AC11</f>
        <v>5.9985253292196214E-3</v>
      </c>
      <c r="AF11" s="133">
        <v>29208492.939999998</v>
      </c>
      <c r="AG11" s="124">
        <f t="shared" ref="AG11:AG26" si="1">P11-AF11</f>
        <v>-1789492.9399999976</v>
      </c>
      <c r="AH11" s="124"/>
      <c r="AI11" s="124"/>
      <c r="AJ11" s="124"/>
      <c r="AL11" s="124"/>
    </row>
    <row r="12" spans="1:38">
      <c r="A12" s="105" t="s">
        <v>374</v>
      </c>
      <c r="B12" s="105" t="s">
        <v>377</v>
      </c>
      <c r="C12" s="105" t="s">
        <v>378</v>
      </c>
      <c r="D12" s="124">
        <f>'Pin Ju'!D14</f>
        <v>1501500</v>
      </c>
      <c r="E12" s="124">
        <f>'Pin Ju'!E14</f>
        <v>1257800</v>
      </c>
      <c r="F12" s="124">
        <f>'Pin Ju'!F14</f>
        <v>826800</v>
      </c>
      <c r="G12" s="124">
        <f>'Pin Ju'!G14</f>
        <v>804000</v>
      </c>
      <c r="H12" s="124">
        <f>'Pin Ju'!H14</f>
        <v>848400</v>
      </c>
      <c r="I12" s="124">
        <f>'Pin Ju'!I14</f>
        <v>637400</v>
      </c>
      <c r="J12" s="124">
        <f>'Pin Ju'!J14</f>
        <v>1132500</v>
      </c>
      <c r="K12" s="124">
        <f>'Pin Ju'!K14</f>
        <v>1187800</v>
      </c>
      <c r="L12" s="124">
        <f>'Pin Ju'!L14</f>
        <v>607960</v>
      </c>
      <c r="M12" s="124">
        <f>'Pin Ju'!M14</f>
        <v>745500</v>
      </c>
      <c r="N12" s="124">
        <f>'Pin Ju'!N14</f>
        <v>707400</v>
      </c>
      <c r="O12" s="124">
        <f>'Pin Ju'!O14</f>
        <v>893000</v>
      </c>
      <c r="P12" s="129">
        <f t="shared" ref="P12:P23" si="2">SUM(D12:O12)</f>
        <v>11150060</v>
      </c>
      <c r="Q12" s="124">
        <f>'Pin Ju'!Q14</f>
        <v>1309746.54</v>
      </c>
      <c r="R12" s="124">
        <f>'Pin Ju'!R14</f>
        <v>1734429.1400000001</v>
      </c>
      <c r="S12" s="124">
        <f>'Pin Ju'!S14</f>
        <v>1055189.55</v>
      </c>
      <c r="T12" s="124">
        <f>'Pin Ju'!T14</f>
        <v>544486.64</v>
      </c>
      <c r="U12" s="124">
        <f>'Pin Ju'!U14</f>
        <v>996341.86999999988</v>
      </c>
      <c r="V12" s="124">
        <f>'Pin Ju'!V14</f>
        <v>889401.69</v>
      </c>
      <c r="W12" s="124">
        <f>'Pin Ju'!W14</f>
        <v>1098693.97</v>
      </c>
      <c r="X12" s="124">
        <f>'Pin Ju'!X14</f>
        <v>1278428.49</v>
      </c>
      <c r="Y12" s="124">
        <f>'Pin Ju'!Y14</f>
        <v>538000</v>
      </c>
      <c r="Z12" s="123">
        <f>'Pin Ju'!Z14</f>
        <v>612000</v>
      </c>
      <c r="AA12" s="124">
        <f>'Pin Ju'!AA14</f>
        <v>761400</v>
      </c>
      <c r="AB12" s="124">
        <f>'Pin Ju'!AB14</f>
        <v>894000</v>
      </c>
      <c r="AC12" s="129">
        <f t="shared" ref="AC12:AC23" si="3">SUM(Q12:AB12)</f>
        <v>11712117.889999999</v>
      </c>
      <c r="AD12" s="124">
        <f t="shared" ref="AD12:AD23" si="4">P12-AC12</f>
        <v>-562057.88999999873</v>
      </c>
      <c r="AE12" s="192">
        <f t="shared" si="0"/>
        <v>-4.7989432421944207E-2</v>
      </c>
      <c r="AF12" s="133">
        <v>13646368.219999999</v>
      </c>
      <c r="AG12" s="124">
        <f t="shared" si="1"/>
        <v>-2496308.2199999988</v>
      </c>
      <c r="AH12" s="124"/>
      <c r="AI12" s="124"/>
      <c r="AJ12" s="124"/>
      <c r="AL12" s="124"/>
    </row>
    <row r="13" spans="1:38">
      <c r="A13" s="105" t="s">
        <v>374</v>
      </c>
      <c r="B13" s="105" t="s">
        <v>379</v>
      </c>
      <c r="C13" s="105" t="s">
        <v>380</v>
      </c>
      <c r="D13" s="123">
        <f>Silk!D14</f>
        <v>1056000</v>
      </c>
      <c r="E13" s="123">
        <f>Silk!E14</f>
        <v>946000</v>
      </c>
      <c r="F13" s="123">
        <f>Silk!F14</f>
        <v>414000</v>
      </c>
      <c r="G13" s="123">
        <f>Silk!G14</f>
        <v>320000</v>
      </c>
      <c r="H13" s="123">
        <f>Silk!H14</f>
        <v>323000</v>
      </c>
      <c r="I13" s="123">
        <f>Silk!I14</f>
        <v>332000</v>
      </c>
      <c r="J13" s="123">
        <f>Silk!J14</f>
        <v>522000</v>
      </c>
      <c r="K13" s="123">
        <f>Silk!K14</f>
        <v>557000</v>
      </c>
      <c r="L13" s="123">
        <f>Silk!L14</f>
        <v>310500</v>
      </c>
      <c r="M13" s="123">
        <f>Silk!M14</f>
        <v>320000</v>
      </c>
      <c r="N13" s="123">
        <f>Silk!N14</f>
        <v>358000</v>
      </c>
      <c r="O13" s="123">
        <f>Silk!O14</f>
        <v>444000</v>
      </c>
      <c r="P13" s="133">
        <f t="shared" si="2"/>
        <v>5902500</v>
      </c>
      <c r="Q13" s="123">
        <f>Silk!Q14</f>
        <v>644927.46</v>
      </c>
      <c r="R13" s="123">
        <f>Silk!R14</f>
        <v>1718278.6</v>
      </c>
      <c r="S13" s="123">
        <f>Silk!S14</f>
        <v>433013.49</v>
      </c>
      <c r="T13" s="123">
        <f>Silk!T14</f>
        <v>541416.25</v>
      </c>
      <c r="U13" s="123">
        <f>Silk!U14</f>
        <v>356852.42</v>
      </c>
      <c r="V13" s="123">
        <f>Silk!V14</f>
        <v>252325.27000000002</v>
      </c>
      <c r="W13" s="123">
        <f>Silk!W14</f>
        <v>409736.94999999995</v>
      </c>
      <c r="X13" s="123">
        <f>Silk!X14</f>
        <v>442121.31</v>
      </c>
      <c r="Y13" s="123">
        <f>Silk!Y14</f>
        <v>315000</v>
      </c>
      <c r="Z13" s="123">
        <f>Silk!Z14</f>
        <v>453400</v>
      </c>
      <c r="AA13" s="123">
        <f>Silk!AA14</f>
        <v>380000</v>
      </c>
      <c r="AB13" s="123">
        <f>Silk!AB14</f>
        <v>493400</v>
      </c>
      <c r="AC13" s="129">
        <f t="shared" si="3"/>
        <v>6440471.7499999991</v>
      </c>
      <c r="AD13" s="123">
        <f t="shared" si="4"/>
        <v>-537971.74999999907</v>
      </c>
      <c r="AE13" s="192">
        <f t="shared" si="0"/>
        <v>-8.3529867202662464E-2</v>
      </c>
      <c r="AF13" s="133">
        <v>6694959.2899999991</v>
      </c>
      <c r="AG13" s="124">
        <f t="shared" si="1"/>
        <v>-792459.28999999911</v>
      </c>
      <c r="AH13" s="124"/>
      <c r="AI13" s="124"/>
      <c r="AJ13" s="124"/>
      <c r="AL13" s="124"/>
    </row>
    <row r="14" spans="1:38">
      <c r="A14" s="105" t="s">
        <v>374</v>
      </c>
      <c r="B14" s="105" t="s">
        <v>381</v>
      </c>
      <c r="C14" s="105" t="s">
        <v>382</v>
      </c>
      <c r="D14" s="123">
        <f>Neera!D14</f>
        <v>802650</v>
      </c>
      <c r="E14" s="123">
        <f>Neera!E14</f>
        <v>674630</v>
      </c>
      <c r="F14" s="123">
        <f>Neera!F14</f>
        <v>554865</v>
      </c>
      <c r="G14" s="123">
        <f>Neera!G14</f>
        <v>524100</v>
      </c>
      <c r="H14" s="123">
        <f>Neera!H14</f>
        <v>524100</v>
      </c>
      <c r="I14" s="123">
        <f>Neera!I14</f>
        <v>474845</v>
      </c>
      <c r="J14" s="123">
        <f>Neera!J14</f>
        <v>576120</v>
      </c>
      <c r="K14" s="123">
        <f>Neera!K14</f>
        <v>666885</v>
      </c>
      <c r="L14" s="123">
        <f>Neera!L14</f>
        <v>482000</v>
      </c>
      <c r="M14" s="123">
        <f>Neera!M14</f>
        <v>542969</v>
      </c>
      <c r="N14" s="123">
        <f>Neera!N14</f>
        <v>530895</v>
      </c>
      <c r="O14" s="123">
        <f>Neera!O14</f>
        <v>577611</v>
      </c>
      <c r="P14" s="133">
        <f t="shared" si="2"/>
        <v>6931670</v>
      </c>
      <c r="Q14" s="123">
        <f>Neera!Q14</f>
        <v>681613.65</v>
      </c>
      <c r="R14" s="123">
        <f>Neera!R14</f>
        <v>966848.62000000011</v>
      </c>
      <c r="S14" s="123">
        <f>Neera!S14</f>
        <v>683711.24</v>
      </c>
      <c r="T14" s="123">
        <f>Neera!T14</f>
        <v>661498.81999999995</v>
      </c>
      <c r="U14" s="123">
        <f>Neera!U14</f>
        <v>567236.73</v>
      </c>
      <c r="V14" s="123">
        <f>Neera!V14</f>
        <v>458769.30999999994</v>
      </c>
      <c r="W14" s="123">
        <f>Neera!W14</f>
        <v>642027.47</v>
      </c>
      <c r="X14" s="123">
        <f>Neera!X14</f>
        <v>644065.51</v>
      </c>
      <c r="Y14" s="123">
        <f>Neera!Y14</f>
        <v>473400</v>
      </c>
      <c r="Z14" s="123">
        <f>Neera!Z14</f>
        <v>480375</v>
      </c>
      <c r="AA14" s="123">
        <f>Neera!AA14</f>
        <v>480375</v>
      </c>
      <c r="AB14" s="123">
        <f>Neera!AB14</f>
        <v>480375</v>
      </c>
      <c r="AC14" s="129">
        <f t="shared" si="3"/>
        <v>7220296.3499999996</v>
      </c>
      <c r="AD14" s="123">
        <f t="shared" si="4"/>
        <v>-288626.34999999963</v>
      </c>
      <c r="AE14" s="192">
        <f t="shared" si="0"/>
        <v>-3.9974307979754826E-2</v>
      </c>
      <c r="AF14" s="133">
        <v>6401592.2499999991</v>
      </c>
      <c r="AG14" s="124">
        <f t="shared" si="1"/>
        <v>530077.75000000093</v>
      </c>
      <c r="AH14" s="124"/>
      <c r="AI14" s="124"/>
      <c r="AJ14" s="124"/>
      <c r="AL14" s="124"/>
    </row>
    <row r="15" spans="1:38">
      <c r="A15" s="105" t="s">
        <v>374</v>
      </c>
      <c r="B15" s="105" t="s">
        <v>383</v>
      </c>
      <c r="C15" s="105" t="s">
        <v>384</v>
      </c>
      <c r="D15" s="123">
        <f>Poolside!D14</f>
        <v>1464000</v>
      </c>
      <c r="E15" s="123">
        <f>Poolside!E14</f>
        <v>1244000</v>
      </c>
      <c r="F15" s="123">
        <f>Poolside!F14</f>
        <v>912000</v>
      </c>
      <c r="G15" s="123">
        <f>Poolside!G14</f>
        <v>785250</v>
      </c>
      <c r="H15" s="123">
        <f>Poolside!H14</f>
        <v>810900</v>
      </c>
      <c r="I15" s="123">
        <f>Poolside!I14</f>
        <v>756600</v>
      </c>
      <c r="J15" s="123">
        <f>Poolside!J14</f>
        <v>1177140</v>
      </c>
      <c r="K15" s="123">
        <f>Poolside!K14</f>
        <v>1225400</v>
      </c>
      <c r="L15" s="123">
        <f>Poolside!L14</f>
        <v>748000</v>
      </c>
      <c r="M15" s="123">
        <f>Poolside!M14</f>
        <v>815000</v>
      </c>
      <c r="N15" s="123">
        <f>Poolside!N14</f>
        <v>766400</v>
      </c>
      <c r="O15" s="123">
        <f>Poolside!O14</f>
        <v>1246250</v>
      </c>
      <c r="P15" s="133">
        <f t="shared" si="2"/>
        <v>11950940</v>
      </c>
      <c r="Q15" s="123">
        <f>Poolside!Q14</f>
        <v>1042221.58</v>
      </c>
      <c r="R15" s="123">
        <f>Poolside!R14</f>
        <v>1890061.3099999998</v>
      </c>
      <c r="S15" s="123">
        <f>Poolside!S14</f>
        <v>1019345.64</v>
      </c>
      <c r="T15" s="123">
        <f>Poolside!T14</f>
        <v>999548.21000000008</v>
      </c>
      <c r="U15" s="123">
        <f>Poolside!U14</f>
        <v>1043061.5599999999</v>
      </c>
      <c r="V15" s="123">
        <f>Poolside!V14</f>
        <v>904675.58000000007</v>
      </c>
      <c r="W15" s="123">
        <f>Poolside!W14</f>
        <v>1192291.54</v>
      </c>
      <c r="X15" s="123">
        <f>Poolside!X14</f>
        <v>1389601.37</v>
      </c>
      <c r="Y15" s="123">
        <f>Poolside!Y14</f>
        <v>600000</v>
      </c>
      <c r="Z15" s="123">
        <f>Poolside!Z14</f>
        <v>756500</v>
      </c>
      <c r="AA15" s="123">
        <f>Poolside!AA14</f>
        <v>694300</v>
      </c>
      <c r="AB15" s="123">
        <f>Poolside!AB14</f>
        <v>922650</v>
      </c>
      <c r="AC15" s="129">
        <f t="shared" si="3"/>
        <v>12454256.789999999</v>
      </c>
      <c r="AD15" s="123">
        <f t="shared" si="4"/>
        <v>-503316.78999999911</v>
      </c>
      <c r="AE15" s="192">
        <f t="shared" si="0"/>
        <v>-4.0413233682810482E-2</v>
      </c>
      <c r="AF15" s="133">
        <v>14144046</v>
      </c>
      <c r="AG15" s="124">
        <f t="shared" si="1"/>
        <v>-2193106</v>
      </c>
      <c r="AH15" s="124"/>
      <c r="AI15" s="124"/>
      <c r="AJ15" s="124"/>
      <c r="AL15" s="124"/>
    </row>
    <row r="16" spans="1:38">
      <c r="A16" s="105" t="s">
        <v>374</v>
      </c>
      <c r="B16" s="105" t="s">
        <v>385</v>
      </c>
      <c r="C16" s="105" t="s">
        <v>386</v>
      </c>
      <c r="D16" s="123">
        <f>'Cafe to Go'!D14</f>
        <v>202400</v>
      </c>
      <c r="E16" s="123">
        <f>'Cafe to Go'!E14</f>
        <v>288000</v>
      </c>
      <c r="F16" s="123">
        <f>'Cafe to Go'!F14</f>
        <v>173000</v>
      </c>
      <c r="G16" s="123">
        <f>'Cafe to Go'!G14</f>
        <v>115500</v>
      </c>
      <c r="H16" s="123">
        <f>'Cafe to Go'!H14</f>
        <v>125500</v>
      </c>
      <c r="I16" s="123">
        <f>'Cafe to Go'!I14</f>
        <v>102500</v>
      </c>
      <c r="J16" s="123">
        <f>'Cafe to Go'!J14</f>
        <v>172500</v>
      </c>
      <c r="K16" s="123">
        <f>'Cafe to Go'!K14</f>
        <v>190500</v>
      </c>
      <c r="L16" s="123">
        <f>'Cafe to Go'!L14</f>
        <v>100000</v>
      </c>
      <c r="M16" s="123">
        <f>'Cafe to Go'!M14</f>
        <v>159500</v>
      </c>
      <c r="N16" s="123">
        <f>'Cafe to Go'!N14</f>
        <v>116500</v>
      </c>
      <c r="O16" s="123">
        <f>'Cafe to Go'!O14</f>
        <v>129000</v>
      </c>
      <c r="P16" s="133">
        <f t="shared" si="2"/>
        <v>1874900</v>
      </c>
      <c r="Q16" s="123">
        <f>'Cafe to Go'!Q14</f>
        <v>157509.29999999999</v>
      </c>
      <c r="R16" s="123">
        <f>'Cafe to Go'!R14</f>
        <v>296331.99999999994</v>
      </c>
      <c r="S16" s="123">
        <f>'Cafe to Go'!S14</f>
        <v>166569.20000000001</v>
      </c>
      <c r="T16" s="123">
        <f>'Cafe to Go'!T14</f>
        <v>135571.48000000001</v>
      </c>
      <c r="U16" s="123">
        <f>'Cafe to Go'!U14</f>
        <v>121481.9</v>
      </c>
      <c r="V16" s="123">
        <f>'Cafe to Go'!V14</f>
        <v>104914.20000000001</v>
      </c>
      <c r="W16" s="123">
        <f>'Cafe to Go'!W14</f>
        <v>182982</v>
      </c>
      <c r="X16" s="123">
        <f>'Cafe to Go'!X14</f>
        <v>190500.40000000002</v>
      </c>
      <c r="Y16" s="123">
        <f>'Cafe to Go'!Y14</f>
        <v>100000</v>
      </c>
      <c r="Z16" s="123">
        <f>'Cafe to Go'!Z14</f>
        <v>159500</v>
      </c>
      <c r="AA16" s="123">
        <f>'Cafe to Go'!AA14</f>
        <v>116500</v>
      </c>
      <c r="AB16" s="123">
        <f>'Cafe to Go'!AB14</f>
        <v>129000</v>
      </c>
      <c r="AC16" s="129">
        <f t="shared" si="3"/>
        <v>1860860.48</v>
      </c>
      <c r="AD16" s="123">
        <f t="shared" si="4"/>
        <v>14039.520000000019</v>
      </c>
      <c r="AE16" s="192">
        <f t="shared" si="0"/>
        <v>7.5446387039183179E-3</v>
      </c>
      <c r="AF16" s="133">
        <v>1599186.0000000005</v>
      </c>
      <c r="AG16" s="124">
        <f t="shared" si="1"/>
        <v>275713.99999999953</v>
      </c>
      <c r="AH16" s="124"/>
      <c r="AI16" s="124"/>
      <c r="AJ16" s="124"/>
      <c r="AL16" s="124"/>
    </row>
    <row r="17" spans="1:38">
      <c r="A17" s="105" t="s">
        <v>374</v>
      </c>
      <c r="B17" s="105" t="s">
        <v>387</v>
      </c>
      <c r="C17" s="105" t="s">
        <v>388</v>
      </c>
      <c r="D17" s="123">
        <f>'Wet Republic'!D14</f>
        <v>0</v>
      </c>
      <c r="E17" s="123">
        <f>'Wet Republic'!E14</f>
        <v>0</v>
      </c>
      <c r="F17" s="123">
        <f>'Wet Republic'!F14</f>
        <v>0</v>
      </c>
      <c r="G17" s="123">
        <f>'Wet Republic'!G14</f>
        <v>0</v>
      </c>
      <c r="H17" s="123">
        <f>'Wet Republic'!H14</f>
        <v>0</v>
      </c>
      <c r="I17" s="123">
        <f>'Wet Republic'!I14</f>
        <v>0</v>
      </c>
      <c r="J17" s="123">
        <f>'Wet Republic'!J14</f>
        <v>0</v>
      </c>
      <c r="K17" s="123">
        <f>'Wet Republic'!K14</f>
        <v>0</v>
      </c>
      <c r="L17" s="123">
        <f>'Wet Republic'!L14</f>
        <v>0</v>
      </c>
      <c r="M17" s="123">
        <f>'Wet Republic'!M14</f>
        <v>0</v>
      </c>
      <c r="N17" s="123">
        <f>'Wet Republic'!N14</f>
        <v>0</v>
      </c>
      <c r="O17" s="123">
        <f>'Wet Republic'!O14</f>
        <v>0</v>
      </c>
      <c r="P17" s="133">
        <f t="shared" si="2"/>
        <v>0</v>
      </c>
      <c r="Q17" s="123">
        <f>'Wet Republic'!Q14</f>
        <v>0</v>
      </c>
      <c r="R17" s="123">
        <f>'Wet Republic'!R14</f>
        <v>0</v>
      </c>
      <c r="S17" s="123">
        <f>'Wet Republic'!S14</f>
        <v>0</v>
      </c>
      <c r="T17" s="123">
        <f>'Wet Republic'!T14</f>
        <v>0</v>
      </c>
      <c r="U17" s="123">
        <f>'Wet Republic'!U14</f>
        <v>0</v>
      </c>
      <c r="V17" s="123">
        <f>'Wet Republic'!V14</f>
        <v>0</v>
      </c>
      <c r="W17" s="123">
        <f>'Wet Republic'!W14</f>
        <v>0</v>
      </c>
      <c r="X17" s="123">
        <f>'Wet Republic'!X14</f>
        <v>0</v>
      </c>
      <c r="Y17" s="123">
        <f>'Wet Republic'!Y14</f>
        <v>0</v>
      </c>
      <c r="Z17" s="123">
        <f>'Wet Republic'!Z14</f>
        <v>0</v>
      </c>
      <c r="AA17" s="123">
        <f>'Wet Republic'!AA14</f>
        <v>0</v>
      </c>
      <c r="AB17" s="123">
        <f>'Wet Republic'!AB14</f>
        <v>0</v>
      </c>
      <c r="AC17" s="129">
        <f t="shared" si="3"/>
        <v>0</v>
      </c>
      <c r="AD17" s="123">
        <f t="shared" si="4"/>
        <v>0</v>
      </c>
      <c r="AE17" s="192" t="e">
        <f t="shared" si="0"/>
        <v>#DIV/0!</v>
      </c>
      <c r="AF17" s="133">
        <v>368734.66000000003</v>
      </c>
      <c r="AG17" s="124">
        <f t="shared" si="1"/>
        <v>-368734.66000000003</v>
      </c>
      <c r="AH17" s="124"/>
      <c r="AI17" s="124"/>
      <c r="AJ17" s="124"/>
      <c r="AL17" s="124"/>
    </row>
    <row r="18" spans="1:38">
      <c r="A18" s="105" t="s">
        <v>374</v>
      </c>
      <c r="B18" s="105" t="s">
        <v>389</v>
      </c>
      <c r="C18" s="105" t="s">
        <v>390</v>
      </c>
      <c r="D18" s="123">
        <f>'Lobby Lounge'!D14</f>
        <v>117250</v>
      </c>
      <c r="E18" s="123">
        <f>'Lobby Lounge'!E14</f>
        <v>159450</v>
      </c>
      <c r="F18" s="123">
        <f>'Lobby Lounge'!F14</f>
        <v>98935</v>
      </c>
      <c r="G18" s="123">
        <f>'Lobby Lounge'!G14</f>
        <v>98785</v>
      </c>
      <c r="H18" s="123">
        <f>'Lobby Lounge'!H14</f>
        <v>100495</v>
      </c>
      <c r="I18" s="123">
        <f>'Lobby Lounge'!I14</f>
        <v>91680</v>
      </c>
      <c r="J18" s="123">
        <f>'Lobby Lounge'!J14</f>
        <v>111205</v>
      </c>
      <c r="K18" s="123">
        <f>'Lobby Lounge'!K14</f>
        <v>128065</v>
      </c>
      <c r="L18" s="123">
        <f>'Lobby Lounge'!L14</f>
        <v>90645</v>
      </c>
      <c r="M18" s="123">
        <f>'Lobby Lounge'!M14</f>
        <v>95460</v>
      </c>
      <c r="N18" s="123">
        <f>'Lobby Lounge'!N14</f>
        <v>94225</v>
      </c>
      <c r="O18" s="123">
        <f>'Lobby Lounge'!O14</f>
        <v>90505</v>
      </c>
      <c r="P18" s="133">
        <f t="shared" si="2"/>
        <v>1276700</v>
      </c>
      <c r="Q18" s="123">
        <f>'Lobby Lounge'!Q14</f>
        <v>112695.90000000001</v>
      </c>
      <c r="R18" s="123">
        <f>'Lobby Lounge'!R14</f>
        <v>217883.76</v>
      </c>
      <c r="S18" s="123">
        <f>'Lobby Lounge'!S14</f>
        <v>91732.23000000001</v>
      </c>
      <c r="T18" s="123">
        <f>'Lobby Lounge'!T14</f>
        <v>107786.54000000001</v>
      </c>
      <c r="U18" s="123">
        <f>'Lobby Lounge'!U14</f>
        <v>87905.12</v>
      </c>
      <c r="V18" s="123">
        <f>'Lobby Lounge'!V14</f>
        <v>94188.799999999988</v>
      </c>
      <c r="W18" s="123">
        <f>'Lobby Lounge'!W14</f>
        <v>136381.24</v>
      </c>
      <c r="X18" s="123">
        <f>'Lobby Lounge'!X14</f>
        <v>153546.56</v>
      </c>
      <c r="Y18" s="123">
        <f>'Lobby Lounge'!Y14</f>
        <v>80299</v>
      </c>
      <c r="Z18" s="123">
        <f>'Lobby Lounge'!Z14</f>
        <v>95460</v>
      </c>
      <c r="AA18" s="123">
        <f>'Lobby Lounge'!AA14</f>
        <v>94225</v>
      </c>
      <c r="AB18" s="123">
        <f>'Lobby Lounge'!AB14</f>
        <v>90505</v>
      </c>
      <c r="AC18" s="129">
        <f t="shared" si="3"/>
        <v>1362609.1500000001</v>
      </c>
      <c r="AD18" s="123">
        <f t="shared" si="4"/>
        <v>-85909.15000000014</v>
      </c>
      <c r="AE18" s="192">
        <f t="shared" si="0"/>
        <v>-6.3047536412037253E-2</v>
      </c>
      <c r="AF18" s="133">
        <v>1536044.0700000003</v>
      </c>
      <c r="AG18" s="124">
        <f t="shared" si="1"/>
        <v>-259344.0700000003</v>
      </c>
      <c r="AH18" s="124"/>
      <c r="AI18" s="124"/>
      <c r="AJ18" s="124"/>
      <c r="AL18" s="124"/>
    </row>
    <row r="19" spans="1:38">
      <c r="A19" s="105" t="s">
        <v>374</v>
      </c>
      <c r="B19" s="105" t="s">
        <v>391</v>
      </c>
      <c r="C19" s="105" t="s">
        <v>392</v>
      </c>
      <c r="D19" s="123">
        <f>AOC!D14</f>
        <v>0</v>
      </c>
      <c r="E19" s="123">
        <f>AOC!E14</f>
        <v>0</v>
      </c>
      <c r="F19" s="123">
        <f>AOC!F14</f>
        <v>0</v>
      </c>
      <c r="G19" s="123">
        <f>AOC!G14</f>
        <v>0</v>
      </c>
      <c r="H19" s="123">
        <f>AOC!H14</f>
        <v>0</v>
      </c>
      <c r="I19" s="123">
        <f>AOC!I14</f>
        <v>0</v>
      </c>
      <c r="J19" s="123">
        <f>AOC!J14</f>
        <v>0</v>
      </c>
      <c r="K19" s="123">
        <f>AOC!K14</f>
        <v>0</v>
      </c>
      <c r="L19" s="123">
        <f>AOC!L14</f>
        <v>0</v>
      </c>
      <c r="M19" s="123">
        <f>AOC!M14</f>
        <v>0</v>
      </c>
      <c r="N19" s="123">
        <f>AOC!N14</f>
        <v>0</v>
      </c>
      <c r="O19" s="123">
        <f>AOC!O14</f>
        <v>0</v>
      </c>
      <c r="P19" s="133">
        <f t="shared" si="2"/>
        <v>0</v>
      </c>
      <c r="Q19" s="123">
        <f>AOC!Q14</f>
        <v>0</v>
      </c>
      <c r="R19" s="123">
        <f>AOC!R14</f>
        <v>0</v>
      </c>
      <c r="S19" s="123">
        <f>AOC!S14</f>
        <v>0</v>
      </c>
      <c r="T19" s="123">
        <f>AOC!T14</f>
        <v>0</v>
      </c>
      <c r="U19" s="123">
        <f>AOC!U14</f>
        <v>0</v>
      </c>
      <c r="V19" s="123">
        <f>AOC!V14</f>
        <v>0</v>
      </c>
      <c r="W19" s="123">
        <f>AOC!W14</f>
        <v>0</v>
      </c>
      <c r="X19" s="123">
        <f>AOC!X14</f>
        <v>0</v>
      </c>
      <c r="Y19" s="123">
        <f>AOC!Y14</f>
        <v>0</v>
      </c>
      <c r="Z19" s="123">
        <f>AOC!Z14</f>
        <v>0</v>
      </c>
      <c r="AA19" s="123">
        <f>AOC!AA14</f>
        <v>0</v>
      </c>
      <c r="AB19" s="123">
        <f>AOC!AB14</f>
        <v>0</v>
      </c>
      <c r="AC19" s="129">
        <f t="shared" si="3"/>
        <v>0</v>
      </c>
      <c r="AD19" s="123">
        <f t="shared" si="4"/>
        <v>0</v>
      </c>
      <c r="AE19" s="192" t="e">
        <f t="shared" si="0"/>
        <v>#DIV/0!</v>
      </c>
      <c r="AF19" s="133">
        <v>20047.099999999999</v>
      </c>
      <c r="AG19" s="124">
        <f t="shared" si="1"/>
        <v>-20047.099999999999</v>
      </c>
      <c r="AH19" s="124"/>
      <c r="AI19" s="124"/>
      <c r="AJ19" s="124"/>
      <c r="AL19" s="124"/>
    </row>
    <row r="20" spans="1:38">
      <c r="A20" s="105" t="s">
        <v>374</v>
      </c>
      <c r="B20" s="105" t="s">
        <v>393</v>
      </c>
      <c r="C20" s="106" t="s">
        <v>394</v>
      </c>
      <c r="D20" s="123">
        <f>'Bubble Bar'!D14</f>
        <v>147600</v>
      </c>
      <c r="E20" s="123">
        <f>'Bubble Bar'!E14</f>
        <v>176790</v>
      </c>
      <c r="F20" s="123">
        <f>'Bubble Bar'!F14</f>
        <v>119617</v>
      </c>
      <c r="G20" s="123">
        <f>'Bubble Bar'!G14</f>
        <v>110700</v>
      </c>
      <c r="H20" s="123">
        <f>'Bubble Bar'!H14</f>
        <v>133134</v>
      </c>
      <c r="I20" s="123">
        <f>'Bubble Bar'!I14</f>
        <v>106292</v>
      </c>
      <c r="J20" s="123">
        <f>'Bubble Bar'!J14</f>
        <v>143144</v>
      </c>
      <c r="K20" s="123">
        <f>'Bubble Bar'!K14</f>
        <v>141450</v>
      </c>
      <c r="L20" s="123">
        <f>'Bubble Bar'!L14</f>
        <v>117800</v>
      </c>
      <c r="M20" s="123">
        <f>'Bubble Bar'!M14</f>
        <v>120800</v>
      </c>
      <c r="N20" s="123">
        <f>'Bubble Bar'!N14</f>
        <v>104350</v>
      </c>
      <c r="O20" s="123">
        <f>'Bubble Bar'!O14</f>
        <v>137400</v>
      </c>
      <c r="P20" s="133">
        <f t="shared" si="2"/>
        <v>1559077</v>
      </c>
      <c r="Q20" s="123">
        <f>'Bubble Bar'!Q14</f>
        <v>114648.84000000001</v>
      </c>
      <c r="R20" s="123">
        <f>'Bubble Bar'!R14</f>
        <v>165929.37</v>
      </c>
      <c r="S20" s="123">
        <f>'Bubble Bar'!S14</f>
        <v>143571.37</v>
      </c>
      <c r="T20" s="123">
        <f>'Bubble Bar'!T14</f>
        <v>119711.94</v>
      </c>
      <c r="U20" s="123">
        <f>'Bubble Bar'!U14</f>
        <v>97617.68</v>
      </c>
      <c r="V20" s="123">
        <f>'Bubble Bar'!V14</f>
        <v>60109.66</v>
      </c>
      <c r="W20" s="123">
        <f>'Bubble Bar'!W14</f>
        <v>92077.839999999982</v>
      </c>
      <c r="X20" s="123">
        <f>'Bubble Bar'!X14</f>
        <v>141085.62</v>
      </c>
      <c r="Y20" s="123">
        <f>'Bubble Bar'!Y14</f>
        <v>126100</v>
      </c>
      <c r="Z20" s="123">
        <f>'Bubble Bar'!Z14</f>
        <v>122000</v>
      </c>
      <c r="AA20" s="123">
        <f>'Bubble Bar'!AA14</f>
        <v>105350</v>
      </c>
      <c r="AB20" s="123">
        <f>'Bubble Bar'!AB14</f>
        <v>129700</v>
      </c>
      <c r="AC20" s="129">
        <f t="shared" si="3"/>
        <v>1417902.3199999998</v>
      </c>
      <c r="AD20" s="123">
        <f t="shared" si="4"/>
        <v>141174.68000000017</v>
      </c>
      <c r="AE20" s="192">
        <f t="shared" si="0"/>
        <v>9.9565871364114975E-2</v>
      </c>
      <c r="AF20" s="133">
        <v>240739.69</v>
      </c>
      <c r="AG20" s="124">
        <f t="shared" si="1"/>
        <v>1318337.31</v>
      </c>
      <c r="AH20" s="124"/>
      <c r="AI20" s="124"/>
      <c r="AJ20" s="124"/>
      <c r="AL20" s="124"/>
    </row>
    <row r="21" spans="1:38">
      <c r="A21" s="105" t="s">
        <v>374</v>
      </c>
      <c r="B21" s="105" t="s">
        <v>395</v>
      </c>
      <c r="C21" s="105" t="s">
        <v>396</v>
      </c>
      <c r="D21" s="193">
        <f>Papillon!D14</f>
        <v>0</v>
      </c>
      <c r="E21" s="194">
        <f>Papillon!E14</f>
        <v>0</v>
      </c>
      <c r="F21" s="194">
        <f>Papillon!F14</f>
        <v>0</v>
      </c>
      <c r="G21" s="194">
        <f>Papillon!G14</f>
        <v>0</v>
      </c>
      <c r="H21" s="194">
        <f>Papillon!H14</f>
        <v>0</v>
      </c>
      <c r="I21" s="194">
        <f>Papillon!I14</f>
        <v>0</v>
      </c>
      <c r="J21" s="194">
        <f>Papillon!J14</f>
        <v>0</v>
      </c>
      <c r="K21" s="194">
        <f>Papillon!K14</f>
        <v>0</v>
      </c>
      <c r="L21" s="194">
        <f>Papillon!L14</f>
        <v>0</v>
      </c>
      <c r="M21" s="194">
        <f>Papillon!M14</f>
        <v>0</v>
      </c>
      <c r="N21" s="194">
        <f>Papillon!N14</f>
        <v>0</v>
      </c>
      <c r="O21" s="194">
        <f>Papillon!O14</f>
        <v>0</v>
      </c>
      <c r="P21" s="133">
        <f t="shared" si="2"/>
        <v>0</v>
      </c>
      <c r="Q21" s="194">
        <f>Papillon!Q14</f>
        <v>0</v>
      </c>
      <c r="R21" s="194">
        <f>Papillon!R14</f>
        <v>0</v>
      </c>
      <c r="S21" s="194">
        <f>Papillon!S14</f>
        <v>0</v>
      </c>
      <c r="T21" s="194">
        <f>Papillon!T14</f>
        <v>0</v>
      </c>
      <c r="U21" s="194">
        <f>Papillon!U14</f>
        <v>0</v>
      </c>
      <c r="V21" s="194">
        <f>Papillon!V14</f>
        <v>0</v>
      </c>
      <c r="W21" s="194">
        <f>Papillon!W14</f>
        <v>0</v>
      </c>
      <c r="X21" s="194">
        <f>Papillon!X14</f>
        <v>0</v>
      </c>
      <c r="Y21" s="194">
        <f>Papillon!Y14</f>
        <v>0</v>
      </c>
      <c r="Z21" s="194">
        <f>Papillon!Z14</f>
        <v>0</v>
      </c>
      <c r="AA21" s="194">
        <f>Papillon!AA14</f>
        <v>0</v>
      </c>
      <c r="AB21" s="194">
        <f>Papillon!AB14</f>
        <v>0</v>
      </c>
      <c r="AC21" s="129">
        <f t="shared" si="3"/>
        <v>0</v>
      </c>
      <c r="AD21" s="123">
        <f t="shared" si="4"/>
        <v>0</v>
      </c>
      <c r="AE21" s="192" t="e">
        <f t="shared" si="0"/>
        <v>#DIV/0!</v>
      </c>
      <c r="AF21" s="133">
        <v>0.49000000001455191</v>
      </c>
      <c r="AG21" s="124">
        <f t="shared" si="1"/>
        <v>-0.49000000001455191</v>
      </c>
      <c r="AH21" s="124"/>
      <c r="AI21" s="124"/>
      <c r="AJ21" s="124"/>
      <c r="AL21" s="124"/>
    </row>
    <row r="22" spans="1:38">
      <c r="A22" s="105" t="s">
        <v>374</v>
      </c>
      <c r="B22" s="105" t="s">
        <v>397</v>
      </c>
      <c r="C22" s="105" t="s">
        <v>398</v>
      </c>
      <c r="D22" s="123">
        <f>'Room Service'!D14</f>
        <v>186600</v>
      </c>
      <c r="E22" s="123">
        <f>'Room Service'!E14</f>
        <v>234700</v>
      </c>
      <c r="F22" s="123">
        <f>'Room Service'!F14</f>
        <v>147400</v>
      </c>
      <c r="G22" s="123">
        <f>'Room Service'!G14</f>
        <v>126460</v>
      </c>
      <c r="H22" s="123">
        <f>'Room Service'!H14</f>
        <v>120960</v>
      </c>
      <c r="I22" s="123">
        <f>'Room Service'!I14</f>
        <v>118460</v>
      </c>
      <c r="J22" s="123">
        <f>'Room Service'!J14</f>
        <v>135650</v>
      </c>
      <c r="K22" s="123">
        <f>'Room Service'!K14</f>
        <v>144400</v>
      </c>
      <c r="L22" s="123">
        <f>'Room Service'!L14</f>
        <v>135660</v>
      </c>
      <c r="M22" s="123">
        <f>'Room Service'!M14</f>
        <v>159460</v>
      </c>
      <c r="N22" s="123">
        <f>'Room Service'!N14</f>
        <v>162400</v>
      </c>
      <c r="O22" s="123">
        <f>'Room Service'!O14</f>
        <v>196650</v>
      </c>
      <c r="P22" s="133">
        <f t="shared" si="2"/>
        <v>1868800</v>
      </c>
      <c r="Q22" s="123">
        <f>'Room Service'!Q14</f>
        <v>184202.55</v>
      </c>
      <c r="R22" s="123">
        <f>'Room Service'!R14</f>
        <v>235490.38999999998</v>
      </c>
      <c r="S22" s="123">
        <f>'Room Service'!S14</f>
        <v>151109.97000000003</v>
      </c>
      <c r="T22" s="123">
        <f>'Room Service'!T14</f>
        <v>142137.10999999999</v>
      </c>
      <c r="U22" s="123">
        <f>'Room Service'!U14</f>
        <v>137033.03</v>
      </c>
      <c r="V22" s="123">
        <f>'Room Service'!V14</f>
        <v>112987.77</v>
      </c>
      <c r="W22" s="123">
        <f>'Room Service'!W14</f>
        <v>143120.01</v>
      </c>
      <c r="X22" s="123">
        <f>'Room Service'!X14</f>
        <v>135568.79</v>
      </c>
      <c r="Y22" s="123">
        <f>'Room Service'!Y14</f>
        <v>135660</v>
      </c>
      <c r="Z22" s="123">
        <f>'Room Service'!Z14</f>
        <v>159460</v>
      </c>
      <c r="AA22" s="123">
        <f>'Room Service'!AA14</f>
        <v>162400</v>
      </c>
      <c r="AB22" s="123">
        <f>'Room Service'!AB14</f>
        <v>196650</v>
      </c>
      <c r="AC22" s="129">
        <f t="shared" si="3"/>
        <v>1895819.62</v>
      </c>
      <c r="AD22" s="123">
        <f t="shared" si="4"/>
        <v>-27019.620000000112</v>
      </c>
      <c r="AE22" s="192">
        <f t="shared" si="0"/>
        <v>-1.425221034477959E-2</v>
      </c>
      <c r="AF22" s="133">
        <v>2778341.9499999993</v>
      </c>
      <c r="AG22" s="124">
        <f t="shared" si="1"/>
        <v>-909541.94999999925</v>
      </c>
      <c r="AH22" s="124"/>
      <c r="AI22" s="124"/>
      <c r="AJ22" s="124"/>
      <c r="AL22" s="124"/>
    </row>
    <row r="23" spans="1:38">
      <c r="A23" s="105" t="s">
        <v>374</v>
      </c>
      <c r="B23" s="105" t="s">
        <v>399</v>
      </c>
      <c r="C23" s="106" t="s">
        <v>400</v>
      </c>
      <c r="D23" s="123">
        <f>Banquet!D14</f>
        <v>185000</v>
      </c>
      <c r="E23" s="123">
        <f>Banquet!E14</f>
        <v>26500</v>
      </c>
      <c r="F23" s="123">
        <f>Banquet!F14</f>
        <v>217500</v>
      </c>
      <c r="G23" s="123">
        <f>Banquet!G14</f>
        <v>217500</v>
      </c>
      <c r="H23" s="123">
        <f>Banquet!H14</f>
        <v>182500</v>
      </c>
      <c r="I23" s="123">
        <f>Banquet!I14</f>
        <v>200000</v>
      </c>
      <c r="J23" s="123">
        <f>Banquet!J14</f>
        <v>105000</v>
      </c>
      <c r="K23" s="123">
        <f>Banquet!K14</f>
        <v>105000</v>
      </c>
      <c r="L23" s="123">
        <f>Banquet!L14</f>
        <v>270000</v>
      </c>
      <c r="M23" s="123">
        <f>Banquet!M14</f>
        <v>570000</v>
      </c>
      <c r="N23" s="123">
        <f>Banquet!N14</f>
        <v>770000</v>
      </c>
      <c r="O23" s="123">
        <f>Banquet!O14</f>
        <v>800000</v>
      </c>
      <c r="P23" s="133">
        <f t="shared" si="2"/>
        <v>3649000</v>
      </c>
      <c r="Q23" s="123">
        <f>Banquet!Q14</f>
        <v>155529.4</v>
      </c>
      <c r="R23" s="123">
        <f>Banquet!R14</f>
        <v>22415.200000000001</v>
      </c>
      <c r="S23" s="123">
        <f>Banquet!S14</f>
        <v>153279.79999999999</v>
      </c>
      <c r="T23" s="123">
        <f>Banquet!T14</f>
        <v>147465.09999999998</v>
      </c>
      <c r="U23" s="123">
        <f>Banquet!U14</f>
        <v>195360.9</v>
      </c>
      <c r="V23" s="123">
        <f>Banquet!V14</f>
        <v>101196.01</v>
      </c>
      <c r="W23" s="123">
        <f>Banquet!W14</f>
        <v>65012.5</v>
      </c>
      <c r="X23" s="123">
        <f>Banquet!X14</f>
        <v>0</v>
      </c>
      <c r="Y23" s="123">
        <f>Banquet!Y14</f>
        <v>270000</v>
      </c>
      <c r="Z23" s="123">
        <f>Banquet!Z14</f>
        <v>430000</v>
      </c>
      <c r="AA23" s="123">
        <f>Banquet!AA14</f>
        <v>565000</v>
      </c>
      <c r="AB23" s="123">
        <f>Banquet!AB14</f>
        <v>589500</v>
      </c>
      <c r="AC23" s="129">
        <f t="shared" si="3"/>
        <v>2694758.91</v>
      </c>
      <c r="AD23" s="123">
        <f t="shared" si="4"/>
        <v>954241.08999999985</v>
      </c>
      <c r="AE23" s="192">
        <f t="shared" si="0"/>
        <v>0.35411000459406583</v>
      </c>
      <c r="AF23" s="133">
        <v>3189197.34</v>
      </c>
      <c r="AG23" s="124">
        <f t="shared" si="1"/>
        <v>459802.66000000015</v>
      </c>
      <c r="AH23" s="124"/>
      <c r="AI23" s="124"/>
      <c r="AJ23" s="124"/>
      <c r="AL23" s="124"/>
    </row>
    <row r="24" spans="1:38">
      <c r="A24" s="105" t="s">
        <v>273</v>
      </c>
      <c r="C24" s="105" t="s">
        <v>401</v>
      </c>
      <c r="D24" s="133">
        <f>SUM(D9:D23)</f>
        <v>8436000</v>
      </c>
      <c r="E24" s="133">
        <f t="shared" ref="E24:AD24" si="5">SUM(E9:E23)</f>
        <v>7572870</v>
      </c>
      <c r="F24" s="133">
        <f t="shared" si="5"/>
        <v>5589117</v>
      </c>
      <c r="G24" s="133">
        <f t="shared" si="5"/>
        <v>5227295</v>
      </c>
      <c r="H24" s="133">
        <f t="shared" si="5"/>
        <v>5293989</v>
      </c>
      <c r="I24" s="133">
        <f t="shared" si="5"/>
        <v>4774777</v>
      </c>
      <c r="J24" s="133">
        <f t="shared" si="5"/>
        <v>6743259</v>
      </c>
      <c r="K24" s="133">
        <f t="shared" si="5"/>
        <v>7014500</v>
      </c>
      <c r="L24" s="133">
        <f t="shared" si="5"/>
        <v>4817565</v>
      </c>
      <c r="M24" s="133">
        <f t="shared" si="5"/>
        <v>5653689</v>
      </c>
      <c r="N24" s="133">
        <f t="shared" si="5"/>
        <v>5650170</v>
      </c>
      <c r="O24" s="133">
        <f t="shared" si="5"/>
        <v>6809416</v>
      </c>
      <c r="P24" s="133">
        <f t="shared" si="5"/>
        <v>73582647</v>
      </c>
      <c r="Q24" s="133">
        <f t="shared" si="5"/>
        <v>7112573.040000001</v>
      </c>
      <c r="R24" s="133">
        <f t="shared" si="5"/>
        <v>10383870.879999999</v>
      </c>
      <c r="S24" s="133">
        <f t="shared" si="5"/>
        <v>6402860.2600000007</v>
      </c>
      <c r="T24" s="133">
        <f t="shared" si="5"/>
        <v>5858921.4600000009</v>
      </c>
      <c r="U24" s="133">
        <f t="shared" si="5"/>
        <v>5531888.3900000006</v>
      </c>
      <c r="V24" s="133">
        <f t="shared" si="5"/>
        <v>5094278.8899999997</v>
      </c>
      <c r="W24" s="133">
        <f t="shared" si="5"/>
        <v>6701142.5499999998</v>
      </c>
      <c r="X24" s="133">
        <f t="shared" si="5"/>
        <v>7190069.9399999995</v>
      </c>
      <c r="Y24" s="133">
        <f>SUM(Y9:Y23)</f>
        <v>3835370</v>
      </c>
      <c r="Z24" s="133">
        <f>SUM(Z9:Z23)</f>
        <v>5248695</v>
      </c>
      <c r="AA24" s="133">
        <f>SUM(AA9:AA23)</f>
        <v>5069550</v>
      </c>
      <c r="AB24" s="133">
        <f>SUM(AB9:AB23)</f>
        <v>5885380</v>
      </c>
      <c r="AC24" s="133">
        <f>SUM(AC9:AC23)</f>
        <v>74314600.409999996</v>
      </c>
      <c r="AD24" s="133">
        <f t="shared" si="5"/>
        <v>-731953.40999999526</v>
      </c>
      <c r="AE24" s="192">
        <f t="shared" si="0"/>
        <v>-9.8493890293663133E-3</v>
      </c>
      <c r="AF24" s="133">
        <v>79827749.99999997</v>
      </c>
      <c r="AG24" s="124">
        <f t="shared" si="1"/>
        <v>-6245102.9999999702</v>
      </c>
      <c r="AH24" s="124"/>
      <c r="AI24" s="124"/>
      <c r="AJ24" s="124"/>
      <c r="AL24" s="124"/>
    </row>
    <row r="25" spans="1:38">
      <c r="A25" s="105" t="s">
        <v>273</v>
      </c>
      <c r="C25" s="105" t="s">
        <v>154</v>
      </c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3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33"/>
      <c r="AD25" s="123"/>
      <c r="AE25" s="192" t="e">
        <f t="shared" si="0"/>
        <v>#DIV/0!</v>
      </c>
      <c r="AF25" s="133"/>
      <c r="AG25" s="124">
        <f t="shared" si="1"/>
        <v>0</v>
      </c>
      <c r="AH25" s="124"/>
      <c r="AI25" s="124"/>
      <c r="AJ25" s="124"/>
      <c r="AL25" s="124"/>
    </row>
    <row r="26" spans="1:38">
      <c r="A26" s="105" t="s">
        <v>273</v>
      </c>
      <c r="C26" s="105" t="s">
        <v>402</v>
      </c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3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33"/>
      <c r="AD26" s="123"/>
      <c r="AE26" s="192" t="e">
        <f t="shared" si="0"/>
        <v>#DIV/0!</v>
      </c>
      <c r="AF26" s="133"/>
      <c r="AG26" s="124">
        <f t="shared" si="1"/>
        <v>0</v>
      </c>
      <c r="AH26" s="124"/>
      <c r="AI26" s="124"/>
      <c r="AJ26" s="124"/>
      <c r="AL26" s="124"/>
    </row>
    <row r="27" spans="1:38">
      <c r="A27" s="105" t="s">
        <v>273</v>
      </c>
      <c r="C27" s="105" t="s">
        <v>371</v>
      </c>
      <c r="D27" s="123" t="s">
        <v>372</v>
      </c>
      <c r="E27" s="123" t="s">
        <v>372</v>
      </c>
      <c r="F27" s="123" t="s">
        <v>372</v>
      </c>
      <c r="G27" s="123" t="s">
        <v>372</v>
      </c>
      <c r="H27" s="123" t="s">
        <v>372</v>
      </c>
      <c r="I27" s="123" t="s">
        <v>372</v>
      </c>
      <c r="J27" s="123" t="s">
        <v>372</v>
      </c>
      <c r="K27" s="123" t="s">
        <v>372</v>
      </c>
      <c r="L27" s="123" t="s">
        <v>372</v>
      </c>
      <c r="M27" s="123" t="s">
        <v>372</v>
      </c>
      <c r="N27" s="123" t="s">
        <v>372</v>
      </c>
      <c r="O27" s="123" t="s">
        <v>372</v>
      </c>
      <c r="P27" s="133" t="s">
        <v>372</v>
      </c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9">
        <f t="shared" ref="AC27:AC41" si="6">SUM(Q27:AB27)</f>
        <v>0</v>
      </c>
      <c r="AD27" s="123" t="e">
        <f t="shared" ref="AD27:AD42" si="7">P27-AC27</f>
        <v>#VALUE!</v>
      </c>
      <c r="AE27" s="192" t="e">
        <f t="shared" si="0"/>
        <v>#VALUE!</v>
      </c>
      <c r="AF27" s="133">
        <v>0</v>
      </c>
      <c r="AH27" s="124"/>
      <c r="AI27" s="124"/>
      <c r="AJ27" s="124"/>
      <c r="AL27" s="124"/>
    </row>
    <row r="28" spans="1:38">
      <c r="A28" s="105" t="s">
        <v>273</v>
      </c>
      <c r="C28" s="105" t="s">
        <v>373</v>
      </c>
      <c r="D28" s="123" t="s">
        <v>372</v>
      </c>
      <c r="E28" s="123" t="s">
        <v>372</v>
      </c>
      <c r="F28" s="123" t="s">
        <v>372</v>
      </c>
      <c r="G28" s="123" t="s">
        <v>372</v>
      </c>
      <c r="H28" s="123" t="s">
        <v>372</v>
      </c>
      <c r="I28" s="123" t="s">
        <v>372</v>
      </c>
      <c r="J28" s="123" t="s">
        <v>372</v>
      </c>
      <c r="K28" s="123" t="s">
        <v>372</v>
      </c>
      <c r="L28" s="123" t="s">
        <v>372</v>
      </c>
      <c r="M28" s="123" t="s">
        <v>372</v>
      </c>
      <c r="N28" s="123" t="s">
        <v>372</v>
      </c>
      <c r="O28" s="123" t="s">
        <v>372</v>
      </c>
      <c r="P28" s="133" t="s">
        <v>372</v>
      </c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9">
        <f t="shared" si="6"/>
        <v>0</v>
      </c>
      <c r="AD28" s="123" t="e">
        <f t="shared" si="7"/>
        <v>#VALUE!</v>
      </c>
      <c r="AE28" s="192" t="e">
        <f t="shared" si="0"/>
        <v>#VALUE!</v>
      </c>
      <c r="AF28" s="133">
        <v>0</v>
      </c>
      <c r="AH28" s="124"/>
      <c r="AI28" s="124"/>
      <c r="AJ28" s="124"/>
      <c r="AL28" s="124"/>
    </row>
    <row r="29" spans="1:38">
      <c r="A29" s="105" t="s">
        <v>403</v>
      </c>
      <c r="B29" s="105" t="s">
        <v>375</v>
      </c>
      <c r="C29" s="105" t="s">
        <v>376</v>
      </c>
      <c r="D29" s="123">
        <f>'Hai Tang'!D22</f>
        <v>0</v>
      </c>
      <c r="E29" s="123">
        <f>'Hai Tang'!E22</f>
        <v>0</v>
      </c>
      <c r="F29" s="123">
        <f>'Hai Tang'!F22</f>
        <v>0</v>
      </c>
      <c r="G29" s="123">
        <f>'Hai Tang'!G22</f>
        <v>0</v>
      </c>
      <c r="H29" s="123">
        <f>'Hai Tang'!H22</f>
        <v>0</v>
      </c>
      <c r="I29" s="123">
        <f>'Hai Tang'!I22</f>
        <v>0</v>
      </c>
      <c r="J29" s="123">
        <f>'Hai Tang'!J22</f>
        <v>0</v>
      </c>
      <c r="K29" s="123">
        <f>'Hai Tang'!K22</f>
        <v>0</v>
      </c>
      <c r="L29" s="123">
        <f>'Hai Tang'!L22</f>
        <v>0</v>
      </c>
      <c r="M29" s="123">
        <f>'Hai Tang'!M22</f>
        <v>0</v>
      </c>
      <c r="N29" s="123">
        <f>'Hai Tang'!N22</f>
        <v>0</v>
      </c>
      <c r="O29" s="123">
        <f>'Hai Tang'!O22</f>
        <v>0</v>
      </c>
      <c r="P29" s="133" t="s">
        <v>372</v>
      </c>
      <c r="Q29" s="123">
        <f>'Hai Tang'!Q22</f>
        <v>0</v>
      </c>
      <c r="R29" s="123">
        <f>'Hai Tang'!R22</f>
        <v>0</v>
      </c>
      <c r="S29" s="123">
        <f>'Hai Tang'!S22</f>
        <v>0</v>
      </c>
      <c r="T29" s="123">
        <f>'Hai Tang'!T22</f>
        <v>0</v>
      </c>
      <c r="U29" s="123">
        <f>'Hai Tang'!U22</f>
        <v>0</v>
      </c>
      <c r="V29" s="123">
        <f>'Hai Tang'!V22</f>
        <v>0</v>
      </c>
      <c r="W29" s="123">
        <f>'Hai Tang'!W22</f>
        <v>0</v>
      </c>
      <c r="X29" s="123">
        <f>'Hai Tang'!X22</f>
        <v>0</v>
      </c>
      <c r="Y29" s="123">
        <f>'Hai Tang'!Y22</f>
        <v>0</v>
      </c>
      <c r="Z29" s="123">
        <f>'Hai Tang'!Z22</f>
        <v>0</v>
      </c>
      <c r="AA29" s="123">
        <f>'Hai Tang'!AA22</f>
        <v>0</v>
      </c>
      <c r="AB29" s="123">
        <f>'Hai Tang'!AB22</f>
        <v>0</v>
      </c>
      <c r="AC29" s="129">
        <f t="shared" si="6"/>
        <v>0</v>
      </c>
      <c r="AD29" s="123" t="e">
        <f t="shared" si="7"/>
        <v>#VALUE!</v>
      </c>
      <c r="AE29" s="192" t="e">
        <f t="shared" si="0"/>
        <v>#VALUE!</v>
      </c>
      <c r="AF29" s="133">
        <v>0</v>
      </c>
      <c r="AH29" s="124"/>
      <c r="AI29" s="124"/>
      <c r="AJ29" s="124"/>
      <c r="AL29" s="124"/>
    </row>
    <row r="30" spans="1:38">
      <c r="A30" s="105" t="s">
        <v>403</v>
      </c>
      <c r="B30" s="105" t="s">
        <v>377</v>
      </c>
      <c r="C30" s="105" t="s">
        <v>378</v>
      </c>
      <c r="D30" s="123">
        <f>'Pin Ju'!D22</f>
        <v>10000</v>
      </c>
      <c r="E30" s="123">
        <f>'Pin Ju'!E22</f>
        <v>40000</v>
      </c>
      <c r="F30" s="123">
        <f>'Pin Ju'!F22</f>
        <v>8000</v>
      </c>
      <c r="G30" s="123">
        <f>'Pin Ju'!G22</f>
        <v>8000</v>
      </c>
      <c r="H30" s="123">
        <f>'Pin Ju'!H22</f>
        <v>8000</v>
      </c>
      <c r="I30" s="123">
        <f>'Pin Ju'!I22</f>
        <v>8000</v>
      </c>
      <c r="J30" s="123">
        <f>'Pin Ju'!J22</f>
        <v>10000</v>
      </c>
      <c r="K30" s="123">
        <f>'Pin Ju'!K22</f>
        <v>10000</v>
      </c>
      <c r="L30" s="123">
        <f>'Pin Ju'!L22</f>
        <v>8000</v>
      </c>
      <c r="M30" s="123">
        <f>'Pin Ju'!M22</f>
        <v>11000</v>
      </c>
      <c r="N30" s="123">
        <f>'Pin Ju'!N22</f>
        <v>11000</v>
      </c>
      <c r="O30" s="123">
        <f>'Pin Ju'!O22</f>
        <v>11000</v>
      </c>
      <c r="P30" s="133">
        <f t="shared" ref="P30:P41" si="8">SUM(D30:O30)</f>
        <v>143000</v>
      </c>
      <c r="Q30" s="123">
        <f>'Pin Ju'!Q22</f>
        <v>10792</v>
      </c>
      <c r="R30" s="123">
        <f>'Pin Ju'!R22</f>
        <v>44743.799999999996</v>
      </c>
      <c r="S30" s="123">
        <f>'Pin Ju'!S22</f>
        <v>6826</v>
      </c>
      <c r="T30" s="123">
        <f>'Pin Ju'!T22</f>
        <v>5094.8999999999996</v>
      </c>
      <c r="U30" s="123">
        <f>'Pin Ju'!U22</f>
        <v>5330.1</v>
      </c>
      <c r="V30" s="123">
        <f>'Pin Ju'!V22</f>
        <v>3552.6000000000004</v>
      </c>
      <c r="W30" s="123">
        <f>'Pin Ju'!W22</f>
        <v>8507.2000000000007</v>
      </c>
      <c r="X30" s="123">
        <f>'Pin Ju'!X22</f>
        <v>8429.4</v>
      </c>
      <c r="Y30" s="123">
        <f>'Pin Ju'!Y22</f>
        <v>8000</v>
      </c>
      <c r="Z30" s="123">
        <f>'Pin Ju'!Z22</f>
        <v>11000</v>
      </c>
      <c r="AA30" s="123">
        <f>'Pin Ju'!AA22</f>
        <v>11000</v>
      </c>
      <c r="AB30" s="123">
        <f>'Pin Ju'!AB22</f>
        <v>11000</v>
      </c>
      <c r="AC30" s="129">
        <f t="shared" si="6"/>
        <v>134276</v>
      </c>
      <c r="AD30" s="123">
        <f t="shared" si="7"/>
        <v>8724</v>
      </c>
      <c r="AE30" s="192">
        <f t="shared" si="0"/>
        <v>6.4970657451815669E-2</v>
      </c>
      <c r="AF30" s="133">
        <v>237060.58999999997</v>
      </c>
      <c r="AG30" s="124">
        <f t="shared" ref="AG30:AG49" si="9">P30-AF30</f>
        <v>-94060.589999999967</v>
      </c>
      <c r="AH30" s="124"/>
      <c r="AI30" s="124"/>
      <c r="AJ30" s="124"/>
      <c r="AL30" s="124"/>
    </row>
    <row r="31" spans="1:38">
      <c r="A31" s="105" t="s">
        <v>403</v>
      </c>
      <c r="B31" s="105" t="s">
        <v>379</v>
      </c>
      <c r="C31" s="105" t="s">
        <v>380</v>
      </c>
      <c r="D31" s="123">
        <f>Silk!D22</f>
        <v>13000</v>
      </c>
      <c r="E31" s="123">
        <f>Silk!E22</f>
        <v>140000</v>
      </c>
      <c r="F31" s="123">
        <f>Silk!F22</f>
        <v>8000</v>
      </c>
      <c r="G31" s="123">
        <f>Silk!G22</f>
        <v>8000</v>
      </c>
      <c r="H31" s="123">
        <f>Silk!H22</f>
        <v>8000</v>
      </c>
      <c r="I31" s="123">
        <f>Silk!I22</f>
        <v>8000</v>
      </c>
      <c r="J31" s="123">
        <f>Silk!J22</f>
        <v>10000</v>
      </c>
      <c r="K31" s="123">
        <f>Silk!K22</f>
        <v>10000</v>
      </c>
      <c r="L31" s="123">
        <f>Silk!L22</f>
        <v>8000</v>
      </c>
      <c r="M31" s="123">
        <f>Silk!M22</f>
        <v>10000</v>
      </c>
      <c r="N31" s="123">
        <f>Silk!N22</f>
        <v>10000</v>
      </c>
      <c r="O31" s="123">
        <f>Silk!O22</f>
        <v>11000</v>
      </c>
      <c r="P31" s="133">
        <f t="shared" si="8"/>
        <v>244000</v>
      </c>
      <c r="Q31" s="123">
        <f>Silk!Q22</f>
        <v>20838.400000000001</v>
      </c>
      <c r="R31" s="123">
        <f>Silk!R22</f>
        <v>126664.8</v>
      </c>
      <c r="S31" s="123">
        <f>Silk!S22</f>
        <v>9032.7999999999993</v>
      </c>
      <c r="T31" s="123">
        <f>Silk!T22</f>
        <v>7946</v>
      </c>
      <c r="U31" s="123">
        <f>Silk!U22</f>
        <v>6486</v>
      </c>
      <c r="V31" s="123">
        <f>Silk!V22</f>
        <v>5318.7</v>
      </c>
      <c r="W31" s="123">
        <f>Silk!W22</f>
        <v>10701</v>
      </c>
      <c r="X31" s="123">
        <f>Silk!X22</f>
        <v>5978.0999999999995</v>
      </c>
      <c r="Y31" s="123">
        <f>Silk!Y22</f>
        <v>8000</v>
      </c>
      <c r="Z31" s="123">
        <f>Silk!Z22</f>
        <v>10000</v>
      </c>
      <c r="AA31" s="123">
        <f>Silk!AA22</f>
        <v>10000</v>
      </c>
      <c r="AB31" s="123">
        <f>Silk!AB22</f>
        <v>11000</v>
      </c>
      <c r="AC31" s="129">
        <f t="shared" si="6"/>
        <v>231965.80000000002</v>
      </c>
      <c r="AD31" s="123">
        <f t="shared" si="7"/>
        <v>12034.199999999983</v>
      </c>
      <c r="AE31" s="192">
        <f t="shared" si="0"/>
        <v>5.1879199433709548E-2</v>
      </c>
      <c r="AF31" s="133">
        <v>343561.39</v>
      </c>
      <c r="AG31" s="124">
        <f t="shared" si="9"/>
        <v>-99561.390000000014</v>
      </c>
      <c r="AH31" s="124"/>
      <c r="AI31" s="124"/>
      <c r="AJ31" s="124"/>
      <c r="AL31" s="124"/>
    </row>
    <row r="32" spans="1:38">
      <c r="A32" s="105" t="s">
        <v>403</v>
      </c>
      <c r="B32" s="105" t="s">
        <v>381</v>
      </c>
      <c r="C32" s="105" t="s">
        <v>382</v>
      </c>
      <c r="D32" s="123">
        <f>Neera!D22</f>
        <v>16000</v>
      </c>
      <c r="E32" s="123">
        <f>Neera!E22</f>
        <v>20000</v>
      </c>
      <c r="F32" s="123">
        <f>Neera!F22</f>
        <v>17000</v>
      </c>
      <c r="G32" s="123">
        <f>Neera!G22</f>
        <v>16000</v>
      </c>
      <c r="H32" s="123">
        <f>Neera!H22</f>
        <v>16000</v>
      </c>
      <c r="I32" s="123">
        <f>Neera!I22</f>
        <v>15000</v>
      </c>
      <c r="J32" s="123">
        <f>Neera!J22</f>
        <v>16000</v>
      </c>
      <c r="K32" s="123">
        <f>Neera!K22</f>
        <v>16000</v>
      </c>
      <c r="L32" s="123">
        <f>Neera!L22</f>
        <v>16000</v>
      </c>
      <c r="M32" s="123">
        <f>Neera!M22</f>
        <v>18000</v>
      </c>
      <c r="N32" s="123">
        <f>Neera!N22</f>
        <v>17000</v>
      </c>
      <c r="O32" s="123">
        <f>Neera!O22</f>
        <v>17661</v>
      </c>
      <c r="P32" s="133">
        <f t="shared" si="8"/>
        <v>200661</v>
      </c>
      <c r="Q32" s="123">
        <f>Neera!Q22</f>
        <v>14073.7</v>
      </c>
      <c r="R32" s="123">
        <f>Neera!R22</f>
        <v>43668.7</v>
      </c>
      <c r="S32" s="123">
        <f>Neera!S22</f>
        <v>14436.8</v>
      </c>
      <c r="T32" s="123">
        <f>Neera!T22</f>
        <v>15694</v>
      </c>
      <c r="U32" s="123">
        <f>Neera!U22</f>
        <v>7276.5</v>
      </c>
      <c r="V32" s="123">
        <f>Neera!V22</f>
        <v>7089.3</v>
      </c>
      <c r="W32" s="123">
        <f>Neera!W22</f>
        <v>9519.7999999999993</v>
      </c>
      <c r="X32" s="123">
        <f>Neera!X22</f>
        <v>12652.8</v>
      </c>
      <c r="Y32" s="123">
        <f>Neera!Y22</f>
        <v>6397</v>
      </c>
      <c r="Z32" s="123">
        <f>Neera!Z22</f>
        <v>18000</v>
      </c>
      <c r="AA32" s="123">
        <f>Neera!AA22</f>
        <v>17000</v>
      </c>
      <c r="AB32" s="123">
        <f>Neera!AB22</f>
        <v>17661</v>
      </c>
      <c r="AC32" s="129">
        <f t="shared" si="6"/>
        <v>183469.6</v>
      </c>
      <c r="AD32" s="123">
        <f t="shared" si="7"/>
        <v>17191.399999999994</v>
      </c>
      <c r="AE32" s="192">
        <f t="shared" si="0"/>
        <v>9.3701626863523943E-2</v>
      </c>
      <c r="AF32" s="133">
        <v>273205.37000000005</v>
      </c>
      <c r="AG32" s="124">
        <f t="shared" si="9"/>
        <v>-72544.370000000054</v>
      </c>
      <c r="AH32" s="124"/>
      <c r="AI32" s="124"/>
      <c r="AJ32" s="124"/>
      <c r="AL32" s="124"/>
    </row>
    <row r="33" spans="1:38">
      <c r="A33" s="105" t="s">
        <v>403</v>
      </c>
      <c r="B33" s="105" t="s">
        <v>383</v>
      </c>
      <c r="C33" s="105" t="s">
        <v>384</v>
      </c>
      <c r="D33" s="123">
        <f>Poolside!D22</f>
        <v>124350</v>
      </c>
      <c r="E33" s="123">
        <f>Poolside!E22</f>
        <v>156663</v>
      </c>
      <c r="F33" s="123">
        <f>Poolside!F22</f>
        <v>103638</v>
      </c>
      <c r="G33" s="123">
        <f>Poolside!G22</f>
        <v>103612</v>
      </c>
      <c r="H33" s="123">
        <f>Poolside!H22</f>
        <v>103436</v>
      </c>
      <c r="I33" s="123">
        <f>Poolside!I22</f>
        <v>72762</v>
      </c>
      <c r="J33" s="123">
        <f>Poolside!J22</f>
        <v>104279</v>
      </c>
      <c r="K33" s="123">
        <f>Poolside!K22</f>
        <v>94454</v>
      </c>
      <c r="L33" s="123">
        <f>Poolside!L22</f>
        <v>52418</v>
      </c>
      <c r="M33" s="123">
        <f>Poolside!M22</f>
        <v>63172</v>
      </c>
      <c r="N33" s="123">
        <f>Poolside!N22</f>
        <v>52449</v>
      </c>
      <c r="O33" s="123">
        <f>Poolside!O22</f>
        <v>104722</v>
      </c>
      <c r="P33" s="133">
        <f t="shared" si="8"/>
        <v>1135955</v>
      </c>
      <c r="Q33" s="123">
        <f>Poolside!Q22</f>
        <v>118139</v>
      </c>
      <c r="R33" s="123">
        <f>Poolside!R22</f>
        <v>258284.79999999999</v>
      </c>
      <c r="S33" s="123">
        <f>Poolside!S22</f>
        <v>151664.5</v>
      </c>
      <c r="T33" s="123">
        <f>Poolside!T22</f>
        <v>127012.4</v>
      </c>
      <c r="U33" s="123">
        <f>Poolside!U22</f>
        <v>122857.7</v>
      </c>
      <c r="V33" s="123">
        <f>Poolside!V22</f>
        <v>109900.6</v>
      </c>
      <c r="W33" s="123">
        <f>Poolside!W22</f>
        <v>44235.1</v>
      </c>
      <c r="X33" s="123">
        <f>Poolside!X22</f>
        <v>5036.4000000000005</v>
      </c>
      <c r="Y33" s="123">
        <f>Poolside!Y22</f>
        <v>47573</v>
      </c>
      <c r="Z33" s="123">
        <f>Poolside!Z22</f>
        <v>61708</v>
      </c>
      <c r="AA33" s="123">
        <f>Poolside!AA22</f>
        <v>58387</v>
      </c>
      <c r="AB33" s="123">
        <f>Poolside!AB22</f>
        <v>83890</v>
      </c>
      <c r="AC33" s="129">
        <f t="shared" si="6"/>
        <v>1188688.5</v>
      </c>
      <c r="AD33" s="123">
        <f t="shared" si="7"/>
        <v>-52733.5</v>
      </c>
      <c r="AE33" s="192">
        <f t="shared" si="0"/>
        <v>-4.4362757778846185E-2</v>
      </c>
      <c r="AF33" s="133">
        <v>131399.86000000002</v>
      </c>
      <c r="AG33" s="124">
        <f t="shared" si="9"/>
        <v>1004555.14</v>
      </c>
      <c r="AH33" s="124"/>
      <c r="AI33" s="124"/>
      <c r="AJ33" s="124"/>
      <c r="AL33" s="124"/>
    </row>
    <row r="34" spans="1:38">
      <c r="A34" s="105" t="s">
        <v>403</v>
      </c>
      <c r="B34" s="105" t="s">
        <v>385</v>
      </c>
      <c r="C34" s="105" t="s">
        <v>386</v>
      </c>
      <c r="D34" s="123">
        <f>'Cafe to Go'!D22</f>
        <v>0</v>
      </c>
      <c r="E34" s="123">
        <f>'Cafe to Go'!E22</f>
        <v>0</v>
      </c>
      <c r="F34" s="123">
        <f>'Cafe to Go'!F22</f>
        <v>0</v>
      </c>
      <c r="G34" s="123">
        <f>'Cafe to Go'!G22</f>
        <v>0</v>
      </c>
      <c r="H34" s="123">
        <f>'Cafe to Go'!H22</f>
        <v>0</v>
      </c>
      <c r="I34" s="123">
        <f>'Cafe to Go'!I22</f>
        <v>0</v>
      </c>
      <c r="J34" s="123">
        <f>'Cafe to Go'!J22</f>
        <v>0</v>
      </c>
      <c r="K34" s="123">
        <f>'Cafe to Go'!K22</f>
        <v>0</v>
      </c>
      <c r="L34" s="123">
        <f>'Cafe to Go'!L22</f>
        <v>0</v>
      </c>
      <c r="M34" s="123">
        <f>'Cafe to Go'!M22</f>
        <v>0</v>
      </c>
      <c r="N34" s="123">
        <f>'Cafe to Go'!N22</f>
        <v>0</v>
      </c>
      <c r="O34" s="123">
        <f>'Cafe to Go'!O22</f>
        <v>0</v>
      </c>
      <c r="P34" s="133">
        <f t="shared" si="8"/>
        <v>0</v>
      </c>
      <c r="Q34" s="123">
        <f>'Cafe to Go'!Q22</f>
        <v>0</v>
      </c>
      <c r="R34" s="123">
        <f>'Cafe to Go'!R22</f>
        <v>0</v>
      </c>
      <c r="S34" s="123">
        <f>'Cafe to Go'!S22</f>
        <v>0</v>
      </c>
      <c r="T34" s="123">
        <f>'Cafe to Go'!T22</f>
        <v>0</v>
      </c>
      <c r="U34" s="123">
        <f>'Cafe to Go'!U22</f>
        <v>0</v>
      </c>
      <c r="V34" s="123">
        <f>'Cafe to Go'!V22</f>
        <v>0</v>
      </c>
      <c r="W34" s="123">
        <f>'Cafe to Go'!W22</f>
        <v>0</v>
      </c>
      <c r="X34" s="123">
        <f>'Cafe to Go'!X22</f>
        <v>0</v>
      </c>
      <c r="Y34" s="123">
        <f>'Cafe to Go'!Y22</f>
        <v>0</v>
      </c>
      <c r="Z34" s="123">
        <f>'Cafe to Go'!Z22</f>
        <v>0</v>
      </c>
      <c r="AA34" s="123">
        <f>'Cafe to Go'!AA22</f>
        <v>0</v>
      </c>
      <c r="AB34" s="123">
        <f>'Cafe to Go'!AB22</f>
        <v>0</v>
      </c>
      <c r="AC34" s="129">
        <f t="shared" si="6"/>
        <v>0</v>
      </c>
      <c r="AD34" s="123">
        <f t="shared" si="7"/>
        <v>0</v>
      </c>
      <c r="AE34" s="192" t="e">
        <f t="shared" si="0"/>
        <v>#DIV/0!</v>
      </c>
      <c r="AF34" s="133">
        <v>5780.2400000000007</v>
      </c>
      <c r="AG34" s="124">
        <f t="shared" si="9"/>
        <v>-5780.2400000000007</v>
      </c>
      <c r="AH34" s="124"/>
      <c r="AI34" s="124"/>
      <c r="AJ34" s="124"/>
      <c r="AL34" s="124"/>
    </row>
    <row r="35" spans="1:38">
      <c r="A35" s="105" t="s">
        <v>403</v>
      </c>
      <c r="B35" s="105" t="s">
        <v>387</v>
      </c>
      <c r="C35" s="105" t="s">
        <v>388</v>
      </c>
      <c r="D35" s="123">
        <f>'Wet Republic'!D22</f>
        <v>0</v>
      </c>
      <c r="E35" s="123">
        <f>'Wet Republic'!E22</f>
        <v>0</v>
      </c>
      <c r="F35" s="123">
        <f>'Wet Republic'!F22</f>
        <v>0</v>
      </c>
      <c r="G35" s="123">
        <f>'Wet Republic'!G22</f>
        <v>0</v>
      </c>
      <c r="H35" s="123">
        <f>'Wet Republic'!H22</f>
        <v>0</v>
      </c>
      <c r="I35" s="123">
        <f>'Wet Republic'!I22</f>
        <v>0</v>
      </c>
      <c r="J35" s="123">
        <f>'Wet Republic'!J22</f>
        <v>0</v>
      </c>
      <c r="K35" s="123">
        <f>'Wet Republic'!K22</f>
        <v>0</v>
      </c>
      <c r="L35" s="123">
        <f>'Wet Republic'!L22</f>
        <v>0</v>
      </c>
      <c r="M35" s="123">
        <f>'Wet Republic'!M22</f>
        <v>0</v>
      </c>
      <c r="N35" s="123">
        <f>'Wet Republic'!N22</f>
        <v>0</v>
      </c>
      <c r="O35" s="123">
        <f>'Wet Republic'!O22</f>
        <v>0</v>
      </c>
      <c r="P35" s="133">
        <f t="shared" si="8"/>
        <v>0</v>
      </c>
      <c r="Q35" s="123">
        <f>'Wet Republic'!Q22</f>
        <v>0</v>
      </c>
      <c r="R35" s="123">
        <f>'Wet Republic'!R22</f>
        <v>0</v>
      </c>
      <c r="S35" s="123">
        <f>'Wet Republic'!S22</f>
        <v>0</v>
      </c>
      <c r="T35" s="123">
        <f>'Wet Republic'!T22</f>
        <v>0</v>
      </c>
      <c r="U35" s="123">
        <f>'Wet Republic'!U22</f>
        <v>0</v>
      </c>
      <c r="V35" s="123">
        <f>'Wet Republic'!V22</f>
        <v>0</v>
      </c>
      <c r="W35" s="123">
        <f>'Wet Republic'!W22</f>
        <v>0</v>
      </c>
      <c r="X35" s="123">
        <f>'Wet Republic'!X22</f>
        <v>0</v>
      </c>
      <c r="Y35" s="123">
        <f>'Wet Republic'!Y22</f>
        <v>0</v>
      </c>
      <c r="Z35" s="123">
        <f>'Wet Republic'!Z22</f>
        <v>0</v>
      </c>
      <c r="AA35" s="123">
        <f>'Wet Republic'!AA22</f>
        <v>0</v>
      </c>
      <c r="AB35" s="123">
        <f>'Wet Republic'!AB22</f>
        <v>0</v>
      </c>
      <c r="AC35" s="129">
        <f t="shared" si="6"/>
        <v>0</v>
      </c>
      <c r="AD35" s="123">
        <f t="shared" si="7"/>
        <v>0</v>
      </c>
      <c r="AE35" s="192" t="e">
        <f t="shared" si="0"/>
        <v>#DIV/0!</v>
      </c>
      <c r="AF35" s="133">
        <v>55277.17</v>
      </c>
      <c r="AG35" s="124">
        <f t="shared" si="9"/>
        <v>-55277.17</v>
      </c>
      <c r="AH35" s="124"/>
      <c r="AI35" s="124"/>
      <c r="AJ35" s="124"/>
      <c r="AL35" s="124"/>
    </row>
    <row r="36" spans="1:38">
      <c r="A36" s="105" t="s">
        <v>403</v>
      </c>
      <c r="B36" s="105" t="s">
        <v>389</v>
      </c>
      <c r="C36" s="105" t="s">
        <v>390</v>
      </c>
      <c r="D36" s="123">
        <f>'Lobby Lounge'!D22</f>
        <v>20000</v>
      </c>
      <c r="E36" s="123">
        <f>'Lobby Lounge'!E22</f>
        <v>23000</v>
      </c>
      <c r="F36" s="123">
        <f>'Lobby Lounge'!F22</f>
        <v>19000</v>
      </c>
      <c r="G36" s="123">
        <f>'Lobby Lounge'!G22</f>
        <v>9100</v>
      </c>
      <c r="H36" s="123">
        <f>'Lobby Lounge'!H22</f>
        <v>11000</v>
      </c>
      <c r="I36" s="123">
        <f>'Lobby Lounge'!I22</f>
        <v>10000</v>
      </c>
      <c r="J36" s="123">
        <f>'Lobby Lounge'!J22</f>
        <v>10000</v>
      </c>
      <c r="K36" s="123">
        <f>'Lobby Lounge'!K22</f>
        <v>10000</v>
      </c>
      <c r="L36" s="123">
        <f>'Lobby Lounge'!L22</f>
        <v>10000</v>
      </c>
      <c r="M36" s="123">
        <f>'Lobby Lounge'!M22</f>
        <v>13000</v>
      </c>
      <c r="N36" s="123">
        <f>'Lobby Lounge'!N22</f>
        <v>14000</v>
      </c>
      <c r="O36" s="123">
        <f>'Lobby Lounge'!O22</f>
        <v>14000</v>
      </c>
      <c r="P36" s="133">
        <f t="shared" si="8"/>
        <v>163100</v>
      </c>
      <c r="Q36" s="123">
        <f>'Lobby Lounge'!Q22</f>
        <v>31264.5</v>
      </c>
      <c r="R36" s="123">
        <f>'Lobby Lounge'!R22</f>
        <v>52949.399999999994</v>
      </c>
      <c r="S36" s="123">
        <f>'Lobby Lounge'!S22</f>
        <v>23166.3</v>
      </c>
      <c r="T36" s="123">
        <f>'Lobby Lounge'!T22</f>
        <v>11109.699999999999</v>
      </c>
      <c r="U36" s="123">
        <f>'Lobby Lounge'!U22</f>
        <v>16683.7</v>
      </c>
      <c r="V36" s="123">
        <f>'Lobby Lounge'!V22</f>
        <v>27761.1</v>
      </c>
      <c r="W36" s="123">
        <f>'Lobby Lounge'!W22</f>
        <v>9464.2999999999993</v>
      </c>
      <c r="X36" s="123">
        <f>'Lobby Lounge'!X22</f>
        <v>8559.6</v>
      </c>
      <c r="Y36" s="123">
        <f>'Lobby Lounge'!Y22</f>
        <v>8000</v>
      </c>
      <c r="Z36" s="123">
        <f>'Lobby Lounge'!Z22</f>
        <v>13000</v>
      </c>
      <c r="AA36" s="123">
        <f>'Lobby Lounge'!AA22</f>
        <v>14000</v>
      </c>
      <c r="AB36" s="123">
        <f>'Lobby Lounge'!AB22</f>
        <v>14000</v>
      </c>
      <c r="AC36" s="129">
        <f t="shared" si="6"/>
        <v>229958.6</v>
      </c>
      <c r="AD36" s="123">
        <f t="shared" si="7"/>
        <v>-66858.600000000006</v>
      </c>
      <c r="AE36" s="192">
        <f t="shared" si="0"/>
        <v>-0.29074189875916795</v>
      </c>
      <c r="AF36" s="133">
        <v>633526.56999999995</v>
      </c>
      <c r="AG36" s="124">
        <f t="shared" si="9"/>
        <v>-470426.56999999995</v>
      </c>
      <c r="AH36" s="124"/>
      <c r="AI36" s="124"/>
      <c r="AJ36" s="124"/>
      <c r="AL36" s="124"/>
    </row>
    <row r="37" spans="1:38">
      <c r="A37" s="105" t="s">
        <v>403</v>
      </c>
      <c r="B37" s="105" t="s">
        <v>391</v>
      </c>
      <c r="C37" s="105" t="s">
        <v>392</v>
      </c>
      <c r="D37" s="123">
        <f>AOC!D22</f>
        <v>0</v>
      </c>
      <c r="E37" s="123">
        <f>AOC!E22</f>
        <v>0</v>
      </c>
      <c r="F37" s="123">
        <f>AOC!F22</f>
        <v>0</v>
      </c>
      <c r="G37" s="123">
        <f>AOC!G22</f>
        <v>0</v>
      </c>
      <c r="H37" s="123">
        <f>AOC!H22</f>
        <v>0</v>
      </c>
      <c r="I37" s="123">
        <f>AOC!I22</f>
        <v>0</v>
      </c>
      <c r="J37" s="123">
        <f>AOC!J22</f>
        <v>0</v>
      </c>
      <c r="K37" s="123">
        <f>AOC!K22</f>
        <v>0</v>
      </c>
      <c r="L37" s="123">
        <f>AOC!L22</f>
        <v>0</v>
      </c>
      <c r="M37" s="123">
        <f>AOC!M22</f>
        <v>0</v>
      </c>
      <c r="N37" s="123">
        <f>AOC!N22</f>
        <v>0</v>
      </c>
      <c r="O37" s="123">
        <f>AOC!O22</f>
        <v>0</v>
      </c>
      <c r="P37" s="133">
        <f t="shared" si="8"/>
        <v>0</v>
      </c>
      <c r="Q37" s="123">
        <f>AOC!Q22</f>
        <v>0</v>
      </c>
      <c r="R37" s="123">
        <f>AOC!R22</f>
        <v>0</v>
      </c>
      <c r="S37" s="123">
        <f>AOC!S22</f>
        <v>0</v>
      </c>
      <c r="T37" s="123">
        <f>AOC!T22</f>
        <v>0</v>
      </c>
      <c r="U37" s="123">
        <f>AOC!U22</f>
        <v>0</v>
      </c>
      <c r="V37" s="123">
        <f>AOC!V22</f>
        <v>0</v>
      </c>
      <c r="W37" s="123">
        <f>AOC!W22</f>
        <v>0</v>
      </c>
      <c r="X37" s="123">
        <f>AOC!X22</f>
        <v>0</v>
      </c>
      <c r="Y37" s="123">
        <f>AOC!Y22</f>
        <v>0</v>
      </c>
      <c r="Z37" s="123">
        <f>AOC!Z22</f>
        <v>0</v>
      </c>
      <c r="AA37" s="123">
        <f>AOC!AA22</f>
        <v>0</v>
      </c>
      <c r="AB37" s="123">
        <f>AOC!AB22</f>
        <v>0</v>
      </c>
      <c r="AC37" s="129">
        <f t="shared" si="6"/>
        <v>0</v>
      </c>
      <c r="AD37" s="123">
        <f t="shared" si="7"/>
        <v>0</v>
      </c>
      <c r="AE37" s="192" t="e">
        <f t="shared" si="0"/>
        <v>#DIV/0!</v>
      </c>
      <c r="AF37" s="133">
        <v>98379.65</v>
      </c>
      <c r="AG37" s="124">
        <f t="shared" si="9"/>
        <v>-98379.65</v>
      </c>
      <c r="AH37" s="124"/>
      <c r="AI37" s="124"/>
      <c r="AJ37" s="124"/>
      <c r="AL37" s="124"/>
    </row>
    <row r="38" spans="1:38">
      <c r="A38" s="105" t="s">
        <v>403</v>
      </c>
      <c r="B38" s="105" t="s">
        <v>393</v>
      </c>
      <c r="C38" s="106" t="s">
        <v>394</v>
      </c>
      <c r="D38" s="123">
        <f>'Bubble Bar'!D22</f>
        <v>57400</v>
      </c>
      <c r="E38" s="123">
        <f>'Bubble Bar'!E22</f>
        <v>65388</v>
      </c>
      <c r="F38" s="123">
        <f>'Bubble Bar'!F22</f>
        <v>30844</v>
      </c>
      <c r="G38" s="123">
        <f>'Bubble Bar'!G22</f>
        <v>28546</v>
      </c>
      <c r="H38" s="123">
        <f>'Bubble Bar'!H22</f>
        <v>34330</v>
      </c>
      <c r="I38" s="123">
        <f>'Bubble Bar'!I22</f>
        <v>27409</v>
      </c>
      <c r="J38" s="123">
        <f>'Bubble Bar'!J22</f>
        <v>36911</v>
      </c>
      <c r="K38" s="123">
        <f>'Bubble Bar'!K22</f>
        <v>36474</v>
      </c>
      <c r="L38" s="123">
        <f>'Bubble Bar'!L22</f>
        <v>30377</v>
      </c>
      <c r="M38" s="123">
        <f>'Bubble Bar'!M22</f>
        <v>31149</v>
      </c>
      <c r="N38" s="123">
        <f>'Bubble Bar'!N22</f>
        <v>26908</v>
      </c>
      <c r="O38" s="123">
        <f>'Bubble Bar'!O22</f>
        <v>35430</v>
      </c>
      <c r="P38" s="133">
        <f t="shared" si="8"/>
        <v>441166</v>
      </c>
      <c r="Q38" s="123">
        <f>'Bubble Bar'!Q22</f>
        <v>95842</v>
      </c>
      <c r="R38" s="123">
        <f>'Bubble Bar'!R22</f>
        <v>78108</v>
      </c>
      <c r="S38" s="123">
        <f>'Bubble Bar'!S22</f>
        <v>102156.5</v>
      </c>
      <c r="T38" s="123">
        <f>'Bubble Bar'!T22</f>
        <v>97811.5</v>
      </c>
      <c r="U38" s="123">
        <f>'Bubble Bar'!U22</f>
        <v>97300.7</v>
      </c>
      <c r="V38" s="123">
        <f>'Bubble Bar'!V22</f>
        <v>55547</v>
      </c>
      <c r="W38" s="123">
        <f>'Bubble Bar'!W22</f>
        <v>54025.8</v>
      </c>
      <c r="X38" s="123">
        <f>'Bubble Bar'!X22</f>
        <v>61232.6</v>
      </c>
      <c r="Y38" s="123">
        <f>'Bubble Bar'!Y22</f>
        <v>32516</v>
      </c>
      <c r="Z38" s="123">
        <f>'Bubble Bar'!Z22</f>
        <v>31459</v>
      </c>
      <c r="AA38" s="123">
        <f>'Bubble Bar'!AA22</f>
        <v>27166</v>
      </c>
      <c r="AB38" s="123">
        <f>'Bubble Bar'!AB22</f>
        <v>33445</v>
      </c>
      <c r="AC38" s="129">
        <f t="shared" si="6"/>
        <v>766610.1</v>
      </c>
      <c r="AD38" s="123">
        <f t="shared" si="7"/>
        <v>-325444.09999999998</v>
      </c>
      <c r="AE38" s="192">
        <f t="shared" si="0"/>
        <v>-0.42452362680846495</v>
      </c>
      <c r="AF38" s="133">
        <v>176053.77000000002</v>
      </c>
      <c r="AG38" s="124">
        <f t="shared" si="9"/>
        <v>265112.23</v>
      </c>
      <c r="AH38" s="124"/>
      <c r="AI38" s="124"/>
      <c r="AJ38" s="124"/>
      <c r="AL38" s="124"/>
    </row>
    <row r="39" spans="1:38">
      <c r="A39" s="105" t="s">
        <v>403</v>
      </c>
      <c r="B39" s="105" t="s">
        <v>395</v>
      </c>
      <c r="C39" s="105" t="s">
        <v>396</v>
      </c>
      <c r="D39" s="193">
        <f>Papillon!D22</f>
        <v>0</v>
      </c>
      <c r="E39" s="194">
        <f>Papillon!E22</f>
        <v>0</v>
      </c>
      <c r="F39" s="194">
        <f>Papillon!F22</f>
        <v>0</v>
      </c>
      <c r="G39" s="194">
        <f>Papillon!G22</f>
        <v>0</v>
      </c>
      <c r="H39" s="194">
        <f>Papillon!H22</f>
        <v>0</v>
      </c>
      <c r="I39" s="194">
        <f>Papillon!I22</f>
        <v>0</v>
      </c>
      <c r="J39" s="194">
        <f>Papillon!J22</f>
        <v>0</v>
      </c>
      <c r="K39" s="194">
        <f>Papillon!K22</f>
        <v>0</v>
      </c>
      <c r="L39" s="194">
        <f>Papillon!L22</f>
        <v>0</v>
      </c>
      <c r="M39" s="194">
        <f>Papillon!M22</f>
        <v>0</v>
      </c>
      <c r="N39" s="194">
        <f>Papillon!N22</f>
        <v>0</v>
      </c>
      <c r="O39" s="194">
        <f>Papillon!O22</f>
        <v>0</v>
      </c>
      <c r="P39" s="133">
        <f t="shared" si="8"/>
        <v>0</v>
      </c>
      <c r="Q39" s="194">
        <f>Papillon!Q22</f>
        <v>0</v>
      </c>
      <c r="R39" s="194">
        <f>Papillon!R22</f>
        <v>0</v>
      </c>
      <c r="S39" s="194">
        <f>Papillon!S22</f>
        <v>0</v>
      </c>
      <c r="T39" s="194">
        <f>Papillon!T22</f>
        <v>0</v>
      </c>
      <c r="U39" s="194">
        <f>Papillon!U22</f>
        <v>0</v>
      </c>
      <c r="V39" s="194">
        <f>Papillon!V22</f>
        <v>0</v>
      </c>
      <c r="W39" s="194">
        <f>Papillon!W22</f>
        <v>0</v>
      </c>
      <c r="X39" s="194">
        <f>Papillon!X22</f>
        <v>0</v>
      </c>
      <c r="Y39" s="194">
        <f>Papillon!Y22</f>
        <v>0</v>
      </c>
      <c r="Z39" s="194">
        <f>Papillon!Z22</f>
        <v>0</v>
      </c>
      <c r="AA39" s="194">
        <f>Papillon!AA22</f>
        <v>0</v>
      </c>
      <c r="AB39" s="194">
        <f>Papillon!AB22</f>
        <v>0</v>
      </c>
      <c r="AC39" s="129">
        <f t="shared" si="6"/>
        <v>0</v>
      </c>
      <c r="AD39" s="123">
        <f t="shared" si="7"/>
        <v>0</v>
      </c>
      <c r="AE39" s="192" t="e">
        <f t="shared" si="0"/>
        <v>#DIV/0!</v>
      </c>
      <c r="AF39" s="133">
        <v>0</v>
      </c>
      <c r="AG39" s="124">
        <f t="shared" si="9"/>
        <v>0</v>
      </c>
      <c r="AH39" s="124"/>
      <c r="AI39" s="124"/>
      <c r="AJ39" s="124"/>
      <c r="AL39" s="124"/>
    </row>
    <row r="40" spans="1:38">
      <c r="A40" s="105" t="s">
        <v>403</v>
      </c>
      <c r="B40" s="105" t="s">
        <v>397</v>
      </c>
      <c r="C40" s="105" t="s">
        <v>398</v>
      </c>
      <c r="D40" s="123">
        <f>'Room Service'!D22</f>
        <v>7000</v>
      </c>
      <c r="E40" s="123">
        <f>'Room Service'!E22</f>
        <v>8000</v>
      </c>
      <c r="F40" s="123">
        <f>'Room Service'!F22</f>
        <v>5000</v>
      </c>
      <c r="G40" s="123">
        <f>'Room Service'!G22</f>
        <v>5000</v>
      </c>
      <c r="H40" s="123">
        <f>'Room Service'!H22</f>
        <v>5000</v>
      </c>
      <c r="I40" s="123">
        <f>'Room Service'!I22</f>
        <v>5000</v>
      </c>
      <c r="J40" s="123">
        <f>'Room Service'!J22</f>
        <v>6500</v>
      </c>
      <c r="K40" s="123">
        <f>'Room Service'!K22</f>
        <v>6500</v>
      </c>
      <c r="L40" s="123">
        <f>'Room Service'!L22</f>
        <v>5000</v>
      </c>
      <c r="M40" s="123">
        <f>'Room Service'!M22</f>
        <v>5000</v>
      </c>
      <c r="N40" s="123">
        <f>'Room Service'!N22</f>
        <v>6500</v>
      </c>
      <c r="O40" s="123">
        <f>'Room Service'!O22</f>
        <v>7000</v>
      </c>
      <c r="P40" s="133">
        <f t="shared" si="8"/>
        <v>71500</v>
      </c>
      <c r="Q40" s="123">
        <f>'Room Service'!Q22</f>
        <v>5398</v>
      </c>
      <c r="R40" s="123">
        <f>'Room Service'!R22</f>
        <v>10758</v>
      </c>
      <c r="S40" s="123">
        <f>'Room Service'!S22</f>
        <v>7438</v>
      </c>
      <c r="T40" s="123">
        <f>'Room Service'!T22</f>
        <v>2102</v>
      </c>
      <c r="U40" s="123">
        <f>'Room Service'!U22</f>
        <v>6352</v>
      </c>
      <c r="V40" s="123">
        <f>'Room Service'!V22</f>
        <v>3961.3</v>
      </c>
      <c r="W40" s="123">
        <f>'Room Service'!W22</f>
        <v>1338.9</v>
      </c>
      <c r="X40" s="123">
        <f>'Room Service'!X22</f>
        <v>2569.6</v>
      </c>
      <c r="Y40" s="123">
        <f>'Room Service'!Y22</f>
        <v>3000</v>
      </c>
      <c r="Z40" s="123">
        <f>'Room Service'!Z22</f>
        <v>5000</v>
      </c>
      <c r="AA40" s="123">
        <f>'Room Service'!AA22</f>
        <v>6500</v>
      </c>
      <c r="AB40" s="123">
        <f>'Room Service'!AB22</f>
        <v>7000</v>
      </c>
      <c r="AC40" s="129">
        <f t="shared" si="6"/>
        <v>61417.8</v>
      </c>
      <c r="AD40" s="123">
        <f t="shared" si="7"/>
        <v>10082.199999999997</v>
      </c>
      <c r="AE40" s="192">
        <f t="shared" si="0"/>
        <v>0.16415762205744908</v>
      </c>
      <c r="AF40" s="133">
        <v>209105.91999999998</v>
      </c>
      <c r="AG40" s="124">
        <f t="shared" si="9"/>
        <v>-137605.91999999998</v>
      </c>
      <c r="AH40" s="124"/>
      <c r="AI40" s="124"/>
      <c r="AJ40" s="124"/>
      <c r="AL40" s="124"/>
    </row>
    <row r="41" spans="1:38">
      <c r="A41" s="105" t="s">
        <v>403</v>
      </c>
      <c r="B41" s="105" t="s">
        <v>399</v>
      </c>
      <c r="C41" s="105" t="s">
        <v>404</v>
      </c>
      <c r="D41" s="123">
        <f>Banquet!D22</f>
        <v>3000</v>
      </c>
      <c r="E41" s="123">
        <f>Banquet!E22</f>
        <v>3000</v>
      </c>
      <c r="F41" s="123">
        <f>Banquet!F22</f>
        <v>8000</v>
      </c>
      <c r="G41" s="123">
        <f>Banquet!G22</f>
        <v>7000</v>
      </c>
      <c r="H41" s="123">
        <f>Banquet!H22</f>
        <v>6000</v>
      </c>
      <c r="I41" s="123">
        <f>Banquet!I22</f>
        <v>4000</v>
      </c>
      <c r="J41" s="123">
        <f>Banquet!J22</f>
        <v>0</v>
      </c>
      <c r="K41" s="123">
        <f>Banquet!K22</f>
        <v>0</v>
      </c>
      <c r="L41" s="123">
        <f>Banquet!L22</f>
        <v>7000</v>
      </c>
      <c r="M41" s="123">
        <f>Banquet!M22</f>
        <v>8000</v>
      </c>
      <c r="N41" s="123">
        <f>Banquet!N22</f>
        <v>11000</v>
      </c>
      <c r="O41" s="123">
        <f>Banquet!O22</f>
        <v>12000</v>
      </c>
      <c r="P41" s="133">
        <f t="shared" si="8"/>
        <v>69000</v>
      </c>
      <c r="Q41" s="123">
        <f>Banquet!Q22</f>
        <v>7179.4</v>
      </c>
      <c r="R41" s="123">
        <f>Banquet!R22</f>
        <v>0</v>
      </c>
      <c r="S41" s="123">
        <f>Banquet!S22</f>
        <v>8301.9</v>
      </c>
      <c r="T41" s="123">
        <f>Banquet!T22</f>
        <v>2558.3000000000002</v>
      </c>
      <c r="U41" s="123">
        <f>Banquet!U22</f>
        <v>3773.6</v>
      </c>
      <c r="V41" s="123">
        <f>Banquet!V22</f>
        <v>4717</v>
      </c>
      <c r="W41" s="123">
        <f>Banquet!W22</f>
        <v>1271.7</v>
      </c>
      <c r="X41" s="123">
        <f>Banquet!X22</f>
        <v>0</v>
      </c>
      <c r="Y41" s="123">
        <f>Banquet!Y22</f>
        <v>0</v>
      </c>
      <c r="Z41" s="123">
        <f>Banquet!Z22</f>
        <v>8000</v>
      </c>
      <c r="AA41" s="123">
        <f>Banquet!AA22</f>
        <v>11000</v>
      </c>
      <c r="AB41" s="123">
        <f>Banquet!AB22</f>
        <v>12000</v>
      </c>
      <c r="AC41" s="129">
        <f t="shared" si="6"/>
        <v>58801.899999999994</v>
      </c>
      <c r="AD41" s="123">
        <f t="shared" si="7"/>
        <v>10198.100000000006</v>
      </c>
      <c r="AE41" s="192">
        <f t="shared" si="0"/>
        <v>0.17343147075179555</v>
      </c>
      <c r="AF41" s="133">
        <v>106521.99999999999</v>
      </c>
      <c r="AG41" s="124">
        <f t="shared" si="9"/>
        <v>-37521.999999999985</v>
      </c>
      <c r="AH41" s="124"/>
      <c r="AI41" s="124"/>
      <c r="AJ41" s="124"/>
      <c r="AL41" s="124"/>
    </row>
    <row r="42" spans="1:38">
      <c r="A42" s="105" t="s">
        <v>273</v>
      </c>
      <c r="C42" s="109" t="s">
        <v>405</v>
      </c>
      <c r="D42" s="133">
        <f>SUM(D27:D41)</f>
        <v>250750</v>
      </c>
      <c r="E42" s="133">
        <f t="shared" ref="E42:AC42" si="10">SUM(E27:E41)</f>
        <v>456051</v>
      </c>
      <c r="F42" s="133">
        <f t="shared" si="10"/>
        <v>199482</v>
      </c>
      <c r="G42" s="133">
        <f t="shared" si="10"/>
        <v>185258</v>
      </c>
      <c r="H42" s="133">
        <f t="shared" si="10"/>
        <v>191766</v>
      </c>
      <c r="I42" s="133">
        <f t="shared" si="10"/>
        <v>150171</v>
      </c>
      <c r="J42" s="133">
        <f t="shared" si="10"/>
        <v>193690</v>
      </c>
      <c r="K42" s="133">
        <f t="shared" si="10"/>
        <v>183428</v>
      </c>
      <c r="L42" s="133">
        <f t="shared" si="10"/>
        <v>136795</v>
      </c>
      <c r="M42" s="133">
        <f t="shared" si="10"/>
        <v>159321</v>
      </c>
      <c r="N42" s="133">
        <f t="shared" si="10"/>
        <v>148857</v>
      </c>
      <c r="O42" s="133">
        <f t="shared" si="10"/>
        <v>212813</v>
      </c>
      <c r="P42" s="133">
        <f t="shared" si="10"/>
        <v>2468382</v>
      </c>
      <c r="Q42" s="133">
        <f t="shared" si="10"/>
        <v>303527</v>
      </c>
      <c r="R42" s="133">
        <f t="shared" si="10"/>
        <v>615177.5</v>
      </c>
      <c r="S42" s="133">
        <f t="shared" si="10"/>
        <v>323022.80000000005</v>
      </c>
      <c r="T42" s="133">
        <f t="shared" si="10"/>
        <v>269328.8</v>
      </c>
      <c r="U42" s="133">
        <f t="shared" si="10"/>
        <v>266060.3</v>
      </c>
      <c r="V42" s="133">
        <f t="shared" si="10"/>
        <v>217847.6</v>
      </c>
      <c r="W42" s="133">
        <f t="shared" si="10"/>
        <v>139063.80000000002</v>
      </c>
      <c r="X42" s="133">
        <f t="shared" si="10"/>
        <v>104458.5</v>
      </c>
      <c r="Y42" s="133">
        <f>SUM(Y27:Y41)</f>
        <v>113486</v>
      </c>
      <c r="Z42" s="133">
        <f>SUM(Z27:Z41)</f>
        <v>158167</v>
      </c>
      <c r="AA42" s="133">
        <f>SUM(AA27:AA41)</f>
        <v>155053</v>
      </c>
      <c r="AB42" s="133">
        <f>SUM(AB27:AB41)</f>
        <v>189996</v>
      </c>
      <c r="AC42" s="133">
        <f t="shared" si="10"/>
        <v>2855188.3</v>
      </c>
      <c r="AD42" s="133">
        <f t="shared" si="7"/>
        <v>-386806.29999999981</v>
      </c>
      <c r="AE42" s="192">
        <f t="shared" si="0"/>
        <v>-0.13547488268987368</v>
      </c>
      <c r="AF42" s="133">
        <v>2269872.5299999998</v>
      </c>
      <c r="AG42" s="124">
        <f t="shared" si="9"/>
        <v>198509.4700000002</v>
      </c>
      <c r="AH42" s="124"/>
      <c r="AI42" s="124"/>
      <c r="AJ42" s="124"/>
      <c r="AL42" s="124"/>
    </row>
    <row r="43" spans="1:38">
      <c r="C43" s="109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92"/>
      <c r="AF43" s="133"/>
      <c r="AG43" s="124">
        <f t="shared" si="9"/>
        <v>0</v>
      </c>
      <c r="AH43" s="124"/>
      <c r="AI43" s="124"/>
      <c r="AJ43" s="124"/>
      <c r="AL43" s="124"/>
    </row>
    <row r="44" spans="1:38">
      <c r="A44" s="105" t="s">
        <v>406</v>
      </c>
      <c r="B44" s="105" t="s">
        <v>407</v>
      </c>
      <c r="C44" s="105" t="s">
        <v>408</v>
      </c>
      <c r="D44" s="123">
        <f>SUM('Hai Tang:Room Service'!D24)</f>
        <v>180000</v>
      </c>
      <c r="E44" s="123">
        <f>SUM('Hai Tang:Room Service'!E24)</f>
        <v>50000</v>
      </c>
      <c r="F44" s="123">
        <f>SUM('Hai Tang:Room Service'!F24)</f>
        <v>150000</v>
      </c>
      <c r="G44" s="123">
        <f>SUM('Hai Tang:Room Service'!G24)</f>
        <v>160000</v>
      </c>
      <c r="H44" s="123">
        <f>SUM('Hai Tang:Room Service'!H24)</f>
        <v>150000</v>
      </c>
      <c r="I44" s="123">
        <f>SUM('Hai Tang:Room Service'!I24)</f>
        <v>150000</v>
      </c>
      <c r="J44" s="123">
        <f>SUM('Hai Tang:Room Service'!J24)</f>
        <v>0</v>
      </c>
      <c r="K44" s="123">
        <f>SUM('Hai Tang:Room Service'!K24)</f>
        <v>0</v>
      </c>
      <c r="L44" s="123">
        <f>SUM('Hai Tang:Room Service'!L24)</f>
        <v>150000</v>
      </c>
      <c r="M44" s="123">
        <f>SUM('Hai Tang:Room Service'!M24)</f>
        <v>200000</v>
      </c>
      <c r="N44" s="123">
        <f>SUM('Hai Tang:Room Service'!N24)</f>
        <v>300000</v>
      </c>
      <c r="O44" s="123">
        <f>SUM('Hai Tang:Room Service'!O24)</f>
        <v>300000</v>
      </c>
      <c r="P44" s="133">
        <f>SUM(D44:O44)</f>
        <v>1790000</v>
      </c>
      <c r="Q44" s="123">
        <f>SUM('Hai Tang:Room Service'!Q24)</f>
        <v>123585.4</v>
      </c>
      <c r="R44" s="123">
        <f>SUM('Hai Tang:Room Service'!R24)</f>
        <v>47169.8</v>
      </c>
      <c r="S44" s="123">
        <f>SUM('Hai Tang:Room Service'!S24)</f>
        <v>109151.3</v>
      </c>
      <c r="T44" s="123">
        <f>SUM('Hai Tang:Room Service'!T24)</f>
        <v>117594.6</v>
      </c>
      <c r="U44" s="123">
        <f>SUM('Hai Tang:Room Service'!U24)</f>
        <v>78302.2</v>
      </c>
      <c r="V44" s="123">
        <f>SUM('Hai Tang:Room Service'!V24)</f>
        <v>46226.6</v>
      </c>
      <c r="W44" s="123">
        <f>SUM('Hai Tang:Room Service'!W24)</f>
        <v>63079.8</v>
      </c>
      <c r="X44" s="123">
        <f>SUM('Hai Tang:Room Service'!X24)</f>
        <v>0</v>
      </c>
      <c r="Y44" s="123">
        <f>SUM('Hai Tang:Room Service'!Y24)</f>
        <v>50000</v>
      </c>
      <c r="Z44" s="123">
        <f>SUM('Hai Tang:Room Service'!Z24)</f>
        <v>100000</v>
      </c>
      <c r="AA44" s="123">
        <f>SUM('Hai Tang:Room Service'!AA24)</f>
        <v>100000</v>
      </c>
      <c r="AB44" s="123">
        <f>SUM('Hai Tang:Room Service'!AB24)</f>
        <v>100000</v>
      </c>
      <c r="AC44" s="129">
        <f>SUM(Q44:AB44)</f>
        <v>935109.7</v>
      </c>
      <c r="AD44" s="123">
        <f t="shared" ref="AD44:AD48" si="11">P44-AC44</f>
        <v>854890.3</v>
      </c>
      <c r="AE44" s="192">
        <f t="shared" ref="AE44:AE107" si="12">AD44/AC44</f>
        <v>0.91421391522299478</v>
      </c>
      <c r="AF44" s="133">
        <v>1007018.5499999999</v>
      </c>
      <c r="AG44" s="124">
        <f t="shared" si="9"/>
        <v>782981.45000000007</v>
      </c>
      <c r="AH44" s="124"/>
      <c r="AI44" s="124"/>
      <c r="AJ44" s="124"/>
      <c r="AL44" s="124"/>
    </row>
    <row r="45" spans="1:38">
      <c r="A45" s="105" t="s">
        <v>409</v>
      </c>
      <c r="B45" s="105" t="s">
        <v>407</v>
      </c>
      <c r="C45" s="105" t="s">
        <v>410</v>
      </c>
      <c r="D45" s="123">
        <f>Minbar!D10</f>
        <v>0</v>
      </c>
      <c r="E45" s="123">
        <f>Minbar!E10</f>
        <v>0</v>
      </c>
      <c r="F45" s="123">
        <f>Minbar!F10</f>
        <v>0</v>
      </c>
      <c r="G45" s="123">
        <f>Minbar!G10</f>
        <v>0</v>
      </c>
      <c r="H45" s="123">
        <f>Minbar!H10</f>
        <v>0</v>
      </c>
      <c r="I45" s="123">
        <f>Minbar!I10</f>
        <v>0</v>
      </c>
      <c r="J45" s="123">
        <f>Minbar!J10</f>
        <v>0</v>
      </c>
      <c r="K45" s="123">
        <f>Minbar!K10</f>
        <v>0</v>
      </c>
      <c r="L45" s="123">
        <f>Minbar!L10</f>
        <v>0</v>
      </c>
      <c r="M45" s="123">
        <f>Minbar!M10</f>
        <v>0</v>
      </c>
      <c r="N45" s="123">
        <f>Minbar!N10</f>
        <v>0</v>
      </c>
      <c r="O45" s="123">
        <f>Minbar!O10</f>
        <v>0</v>
      </c>
      <c r="P45" s="133">
        <f>SUM(D45:O45)</f>
        <v>0</v>
      </c>
      <c r="Q45" s="123">
        <f>Minbar!Q10</f>
        <v>0</v>
      </c>
      <c r="R45" s="123">
        <f>Minbar!R10</f>
        <v>0</v>
      </c>
      <c r="S45" s="123">
        <f>Minbar!S10</f>
        <v>0</v>
      </c>
      <c r="T45" s="123">
        <f>Minbar!T10</f>
        <v>0</v>
      </c>
      <c r="U45" s="123">
        <f>Minbar!U10</f>
        <v>0</v>
      </c>
      <c r="V45" s="123">
        <f>Minbar!V10</f>
        <v>0</v>
      </c>
      <c r="W45" s="123">
        <f>Minbar!W10</f>
        <v>0</v>
      </c>
      <c r="X45" s="123">
        <f>Minbar!X10</f>
        <v>0</v>
      </c>
      <c r="Y45" s="123">
        <f>Minbar!Y10</f>
        <v>0</v>
      </c>
      <c r="Z45" s="123">
        <f>Minbar!Z10</f>
        <v>0</v>
      </c>
      <c r="AA45" s="123">
        <f>Minbar!AA10</f>
        <v>0</v>
      </c>
      <c r="AB45" s="123">
        <f>Minbar!AB10</f>
        <v>0</v>
      </c>
      <c r="AC45" s="129">
        <f>SUM(Q45:AB45)</f>
        <v>0</v>
      </c>
      <c r="AD45" s="123">
        <f t="shared" si="11"/>
        <v>0</v>
      </c>
      <c r="AE45" s="192" t="e">
        <f t="shared" si="12"/>
        <v>#DIV/0!</v>
      </c>
      <c r="AF45" s="133">
        <v>2406.1799999999994</v>
      </c>
      <c r="AG45" s="124">
        <f t="shared" si="9"/>
        <v>-2406.1799999999994</v>
      </c>
      <c r="AH45" s="124"/>
      <c r="AI45" s="124"/>
      <c r="AJ45" s="124"/>
      <c r="AL45" s="124"/>
    </row>
    <row r="46" spans="1:38">
      <c r="A46" s="105" t="s">
        <v>411</v>
      </c>
      <c r="B46" s="105" t="s">
        <v>407</v>
      </c>
      <c r="C46" s="105" t="s">
        <v>412</v>
      </c>
      <c r="D46" s="123">
        <f>SUM('Hai Tang:Room Service'!D25)</f>
        <v>3000</v>
      </c>
      <c r="E46" s="123">
        <f>SUM('Hai Tang:Room Service'!E25)</f>
        <v>5000</v>
      </c>
      <c r="F46" s="123">
        <f>SUM('Hai Tang:Room Service'!F25)</f>
        <v>2000</v>
      </c>
      <c r="G46" s="123">
        <f>SUM('Hai Tang:Room Service'!G25)</f>
        <v>2000</v>
      </c>
      <c r="H46" s="123">
        <f>SUM('Hai Tang:Room Service'!H25)</f>
        <v>2000</v>
      </c>
      <c r="I46" s="123">
        <f>SUM('Hai Tang:Room Service'!I25)</f>
        <v>2000</v>
      </c>
      <c r="J46" s="123">
        <f>SUM('Hai Tang:Room Service'!J25)</f>
        <v>2000</v>
      </c>
      <c r="K46" s="123">
        <f>SUM('Hai Tang:Room Service'!K25)</f>
        <v>2000</v>
      </c>
      <c r="L46" s="123">
        <f>SUM('Hai Tang:Room Service'!L25)</f>
        <v>2000</v>
      </c>
      <c r="M46" s="123">
        <f>SUM('Hai Tang:Room Service'!M25)</f>
        <v>1200000</v>
      </c>
      <c r="N46" s="123">
        <f>SUM('Hai Tang:Room Service'!N25)</f>
        <v>2000</v>
      </c>
      <c r="O46" s="123">
        <f>SUM('Hai Tang:Room Service'!O25)</f>
        <v>2000</v>
      </c>
      <c r="P46" s="133">
        <f>SUM(D46:O46)</f>
        <v>1226000</v>
      </c>
      <c r="Q46" s="123">
        <f>SUM('Hai Tang:Room Service'!Q25)</f>
        <v>10919.82</v>
      </c>
      <c r="R46" s="123">
        <f>SUM('Hai Tang:Room Service'!R25)</f>
        <v>17594.38</v>
      </c>
      <c r="S46" s="123">
        <f>SUM('Hai Tang:Room Service'!S25)</f>
        <v>12744.8</v>
      </c>
      <c r="T46" s="123">
        <f>SUM('Hai Tang:Room Service'!T25)</f>
        <v>8577.0099999999984</v>
      </c>
      <c r="U46" s="123">
        <f>SUM('Hai Tang:Room Service'!U25)</f>
        <v>7866.9</v>
      </c>
      <c r="V46" s="123">
        <f>SUM('Hai Tang:Room Service'!V25)</f>
        <v>10084</v>
      </c>
      <c r="W46" s="123">
        <f>SUM('Hai Tang:Room Service'!W25)</f>
        <v>9152.2999999999993</v>
      </c>
      <c r="X46" s="123">
        <f>SUM('Hai Tang:Room Service'!X25)</f>
        <v>11496.63</v>
      </c>
      <c r="Y46" s="123">
        <f>SUM('Hai Tang:Room Service'!Y25)</f>
        <v>1200000</v>
      </c>
      <c r="Z46" s="123">
        <f>SUM('Hai Tang:Room Service'!Z25)</f>
        <v>2000</v>
      </c>
      <c r="AA46" s="123">
        <f>SUM('Hai Tang:Room Service'!AA25)</f>
        <v>2000</v>
      </c>
      <c r="AB46" s="123">
        <f>SUM('Hai Tang:Room Service'!AB25)</f>
        <v>2000</v>
      </c>
      <c r="AC46" s="129">
        <f>SUM(Q46:AB46)</f>
        <v>1294435.8400000001</v>
      </c>
      <c r="AD46" s="123">
        <f t="shared" si="11"/>
        <v>-68435.840000000084</v>
      </c>
      <c r="AE46" s="192">
        <f t="shared" si="12"/>
        <v>-5.2869240703347704E-2</v>
      </c>
      <c r="AF46" s="133">
        <v>604625.39999999991</v>
      </c>
      <c r="AG46" s="124">
        <f t="shared" si="9"/>
        <v>621374.60000000009</v>
      </c>
      <c r="AH46" s="124"/>
      <c r="AI46" s="124"/>
      <c r="AJ46" s="124"/>
      <c r="AL46" s="124"/>
    </row>
    <row r="47" spans="1:38">
      <c r="A47" s="105" t="s">
        <v>169</v>
      </c>
      <c r="B47" s="105" t="s">
        <v>407</v>
      </c>
      <c r="C47" s="105" t="s">
        <v>170</v>
      </c>
      <c r="D47" s="123">
        <f>SUM('Hai Tang:Room Service'!D26)</f>
        <v>130280</v>
      </c>
      <c r="E47" s="123">
        <f>SUM('Hai Tang:Room Service'!E26)</f>
        <v>118547</v>
      </c>
      <c r="F47" s="123">
        <f>SUM('Hai Tang:Room Service'!F26)</f>
        <v>68918</v>
      </c>
      <c r="G47" s="123">
        <f>SUM('Hai Tang:Room Service'!G26)</f>
        <v>61381</v>
      </c>
      <c r="H47" s="123">
        <f>SUM('Hai Tang:Room Service'!H26)</f>
        <v>62718</v>
      </c>
      <c r="I47" s="123">
        <f>SUM('Hai Tang:Room Service'!I26)</f>
        <v>58453</v>
      </c>
      <c r="J47" s="123">
        <f>SUM('Hai Tang:Room Service'!J26)</f>
        <v>85177</v>
      </c>
      <c r="K47" s="123">
        <f>SUM('Hai Tang:Room Service'!K26)</f>
        <v>91153</v>
      </c>
      <c r="L47" s="123">
        <f>SUM('Hai Tang:Room Service'!L26)</f>
        <v>56629</v>
      </c>
      <c r="M47" s="123">
        <f>SUM('Hai Tang:Room Service'!M26)</f>
        <v>61065</v>
      </c>
      <c r="N47" s="123">
        <f>SUM('Hai Tang:Room Service'!N26)</f>
        <v>63342</v>
      </c>
      <c r="O47" s="123">
        <f>SUM('Hai Tang:Room Service'!O26)</f>
        <v>76628</v>
      </c>
      <c r="P47" s="133">
        <f>SUM(D47:O47)</f>
        <v>934291</v>
      </c>
      <c r="Q47" s="123">
        <f>SUM('Hai Tang:Room Service'!Q26)</f>
        <v>147528.75</v>
      </c>
      <c r="R47" s="123">
        <f>SUM('Hai Tang:Room Service'!R26)</f>
        <v>468638.21</v>
      </c>
      <c r="S47" s="123">
        <f>SUM('Hai Tang:Room Service'!S26)</f>
        <v>108998.79999999999</v>
      </c>
      <c r="T47" s="123">
        <f>SUM('Hai Tang:Room Service'!T26)</f>
        <v>82076.000000000015</v>
      </c>
      <c r="U47" s="123">
        <f>SUM('Hai Tang:Room Service'!U26)</f>
        <v>90816.599999999991</v>
      </c>
      <c r="V47" s="123">
        <f>SUM('Hai Tang:Room Service'!V26)</f>
        <v>64264.19999999999</v>
      </c>
      <c r="W47" s="123">
        <f>SUM('Hai Tang:Room Service'!W26)</f>
        <v>110694.28</v>
      </c>
      <c r="X47" s="123">
        <f>SUM('Hai Tang:Room Service'!X26)</f>
        <v>152403.26</v>
      </c>
      <c r="Y47" s="123">
        <f>SUM('Hai Tang:Room Service'!Y26)</f>
        <v>97063</v>
      </c>
      <c r="Z47" s="123">
        <f>SUM('Hai Tang:Room Service'!Z26)</f>
        <v>87087</v>
      </c>
      <c r="AA47" s="123">
        <f>SUM('Hai Tang:Room Service'!AA26)</f>
        <v>81948</v>
      </c>
      <c r="AB47" s="123">
        <f>SUM('Hai Tang:Room Service'!AB26)</f>
        <v>112702</v>
      </c>
      <c r="AC47" s="129">
        <f>SUM(Q47:AB47)</f>
        <v>1604220.0999999999</v>
      </c>
      <c r="AD47" s="123">
        <f t="shared" si="11"/>
        <v>-669929.09999999986</v>
      </c>
      <c r="AE47" s="192">
        <f t="shared" si="12"/>
        <v>-0.41760423024247106</v>
      </c>
      <c r="AF47" s="133">
        <v>2339544.6800000002</v>
      </c>
      <c r="AG47" s="124">
        <f t="shared" si="9"/>
        <v>-1405253.6800000002</v>
      </c>
      <c r="AH47" s="124"/>
      <c r="AI47" s="124"/>
      <c r="AJ47" s="124"/>
      <c r="AL47" s="124"/>
    </row>
    <row r="48" spans="1:38">
      <c r="A48" s="105" t="s">
        <v>273</v>
      </c>
      <c r="C48" s="109" t="s">
        <v>413</v>
      </c>
      <c r="D48" s="133">
        <f>SUM(D44:D47)+D24+D42</f>
        <v>9000030</v>
      </c>
      <c r="E48" s="133">
        <f t="shared" ref="E48:AC48" si="13">SUM(E44:E47)+E24+E42</f>
        <v>8202468</v>
      </c>
      <c r="F48" s="133">
        <f t="shared" si="13"/>
        <v>6009517</v>
      </c>
      <c r="G48" s="133">
        <f t="shared" si="13"/>
        <v>5635934</v>
      </c>
      <c r="H48" s="133">
        <f t="shared" si="13"/>
        <v>5700473</v>
      </c>
      <c r="I48" s="133">
        <f t="shared" si="13"/>
        <v>5135401</v>
      </c>
      <c r="J48" s="133">
        <f t="shared" si="13"/>
        <v>7024126</v>
      </c>
      <c r="K48" s="133">
        <f t="shared" si="13"/>
        <v>7291081</v>
      </c>
      <c r="L48" s="133">
        <f t="shared" si="13"/>
        <v>5162989</v>
      </c>
      <c r="M48" s="133">
        <f t="shared" si="13"/>
        <v>7274075</v>
      </c>
      <c r="N48" s="133">
        <f t="shared" si="13"/>
        <v>6164369</v>
      </c>
      <c r="O48" s="133">
        <f t="shared" si="13"/>
        <v>7400857</v>
      </c>
      <c r="P48" s="133">
        <f t="shared" si="13"/>
        <v>80001320</v>
      </c>
      <c r="Q48" s="133">
        <f t="shared" si="13"/>
        <v>7698134.0100000007</v>
      </c>
      <c r="R48" s="133">
        <f t="shared" si="13"/>
        <v>11532450.77</v>
      </c>
      <c r="S48" s="133">
        <f t="shared" si="13"/>
        <v>6956777.9600000009</v>
      </c>
      <c r="T48" s="133">
        <f t="shared" si="13"/>
        <v>6336497.870000001</v>
      </c>
      <c r="U48" s="133">
        <f t="shared" si="13"/>
        <v>5974934.3900000006</v>
      </c>
      <c r="V48" s="133">
        <f t="shared" si="13"/>
        <v>5432701.2899999991</v>
      </c>
      <c r="W48" s="133">
        <f t="shared" si="13"/>
        <v>7023132.7299999995</v>
      </c>
      <c r="X48" s="133">
        <f t="shared" si="13"/>
        <v>7458428.3299999991</v>
      </c>
      <c r="Y48" s="133">
        <f>SUM(Y44:Y47)+Y24+Y42</f>
        <v>5295919</v>
      </c>
      <c r="Z48" s="133">
        <f>SUM(Z44:Z47)+Z24+Z42</f>
        <v>5595949</v>
      </c>
      <c r="AA48" s="133">
        <f>SUM(AA44:AA47)+AA24+AA42</f>
        <v>5408551</v>
      </c>
      <c r="AB48" s="133">
        <f>SUM(AB44:AB47)+AB24+AB42</f>
        <v>6290078</v>
      </c>
      <c r="AC48" s="133">
        <f t="shared" si="13"/>
        <v>81003554.349999994</v>
      </c>
      <c r="AD48" s="133">
        <f t="shared" si="11"/>
        <v>-1002234.349999994</v>
      </c>
      <c r="AE48" s="192">
        <f t="shared" si="12"/>
        <v>-1.2372720654572044E-2</v>
      </c>
      <c r="AF48" s="133">
        <v>86051217.339999974</v>
      </c>
      <c r="AG48" s="124">
        <f t="shared" si="9"/>
        <v>-6049897.3399999738</v>
      </c>
      <c r="AH48" s="124"/>
      <c r="AI48" s="124"/>
      <c r="AJ48" s="124"/>
      <c r="AL48" s="124"/>
    </row>
    <row r="49" spans="1:38">
      <c r="A49" s="105" t="s">
        <v>273</v>
      </c>
      <c r="C49" s="105" t="s">
        <v>154</v>
      </c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39">
        <f>P52/P42</f>
        <v>0.20911957711569765</v>
      </c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39">
        <f>AC52/AC42</f>
        <v>0.21168719415108281</v>
      </c>
      <c r="AD49" s="123"/>
      <c r="AE49" s="192">
        <f t="shared" si="12"/>
        <v>0</v>
      </c>
      <c r="AF49" s="133">
        <v>0.20330023554230159</v>
      </c>
      <c r="AG49" s="124">
        <f t="shared" si="9"/>
        <v>5.8193415733960585E-3</v>
      </c>
      <c r="AH49" s="124"/>
      <c r="AI49" s="124"/>
      <c r="AJ49" s="124"/>
      <c r="AL49" s="124"/>
    </row>
    <row r="50" spans="1:38">
      <c r="A50" s="105" t="s">
        <v>273</v>
      </c>
      <c r="C50" s="105" t="s">
        <v>414</v>
      </c>
      <c r="D50" s="196">
        <f t="shared" ref="D50:AC50" si="14">D51/D24</f>
        <v>0.31488335704125175</v>
      </c>
      <c r="E50" s="196">
        <f t="shared" si="14"/>
        <v>0.31135342347089018</v>
      </c>
      <c r="F50" s="196">
        <f t="shared" si="14"/>
        <v>0.3096184960880225</v>
      </c>
      <c r="G50" s="196">
        <f t="shared" si="14"/>
        <v>0.30933456022665645</v>
      </c>
      <c r="H50" s="196">
        <f t="shared" si="14"/>
        <v>0.31118217283791105</v>
      </c>
      <c r="I50" s="196">
        <f t="shared" si="14"/>
        <v>0.31322677477922006</v>
      </c>
      <c r="J50" s="196">
        <f t="shared" si="14"/>
        <v>0.31170269449831306</v>
      </c>
      <c r="K50" s="196">
        <f t="shared" si="14"/>
        <v>0.31298823864851377</v>
      </c>
      <c r="L50" s="196">
        <f t="shared" si="14"/>
        <v>0.31247549332494734</v>
      </c>
      <c r="M50" s="196">
        <f t="shared" si="14"/>
        <v>0.30981753683303059</v>
      </c>
      <c r="N50" s="196">
        <f t="shared" si="14"/>
        <v>0.30914131787185162</v>
      </c>
      <c r="O50" s="196">
        <f t="shared" si="14"/>
        <v>0.3137407084542933</v>
      </c>
      <c r="P50" s="139">
        <f t="shared" si="14"/>
        <v>0.31178652760344433</v>
      </c>
      <c r="Q50" s="196">
        <f t="shared" si="14"/>
        <v>0.33119614473582965</v>
      </c>
      <c r="R50" s="196">
        <f t="shared" si="14"/>
        <v>0.32297030931494025</v>
      </c>
      <c r="S50" s="196">
        <f t="shared" si="14"/>
        <v>0.31508536311551483</v>
      </c>
      <c r="T50" s="196">
        <f t="shared" si="14"/>
        <v>0.31667738212008734</v>
      </c>
      <c r="U50" s="196">
        <f t="shared" si="14"/>
        <v>0.33212453695219979</v>
      </c>
      <c r="V50" s="196">
        <f t="shared" si="14"/>
        <v>0.33400463868204122</v>
      </c>
      <c r="W50" s="196">
        <f t="shared" si="14"/>
        <v>0.32595019337411352</v>
      </c>
      <c r="X50" s="196">
        <f t="shared" si="14"/>
        <v>0.32870254388652032</v>
      </c>
      <c r="Y50" s="196">
        <f>Y51/Y24</f>
        <v>0.31985075755402997</v>
      </c>
      <c r="Z50" s="196">
        <f>Z51/Z24</f>
        <v>0.30621287767721311</v>
      </c>
      <c r="AA50" s="196">
        <f>AA51/AA24</f>
        <v>0.30594096122930042</v>
      </c>
      <c r="AB50" s="196">
        <f>AB51/AB24</f>
        <v>0.30669863288351812</v>
      </c>
      <c r="AC50" s="139">
        <f t="shared" si="14"/>
        <v>0.32104836369125545</v>
      </c>
      <c r="AD50" s="123"/>
      <c r="AE50" s="192">
        <f t="shared" si="12"/>
        <v>0</v>
      </c>
      <c r="AF50" s="139">
        <v>0.29889866656645103</v>
      </c>
      <c r="AH50" s="124"/>
      <c r="AI50" s="124"/>
      <c r="AJ50" s="124"/>
      <c r="AL50" s="124"/>
    </row>
    <row r="51" spans="1:38">
      <c r="A51" s="105" t="s">
        <v>415</v>
      </c>
      <c r="B51" s="105" t="s">
        <v>407</v>
      </c>
      <c r="C51" s="105" t="s">
        <v>416</v>
      </c>
      <c r="D51" s="123">
        <f>SUM('Hai Tang:Main Kichen'!D30)</f>
        <v>2656356</v>
      </c>
      <c r="E51" s="123">
        <f>SUM('Hai Tang:Main Kichen'!E30)</f>
        <v>2357839</v>
      </c>
      <c r="F51" s="123">
        <f>SUM('Hai Tang:Main Kichen'!F30)</f>
        <v>1730494</v>
      </c>
      <c r="G51" s="123">
        <f>SUM('Hai Tang:Main Kichen'!G30)</f>
        <v>1616983</v>
      </c>
      <c r="H51" s="123">
        <f>SUM('Hai Tang:Main Kichen'!H30)</f>
        <v>1647395</v>
      </c>
      <c r="I51" s="123">
        <f>SUM('Hai Tang:Main Kichen'!I30)</f>
        <v>1495588</v>
      </c>
      <c r="J51" s="123">
        <f>SUM('Hai Tang:Main Kichen'!J30)</f>
        <v>2101892</v>
      </c>
      <c r="K51" s="123">
        <f>SUM('Hai Tang:Main Kichen'!K30)</f>
        <v>2195456</v>
      </c>
      <c r="L51" s="123">
        <f>SUM('Hai Tang:Main Kichen'!L30)</f>
        <v>1505371</v>
      </c>
      <c r="M51" s="123">
        <f>SUM('Hai Tang:Main Kichen'!M30)</f>
        <v>1751612</v>
      </c>
      <c r="N51" s="123">
        <f>SUM('Hai Tang:Main Kichen'!N30)</f>
        <v>1746701</v>
      </c>
      <c r="O51" s="123">
        <f>SUM('Hai Tang:Main Kichen'!O30)</f>
        <v>2136391</v>
      </c>
      <c r="P51" s="133">
        <f>SUM(D51:O51)</f>
        <v>22942078</v>
      </c>
      <c r="Q51" s="123">
        <f>SUM('Hai Tang:Main Kichen'!Q30)</f>
        <v>2355656.77</v>
      </c>
      <c r="R51" s="123">
        <f>SUM('Hai Tang:Main Kichen'!R30)</f>
        <v>3353681.99</v>
      </c>
      <c r="S51" s="123">
        <f>SUM('Hai Tang:Main Kichen'!S30)</f>
        <v>2017447.5499999998</v>
      </c>
      <c r="T51" s="123">
        <f>SUM('Hai Tang:Main Kichen'!T30)</f>
        <v>1855387.9100000001</v>
      </c>
      <c r="U51" s="123">
        <f>SUM('Hai Tang:Main Kichen'!U30)</f>
        <v>1837275.87</v>
      </c>
      <c r="V51" s="123">
        <f>SUM('Hai Tang:Main Kichen'!V30)</f>
        <v>1701512.78</v>
      </c>
      <c r="W51" s="123">
        <f>SUM('Hai Tang:Main Kichen'!W30)</f>
        <v>2184238.71</v>
      </c>
      <c r="X51" s="123">
        <f>SUM('Hai Tang:Main Kichen'!X30)</f>
        <v>2363394.2800000003</v>
      </c>
      <c r="Y51" s="123">
        <f>SUM('Hai Tang:Main Kichen'!Y30)</f>
        <v>1226746</v>
      </c>
      <c r="Z51" s="123">
        <f>SUM('Hai Tang:Main Kichen'!Z30)</f>
        <v>1607218</v>
      </c>
      <c r="AA51" s="123">
        <f>SUM('Hai Tang:Main Kichen'!AA30)</f>
        <v>1550983</v>
      </c>
      <c r="AB51" s="123">
        <f>SUM('Hai Tang:Main Kichen'!AB30)</f>
        <v>1805038</v>
      </c>
      <c r="AC51" s="129">
        <f>SUM(Q51:AB51)</f>
        <v>23858580.859999999</v>
      </c>
      <c r="AD51" s="123">
        <f t="shared" ref="AD51:AD55" si="15">P51-AC51</f>
        <v>-916502.8599999994</v>
      </c>
      <c r="AE51" s="192">
        <f t="shared" si="12"/>
        <v>-3.8413972120888311E-2</v>
      </c>
      <c r="AF51" s="133">
        <v>23860408.030000001</v>
      </c>
      <c r="AG51" s="124">
        <f t="shared" ref="AG51:AG101" si="16">AF51-P51</f>
        <v>918330.03000000119</v>
      </c>
      <c r="AH51" s="124"/>
      <c r="AI51" s="124"/>
      <c r="AJ51" s="124"/>
      <c r="AL51" s="124"/>
    </row>
    <row r="52" spans="1:38">
      <c r="A52" s="105" t="s">
        <v>417</v>
      </c>
      <c r="B52" s="105" t="s">
        <v>407</v>
      </c>
      <c r="C52" s="105" t="s">
        <v>418</v>
      </c>
      <c r="D52" s="123">
        <f>SUM('Hai Tang:Main Kichen'!D31)</f>
        <v>51580</v>
      </c>
      <c r="E52" s="123">
        <f>SUM('Hai Tang:Main Kichen'!E31)</f>
        <v>100011</v>
      </c>
      <c r="F52" s="123">
        <f>SUM('Hai Tang:Main Kichen'!F31)</f>
        <v>41047</v>
      </c>
      <c r="G52" s="123">
        <f>SUM('Hai Tang:Main Kichen'!G31)</f>
        <v>38171</v>
      </c>
      <c r="H52" s="123">
        <f>SUM('Hai Tang:Main Kichen'!H31)</f>
        <v>39473</v>
      </c>
      <c r="I52" s="123">
        <f>SUM('Hai Tang:Main Kichen'!I31)</f>
        <v>31124</v>
      </c>
      <c r="J52" s="123">
        <f>SUM('Hai Tang:Main Kichen'!J31)</f>
        <v>40018</v>
      </c>
      <c r="K52" s="123">
        <f>SUM('Hai Tang:Main Kichen'!K31)</f>
        <v>37966</v>
      </c>
      <c r="L52" s="123">
        <f>SUM('Hai Tang:Main Kichen'!L31)</f>
        <v>28479</v>
      </c>
      <c r="M52" s="123">
        <f>SUM('Hai Tang:Main Kichen'!M31)</f>
        <v>33234</v>
      </c>
      <c r="N52" s="123">
        <f>SUM('Hai Tang:Main Kichen'!N31)</f>
        <v>31112</v>
      </c>
      <c r="O52" s="123">
        <f>SUM('Hai Tang:Main Kichen'!O31)</f>
        <v>43972</v>
      </c>
      <c r="P52" s="133">
        <f>SUM(D52:O52)</f>
        <v>516187</v>
      </c>
      <c r="Q52" s="123">
        <f>SUM('Hai Tang:Main Kichen'!Q31)</f>
        <v>65083.49</v>
      </c>
      <c r="R52" s="123">
        <f>SUM('Hai Tang:Main Kichen'!R31)</f>
        <v>137255.88</v>
      </c>
      <c r="S52" s="123">
        <f>SUM('Hai Tang:Main Kichen'!S31)</f>
        <v>63137.38</v>
      </c>
      <c r="T52" s="123">
        <f>SUM('Hai Tang:Main Kichen'!T31)</f>
        <v>52575.069999999992</v>
      </c>
      <c r="U52" s="123">
        <f>SUM('Hai Tang:Main Kichen'!U31)</f>
        <v>58248.45</v>
      </c>
      <c r="V52" s="123">
        <f>SUM('Hai Tang:Main Kichen'!V31)</f>
        <v>49946.74</v>
      </c>
      <c r="W52" s="123">
        <f>SUM('Hai Tang:Main Kichen'!W31)</f>
        <v>27672.01</v>
      </c>
      <c r="X52" s="123">
        <f>SUM('Hai Tang:Main Kichen'!X31)</f>
        <v>22195.78</v>
      </c>
      <c r="Y52" s="123">
        <f>SUM('Hai Tang:Main Kichen'!Y31)</f>
        <v>23529</v>
      </c>
      <c r="Z52" s="123">
        <f>SUM('Hai Tang:Main Kichen'!Z31)</f>
        <v>33004</v>
      </c>
      <c r="AA52" s="123">
        <f>SUM('Hai Tang:Main Kichen'!AA31)</f>
        <v>32350</v>
      </c>
      <c r="AB52" s="123">
        <f>SUM('Hai Tang:Main Kichen'!AB31)</f>
        <v>39409</v>
      </c>
      <c r="AC52" s="129">
        <f>SUM(Q52:AB52)</f>
        <v>604406.80000000005</v>
      </c>
      <c r="AD52" s="123">
        <f t="shared" si="15"/>
        <v>-88219.800000000047</v>
      </c>
      <c r="AE52" s="192">
        <f t="shared" si="12"/>
        <v>-0.14596096536306349</v>
      </c>
      <c r="AF52" s="133">
        <v>461465.62</v>
      </c>
      <c r="AG52" s="124">
        <f t="shared" si="16"/>
        <v>-54721.380000000005</v>
      </c>
      <c r="AH52" s="124"/>
      <c r="AI52" s="124"/>
      <c r="AJ52" s="124"/>
      <c r="AL52" s="124"/>
    </row>
    <row r="53" spans="1:38">
      <c r="A53" s="105" t="s">
        <v>419</v>
      </c>
      <c r="B53" s="105" t="s">
        <v>407</v>
      </c>
      <c r="C53" s="105" t="s">
        <v>420</v>
      </c>
      <c r="D53" s="123">
        <f>Minbar!D14</f>
        <v>0</v>
      </c>
      <c r="E53" s="123">
        <f>Minbar!E14</f>
        <v>0</v>
      </c>
      <c r="F53" s="123">
        <f>Minbar!F14</f>
        <v>0</v>
      </c>
      <c r="G53" s="123">
        <f>Minbar!G14</f>
        <v>0</v>
      </c>
      <c r="H53" s="123">
        <f>Minbar!H14</f>
        <v>0</v>
      </c>
      <c r="I53" s="123">
        <f>Minbar!I14</f>
        <v>0</v>
      </c>
      <c r="J53" s="123">
        <f>Minbar!J14</f>
        <v>0</v>
      </c>
      <c r="K53" s="123">
        <f>Minbar!K14</f>
        <v>0</v>
      </c>
      <c r="L53" s="123">
        <f>Minbar!L14</f>
        <v>0</v>
      </c>
      <c r="M53" s="123">
        <f>Minbar!M14</f>
        <v>0</v>
      </c>
      <c r="N53" s="123">
        <f>Minbar!N14</f>
        <v>0</v>
      </c>
      <c r="O53" s="123">
        <f>Minbar!O14</f>
        <v>0</v>
      </c>
      <c r="P53" s="133">
        <f>SUM(D53:O53)</f>
        <v>0</v>
      </c>
      <c r="Q53" s="123">
        <f>Minbar!Q14</f>
        <v>0</v>
      </c>
      <c r="R53" s="123">
        <f>Minbar!R14</f>
        <v>0</v>
      </c>
      <c r="S53" s="123">
        <f>Minbar!S14</f>
        <v>0</v>
      </c>
      <c r="T53" s="123">
        <f>Minbar!T14</f>
        <v>0</v>
      </c>
      <c r="U53" s="123">
        <f>Minbar!U14</f>
        <v>0</v>
      </c>
      <c r="V53" s="123">
        <f>Minbar!V14</f>
        <v>0</v>
      </c>
      <c r="W53" s="123">
        <f>Minbar!W14</f>
        <v>0</v>
      </c>
      <c r="X53" s="123">
        <f>Minbar!X14</f>
        <v>0</v>
      </c>
      <c r="Y53" s="123">
        <f>Minbar!Y14</f>
        <v>0</v>
      </c>
      <c r="Z53" s="123">
        <f>Minbar!Z14</f>
        <v>0</v>
      </c>
      <c r="AA53" s="123">
        <f>Minbar!AA14</f>
        <v>0</v>
      </c>
      <c r="AB53" s="123">
        <f>Minbar!AB14</f>
        <v>0</v>
      </c>
      <c r="AC53" s="129">
        <f>SUM(Q53:AB53)</f>
        <v>0</v>
      </c>
      <c r="AD53" s="123">
        <f t="shared" si="15"/>
        <v>0</v>
      </c>
      <c r="AE53" s="192" t="e">
        <f t="shared" si="12"/>
        <v>#DIV/0!</v>
      </c>
      <c r="AF53" s="133">
        <v>0</v>
      </c>
      <c r="AG53" s="124">
        <f t="shared" si="16"/>
        <v>0</v>
      </c>
      <c r="AH53" s="124"/>
      <c r="AI53" s="124"/>
      <c r="AJ53" s="124"/>
      <c r="AL53" s="124"/>
    </row>
    <row r="54" spans="1:38">
      <c r="A54" s="105" t="s">
        <v>421</v>
      </c>
      <c r="B54" s="105" t="s">
        <v>407</v>
      </c>
      <c r="C54" s="105" t="s">
        <v>422</v>
      </c>
      <c r="D54" s="123">
        <f>SUM('Hai Tang:Main Kichen'!D32)</f>
        <v>300</v>
      </c>
      <c r="E54" s="123">
        <f>SUM('Hai Tang:Main Kichen'!E32)</f>
        <v>500</v>
      </c>
      <c r="F54" s="123">
        <f>SUM('Hai Tang:Main Kichen'!F32)</f>
        <v>200</v>
      </c>
      <c r="G54" s="123">
        <f>SUM('Hai Tang:Main Kichen'!G32)</f>
        <v>200</v>
      </c>
      <c r="H54" s="123">
        <f>SUM('Hai Tang:Main Kichen'!H32)</f>
        <v>200</v>
      </c>
      <c r="I54" s="123">
        <f>SUM('Hai Tang:Main Kichen'!I32)</f>
        <v>200</v>
      </c>
      <c r="J54" s="123">
        <f>SUM('Hai Tang:Main Kichen'!J32)</f>
        <v>200</v>
      </c>
      <c r="K54" s="123">
        <f>SUM('Hai Tang:Main Kichen'!K32)</f>
        <v>200</v>
      </c>
      <c r="L54" s="123">
        <f>SUM('Hai Tang:Main Kichen'!L32)</f>
        <v>200</v>
      </c>
      <c r="M54" s="123">
        <f>SUM('Hai Tang:Main Kichen'!M32)</f>
        <v>770000</v>
      </c>
      <c r="N54" s="123">
        <f>SUM('Hai Tang:Main Kichen'!N32)</f>
        <v>200</v>
      </c>
      <c r="O54" s="123">
        <f>SUM('Hai Tang:Main Kichen'!O32)</f>
        <v>200</v>
      </c>
      <c r="P54" s="133">
        <f>SUM(D54:O54)</f>
        <v>772600</v>
      </c>
      <c r="Q54" s="123">
        <f>SUM('Hai Tang:Main Kichen'!Q32)</f>
        <v>3742.98</v>
      </c>
      <c r="R54" s="123">
        <f>SUM('Hai Tang:Main Kichen'!R32)</f>
        <v>5708.17</v>
      </c>
      <c r="S54" s="123">
        <f>SUM('Hai Tang:Main Kichen'!S32)</f>
        <v>4527.1299999999992</v>
      </c>
      <c r="T54" s="123">
        <f>SUM('Hai Tang:Main Kichen'!T32)</f>
        <v>2276.35</v>
      </c>
      <c r="U54" s="123">
        <f>SUM('Hai Tang:Main Kichen'!U32)</f>
        <v>1618.25</v>
      </c>
      <c r="V54" s="123">
        <f>SUM('Hai Tang:Main Kichen'!V32)</f>
        <v>3217.94</v>
      </c>
      <c r="W54" s="123">
        <f>SUM('Hai Tang:Main Kichen'!W32)</f>
        <v>8714.83</v>
      </c>
      <c r="X54" s="123">
        <f>SUM('Hai Tang:Main Kichen'!X32)</f>
        <v>3671.31</v>
      </c>
      <c r="Y54" s="123">
        <f>SUM('Hai Tang:Main Kichen'!Y32)</f>
        <v>750000</v>
      </c>
      <c r="Z54" s="123">
        <f>SUM('Hai Tang:Main Kichen'!Z32)</f>
        <v>200</v>
      </c>
      <c r="AA54" s="123">
        <f>SUM('Hai Tang:Main Kichen'!AA32)</f>
        <v>200</v>
      </c>
      <c r="AB54" s="123">
        <f>SUM('Hai Tang:Main Kichen'!AB32)</f>
        <v>200</v>
      </c>
      <c r="AC54" s="129">
        <f>SUM(Q54:AB54)</f>
        <v>784076.96</v>
      </c>
      <c r="AD54" s="123">
        <f t="shared" si="15"/>
        <v>-11476.959999999963</v>
      </c>
      <c r="AE54" s="192">
        <f t="shared" si="12"/>
        <v>-1.4637542722846956E-2</v>
      </c>
      <c r="AF54" s="133">
        <v>96307.550000000017</v>
      </c>
      <c r="AG54" s="124">
        <f t="shared" si="16"/>
        <v>-676292.45</v>
      </c>
      <c r="AH54" s="124"/>
      <c r="AI54" s="124"/>
      <c r="AJ54" s="124"/>
      <c r="AL54" s="124"/>
    </row>
    <row r="55" spans="1:38">
      <c r="A55" s="105" t="s">
        <v>273</v>
      </c>
      <c r="C55" s="105" t="s">
        <v>423</v>
      </c>
      <c r="D55" s="133">
        <f>SUM(D51:D54)</f>
        <v>2708236</v>
      </c>
      <c r="E55" s="133">
        <f t="shared" ref="E55:AC55" si="17">SUM(E51:E54)</f>
        <v>2458350</v>
      </c>
      <c r="F55" s="133">
        <f t="shared" si="17"/>
        <v>1771741</v>
      </c>
      <c r="G55" s="133">
        <f t="shared" si="17"/>
        <v>1655354</v>
      </c>
      <c r="H55" s="133">
        <f t="shared" si="17"/>
        <v>1687068</v>
      </c>
      <c r="I55" s="133">
        <f t="shared" si="17"/>
        <v>1526912</v>
      </c>
      <c r="J55" s="133">
        <f t="shared" si="17"/>
        <v>2142110</v>
      </c>
      <c r="K55" s="133">
        <f t="shared" si="17"/>
        <v>2233622</v>
      </c>
      <c r="L55" s="133">
        <f t="shared" si="17"/>
        <v>1534050</v>
      </c>
      <c r="M55" s="133">
        <f t="shared" si="17"/>
        <v>2554846</v>
      </c>
      <c r="N55" s="133">
        <f t="shared" si="17"/>
        <v>1778013</v>
      </c>
      <c r="O55" s="133">
        <f t="shared" si="17"/>
        <v>2180563</v>
      </c>
      <c r="P55" s="133">
        <f t="shared" si="17"/>
        <v>24230865</v>
      </c>
      <c r="Q55" s="133">
        <f t="shared" si="17"/>
        <v>2424483.2400000002</v>
      </c>
      <c r="R55" s="133">
        <f t="shared" si="17"/>
        <v>3496646.04</v>
      </c>
      <c r="S55" s="133">
        <f t="shared" si="17"/>
        <v>2085112.0599999996</v>
      </c>
      <c r="T55" s="133">
        <f t="shared" si="17"/>
        <v>1910239.3300000003</v>
      </c>
      <c r="U55" s="133">
        <f t="shared" si="17"/>
        <v>1897142.57</v>
      </c>
      <c r="V55" s="133">
        <f t="shared" si="17"/>
        <v>1754677.46</v>
      </c>
      <c r="W55" s="133">
        <f t="shared" si="17"/>
        <v>2220625.5499999998</v>
      </c>
      <c r="X55" s="133">
        <f t="shared" si="17"/>
        <v>2389261.37</v>
      </c>
      <c r="Y55" s="133">
        <f>SUM(Y51:Y54)</f>
        <v>2000275</v>
      </c>
      <c r="Z55" s="133">
        <f>SUM(Z51:Z54)</f>
        <v>1640422</v>
      </c>
      <c r="AA55" s="133">
        <f>SUM(AA51:AA54)</f>
        <v>1583533</v>
      </c>
      <c r="AB55" s="133">
        <f>SUM(AB51:AB54)</f>
        <v>1844647</v>
      </c>
      <c r="AC55" s="133">
        <f t="shared" si="17"/>
        <v>25247064.620000001</v>
      </c>
      <c r="AD55" s="133">
        <f t="shared" si="15"/>
        <v>-1016199.620000001</v>
      </c>
      <c r="AE55" s="192">
        <f t="shared" si="12"/>
        <v>-4.0250208699311396E-2</v>
      </c>
      <c r="AF55" s="133">
        <v>24418181.200000003</v>
      </c>
      <c r="AG55" s="124">
        <f t="shared" si="16"/>
        <v>187316.20000000298</v>
      </c>
      <c r="AH55" s="124"/>
      <c r="AI55" s="124"/>
      <c r="AJ55" s="124"/>
      <c r="AL55" s="124"/>
    </row>
    <row r="56" spans="1:38">
      <c r="A56" s="105" t="s">
        <v>273</v>
      </c>
      <c r="C56" s="105" t="s">
        <v>154</v>
      </c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33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33"/>
      <c r="AD56" s="123"/>
      <c r="AE56" s="192" t="e">
        <f t="shared" si="12"/>
        <v>#DIV/0!</v>
      </c>
      <c r="AF56" s="133"/>
      <c r="AG56" s="124">
        <f t="shared" si="16"/>
        <v>0</v>
      </c>
      <c r="AH56" s="124"/>
      <c r="AI56" s="124"/>
      <c r="AJ56" s="124"/>
      <c r="AL56" s="124"/>
    </row>
    <row r="57" spans="1:38" s="109" customFormat="1">
      <c r="A57" s="109" t="s">
        <v>173</v>
      </c>
      <c r="B57" s="109" t="s">
        <v>407</v>
      </c>
      <c r="C57" s="109" t="s">
        <v>175</v>
      </c>
      <c r="D57" s="133">
        <f>D177</f>
        <v>1929667.1199999999</v>
      </c>
      <c r="E57" s="133">
        <f t="shared" ref="E57:O57" si="18">E177</f>
        <v>1589621.69</v>
      </c>
      <c r="F57" s="133">
        <f t="shared" si="18"/>
        <v>1608277.4300000002</v>
      </c>
      <c r="G57" s="133">
        <f t="shared" si="18"/>
        <v>1691720.98</v>
      </c>
      <c r="H57" s="133">
        <f t="shared" si="18"/>
        <v>1777778.4300000002</v>
      </c>
      <c r="I57" s="133">
        <f t="shared" si="18"/>
        <v>1639134.85</v>
      </c>
      <c r="J57" s="133">
        <f t="shared" si="18"/>
        <v>1649862.13</v>
      </c>
      <c r="K57" s="133">
        <f t="shared" si="18"/>
        <v>1646076.15</v>
      </c>
      <c r="L57" s="133">
        <f t="shared" si="18"/>
        <v>1647077.15</v>
      </c>
      <c r="M57" s="133">
        <f t="shared" si="18"/>
        <v>1983610.51</v>
      </c>
      <c r="N57" s="133">
        <f t="shared" si="18"/>
        <v>1648195.1099999999</v>
      </c>
      <c r="O57" s="133">
        <f t="shared" si="18"/>
        <v>1643513.13</v>
      </c>
      <c r="P57" s="133">
        <f>SUM(D57:O57)</f>
        <v>20454534.68</v>
      </c>
      <c r="Q57" s="133">
        <f t="shared" ref="Q57:X57" si="19">Q177</f>
        <v>1862825.7199999997</v>
      </c>
      <c r="R57" s="133">
        <f t="shared" si="19"/>
        <v>2059744.29</v>
      </c>
      <c r="S57" s="133">
        <f t="shared" si="19"/>
        <v>1739452.5700000003</v>
      </c>
      <c r="T57" s="133">
        <f t="shared" si="19"/>
        <v>1662461.92</v>
      </c>
      <c r="U57" s="133">
        <f t="shared" si="19"/>
        <v>1500160.9100000001</v>
      </c>
      <c r="V57" s="133">
        <f t="shared" si="19"/>
        <v>1569802.12</v>
      </c>
      <c r="W57" s="133">
        <f t="shared" si="19"/>
        <v>1493317.1700000002</v>
      </c>
      <c r="X57" s="133">
        <f t="shared" si="19"/>
        <v>1651978.6400000001</v>
      </c>
      <c r="Y57" s="133">
        <f>Y177</f>
        <v>2168236.52</v>
      </c>
      <c r="Z57" s="133">
        <f>Z177</f>
        <v>2353686.52</v>
      </c>
      <c r="AA57" s="133">
        <f>AA177</f>
        <v>2064345.52</v>
      </c>
      <c r="AB57" s="133">
        <f>AB177</f>
        <v>2065549.52</v>
      </c>
      <c r="AC57" s="129">
        <f>SUM(Q57:AB57)</f>
        <v>22191561.420000002</v>
      </c>
      <c r="AD57" s="133">
        <f>P57-AC57</f>
        <v>-1737026.7400000021</v>
      </c>
      <c r="AE57" s="132">
        <f t="shared" si="12"/>
        <v>-7.8274201040874847E-2</v>
      </c>
      <c r="AF57" s="133">
        <v>25568282.409999996</v>
      </c>
      <c r="AG57" s="124">
        <f t="shared" si="16"/>
        <v>5113747.7299999967</v>
      </c>
      <c r="AH57" s="124"/>
      <c r="AI57" s="124"/>
      <c r="AJ57" s="124"/>
      <c r="AL57" s="124"/>
    </row>
    <row r="58" spans="1:38">
      <c r="A58" s="105" t="s">
        <v>273</v>
      </c>
      <c r="C58" s="105" t="s">
        <v>154</v>
      </c>
      <c r="D58" s="133">
        <f t="shared" ref="D58:O58" si="20">D57/D48</f>
        <v>0.21440674308863414</v>
      </c>
      <c r="E58" s="197">
        <f t="shared" si="20"/>
        <v>0.19379797519478284</v>
      </c>
      <c r="F58" s="197">
        <f t="shared" si="20"/>
        <v>0.26762174564112229</v>
      </c>
      <c r="G58" s="197">
        <f t="shared" si="20"/>
        <v>0.3001669253046611</v>
      </c>
      <c r="H58" s="197">
        <f t="shared" si="20"/>
        <v>0.31186507330181201</v>
      </c>
      <c r="I58" s="197">
        <f t="shared" si="20"/>
        <v>0.31918341917213477</v>
      </c>
      <c r="J58" s="197">
        <f t="shared" si="20"/>
        <v>0.23488504192550075</v>
      </c>
      <c r="K58" s="197">
        <f t="shared" si="20"/>
        <v>0.22576571978832768</v>
      </c>
      <c r="L58" s="197">
        <f t="shared" si="20"/>
        <v>0.31901620359834193</v>
      </c>
      <c r="M58" s="197">
        <f t="shared" si="20"/>
        <v>0.27269591116396241</v>
      </c>
      <c r="N58" s="197">
        <f t="shared" si="20"/>
        <v>0.26737450499799736</v>
      </c>
      <c r="O58" s="197">
        <f t="shared" si="20"/>
        <v>0.2220706507367998</v>
      </c>
      <c r="P58" s="197">
        <f>P57/P48</f>
        <v>0.25567746482183046</v>
      </c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7">
        <f>AC57/AC48</f>
        <v>0.27395787256587223</v>
      </c>
      <c r="AD58" s="123"/>
      <c r="AE58" s="192">
        <f t="shared" si="12"/>
        <v>0</v>
      </c>
      <c r="AF58" s="133">
        <v>0.29712865431033081</v>
      </c>
      <c r="AG58" s="124">
        <f t="shared" si="16"/>
        <v>4.1451189488500351E-2</v>
      </c>
      <c r="AH58" s="124"/>
      <c r="AI58" s="124"/>
      <c r="AJ58" s="124"/>
      <c r="AL58" s="124"/>
    </row>
    <row r="59" spans="1:38">
      <c r="A59" s="105" t="s">
        <v>273</v>
      </c>
      <c r="C59" s="105" t="s">
        <v>176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33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33"/>
      <c r="AD59" s="123"/>
      <c r="AE59" s="192" t="e">
        <f t="shared" si="12"/>
        <v>#DIV/0!</v>
      </c>
      <c r="AF59" s="133"/>
      <c r="AG59" s="124">
        <f t="shared" si="16"/>
        <v>0</v>
      </c>
      <c r="AH59" s="124"/>
      <c r="AI59" s="124"/>
      <c r="AJ59" s="124"/>
      <c r="AL59" s="124"/>
    </row>
    <row r="60" spans="1:38">
      <c r="A60" s="105" t="s">
        <v>424</v>
      </c>
      <c r="B60" s="105" t="s">
        <v>407</v>
      </c>
      <c r="C60" s="105" t="s">
        <v>425</v>
      </c>
      <c r="D60" s="123">
        <f>SUM('Hai Tang:Main Kichen'!D38)</f>
        <v>84900</v>
      </c>
      <c r="E60" s="123">
        <f>SUM('Hai Tang:Main Kichen'!E38)</f>
        <v>90900</v>
      </c>
      <c r="F60" s="123">
        <f>SUM('Hai Tang:Main Kichen'!F38)</f>
        <v>62900</v>
      </c>
      <c r="G60" s="123">
        <f>SUM('Hai Tang:Main Kichen'!G38)</f>
        <v>64900</v>
      </c>
      <c r="H60" s="123">
        <f>SUM('Hai Tang:Main Kichen'!H38)</f>
        <v>62900</v>
      </c>
      <c r="I60" s="123">
        <f>SUM('Hai Tang:Main Kichen'!I38)</f>
        <v>71900</v>
      </c>
      <c r="J60" s="123">
        <f>SUM('Hai Tang:Main Kichen'!J38)</f>
        <v>90900</v>
      </c>
      <c r="K60" s="123">
        <f>SUM('Hai Tang:Main Kichen'!K38)</f>
        <v>91900</v>
      </c>
      <c r="L60" s="123">
        <f>SUM('Hai Tang:Main Kichen'!L38)</f>
        <v>60900</v>
      </c>
      <c r="M60" s="123">
        <f>SUM('Hai Tang:Main Kichen'!M38)</f>
        <v>77900</v>
      </c>
      <c r="N60" s="123">
        <f>SUM('Hai Tang:Main Kichen'!N38)</f>
        <v>64900</v>
      </c>
      <c r="O60" s="123">
        <f>SUM('Hai Tang:Main Kichen'!O38)</f>
        <v>83900</v>
      </c>
      <c r="P60" s="133">
        <f t="shared" ref="P60:P100" si="21">SUM(D60:O60)</f>
        <v>908800</v>
      </c>
      <c r="Q60" s="123">
        <f>SUM('Hai Tang:Main Kichen'!Q38)</f>
        <v>63896.93</v>
      </c>
      <c r="R60" s="123">
        <f>SUM('Hai Tang:Main Kichen'!R38)</f>
        <v>54903.49</v>
      </c>
      <c r="S60" s="123">
        <f>SUM('Hai Tang:Main Kichen'!S38)</f>
        <v>63073.729999999996</v>
      </c>
      <c r="T60" s="123">
        <f>SUM('Hai Tang:Main Kichen'!T38)</f>
        <v>66424.310000000012</v>
      </c>
      <c r="U60" s="123">
        <f>SUM('Hai Tang:Main Kichen'!U38)</f>
        <v>61026.139999999992</v>
      </c>
      <c r="V60" s="123">
        <f>SUM('Hai Tang:Main Kichen'!V38)</f>
        <v>79971.649999999994</v>
      </c>
      <c r="W60" s="123">
        <f>SUM('Hai Tang:Main Kichen'!W38)</f>
        <v>105878.68000000001</v>
      </c>
      <c r="X60" s="123">
        <f>SUM('Hai Tang:Main Kichen'!X38)</f>
        <v>135833.24</v>
      </c>
      <c r="Y60" s="123">
        <f>SUM('Hai Tang:Main Kichen'!Y38)</f>
        <v>59700</v>
      </c>
      <c r="Z60" s="123">
        <f>SUM('Hai Tang:Main Kichen'!Z38)</f>
        <v>77700</v>
      </c>
      <c r="AA60" s="123">
        <f>SUM('Hai Tang:Main Kichen'!AA38)</f>
        <v>64700</v>
      </c>
      <c r="AB60" s="123">
        <f>SUM('Hai Tang:Main Kichen'!AB38)</f>
        <v>96800</v>
      </c>
      <c r="AC60" s="129">
        <f t="shared" ref="AC60:AC100" si="22">SUM(Q60:AB60)</f>
        <v>929908.16999999993</v>
      </c>
      <c r="AD60" s="123">
        <f t="shared" ref="AD60:AD103" si="23">P60-AC60</f>
        <v>-21108.169999999925</v>
      </c>
      <c r="AE60" s="192">
        <f t="shared" si="12"/>
        <v>-2.2699198352026446E-2</v>
      </c>
      <c r="AF60" s="133">
        <v>857178.70000000007</v>
      </c>
      <c r="AG60" s="124">
        <f t="shared" si="16"/>
        <v>-51621.29999999993</v>
      </c>
      <c r="AH60" s="124"/>
      <c r="AI60" s="124"/>
      <c r="AJ60" s="124"/>
      <c r="AL60" s="124"/>
    </row>
    <row r="61" spans="1:38">
      <c r="A61" s="105" t="s">
        <v>273</v>
      </c>
      <c r="C61" s="105" t="s">
        <v>426</v>
      </c>
      <c r="D61" s="123">
        <f>SUM('Hai Tang:Main Kichen'!D39)</f>
        <v>0</v>
      </c>
      <c r="E61" s="123">
        <f>SUM('Hai Tang:Main Kichen'!E39)</f>
        <v>0</v>
      </c>
      <c r="F61" s="123">
        <f>SUM('Hai Tang:Main Kichen'!F39)</f>
        <v>0</v>
      </c>
      <c r="G61" s="123">
        <f>SUM('Hai Tang:Main Kichen'!G39)</f>
        <v>0</v>
      </c>
      <c r="H61" s="123">
        <f>SUM('Hai Tang:Main Kichen'!H39)</f>
        <v>0</v>
      </c>
      <c r="I61" s="123">
        <f>SUM('Hai Tang:Main Kichen'!I39)</f>
        <v>0</v>
      </c>
      <c r="J61" s="123">
        <f>SUM('Hai Tang:Main Kichen'!J39)</f>
        <v>0</v>
      </c>
      <c r="K61" s="123">
        <f>SUM('Hai Tang:Main Kichen'!K39)</f>
        <v>0</v>
      </c>
      <c r="L61" s="123">
        <f>SUM('Hai Tang:Main Kichen'!L39)</f>
        <v>0</v>
      </c>
      <c r="M61" s="123">
        <f>SUM('Hai Tang:Main Kichen'!M39)</f>
        <v>0</v>
      </c>
      <c r="N61" s="123">
        <f>SUM('Hai Tang:Main Kichen'!N39)</f>
        <v>0</v>
      </c>
      <c r="O61" s="123">
        <f>SUM('Hai Tang:Main Kichen'!O39)</f>
        <v>0</v>
      </c>
      <c r="P61" s="133">
        <f t="shared" si="21"/>
        <v>0</v>
      </c>
      <c r="Q61" s="123">
        <f>SUM('Hai Tang:Main Kichen'!Q39)</f>
        <v>0</v>
      </c>
      <c r="R61" s="123">
        <f>SUM('Hai Tang:Main Kichen'!R39)</f>
        <v>0</v>
      </c>
      <c r="S61" s="123">
        <f>SUM('Hai Tang:Main Kichen'!S39)</f>
        <v>0</v>
      </c>
      <c r="T61" s="123">
        <f>SUM('Hai Tang:Main Kichen'!T39)</f>
        <v>0</v>
      </c>
      <c r="U61" s="123">
        <f>SUM('Hai Tang:Main Kichen'!U39)</f>
        <v>0</v>
      </c>
      <c r="V61" s="123">
        <f>SUM('Hai Tang:Main Kichen'!V39)</f>
        <v>0</v>
      </c>
      <c r="W61" s="123">
        <f>SUM('Hai Tang:Main Kichen'!W39)</f>
        <v>0</v>
      </c>
      <c r="X61" s="123">
        <f>SUM('Hai Tang:Main Kichen'!X39)</f>
        <v>0</v>
      </c>
      <c r="Y61" s="123">
        <f>SUM('Hai Tang:Main Kichen'!Y39)</f>
        <v>0</v>
      </c>
      <c r="Z61" s="123">
        <f>SUM('Hai Tang:Main Kichen'!Z39)</f>
        <v>0</v>
      </c>
      <c r="AA61" s="123">
        <f>SUM('Hai Tang:Main Kichen'!AA39)</f>
        <v>0</v>
      </c>
      <c r="AB61" s="123">
        <f>SUM('Hai Tang:Main Kichen'!AB39)</f>
        <v>0</v>
      </c>
      <c r="AC61" s="129">
        <f t="shared" si="22"/>
        <v>0</v>
      </c>
      <c r="AD61" s="123">
        <f t="shared" si="23"/>
        <v>0</v>
      </c>
      <c r="AE61" s="192" t="e">
        <f t="shared" si="12"/>
        <v>#DIV/0!</v>
      </c>
      <c r="AF61" s="133">
        <v>0</v>
      </c>
      <c r="AG61" s="124">
        <f t="shared" si="16"/>
        <v>0</v>
      </c>
      <c r="AH61" s="124"/>
      <c r="AI61" s="124"/>
      <c r="AJ61" s="124"/>
      <c r="AL61" s="124"/>
    </row>
    <row r="62" spans="1:38">
      <c r="A62" s="105" t="s">
        <v>273</v>
      </c>
      <c r="C62" s="105" t="s">
        <v>427</v>
      </c>
      <c r="D62" s="123">
        <f>SUM('Hai Tang:Main Kichen'!D40)</f>
        <v>0</v>
      </c>
      <c r="E62" s="123">
        <f>SUM('Hai Tang:Main Kichen'!E40)</f>
        <v>0</v>
      </c>
      <c r="F62" s="123">
        <f>SUM('Hai Tang:Main Kichen'!F40)</f>
        <v>0</v>
      </c>
      <c r="G62" s="123">
        <f>SUM('Hai Tang:Main Kichen'!G40)</f>
        <v>0</v>
      </c>
      <c r="H62" s="123">
        <f>SUM('Hai Tang:Main Kichen'!H40)</f>
        <v>0</v>
      </c>
      <c r="I62" s="123">
        <f>SUM('Hai Tang:Main Kichen'!I40)</f>
        <v>0</v>
      </c>
      <c r="J62" s="123">
        <f>SUM('Hai Tang:Main Kichen'!J40)</f>
        <v>0</v>
      </c>
      <c r="K62" s="123">
        <f>SUM('Hai Tang:Main Kichen'!K40)</f>
        <v>0</v>
      </c>
      <c r="L62" s="123">
        <f>SUM('Hai Tang:Main Kichen'!L40)</f>
        <v>0</v>
      </c>
      <c r="M62" s="123">
        <f>SUM('Hai Tang:Main Kichen'!M40)</f>
        <v>0</v>
      </c>
      <c r="N62" s="123">
        <f>SUM('Hai Tang:Main Kichen'!N40)</f>
        <v>0</v>
      </c>
      <c r="O62" s="123">
        <f>SUM('Hai Tang:Main Kichen'!O40)</f>
        <v>0</v>
      </c>
      <c r="P62" s="133">
        <f t="shared" si="21"/>
        <v>0</v>
      </c>
      <c r="Q62" s="123">
        <f>SUM('Hai Tang:Main Kichen'!Q40)</f>
        <v>0</v>
      </c>
      <c r="R62" s="123">
        <f>SUM('Hai Tang:Main Kichen'!R40)</f>
        <v>0</v>
      </c>
      <c r="S62" s="123">
        <f>SUM('Hai Tang:Main Kichen'!S40)</f>
        <v>0</v>
      </c>
      <c r="T62" s="123">
        <f>SUM('Hai Tang:Main Kichen'!T40)</f>
        <v>0</v>
      </c>
      <c r="U62" s="123">
        <f>SUM('Hai Tang:Main Kichen'!U40)</f>
        <v>0</v>
      </c>
      <c r="V62" s="123">
        <f>SUM('Hai Tang:Main Kichen'!V40)</f>
        <v>0</v>
      </c>
      <c r="W62" s="123">
        <f>SUM('Hai Tang:Main Kichen'!W40)</f>
        <v>0</v>
      </c>
      <c r="X62" s="123">
        <f>SUM('Hai Tang:Main Kichen'!X40)</f>
        <v>0</v>
      </c>
      <c r="Y62" s="123">
        <f>SUM('Hai Tang:Main Kichen'!Y40)</f>
        <v>0</v>
      </c>
      <c r="Z62" s="123">
        <f>SUM('Hai Tang:Main Kichen'!Z40)</f>
        <v>0</v>
      </c>
      <c r="AA62" s="123">
        <f>SUM('Hai Tang:Main Kichen'!AA40)</f>
        <v>0</v>
      </c>
      <c r="AB62" s="123">
        <f>SUM('Hai Tang:Main Kichen'!AB40)</f>
        <v>0</v>
      </c>
      <c r="AC62" s="129">
        <f t="shared" si="22"/>
        <v>0</v>
      </c>
      <c r="AD62" s="123">
        <f t="shared" si="23"/>
        <v>0</v>
      </c>
      <c r="AE62" s="192" t="e">
        <f t="shared" si="12"/>
        <v>#DIV/0!</v>
      </c>
      <c r="AF62" s="133">
        <v>0</v>
      </c>
      <c r="AG62" s="124">
        <f t="shared" si="16"/>
        <v>0</v>
      </c>
      <c r="AH62" s="124"/>
      <c r="AI62" s="124"/>
      <c r="AJ62" s="124"/>
      <c r="AL62" s="124"/>
    </row>
    <row r="63" spans="1:38">
      <c r="A63" s="105" t="s">
        <v>273</v>
      </c>
      <c r="C63" s="105" t="s">
        <v>428</v>
      </c>
      <c r="D63" s="123">
        <f>SUM('Hai Tang:Main Kichen'!D41)</f>
        <v>0</v>
      </c>
      <c r="E63" s="123">
        <f>SUM('Hai Tang:Main Kichen'!E41)</f>
        <v>0</v>
      </c>
      <c r="F63" s="123">
        <f>SUM('Hai Tang:Main Kichen'!F41)</f>
        <v>0</v>
      </c>
      <c r="G63" s="123">
        <f>SUM('Hai Tang:Main Kichen'!G41)</f>
        <v>0</v>
      </c>
      <c r="H63" s="123">
        <f>SUM('Hai Tang:Main Kichen'!H41)</f>
        <v>0</v>
      </c>
      <c r="I63" s="123">
        <f>SUM('Hai Tang:Main Kichen'!I41)</f>
        <v>0</v>
      </c>
      <c r="J63" s="123">
        <f>SUM('Hai Tang:Main Kichen'!J41)</f>
        <v>0</v>
      </c>
      <c r="K63" s="123">
        <f>SUM('Hai Tang:Main Kichen'!K41)</f>
        <v>3000</v>
      </c>
      <c r="L63" s="123">
        <f>SUM('Hai Tang:Main Kichen'!L41)</f>
        <v>0</v>
      </c>
      <c r="M63" s="123">
        <f>SUM('Hai Tang:Main Kichen'!M41)</f>
        <v>0</v>
      </c>
      <c r="N63" s="123">
        <f>SUM('Hai Tang:Main Kichen'!N41)</f>
        <v>3000</v>
      </c>
      <c r="O63" s="123">
        <f>SUM('Hai Tang:Main Kichen'!O41)</f>
        <v>3000</v>
      </c>
      <c r="P63" s="133">
        <f t="shared" si="21"/>
        <v>9000</v>
      </c>
      <c r="Q63" s="123">
        <f>SUM('Hai Tang:Main Kichen'!Q41)</f>
        <v>0</v>
      </c>
      <c r="R63" s="123">
        <f>SUM('Hai Tang:Main Kichen'!R41)</f>
        <v>0</v>
      </c>
      <c r="S63" s="123">
        <f>SUM('Hai Tang:Main Kichen'!S41)</f>
        <v>0</v>
      </c>
      <c r="T63" s="123">
        <f>SUM('Hai Tang:Main Kichen'!T41)</f>
        <v>0</v>
      </c>
      <c r="U63" s="123">
        <f>SUM('Hai Tang:Main Kichen'!U41)</f>
        <v>0</v>
      </c>
      <c r="V63" s="123">
        <f>SUM('Hai Tang:Main Kichen'!V41)</f>
        <v>0</v>
      </c>
      <c r="W63" s="123">
        <f>SUM('Hai Tang:Main Kichen'!W41)</f>
        <v>0</v>
      </c>
      <c r="X63" s="123">
        <f>SUM('Hai Tang:Main Kichen'!X41)</f>
        <v>0</v>
      </c>
      <c r="Y63" s="123">
        <f>SUM('Hai Tang:Main Kichen'!Y41)</f>
        <v>0</v>
      </c>
      <c r="Z63" s="123">
        <f>SUM('Hai Tang:Main Kichen'!Z41)</f>
        <v>0</v>
      </c>
      <c r="AA63" s="123">
        <f>SUM('Hai Tang:Main Kichen'!AA41)</f>
        <v>3000</v>
      </c>
      <c r="AB63" s="123">
        <f>SUM('Hai Tang:Main Kichen'!AB41)</f>
        <v>3000</v>
      </c>
      <c r="AC63" s="129">
        <f t="shared" si="22"/>
        <v>6000</v>
      </c>
      <c r="AD63" s="123">
        <f t="shared" si="23"/>
        <v>3000</v>
      </c>
      <c r="AE63" s="192">
        <f t="shared" si="12"/>
        <v>0.5</v>
      </c>
      <c r="AF63" s="133">
        <v>0</v>
      </c>
      <c r="AG63" s="124">
        <f t="shared" si="16"/>
        <v>-9000</v>
      </c>
      <c r="AH63" s="124"/>
      <c r="AI63" s="124"/>
      <c r="AJ63" s="124"/>
      <c r="AL63" s="124"/>
    </row>
    <row r="64" spans="1:38">
      <c r="A64" s="105" t="s">
        <v>429</v>
      </c>
      <c r="B64" s="105" t="s">
        <v>407</v>
      </c>
      <c r="C64" s="105" t="s">
        <v>143</v>
      </c>
      <c r="D64" s="123">
        <f>SUM('Hai Tang:Main Kichen'!D42)</f>
        <v>0</v>
      </c>
      <c r="E64" s="123">
        <f>SUM('Hai Tang:Main Kichen'!E42)</f>
        <v>0</v>
      </c>
      <c r="F64" s="123">
        <f>SUM('Hai Tang:Main Kichen'!F42)</f>
        <v>0</v>
      </c>
      <c r="G64" s="123">
        <f>SUM('Hai Tang:Main Kichen'!G42)</f>
        <v>0</v>
      </c>
      <c r="H64" s="123">
        <f>SUM('Hai Tang:Main Kichen'!H42)</f>
        <v>0</v>
      </c>
      <c r="I64" s="123">
        <f>SUM('Hai Tang:Main Kichen'!I42)</f>
        <v>0</v>
      </c>
      <c r="J64" s="123">
        <f>SUM('Hai Tang:Main Kichen'!J42)</f>
        <v>0</v>
      </c>
      <c r="K64" s="123">
        <f>SUM('Hai Tang:Main Kichen'!K42)</f>
        <v>0</v>
      </c>
      <c r="L64" s="123">
        <f>SUM('Hai Tang:Main Kichen'!L42)</f>
        <v>0</v>
      </c>
      <c r="M64" s="123">
        <f>SUM('Hai Tang:Main Kichen'!M42)</f>
        <v>0</v>
      </c>
      <c r="N64" s="123">
        <f>SUM('Hai Tang:Main Kichen'!N42)</f>
        <v>0</v>
      </c>
      <c r="O64" s="123">
        <f>SUM('Hai Tang:Main Kichen'!O42)</f>
        <v>0</v>
      </c>
      <c r="P64" s="133">
        <f t="shared" si="21"/>
        <v>0</v>
      </c>
      <c r="Q64" s="123">
        <f>SUM('Hai Tang:Main Kichen'!Q42)</f>
        <v>0</v>
      </c>
      <c r="R64" s="123">
        <f>SUM('Hai Tang:Main Kichen'!R42)</f>
        <v>0</v>
      </c>
      <c r="S64" s="123">
        <f>SUM('Hai Tang:Main Kichen'!S42)</f>
        <v>0</v>
      </c>
      <c r="T64" s="123">
        <f>SUM('Hai Tang:Main Kichen'!T42)</f>
        <v>0</v>
      </c>
      <c r="U64" s="123">
        <f>SUM('Hai Tang:Main Kichen'!U42)</f>
        <v>0</v>
      </c>
      <c r="V64" s="123">
        <f>SUM('Hai Tang:Main Kichen'!V42)</f>
        <v>0</v>
      </c>
      <c r="W64" s="123">
        <f>SUM('Hai Tang:Main Kichen'!W42)</f>
        <v>0</v>
      </c>
      <c r="X64" s="123">
        <f>SUM('Hai Tang:Main Kichen'!X42)</f>
        <v>0</v>
      </c>
      <c r="Y64" s="123">
        <f>SUM('Hai Tang:Main Kichen'!Y42)</f>
        <v>0</v>
      </c>
      <c r="Z64" s="123">
        <f>SUM('Hai Tang:Main Kichen'!Z42)</f>
        <v>0</v>
      </c>
      <c r="AA64" s="123">
        <f>SUM('Hai Tang:Main Kichen'!AA42)</f>
        <v>0</v>
      </c>
      <c r="AB64" s="123">
        <f>SUM('Hai Tang:Main Kichen'!AB42)</f>
        <v>0</v>
      </c>
      <c r="AC64" s="129">
        <f t="shared" si="22"/>
        <v>0</v>
      </c>
      <c r="AD64" s="123">
        <f t="shared" si="23"/>
        <v>0</v>
      </c>
      <c r="AE64" s="192" t="e">
        <f t="shared" si="12"/>
        <v>#DIV/0!</v>
      </c>
      <c r="AF64" s="133">
        <v>710145.98</v>
      </c>
      <c r="AG64" s="124">
        <f t="shared" si="16"/>
        <v>710145.98</v>
      </c>
      <c r="AH64" s="124"/>
      <c r="AI64" s="124"/>
      <c r="AJ64" s="124"/>
      <c r="AL64" s="124"/>
    </row>
    <row r="65" spans="1:38">
      <c r="A65" s="105" t="s">
        <v>180</v>
      </c>
      <c r="B65" s="105" t="s">
        <v>407</v>
      </c>
      <c r="C65" s="105" t="s">
        <v>144</v>
      </c>
      <c r="D65" s="123">
        <f>SUM('Hai Tang:Main Kichen'!D43)</f>
        <v>652197.16</v>
      </c>
      <c r="E65" s="123">
        <f>SUM('Hai Tang:Main Kichen'!E43)</f>
        <v>529439.02</v>
      </c>
      <c r="F65" s="123">
        <f>SUM('Hai Tang:Main Kichen'!F43)</f>
        <v>533045.52</v>
      </c>
      <c r="G65" s="123">
        <f>SUM('Hai Tang:Main Kichen'!G43)</f>
        <v>563555.46000000008</v>
      </c>
      <c r="H65" s="123">
        <f>SUM('Hai Tang:Main Kichen'!H43)</f>
        <v>599258.2300000001</v>
      </c>
      <c r="I65" s="123">
        <f>SUM('Hai Tang:Main Kichen'!I43)</f>
        <v>546749.49</v>
      </c>
      <c r="J65" s="123">
        <f>SUM('Hai Tang:Main Kichen'!J43)</f>
        <v>548063.83000000007</v>
      </c>
      <c r="K65" s="123">
        <f>SUM('Hai Tang:Main Kichen'!K43)</f>
        <v>547671.09000000008</v>
      </c>
      <c r="L65" s="123">
        <f>SUM('Hai Tang:Main Kichen'!L43)</f>
        <v>548247.09000000008</v>
      </c>
      <c r="M65" s="123">
        <f>SUM('Hai Tang:Main Kichen'!M43)</f>
        <v>665659.22000000009</v>
      </c>
      <c r="N65" s="123">
        <f>SUM('Hai Tang:Main Kichen'!N43)</f>
        <v>546602.83000000007</v>
      </c>
      <c r="O65" s="123">
        <f>SUM('Hai Tang:Main Kichen'!O43)</f>
        <v>545146.09000000008</v>
      </c>
      <c r="P65" s="133">
        <f t="shared" si="21"/>
        <v>6825635.0299999993</v>
      </c>
      <c r="Q65" s="123">
        <f>SUM('Hai Tang:Main Kichen'!Q43)</f>
        <v>758308.87</v>
      </c>
      <c r="R65" s="123">
        <f>SUM('Hai Tang:Main Kichen'!R43)</f>
        <v>1046306.2099999998</v>
      </c>
      <c r="S65" s="123">
        <f>SUM('Hai Tang:Main Kichen'!S43)</f>
        <v>697505.14999999991</v>
      </c>
      <c r="T65" s="123">
        <f>SUM('Hai Tang:Main Kichen'!T43)</f>
        <v>670262.28</v>
      </c>
      <c r="U65" s="123">
        <f>SUM('Hai Tang:Main Kichen'!U43)</f>
        <v>649701.09</v>
      </c>
      <c r="V65" s="123">
        <f>SUM('Hai Tang:Main Kichen'!V43)</f>
        <v>598141.86</v>
      </c>
      <c r="W65" s="123">
        <f>SUM('Hai Tang:Main Kichen'!W43)</f>
        <v>597313.64999999991</v>
      </c>
      <c r="X65" s="123">
        <f>SUM('Hai Tang:Main Kichen'!X43)</f>
        <v>611747.84000000008</v>
      </c>
      <c r="Y65" s="123">
        <f>SUM('Hai Tang:Main Kichen'!Y43)</f>
        <v>157636.97999999998</v>
      </c>
      <c r="Z65" s="123">
        <f>SUM('Hai Tang:Main Kichen'!Z43)</f>
        <v>124743.97999999998</v>
      </c>
      <c r="AA65" s="123">
        <f>SUM('Hai Tang:Main Kichen'!AA43)</f>
        <v>86749.979999999981</v>
      </c>
      <c r="AB65" s="123">
        <f>SUM('Hai Tang:Main Kichen'!AB43)</f>
        <v>96754.979999999981</v>
      </c>
      <c r="AC65" s="129">
        <f t="shared" si="22"/>
        <v>6095172.870000001</v>
      </c>
      <c r="AD65" s="123">
        <f t="shared" si="23"/>
        <v>730462.15999999829</v>
      </c>
      <c r="AE65" s="192">
        <f t="shared" si="12"/>
        <v>0.11984273056393201</v>
      </c>
      <c r="AF65" s="133">
        <v>471565.5</v>
      </c>
      <c r="AG65" s="124">
        <f t="shared" si="16"/>
        <v>-6354069.5299999993</v>
      </c>
      <c r="AH65" s="124"/>
      <c r="AI65" s="124"/>
      <c r="AJ65" s="124"/>
      <c r="AL65" s="124"/>
    </row>
    <row r="66" spans="1:38">
      <c r="A66" s="105" t="s">
        <v>181</v>
      </c>
      <c r="B66" s="105" t="s">
        <v>407</v>
      </c>
      <c r="C66" s="105" t="s">
        <v>182</v>
      </c>
      <c r="D66" s="123">
        <f>SUM('Hai Tang:Main Kichen'!D44)</f>
        <v>3050</v>
      </c>
      <c r="E66" s="123">
        <f>SUM('Hai Tang:Main Kichen'!E44)</f>
        <v>2000</v>
      </c>
      <c r="F66" s="123">
        <f>SUM('Hai Tang:Main Kichen'!F44)</f>
        <v>2000</v>
      </c>
      <c r="G66" s="123">
        <f>SUM('Hai Tang:Main Kichen'!G44)</f>
        <v>2000</v>
      </c>
      <c r="H66" s="123">
        <f>SUM('Hai Tang:Main Kichen'!H44)</f>
        <v>2000</v>
      </c>
      <c r="I66" s="123">
        <f>SUM('Hai Tang:Main Kichen'!I44)</f>
        <v>2000</v>
      </c>
      <c r="J66" s="123">
        <f>SUM('Hai Tang:Main Kichen'!J44)</f>
        <v>2000</v>
      </c>
      <c r="K66" s="123">
        <f>SUM('Hai Tang:Main Kichen'!K44)</f>
        <v>2000</v>
      </c>
      <c r="L66" s="123">
        <f>SUM('Hai Tang:Main Kichen'!L44)</f>
        <v>2000</v>
      </c>
      <c r="M66" s="123">
        <f>SUM('Hai Tang:Main Kichen'!M44)</f>
        <v>2000</v>
      </c>
      <c r="N66" s="123">
        <f>SUM('Hai Tang:Main Kichen'!N44)</f>
        <v>2000</v>
      </c>
      <c r="O66" s="123">
        <f>SUM('Hai Tang:Main Kichen'!O44)</f>
        <v>12000</v>
      </c>
      <c r="P66" s="133">
        <f t="shared" si="21"/>
        <v>35050</v>
      </c>
      <c r="Q66" s="123">
        <f>SUM('Hai Tang:Main Kichen'!Q44)</f>
        <v>6363.03</v>
      </c>
      <c r="R66" s="123">
        <f>SUM('Hai Tang:Main Kichen'!R44)</f>
        <v>0</v>
      </c>
      <c r="S66" s="123">
        <f>SUM('Hai Tang:Main Kichen'!S44)</f>
        <v>0</v>
      </c>
      <c r="T66" s="123">
        <f>SUM('Hai Tang:Main Kichen'!T44)</f>
        <v>0</v>
      </c>
      <c r="U66" s="123">
        <f>SUM('Hai Tang:Main Kichen'!U44)</f>
        <v>9445.58</v>
      </c>
      <c r="V66" s="123">
        <f>SUM('Hai Tang:Main Kichen'!V44)</f>
        <v>0</v>
      </c>
      <c r="W66" s="123">
        <f>SUM('Hai Tang:Main Kichen'!W44)</f>
        <v>0</v>
      </c>
      <c r="X66" s="123">
        <f>SUM('Hai Tang:Main Kichen'!X44)</f>
        <v>4657.01</v>
      </c>
      <c r="Y66" s="123">
        <f>SUM('Hai Tang:Main Kichen'!Y44)</f>
        <v>0</v>
      </c>
      <c r="Z66" s="123">
        <f>SUM('Hai Tang:Main Kichen'!Z44)</f>
        <v>0</v>
      </c>
      <c r="AA66" s="123">
        <f>SUM('Hai Tang:Main Kichen'!AA44)</f>
        <v>0</v>
      </c>
      <c r="AB66" s="123">
        <f>SUM('Hai Tang:Main Kichen'!AB44)</f>
        <v>20000</v>
      </c>
      <c r="AC66" s="129">
        <f t="shared" si="22"/>
        <v>40465.620000000003</v>
      </c>
      <c r="AD66" s="123">
        <f t="shared" si="23"/>
        <v>-5415.6200000000026</v>
      </c>
      <c r="AE66" s="192">
        <f t="shared" si="12"/>
        <v>-0.13383262137093171</v>
      </c>
      <c r="AF66" s="133">
        <v>7879.8499999999995</v>
      </c>
      <c r="AG66" s="124">
        <f t="shared" si="16"/>
        <v>-27170.15</v>
      </c>
      <c r="AH66" s="124"/>
      <c r="AI66" s="124"/>
      <c r="AJ66" s="124"/>
      <c r="AL66" s="124"/>
    </row>
    <row r="67" spans="1:38">
      <c r="A67" s="105" t="s">
        <v>430</v>
      </c>
      <c r="B67" s="105" t="s">
        <v>407</v>
      </c>
      <c r="C67" s="105" t="s">
        <v>431</v>
      </c>
      <c r="D67" s="123">
        <f>SUM('Hai Tang:Main Kichen'!D45)</f>
        <v>0</v>
      </c>
      <c r="E67" s="123">
        <f>SUM('Hai Tang:Main Kichen'!E45)</f>
        <v>0</v>
      </c>
      <c r="F67" s="123">
        <f>SUM('Hai Tang:Main Kichen'!F45)</f>
        <v>0</v>
      </c>
      <c r="G67" s="123">
        <f>SUM('Hai Tang:Main Kichen'!G45)</f>
        <v>0</v>
      </c>
      <c r="H67" s="123">
        <f>SUM('Hai Tang:Main Kichen'!H45)</f>
        <v>0</v>
      </c>
      <c r="I67" s="123">
        <f>SUM('Hai Tang:Main Kichen'!I45)</f>
        <v>0</v>
      </c>
      <c r="J67" s="123">
        <f>SUM('Hai Tang:Main Kichen'!J45)</f>
        <v>0</v>
      </c>
      <c r="K67" s="123">
        <f>SUM('Hai Tang:Main Kichen'!K45)</f>
        <v>0</v>
      </c>
      <c r="L67" s="123">
        <f>SUM('Hai Tang:Main Kichen'!L45)</f>
        <v>0</v>
      </c>
      <c r="M67" s="123">
        <f>SUM('Hai Tang:Main Kichen'!M45)</f>
        <v>0</v>
      </c>
      <c r="N67" s="123">
        <f>SUM('Hai Tang:Main Kichen'!N45)</f>
        <v>0</v>
      </c>
      <c r="O67" s="123">
        <f>SUM('Hai Tang:Main Kichen'!O45)</f>
        <v>0</v>
      </c>
      <c r="P67" s="133">
        <f t="shared" si="21"/>
        <v>0</v>
      </c>
      <c r="Q67" s="123">
        <f>SUM('Hai Tang:Main Kichen'!Q45)</f>
        <v>0</v>
      </c>
      <c r="R67" s="123">
        <f>SUM('Hai Tang:Main Kichen'!R45)</f>
        <v>0</v>
      </c>
      <c r="S67" s="123">
        <f>SUM('Hai Tang:Main Kichen'!S45)</f>
        <v>0</v>
      </c>
      <c r="T67" s="123">
        <f>SUM('Hai Tang:Main Kichen'!T45)</f>
        <v>0</v>
      </c>
      <c r="U67" s="123">
        <f>SUM('Hai Tang:Main Kichen'!U45)</f>
        <v>0</v>
      </c>
      <c r="V67" s="123">
        <f>SUM('Hai Tang:Main Kichen'!V45)</f>
        <v>0</v>
      </c>
      <c r="W67" s="123">
        <f>SUM('Hai Tang:Main Kichen'!W45)</f>
        <v>0</v>
      </c>
      <c r="X67" s="123">
        <f>SUM('Hai Tang:Main Kichen'!X45)</f>
        <v>0</v>
      </c>
      <c r="Y67" s="123">
        <f>SUM('Hai Tang:Main Kichen'!Y45)</f>
        <v>0</v>
      </c>
      <c r="Z67" s="123">
        <f>SUM('Hai Tang:Main Kichen'!Z45)</f>
        <v>0</v>
      </c>
      <c r="AA67" s="123">
        <f>SUM('Hai Tang:Main Kichen'!AA45)</f>
        <v>0</v>
      </c>
      <c r="AB67" s="123">
        <f>SUM('Hai Tang:Main Kichen'!AB45)</f>
        <v>0</v>
      </c>
      <c r="AC67" s="133">
        <f t="shared" si="22"/>
        <v>0</v>
      </c>
      <c r="AD67" s="123">
        <f t="shared" si="23"/>
        <v>0</v>
      </c>
      <c r="AE67" s="196" t="e">
        <f t="shared" si="12"/>
        <v>#DIV/0!</v>
      </c>
      <c r="AF67" s="133">
        <v>0</v>
      </c>
      <c r="AG67" s="124">
        <f t="shared" si="16"/>
        <v>0</v>
      </c>
      <c r="AH67" s="124"/>
      <c r="AI67" s="124"/>
      <c r="AJ67" s="124"/>
      <c r="AL67" s="124"/>
    </row>
    <row r="68" spans="1:38">
      <c r="A68" s="105" t="s">
        <v>183</v>
      </c>
      <c r="B68" s="105" t="s">
        <v>407</v>
      </c>
      <c r="C68" s="105" t="s">
        <v>184</v>
      </c>
      <c r="D68" s="123">
        <f>SUM('Hai Tang:Main Kichen'!D46)</f>
        <v>300</v>
      </c>
      <c r="E68" s="123">
        <f>SUM('Hai Tang:Main Kichen'!E46)</f>
        <v>300</v>
      </c>
      <c r="F68" s="123">
        <f>SUM('Hai Tang:Main Kichen'!F46)</f>
        <v>300</v>
      </c>
      <c r="G68" s="123">
        <f>SUM('Hai Tang:Main Kichen'!G46)</f>
        <v>300</v>
      </c>
      <c r="H68" s="123">
        <f>SUM('Hai Tang:Main Kichen'!H46)</f>
        <v>300</v>
      </c>
      <c r="I68" s="123">
        <f>SUM('Hai Tang:Main Kichen'!I46)</f>
        <v>0</v>
      </c>
      <c r="J68" s="123">
        <f>SUM('Hai Tang:Main Kichen'!J46)</f>
        <v>300</v>
      </c>
      <c r="K68" s="123">
        <f>SUM('Hai Tang:Main Kichen'!K46)</f>
        <v>300</v>
      </c>
      <c r="L68" s="123">
        <f>SUM('Hai Tang:Main Kichen'!L46)</f>
        <v>0</v>
      </c>
      <c r="M68" s="123">
        <f>SUM('Hai Tang:Main Kichen'!M46)</f>
        <v>300</v>
      </c>
      <c r="N68" s="123">
        <f>SUM('Hai Tang:Main Kichen'!N46)</f>
        <v>300</v>
      </c>
      <c r="O68" s="123">
        <f>SUM('Hai Tang:Main Kichen'!O46)</f>
        <v>200</v>
      </c>
      <c r="P68" s="133">
        <f t="shared" si="21"/>
        <v>2900</v>
      </c>
      <c r="Q68" s="123">
        <f>SUM('Hai Tang:Main Kichen'!Q46)</f>
        <v>0</v>
      </c>
      <c r="R68" s="123">
        <f>SUM('Hai Tang:Main Kichen'!R46)</f>
        <v>0</v>
      </c>
      <c r="S68" s="123">
        <f>SUM('Hai Tang:Main Kichen'!S46)</f>
        <v>376.62</v>
      </c>
      <c r="T68" s="123">
        <f>SUM('Hai Tang:Main Kichen'!T46)</f>
        <v>132.88999999999999</v>
      </c>
      <c r="U68" s="123">
        <f>SUM('Hai Tang:Main Kichen'!U46)</f>
        <v>110.22</v>
      </c>
      <c r="V68" s="123">
        <f>SUM('Hai Tang:Main Kichen'!V46)</f>
        <v>300.64</v>
      </c>
      <c r="W68" s="123">
        <f>SUM('Hai Tang:Main Kichen'!W46)</f>
        <v>0</v>
      </c>
      <c r="X68" s="123">
        <f>SUM('Hai Tang:Main Kichen'!X46)</f>
        <v>0</v>
      </c>
      <c r="Y68" s="123">
        <f>SUM('Hai Tang:Main Kichen'!Y46)</f>
        <v>0</v>
      </c>
      <c r="Z68" s="123">
        <f>SUM('Hai Tang:Main Kichen'!Z46)</f>
        <v>0</v>
      </c>
      <c r="AA68" s="123">
        <f>SUM('Hai Tang:Main Kichen'!AA46)</f>
        <v>0</v>
      </c>
      <c r="AB68" s="123">
        <f>SUM('Hai Tang:Main Kichen'!AB46)</f>
        <v>2000</v>
      </c>
      <c r="AC68" s="133">
        <f t="shared" si="22"/>
        <v>2920.37</v>
      </c>
      <c r="AD68" s="123">
        <f t="shared" si="23"/>
        <v>-20.369999999999891</v>
      </c>
      <c r="AE68" s="196">
        <f t="shared" si="12"/>
        <v>-6.975143560576191E-3</v>
      </c>
      <c r="AF68" s="133">
        <v>9415.7099999999991</v>
      </c>
      <c r="AG68" s="124">
        <f t="shared" si="16"/>
        <v>6515.7099999999991</v>
      </c>
      <c r="AH68" s="124"/>
      <c r="AI68" s="124"/>
      <c r="AJ68" s="124"/>
      <c r="AL68" s="124"/>
    </row>
    <row r="69" spans="1:38">
      <c r="A69" s="105" t="s">
        <v>273</v>
      </c>
      <c r="C69" s="105" t="s">
        <v>432</v>
      </c>
      <c r="D69" s="123">
        <f>SUM('Hai Tang:Main Kichen'!D47)</f>
        <v>0</v>
      </c>
      <c r="E69" s="123">
        <f>SUM('Hai Tang:Main Kichen'!E47)</f>
        <v>0</v>
      </c>
      <c r="F69" s="123">
        <f>SUM('Hai Tang:Main Kichen'!F47)</f>
        <v>0</v>
      </c>
      <c r="G69" s="123">
        <f>SUM('Hai Tang:Main Kichen'!G47)</f>
        <v>0</v>
      </c>
      <c r="H69" s="123">
        <f>SUM('Hai Tang:Main Kichen'!H47)</f>
        <v>0</v>
      </c>
      <c r="I69" s="123">
        <f>SUM('Hai Tang:Main Kichen'!I47)</f>
        <v>0</v>
      </c>
      <c r="J69" s="123">
        <f>SUM('Hai Tang:Main Kichen'!J47)</f>
        <v>0</v>
      </c>
      <c r="K69" s="123">
        <f>SUM('Hai Tang:Main Kichen'!K47)</f>
        <v>0</v>
      </c>
      <c r="L69" s="123">
        <f>SUM('Hai Tang:Main Kichen'!L47)</f>
        <v>0</v>
      </c>
      <c r="M69" s="123">
        <f>SUM('Hai Tang:Main Kichen'!M47)</f>
        <v>0</v>
      </c>
      <c r="N69" s="123">
        <f>SUM('Hai Tang:Main Kichen'!N47)</f>
        <v>0</v>
      </c>
      <c r="O69" s="123">
        <f>SUM('Hai Tang:Main Kichen'!O47)</f>
        <v>0</v>
      </c>
      <c r="P69" s="133">
        <f t="shared" si="21"/>
        <v>0</v>
      </c>
      <c r="Q69" s="123">
        <f>SUM('Hai Tang:Main Kichen'!Q47)</f>
        <v>0</v>
      </c>
      <c r="R69" s="123">
        <f>SUM('Hai Tang:Main Kichen'!R47)</f>
        <v>0</v>
      </c>
      <c r="S69" s="123">
        <f>SUM('Hai Tang:Main Kichen'!S47)</f>
        <v>0</v>
      </c>
      <c r="T69" s="123">
        <f>SUM('Hai Tang:Main Kichen'!T47)</f>
        <v>0</v>
      </c>
      <c r="U69" s="123">
        <f>SUM('Hai Tang:Main Kichen'!U47)</f>
        <v>0</v>
      </c>
      <c r="V69" s="123">
        <f>SUM('Hai Tang:Main Kichen'!V47)</f>
        <v>0</v>
      </c>
      <c r="W69" s="123">
        <f>SUM('Hai Tang:Main Kichen'!W47)</f>
        <v>0</v>
      </c>
      <c r="X69" s="123">
        <f>SUM('Hai Tang:Main Kichen'!X47)</f>
        <v>0</v>
      </c>
      <c r="Y69" s="123">
        <f>SUM('Hai Tang:Main Kichen'!Y47)</f>
        <v>0</v>
      </c>
      <c r="Z69" s="123">
        <f>SUM('Hai Tang:Main Kichen'!Z47)</f>
        <v>0</v>
      </c>
      <c r="AA69" s="123">
        <f>SUM('Hai Tang:Main Kichen'!AA47)</f>
        <v>0</v>
      </c>
      <c r="AB69" s="123">
        <f>SUM('Hai Tang:Main Kichen'!AB47)</f>
        <v>0</v>
      </c>
      <c r="AC69" s="133">
        <f t="shared" si="22"/>
        <v>0</v>
      </c>
      <c r="AD69" s="123">
        <f t="shared" si="23"/>
        <v>0</v>
      </c>
      <c r="AE69" s="196" t="e">
        <f t="shared" si="12"/>
        <v>#DIV/0!</v>
      </c>
      <c r="AF69" s="133">
        <v>0</v>
      </c>
      <c r="AG69" s="124">
        <f t="shared" si="16"/>
        <v>0</v>
      </c>
      <c r="AH69" s="124"/>
      <c r="AI69" s="124"/>
      <c r="AJ69" s="124"/>
      <c r="AL69" s="124"/>
    </row>
    <row r="70" spans="1:38">
      <c r="A70" s="105" t="s">
        <v>185</v>
      </c>
      <c r="B70" s="105" t="s">
        <v>407</v>
      </c>
      <c r="C70" s="105" t="s">
        <v>186</v>
      </c>
      <c r="D70" s="123">
        <f>SUM('Hai Tang:Main Kichen'!D48)</f>
        <v>1514</v>
      </c>
      <c r="E70" s="123">
        <f>SUM('Hai Tang:Main Kichen'!E48)</f>
        <v>1514</v>
      </c>
      <c r="F70" s="123">
        <f>SUM('Hai Tang:Main Kichen'!F48)</f>
        <v>1514</v>
      </c>
      <c r="G70" s="123">
        <f>SUM('Hai Tang:Main Kichen'!G48)</f>
        <v>1514</v>
      </c>
      <c r="H70" s="123">
        <f>SUM('Hai Tang:Main Kichen'!H48)</f>
        <v>1514</v>
      </c>
      <c r="I70" s="123">
        <f>SUM('Hai Tang:Main Kichen'!I48)</f>
        <v>1514</v>
      </c>
      <c r="J70" s="123">
        <f>SUM('Hai Tang:Main Kichen'!J48)</f>
        <v>1514</v>
      </c>
      <c r="K70" s="123">
        <f>SUM('Hai Tang:Main Kichen'!K48)</f>
        <v>1514</v>
      </c>
      <c r="L70" s="123">
        <f>SUM('Hai Tang:Main Kichen'!L48)</f>
        <v>1514</v>
      </c>
      <c r="M70" s="123">
        <f>SUM('Hai Tang:Main Kichen'!M48)</f>
        <v>1514</v>
      </c>
      <c r="N70" s="123">
        <f>SUM('Hai Tang:Main Kichen'!N48)</f>
        <v>1514</v>
      </c>
      <c r="O70" s="123">
        <f>SUM('Hai Tang:Main Kichen'!O48)</f>
        <v>1514</v>
      </c>
      <c r="P70" s="133">
        <f t="shared" si="21"/>
        <v>18168</v>
      </c>
      <c r="Q70" s="123">
        <f>SUM('Hai Tang:Main Kichen'!Q48)</f>
        <v>0</v>
      </c>
      <c r="R70" s="123">
        <f>SUM('Hai Tang:Main Kichen'!R48)</f>
        <v>3354.5799999999995</v>
      </c>
      <c r="S70" s="123">
        <f>SUM('Hai Tang:Main Kichen'!S48)</f>
        <v>1677.2899999999997</v>
      </c>
      <c r="T70" s="123">
        <f>SUM('Hai Tang:Main Kichen'!T48)</f>
        <v>1677.2899999999997</v>
      </c>
      <c r="U70" s="123">
        <f>SUM('Hai Tang:Main Kichen'!U48)</f>
        <v>1677.2899999999997</v>
      </c>
      <c r="V70" s="123">
        <f>SUM('Hai Tang:Main Kichen'!V48)</f>
        <v>1677.2899999999997</v>
      </c>
      <c r="W70" s="123">
        <f>SUM('Hai Tang:Main Kichen'!W48)</f>
        <v>1677.2899999999997</v>
      </c>
      <c r="X70" s="123">
        <f>SUM('Hai Tang:Main Kichen'!X48)</f>
        <v>1677.2899999999997</v>
      </c>
      <c r="Y70" s="123">
        <f>SUM('Hai Tang:Main Kichen'!Y48)</f>
        <v>1397</v>
      </c>
      <c r="Z70" s="123">
        <f>SUM('Hai Tang:Main Kichen'!Z48)</f>
        <v>1397</v>
      </c>
      <c r="AA70" s="123">
        <f>SUM('Hai Tang:Main Kichen'!AA48)</f>
        <v>1397</v>
      </c>
      <c r="AB70" s="123">
        <f>SUM('Hai Tang:Main Kichen'!AB48)</f>
        <v>1397</v>
      </c>
      <c r="AC70" s="133">
        <f t="shared" si="22"/>
        <v>19006.319999999996</v>
      </c>
      <c r="AD70" s="123">
        <f t="shared" si="23"/>
        <v>-838.31999999999607</v>
      </c>
      <c r="AE70" s="196">
        <f t="shared" si="12"/>
        <v>-4.4107433737830166E-2</v>
      </c>
      <c r="AF70" s="133">
        <v>20400</v>
      </c>
      <c r="AG70" s="124">
        <f t="shared" si="16"/>
        <v>2232</v>
      </c>
      <c r="AH70" s="124"/>
      <c r="AI70" s="124"/>
      <c r="AJ70" s="124"/>
      <c r="AL70" s="124"/>
    </row>
    <row r="71" spans="1:38">
      <c r="A71" s="105" t="s">
        <v>187</v>
      </c>
      <c r="B71" s="105" t="s">
        <v>407</v>
      </c>
      <c r="C71" s="105" t="s">
        <v>188</v>
      </c>
      <c r="D71" s="123">
        <f>SUM('Hai Tang:Main Kichen'!D49)</f>
        <v>26000</v>
      </c>
      <c r="E71" s="123">
        <f>SUM('Hai Tang:Main Kichen'!E49)</f>
        <v>33000</v>
      </c>
      <c r="F71" s="123">
        <f>SUM('Hai Tang:Main Kichen'!F49)</f>
        <v>22500</v>
      </c>
      <c r="G71" s="123">
        <f>SUM('Hai Tang:Main Kichen'!G49)</f>
        <v>23000</v>
      </c>
      <c r="H71" s="123">
        <f>SUM('Hai Tang:Main Kichen'!H49)</f>
        <v>22500</v>
      </c>
      <c r="I71" s="123">
        <f>SUM('Hai Tang:Main Kichen'!I49)</f>
        <v>17500</v>
      </c>
      <c r="J71" s="123">
        <f>SUM('Hai Tang:Main Kichen'!J49)</f>
        <v>25500</v>
      </c>
      <c r="K71" s="123">
        <f>SUM('Hai Tang:Main Kichen'!K49)</f>
        <v>25500</v>
      </c>
      <c r="L71" s="123">
        <f>SUM('Hai Tang:Main Kichen'!L49)</f>
        <v>18500</v>
      </c>
      <c r="M71" s="123">
        <f>SUM('Hai Tang:Main Kichen'!M49)</f>
        <v>22500</v>
      </c>
      <c r="N71" s="123">
        <f>SUM('Hai Tang:Main Kichen'!N49)</f>
        <v>25400</v>
      </c>
      <c r="O71" s="123">
        <f>SUM('Hai Tang:Main Kichen'!O49)</f>
        <v>28000</v>
      </c>
      <c r="P71" s="133">
        <f t="shared" si="21"/>
        <v>289900</v>
      </c>
      <c r="Q71" s="123">
        <f>SUM('Hai Tang:Main Kichen'!Q49)</f>
        <v>31175.370000000003</v>
      </c>
      <c r="R71" s="123">
        <f>SUM('Hai Tang:Main Kichen'!R49)</f>
        <v>35786.31</v>
      </c>
      <c r="S71" s="123">
        <f>SUM('Hai Tang:Main Kichen'!S49)</f>
        <v>28529.749999999996</v>
      </c>
      <c r="T71" s="123">
        <f>SUM('Hai Tang:Main Kichen'!T49)</f>
        <v>23299.75</v>
      </c>
      <c r="U71" s="123">
        <f>SUM('Hai Tang:Main Kichen'!U49)</f>
        <v>21697.93</v>
      </c>
      <c r="V71" s="123">
        <f>SUM('Hai Tang:Main Kichen'!V49)</f>
        <v>21841.97</v>
      </c>
      <c r="W71" s="123">
        <f>SUM('Hai Tang:Main Kichen'!W49)</f>
        <v>25118.31</v>
      </c>
      <c r="X71" s="123">
        <f>SUM('Hai Tang:Main Kichen'!X49)</f>
        <v>30095.020000000004</v>
      </c>
      <c r="Y71" s="123">
        <f>SUM('Hai Tang:Main Kichen'!Y49)</f>
        <v>16086</v>
      </c>
      <c r="Z71" s="123">
        <f>SUM('Hai Tang:Main Kichen'!Z49)</f>
        <v>20073</v>
      </c>
      <c r="AA71" s="123">
        <f>SUM('Hai Tang:Main Kichen'!AA49)</f>
        <v>21082</v>
      </c>
      <c r="AB71" s="123">
        <f>SUM('Hai Tang:Main Kichen'!AB49)</f>
        <v>23822</v>
      </c>
      <c r="AC71" s="133">
        <f t="shared" si="22"/>
        <v>298607.40999999997</v>
      </c>
      <c r="AD71" s="123">
        <f t="shared" si="23"/>
        <v>-8707.4099999999744</v>
      </c>
      <c r="AE71" s="196">
        <f t="shared" si="12"/>
        <v>-2.9160060026641586E-2</v>
      </c>
      <c r="AF71" s="133">
        <v>139554.79999999999</v>
      </c>
      <c r="AG71" s="124">
        <f t="shared" si="16"/>
        <v>-150345.20000000001</v>
      </c>
      <c r="AH71" s="124"/>
      <c r="AI71" s="124"/>
      <c r="AJ71" s="124"/>
      <c r="AL71" s="124"/>
    </row>
    <row r="72" spans="1:38">
      <c r="A72" s="105" t="s">
        <v>195</v>
      </c>
      <c r="B72" s="105" t="s">
        <v>407</v>
      </c>
      <c r="C72" s="105" t="s">
        <v>196</v>
      </c>
      <c r="D72" s="123">
        <f>SUM('Hai Tang:Main Kichen'!D50)</f>
        <v>21000</v>
      </c>
      <c r="E72" s="123">
        <f>SUM('Hai Tang:Main Kichen'!E50)</f>
        <v>41000</v>
      </c>
      <c r="F72" s="123">
        <f>SUM('Hai Tang:Main Kichen'!F50)</f>
        <v>21000</v>
      </c>
      <c r="G72" s="123">
        <f>SUM('Hai Tang:Main Kichen'!G50)</f>
        <v>1000</v>
      </c>
      <c r="H72" s="123">
        <f>SUM('Hai Tang:Main Kichen'!H50)</f>
        <v>1000</v>
      </c>
      <c r="I72" s="123">
        <f>SUM('Hai Tang:Main Kichen'!I50)</f>
        <v>0</v>
      </c>
      <c r="J72" s="123">
        <f>SUM('Hai Tang:Main Kichen'!J50)</f>
        <v>1000</v>
      </c>
      <c r="K72" s="123">
        <f>SUM('Hai Tang:Main Kichen'!K50)</f>
        <v>1000</v>
      </c>
      <c r="L72" s="123">
        <f>SUM('Hai Tang:Main Kichen'!L50)</f>
        <v>0</v>
      </c>
      <c r="M72" s="123">
        <f>SUM('Hai Tang:Main Kichen'!M50)</f>
        <v>1000</v>
      </c>
      <c r="N72" s="123">
        <f>SUM('Hai Tang:Main Kichen'!N50)</f>
        <v>1000</v>
      </c>
      <c r="O72" s="123">
        <f>SUM('Hai Tang:Main Kichen'!O50)</f>
        <v>1000</v>
      </c>
      <c r="P72" s="133">
        <f t="shared" si="21"/>
        <v>90000</v>
      </c>
      <c r="Q72" s="123">
        <f>SUM('Hai Tang:Main Kichen'!Q50)</f>
        <v>24000</v>
      </c>
      <c r="R72" s="123">
        <f>SUM('Hai Tang:Main Kichen'!R50)</f>
        <v>43000</v>
      </c>
      <c r="S72" s="123">
        <f>SUM('Hai Tang:Main Kichen'!S50)</f>
        <v>23000</v>
      </c>
      <c r="T72" s="123">
        <f>SUM('Hai Tang:Main Kichen'!T50)</f>
        <v>0</v>
      </c>
      <c r="U72" s="123">
        <f>SUM('Hai Tang:Main Kichen'!U50)</f>
        <v>0</v>
      </c>
      <c r="V72" s="123">
        <f>SUM('Hai Tang:Main Kichen'!V50)</f>
        <v>0</v>
      </c>
      <c r="W72" s="123">
        <f>SUM('Hai Tang:Main Kichen'!W50)</f>
        <v>0</v>
      </c>
      <c r="X72" s="123">
        <f>SUM('Hai Tang:Main Kichen'!X50)</f>
        <v>0</v>
      </c>
      <c r="Y72" s="123">
        <f>SUM('Hai Tang:Main Kichen'!Y50)</f>
        <v>0</v>
      </c>
      <c r="Z72" s="123">
        <f>SUM('Hai Tang:Main Kichen'!Z50)</f>
        <v>0</v>
      </c>
      <c r="AA72" s="123">
        <f>SUM('Hai Tang:Main Kichen'!AA50)</f>
        <v>0</v>
      </c>
      <c r="AB72" s="123">
        <f>SUM('Hai Tang:Main Kichen'!AB50)</f>
        <v>0</v>
      </c>
      <c r="AC72" s="133">
        <f t="shared" si="22"/>
        <v>90000</v>
      </c>
      <c r="AD72" s="123">
        <f t="shared" si="23"/>
        <v>0</v>
      </c>
      <c r="AE72" s="196">
        <f t="shared" si="12"/>
        <v>0</v>
      </c>
      <c r="AF72" s="133">
        <v>114014.27</v>
      </c>
      <c r="AG72" s="124">
        <f t="shared" si="16"/>
        <v>24014.270000000004</v>
      </c>
      <c r="AH72" s="124"/>
      <c r="AI72" s="124"/>
      <c r="AJ72" s="124"/>
      <c r="AL72" s="124"/>
    </row>
    <row r="73" spans="1:38">
      <c r="A73" s="105" t="s">
        <v>197</v>
      </c>
      <c r="B73" s="105" t="s">
        <v>407</v>
      </c>
      <c r="C73" s="106" t="s">
        <v>433</v>
      </c>
      <c r="D73" s="123">
        <f>SUM('Hai Tang:Main Kichen'!D51)</f>
        <v>64800</v>
      </c>
      <c r="E73" s="123">
        <f>SUM('Hai Tang:Main Kichen'!E51)</f>
        <v>76300</v>
      </c>
      <c r="F73" s="123">
        <f>SUM('Hai Tang:Main Kichen'!F51)</f>
        <v>63300</v>
      </c>
      <c r="G73" s="123">
        <f>SUM('Hai Tang:Main Kichen'!G51)</f>
        <v>53300</v>
      </c>
      <c r="H73" s="123">
        <f>SUM('Hai Tang:Main Kichen'!H51)</f>
        <v>61300</v>
      </c>
      <c r="I73" s="123">
        <f>SUM('Hai Tang:Main Kichen'!I51)</f>
        <v>45900</v>
      </c>
      <c r="J73" s="123">
        <f>SUM('Hai Tang:Main Kichen'!J51)</f>
        <v>62600</v>
      </c>
      <c r="K73" s="123">
        <f>SUM('Hai Tang:Main Kichen'!K51)</f>
        <v>63100</v>
      </c>
      <c r="L73" s="123">
        <f>SUM('Hai Tang:Main Kichen'!L51)</f>
        <v>46000</v>
      </c>
      <c r="M73" s="123">
        <f>SUM('Hai Tang:Main Kichen'!M51)</f>
        <v>52000</v>
      </c>
      <c r="N73" s="123">
        <f>SUM('Hai Tang:Main Kichen'!N51)</f>
        <v>52500</v>
      </c>
      <c r="O73" s="123">
        <f>SUM('Hai Tang:Main Kichen'!O51)</f>
        <v>52000</v>
      </c>
      <c r="P73" s="133">
        <f t="shared" si="21"/>
        <v>693100</v>
      </c>
      <c r="Q73" s="123">
        <f>SUM('Hai Tang:Main Kichen'!Q51)</f>
        <v>49123.929999999993</v>
      </c>
      <c r="R73" s="123">
        <f>SUM('Hai Tang:Main Kichen'!R51)</f>
        <v>70395.990000000005</v>
      </c>
      <c r="S73" s="123">
        <f>SUM('Hai Tang:Main Kichen'!S51)</f>
        <v>81447.329999999987</v>
      </c>
      <c r="T73" s="123">
        <f>SUM('Hai Tang:Main Kichen'!T51)</f>
        <v>59507.83</v>
      </c>
      <c r="U73" s="123">
        <f>SUM('Hai Tang:Main Kichen'!U51)</f>
        <v>-30135.54</v>
      </c>
      <c r="V73" s="123">
        <f>SUM('Hai Tang:Main Kichen'!V51)</f>
        <v>65542.39</v>
      </c>
      <c r="W73" s="123">
        <f>SUM('Hai Tang:Main Kichen'!W51)</f>
        <v>86392.72</v>
      </c>
      <c r="X73" s="123">
        <f>SUM('Hai Tang:Main Kichen'!X51)</f>
        <v>59872.14</v>
      </c>
      <c r="Y73" s="123">
        <f>SUM('Hai Tang:Main Kichen'!Y51)</f>
        <v>61367.61</v>
      </c>
      <c r="Z73" s="123">
        <f>SUM('Hai Tang:Main Kichen'!Z51)</f>
        <v>61061.9</v>
      </c>
      <c r="AA73" s="123">
        <f>SUM('Hai Tang:Main Kichen'!AA51)</f>
        <v>59798.270000000004</v>
      </c>
      <c r="AB73" s="123">
        <f>SUM('Hai Tang:Main Kichen'!AB51)</f>
        <v>51681.69</v>
      </c>
      <c r="AC73" s="133">
        <f t="shared" si="22"/>
        <v>676056.26</v>
      </c>
      <c r="AD73" s="123">
        <f t="shared" si="23"/>
        <v>17043.739999999991</v>
      </c>
      <c r="AE73" s="196">
        <f t="shared" si="12"/>
        <v>2.5210534993049233E-2</v>
      </c>
      <c r="AF73" s="133">
        <v>407268.24000000005</v>
      </c>
      <c r="AG73" s="124">
        <f t="shared" si="16"/>
        <v>-285831.75999999995</v>
      </c>
      <c r="AH73" s="124"/>
      <c r="AI73" s="124"/>
      <c r="AJ73" s="124"/>
      <c r="AL73" s="124"/>
    </row>
    <row r="74" spans="1:38">
      <c r="A74" s="105" t="s">
        <v>434</v>
      </c>
      <c r="B74" s="105" t="s">
        <v>407</v>
      </c>
      <c r="C74" s="105" t="s">
        <v>435</v>
      </c>
      <c r="D74" s="123">
        <f>SUM('Hai Tang:Main Kichen'!D52)</f>
        <v>10000</v>
      </c>
      <c r="E74" s="123">
        <f>SUM('Hai Tang:Main Kichen'!E52)</f>
        <v>35000</v>
      </c>
      <c r="F74" s="123">
        <f>SUM('Hai Tang:Main Kichen'!F52)</f>
        <v>0</v>
      </c>
      <c r="G74" s="123">
        <f>SUM('Hai Tang:Main Kichen'!G52)</f>
        <v>0</v>
      </c>
      <c r="H74" s="123">
        <f>SUM('Hai Tang:Main Kichen'!H52)</f>
        <v>0</v>
      </c>
      <c r="I74" s="123">
        <f>SUM('Hai Tang:Main Kichen'!I52)</f>
        <v>0</v>
      </c>
      <c r="J74" s="123">
        <f>SUM('Hai Tang:Main Kichen'!J52)</f>
        <v>20000</v>
      </c>
      <c r="K74" s="123">
        <f>SUM('Hai Tang:Main Kichen'!K52)</f>
        <v>20000</v>
      </c>
      <c r="L74" s="123">
        <f>SUM('Hai Tang:Main Kichen'!L52)</f>
        <v>0</v>
      </c>
      <c r="M74" s="123">
        <f>SUM('Hai Tang:Main Kichen'!M52)</f>
        <v>0</v>
      </c>
      <c r="N74" s="123">
        <f>SUM('Hai Tang:Main Kichen'!N52)</f>
        <v>0</v>
      </c>
      <c r="O74" s="123">
        <f>SUM('Hai Tang:Main Kichen'!O52)</f>
        <v>0</v>
      </c>
      <c r="P74" s="133">
        <f t="shared" si="21"/>
        <v>85000</v>
      </c>
      <c r="Q74" s="123">
        <f>SUM('Hai Tang:Main Kichen'!Q52)</f>
        <v>0</v>
      </c>
      <c r="R74" s="123">
        <f>SUM('Hai Tang:Main Kichen'!R52)</f>
        <v>85000</v>
      </c>
      <c r="S74" s="123">
        <f>SUM('Hai Tang:Main Kichen'!S52)</f>
        <v>0</v>
      </c>
      <c r="T74" s="123">
        <f>SUM('Hai Tang:Main Kichen'!T52)</f>
        <v>0</v>
      </c>
      <c r="U74" s="123">
        <f>SUM('Hai Tang:Main Kichen'!U52)</f>
        <v>0</v>
      </c>
      <c r="V74" s="123">
        <f>SUM('Hai Tang:Main Kichen'!V52)</f>
        <v>0</v>
      </c>
      <c r="W74" s="123">
        <f>SUM('Hai Tang:Main Kichen'!W52)</f>
        <v>0</v>
      </c>
      <c r="X74" s="123">
        <f>SUM('Hai Tang:Main Kichen'!X52)</f>
        <v>0</v>
      </c>
      <c r="Y74" s="123">
        <f>SUM('Hai Tang:Main Kichen'!Y52)</f>
        <v>0</v>
      </c>
      <c r="Z74" s="123">
        <f>SUM('Hai Tang:Main Kichen'!Z52)</f>
        <v>0</v>
      </c>
      <c r="AA74" s="123">
        <f>SUM('Hai Tang:Main Kichen'!AA52)</f>
        <v>0</v>
      </c>
      <c r="AB74" s="123">
        <f>SUM('Hai Tang:Main Kichen'!AB52)</f>
        <v>0</v>
      </c>
      <c r="AC74" s="133">
        <f t="shared" si="22"/>
        <v>85000</v>
      </c>
      <c r="AD74" s="123">
        <f t="shared" si="23"/>
        <v>0</v>
      </c>
      <c r="AE74" s="196">
        <f t="shared" si="12"/>
        <v>0</v>
      </c>
      <c r="AF74" s="133">
        <v>8263.93</v>
      </c>
      <c r="AG74" s="124">
        <f t="shared" si="16"/>
        <v>-76736.070000000007</v>
      </c>
      <c r="AH74" s="124"/>
      <c r="AI74" s="124"/>
      <c r="AJ74" s="124"/>
      <c r="AL74" s="124"/>
    </row>
    <row r="75" spans="1:38">
      <c r="A75" s="105" t="s">
        <v>436</v>
      </c>
      <c r="B75" s="105" t="s">
        <v>407</v>
      </c>
      <c r="C75" s="105" t="s">
        <v>437</v>
      </c>
      <c r="D75" s="123">
        <f>SUM('Hai Tang:Main Kichen'!D53)</f>
        <v>2500</v>
      </c>
      <c r="E75" s="123">
        <f>SUM('Hai Tang:Main Kichen'!E53)</f>
        <v>4000</v>
      </c>
      <c r="F75" s="123">
        <f>SUM('Hai Tang:Main Kichen'!F53)</f>
        <v>2500</v>
      </c>
      <c r="G75" s="123">
        <f>SUM('Hai Tang:Main Kichen'!G53)</f>
        <v>1000</v>
      </c>
      <c r="H75" s="123">
        <f>SUM('Hai Tang:Main Kichen'!H53)</f>
        <v>1000</v>
      </c>
      <c r="I75" s="123">
        <f>SUM('Hai Tang:Main Kichen'!I53)</f>
        <v>500</v>
      </c>
      <c r="J75" s="123">
        <f>SUM('Hai Tang:Main Kichen'!J53)</f>
        <v>3000</v>
      </c>
      <c r="K75" s="123">
        <f>SUM('Hai Tang:Main Kichen'!K53)</f>
        <v>3000</v>
      </c>
      <c r="L75" s="123">
        <f>SUM('Hai Tang:Main Kichen'!L53)</f>
        <v>500</v>
      </c>
      <c r="M75" s="123">
        <f>SUM('Hai Tang:Main Kichen'!M53)</f>
        <v>1000</v>
      </c>
      <c r="N75" s="123">
        <f>SUM('Hai Tang:Main Kichen'!N53)</f>
        <v>1000</v>
      </c>
      <c r="O75" s="123">
        <f>SUM('Hai Tang:Main Kichen'!O53)</f>
        <v>2500</v>
      </c>
      <c r="P75" s="133">
        <f t="shared" si="21"/>
        <v>22500</v>
      </c>
      <c r="Q75" s="123">
        <f>SUM('Hai Tang:Main Kichen'!Q53)</f>
        <v>10500</v>
      </c>
      <c r="R75" s="123">
        <f>SUM('Hai Tang:Main Kichen'!R53)</f>
        <v>22500</v>
      </c>
      <c r="S75" s="123">
        <f>SUM('Hai Tang:Main Kichen'!S53)</f>
        <v>9500</v>
      </c>
      <c r="T75" s="123">
        <f>SUM('Hai Tang:Main Kichen'!T53)</f>
        <v>0</v>
      </c>
      <c r="U75" s="123">
        <f>SUM('Hai Tang:Main Kichen'!U53)</f>
        <v>0</v>
      </c>
      <c r="V75" s="123">
        <f>SUM('Hai Tang:Main Kichen'!V53)</f>
        <v>0</v>
      </c>
      <c r="W75" s="123">
        <f>SUM('Hai Tang:Main Kichen'!W53)</f>
        <v>0</v>
      </c>
      <c r="X75" s="123">
        <f>SUM('Hai Tang:Main Kichen'!X53)</f>
        <v>0</v>
      </c>
      <c r="Y75" s="123">
        <f>SUM('Hai Tang:Main Kichen'!Y53)</f>
        <v>0</v>
      </c>
      <c r="Z75" s="123">
        <f>SUM('Hai Tang:Main Kichen'!Z53)</f>
        <v>0</v>
      </c>
      <c r="AA75" s="123">
        <f>SUM('Hai Tang:Main Kichen'!AA53)</f>
        <v>0</v>
      </c>
      <c r="AB75" s="123">
        <f>SUM('Hai Tang:Main Kichen'!AB53)</f>
        <v>0</v>
      </c>
      <c r="AC75" s="133">
        <f t="shared" si="22"/>
        <v>42500</v>
      </c>
      <c r="AD75" s="123">
        <f t="shared" si="23"/>
        <v>-20000</v>
      </c>
      <c r="AE75" s="196">
        <f t="shared" si="12"/>
        <v>-0.47058823529411764</v>
      </c>
      <c r="AF75" s="133">
        <v>467.88</v>
      </c>
      <c r="AG75" s="124">
        <f t="shared" si="16"/>
        <v>-22032.12</v>
      </c>
      <c r="AH75" s="124"/>
      <c r="AI75" s="124"/>
      <c r="AJ75" s="124"/>
      <c r="AL75" s="124"/>
    </row>
    <row r="76" spans="1:38">
      <c r="A76" s="105" t="s">
        <v>199</v>
      </c>
      <c r="B76" s="105" t="s">
        <v>407</v>
      </c>
      <c r="C76" s="105" t="s">
        <v>200</v>
      </c>
      <c r="D76" s="123">
        <f>SUM('Hai Tang:Main Kichen'!D54)</f>
        <v>2400</v>
      </c>
      <c r="E76" s="123">
        <f>SUM('Hai Tang:Main Kichen'!E54)</f>
        <v>3900</v>
      </c>
      <c r="F76" s="123">
        <f>SUM('Hai Tang:Main Kichen'!F54)</f>
        <v>2400</v>
      </c>
      <c r="G76" s="123">
        <f>SUM('Hai Tang:Main Kichen'!G54)</f>
        <v>1000</v>
      </c>
      <c r="H76" s="123">
        <f>SUM('Hai Tang:Main Kichen'!H54)</f>
        <v>1000</v>
      </c>
      <c r="I76" s="123">
        <f>SUM('Hai Tang:Main Kichen'!I54)</f>
        <v>0</v>
      </c>
      <c r="J76" s="123">
        <f>SUM('Hai Tang:Main Kichen'!J54)</f>
        <v>2000</v>
      </c>
      <c r="K76" s="123">
        <f>SUM('Hai Tang:Main Kichen'!K54)</f>
        <v>2000</v>
      </c>
      <c r="L76" s="123">
        <f>SUM('Hai Tang:Main Kichen'!L54)</f>
        <v>0</v>
      </c>
      <c r="M76" s="123">
        <f>SUM('Hai Tang:Main Kichen'!M54)</f>
        <v>1000</v>
      </c>
      <c r="N76" s="123">
        <f>SUM('Hai Tang:Main Kichen'!N54)</f>
        <v>1000</v>
      </c>
      <c r="O76" s="123">
        <f>SUM('Hai Tang:Main Kichen'!O54)</f>
        <v>2000</v>
      </c>
      <c r="P76" s="133">
        <f t="shared" si="21"/>
        <v>18700</v>
      </c>
      <c r="Q76" s="123">
        <f>SUM('Hai Tang:Main Kichen'!Q54)</f>
        <v>10800</v>
      </c>
      <c r="R76" s="123">
        <f>SUM('Hai Tang:Main Kichen'!R54)</f>
        <v>24200</v>
      </c>
      <c r="S76" s="123">
        <f>SUM('Hai Tang:Main Kichen'!S54)</f>
        <v>10400</v>
      </c>
      <c r="T76" s="123">
        <f>SUM('Hai Tang:Main Kichen'!T54)</f>
        <v>0</v>
      </c>
      <c r="U76" s="123">
        <f>SUM('Hai Tang:Main Kichen'!U54)</f>
        <v>0</v>
      </c>
      <c r="V76" s="123">
        <f>SUM('Hai Tang:Main Kichen'!V54)</f>
        <v>0</v>
      </c>
      <c r="W76" s="123">
        <f>SUM('Hai Tang:Main Kichen'!W54)</f>
        <v>0</v>
      </c>
      <c r="X76" s="123">
        <f>SUM('Hai Tang:Main Kichen'!X54)</f>
        <v>0</v>
      </c>
      <c r="Y76" s="123">
        <f>SUM('Hai Tang:Main Kichen'!Y54)</f>
        <v>0</v>
      </c>
      <c r="Z76" s="123">
        <f>SUM('Hai Tang:Main Kichen'!Z54)</f>
        <v>0</v>
      </c>
      <c r="AA76" s="123">
        <f>SUM('Hai Tang:Main Kichen'!AA54)</f>
        <v>0</v>
      </c>
      <c r="AB76" s="123">
        <f>SUM('Hai Tang:Main Kichen'!AB54)</f>
        <v>0</v>
      </c>
      <c r="AC76" s="133">
        <f t="shared" si="22"/>
        <v>45400</v>
      </c>
      <c r="AD76" s="123">
        <f t="shared" si="23"/>
        <v>-26700</v>
      </c>
      <c r="AE76" s="196">
        <f t="shared" si="12"/>
        <v>-0.58810572687224671</v>
      </c>
      <c r="AF76" s="133">
        <v>134887</v>
      </c>
      <c r="AG76" s="124">
        <f t="shared" si="16"/>
        <v>116187</v>
      </c>
      <c r="AH76" s="124"/>
      <c r="AI76" s="124"/>
      <c r="AJ76" s="124"/>
      <c r="AL76" s="124"/>
    </row>
    <row r="77" spans="1:38">
      <c r="A77" s="105" t="s">
        <v>438</v>
      </c>
      <c r="B77" s="105" t="s">
        <v>407</v>
      </c>
      <c r="C77" s="105" t="s">
        <v>439</v>
      </c>
      <c r="D77" s="123">
        <f>SUM('Hai Tang:Main Kichen'!D55)</f>
        <v>500</v>
      </c>
      <c r="E77" s="123">
        <f>SUM('Hai Tang:Main Kichen'!E55)</f>
        <v>500</v>
      </c>
      <c r="F77" s="123">
        <f>SUM('Hai Tang:Main Kichen'!F55)</f>
        <v>500</v>
      </c>
      <c r="G77" s="123">
        <f>SUM('Hai Tang:Main Kichen'!G55)</f>
        <v>500</v>
      </c>
      <c r="H77" s="123">
        <f>SUM('Hai Tang:Main Kichen'!H55)</f>
        <v>500</v>
      </c>
      <c r="I77" s="123">
        <f>SUM('Hai Tang:Main Kichen'!I55)</f>
        <v>0</v>
      </c>
      <c r="J77" s="123">
        <f>SUM('Hai Tang:Main Kichen'!J55)</f>
        <v>500</v>
      </c>
      <c r="K77" s="123">
        <f>SUM('Hai Tang:Main Kichen'!K55)</f>
        <v>500</v>
      </c>
      <c r="L77" s="123">
        <f>SUM('Hai Tang:Main Kichen'!L55)</f>
        <v>0</v>
      </c>
      <c r="M77" s="123">
        <f>SUM('Hai Tang:Main Kichen'!M55)</f>
        <v>7500</v>
      </c>
      <c r="N77" s="123">
        <f>SUM('Hai Tang:Main Kichen'!N55)</f>
        <v>500</v>
      </c>
      <c r="O77" s="123">
        <f>SUM('Hai Tang:Main Kichen'!O55)</f>
        <v>500</v>
      </c>
      <c r="P77" s="133">
        <f t="shared" si="21"/>
        <v>12000</v>
      </c>
      <c r="Q77" s="123">
        <f>SUM('Hai Tang:Main Kichen'!Q55)</f>
        <v>4000</v>
      </c>
      <c r="R77" s="123">
        <f>SUM('Hai Tang:Main Kichen'!R55)</f>
        <v>4000</v>
      </c>
      <c r="S77" s="123">
        <f>SUM('Hai Tang:Main Kichen'!S55)</f>
        <v>4000</v>
      </c>
      <c r="T77" s="123">
        <f>SUM('Hai Tang:Main Kichen'!T55)</f>
        <v>0</v>
      </c>
      <c r="U77" s="123">
        <f>SUM('Hai Tang:Main Kichen'!U55)</f>
        <v>0</v>
      </c>
      <c r="V77" s="123">
        <f>SUM('Hai Tang:Main Kichen'!V55)</f>
        <v>0</v>
      </c>
      <c r="W77" s="123">
        <f>SUM('Hai Tang:Main Kichen'!W55)</f>
        <v>0</v>
      </c>
      <c r="X77" s="123">
        <f>SUM('Hai Tang:Main Kichen'!X55)</f>
        <v>0</v>
      </c>
      <c r="Y77" s="123">
        <f>SUM('Hai Tang:Main Kichen'!Y55)</f>
        <v>0</v>
      </c>
      <c r="Z77" s="123">
        <f>SUM('Hai Tang:Main Kichen'!Z55)</f>
        <v>0</v>
      </c>
      <c r="AA77" s="123">
        <f>SUM('Hai Tang:Main Kichen'!AA55)</f>
        <v>0</v>
      </c>
      <c r="AB77" s="123">
        <f>SUM('Hai Tang:Main Kichen'!AB55)</f>
        <v>0</v>
      </c>
      <c r="AC77" s="133">
        <f t="shared" si="22"/>
        <v>12000</v>
      </c>
      <c r="AD77" s="123">
        <f t="shared" si="23"/>
        <v>0</v>
      </c>
      <c r="AE77" s="196">
        <f t="shared" si="12"/>
        <v>0</v>
      </c>
      <c r="AF77" s="133">
        <v>0</v>
      </c>
      <c r="AG77" s="124">
        <f t="shared" si="16"/>
        <v>-12000</v>
      </c>
      <c r="AH77" s="124"/>
      <c r="AI77" s="124"/>
      <c r="AJ77" s="124"/>
      <c r="AL77" s="124"/>
    </row>
    <row r="78" spans="1:38">
      <c r="A78" s="105" t="s">
        <v>201</v>
      </c>
      <c r="B78" s="105" t="s">
        <v>407</v>
      </c>
      <c r="C78" s="105" t="s">
        <v>202</v>
      </c>
      <c r="D78" s="123">
        <f>SUM('Hai Tang:Main Kichen'!D56)</f>
        <v>45000</v>
      </c>
      <c r="E78" s="123">
        <f>SUM('Hai Tang:Main Kichen'!E56)</f>
        <v>79000</v>
      </c>
      <c r="F78" s="123">
        <f>SUM('Hai Tang:Main Kichen'!F56)</f>
        <v>19000</v>
      </c>
      <c r="G78" s="123">
        <f>SUM('Hai Tang:Main Kichen'!G56)</f>
        <v>9000</v>
      </c>
      <c r="H78" s="123">
        <f>SUM('Hai Tang:Main Kichen'!H56)</f>
        <v>19000</v>
      </c>
      <c r="I78" s="123">
        <f>SUM('Hai Tang:Main Kichen'!I56)</f>
        <v>1500</v>
      </c>
      <c r="J78" s="123">
        <f>SUM('Hai Tang:Main Kichen'!J56)</f>
        <v>39000</v>
      </c>
      <c r="K78" s="123">
        <f>SUM('Hai Tang:Main Kichen'!K56)</f>
        <v>39000</v>
      </c>
      <c r="L78" s="123">
        <f>SUM('Hai Tang:Main Kichen'!L56)</f>
        <v>1500</v>
      </c>
      <c r="M78" s="123">
        <f>SUM('Hai Tang:Main Kichen'!M56)</f>
        <v>15000</v>
      </c>
      <c r="N78" s="123">
        <f>SUM('Hai Tang:Main Kichen'!N56)</f>
        <v>12000</v>
      </c>
      <c r="O78" s="123">
        <f>SUM('Hai Tang:Main Kichen'!O56)</f>
        <v>29000</v>
      </c>
      <c r="P78" s="133">
        <f t="shared" si="21"/>
        <v>308000</v>
      </c>
      <c r="Q78" s="123">
        <f>SUM('Hai Tang:Main Kichen'!Q56)</f>
        <v>4720.5300000000007</v>
      </c>
      <c r="R78" s="123">
        <f>SUM('Hai Tang:Main Kichen'!R56)</f>
        <v>89762.75</v>
      </c>
      <c r="S78" s="123">
        <f>SUM('Hai Tang:Main Kichen'!S56)</f>
        <v>40195.020000000004</v>
      </c>
      <c r="T78" s="123">
        <f>SUM('Hai Tang:Main Kichen'!T56)</f>
        <v>8543.94</v>
      </c>
      <c r="U78" s="123">
        <f>SUM('Hai Tang:Main Kichen'!U56)</f>
        <v>18236.09</v>
      </c>
      <c r="V78" s="123">
        <f>SUM('Hai Tang:Main Kichen'!V56)</f>
        <v>15779</v>
      </c>
      <c r="W78" s="123">
        <f>SUM('Hai Tang:Main Kichen'!W56)</f>
        <v>10888.1</v>
      </c>
      <c r="X78" s="123">
        <f>SUM('Hai Tang:Main Kichen'!X56)</f>
        <v>42983.4</v>
      </c>
      <c r="Y78" s="123">
        <f>SUM('Hai Tang:Main Kichen'!Y56)</f>
        <v>24800</v>
      </c>
      <c r="Z78" s="123">
        <f>SUM('Hai Tang:Main Kichen'!Z56)</f>
        <v>21500</v>
      </c>
      <c r="AA78" s="123">
        <f>SUM('Hai Tang:Main Kichen'!AA56)</f>
        <v>25500</v>
      </c>
      <c r="AB78" s="123">
        <f>SUM('Hai Tang:Main Kichen'!AB56)</f>
        <v>27808</v>
      </c>
      <c r="AC78" s="133">
        <f t="shared" si="22"/>
        <v>330716.82999999996</v>
      </c>
      <c r="AD78" s="123">
        <f t="shared" si="23"/>
        <v>-22716.829999999958</v>
      </c>
      <c r="AE78" s="196">
        <f t="shared" si="12"/>
        <v>-6.8689670253551841E-2</v>
      </c>
      <c r="AF78" s="133">
        <v>177653.88000000003</v>
      </c>
      <c r="AG78" s="124">
        <f t="shared" si="16"/>
        <v>-130346.11999999997</v>
      </c>
      <c r="AH78" s="124"/>
      <c r="AI78" s="124"/>
      <c r="AJ78" s="124"/>
      <c r="AL78" s="124"/>
    </row>
    <row r="79" spans="1:38">
      <c r="A79" s="105" t="s">
        <v>440</v>
      </c>
      <c r="B79" s="105" t="s">
        <v>407</v>
      </c>
      <c r="C79" s="105" t="s">
        <v>441</v>
      </c>
      <c r="D79" s="123">
        <f>SUM('Hai Tang:Main Kichen'!D57)</f>
        <v>10000</v>
      </c>
      <c r="E79" s="123">
        <f>SUM('Hai Tang:Main Kichen'!E57)</f>
        <v>30000</v>
      </c>
      <c r="F79" s="123">
        <f>SUM('Hai Tang:Main Kichen'!F57)</f>
        <v>10000</v>
      </c>
      <c r="G79" s="123">
        <f>SUM('Hai Tang:Main Kichen'!G57)</f>
        <v>10000</v>
      </c>
      <c r="H79" s="123">
        <f>SUM('Hai Tang:Main Kichen'!H57)</f>
        <v>30000</v>
      </c>
      <c r="I79" s="123">
        <f>SUM('Hai Tang:Main Kichen'!I57)</f>
        <v>10000</v>
      </c>
      <c r="J79" s="123">
        <f>SUM('Hai Tang:Main Kichen'!J57)</f>
        <v>10000</v>
      </c>
      <c r="K79" s="123">
        <f>SUM('Hai Tang:Main Kichen'!K57)</f>
        <v>10000</v>
      </c>
      <c r="L79" s="123">
        <f>SUM('Hai Tang:Main Kichen'!L57)</f>
        <v>10000</v>
      </c>
      <c r="M79" s="123">
        <f>SUM('Hai Tang:Main Kichen'!M57)</f>
        <v>10000</v>
      </c>
      <c r="N79" s="123">
        <f>SUM('Hai Tang:Main Kichen'!N57)</f>
        <v>10000</v>
      </c>
      <c r="O79" s="123">
        <f>SUM('Hai Tang:Main Kichen'!O57)</f>
        <v>10000</v>
      </c>
      <c r="P79" s="133">
        <f t="shared" si="21"/>
        <v>160000</v>
      </c>
      <c r="Q79" s="123">
        <f>SUM('Hai Tang:Main Kichen'!Q57)</f>
        <v>125540</v>
      </c>
      <c r="R79" s="123">
        <f>SUM('Hai Tang:Main Kichen'!R57)</f>
        <v>130000.01000000001</v>
      </c>
      <c r="S79" s="123">
        <f>SUM('Hai Tang:Main Kichen'!S57)</f>
        <v>67000.009999999995</v>
      </c>
      <c r="T79" s="123">
        <f>SUM('Hai Tang:Main Kichen'!T57)</f>
        <v>-540</v>
      </c>
      <c r="U79" s="123">
        <f>SUM('Hai Tang:Main Kichen'!U57)</f>
        <v>0</v>
      </c>
      <c r="V79" s="123">
        <f>SUM('Hai Tang:Main Kichen'!V57)</f>
        <v>0</v>
      </c>
      <c r="W79" s="123">
        <f>SUM('Hai Tang:Main Kichen'!W57)</f>
        <v>0</v>
      </c>
      <c r="X79" s="123">
        <f>SUM('Hai Tang:Main Kichen'!X57)</f>
        <v>0</v>
      </c>
      <c r="Y79" s="123">
        <f>SUM('Hai Tang:Main Kichen'!Y57)</f>
        <v>0</v>
      </c>
      <c r="Z79" s="123">
        <f>SUM('Hai Tang:Main Kichen'!Z57)</f>
        <v>0</v>
      </c>
      <c r="AA79" s="123">
        <f>SUM('Hai Tang:Main Kichen'!AA57)</f>
        <v>0</v>
      </c>
      <c r="AB79" s="123">
        <f>SUM('Hai Tang:Main Kichen'!AB57)</f>
        <v>0</v>
      </c>
      <c r="AC79" s="133">
        <f t="shared" si="22"/>
        <v>322000.02</v>
      </c>
      <c r="AD79" s="123">
        <f t="shared" si="23"/>
        <v>-162000.02000000002</v>
      </c>
      <c r="AE79" s="196">
        <f t="shared" si="12"/>
        <v>-0.50310562092511679</v>
      </c>
      <c r="AF79" s="133">
        <v>85969.75</v>
      </c>
      <c r="AG79" s="124">
        <f t="shared" si="16"/>
        <v>-74030.25</v>
      </c>
      <c r="AH79" s="124"/>
      <c r="AI79" s="124"/>
      <c r="AJ79" s="124"/>
      <c r="AL79" s="124"/>
    </row>
    <row r="80" spans="1:38">
      <c r="A80" s="105" t="s">
        <v>442</v>
      </c>
      <c r="B80" s="105" t="s">
        <v>407</v>
      </c>
      <c r="C80" s="105" t="s">
        <v>443</v>
      </c>
      <c r="D80" s="123">
        <f>SUM('Hai Tang:Main Kichen'!D58)</f>
        <v>11500</v>
      </c>
      <c r="E80" s="123">
        <f>SUM('Hai Tang:Main Kichen'!E58)</f>
        <v>21500</v>
      </c>
      <c r="F80" s="123">
        <f>SUM('Hai Tang:Main Kichen'!F58)</f>
        <v>11500</v>
      </c>
      <c r="G80" s="123">
        <f>SUM('Hai Tang:Main Kichen'!G58)</f>
        <v>8500</v>
      </c>
      <c r="H80" s="123">
        <f>SUM('Hai Tang:Main Kichen'!H58)</f>
        <v>7500</v>
      </c>
      <c r="I80" s="123">
        <f>SUM('Hai Tang:Main Kichen'!I58)</f>
        <v>7500</v>
      </c>
      <c r="J80" s="123">
        <f>SUM('Hai Tang:Main Kichen'!J58)</f>
        <v>11500</v>
      </c>
      <c r="K80" s="123">
        <f>SUM('Hai Tang:Main Kichen'!K58)</f>
        <v>11500</v>
      </c>
      <c r="L80" s="123">
        <f>SUM('Hai Tang:Main Kichen'!L58)</f>
        <v>7500</v>
      </c>
      <c r="M80" s="123">
        <f>SUM('Hai Tang:Main Kichen'!M58)</f>
        <v>11500</v>
      </c>
      <c r="N80" s="123">
        <f>SUM('Hai Tang:Main Kichen'!N58)</f>
        <v>7500</v>
      </c>
      <c r="O80" s="123">
        <f>SUM('Hai Tang:Main Kichen'!O58)</f>
        <v>7500</v>
      </c>
      <c r="P80" s="133">
        <f t="shared" si="21"/>
        <v>125000</v>
      </c>
      <c r="Q80" s="123">
        <f>SUM('Hai Tang:Main Kichen'!Q58)</f>
        <v>10284.150000000001</v>
      </c>
      <c r="R80" s="123">
        <f>SUM('Hai Tang:Main Kichen'!R58)</f>
        <v>15793.84</v>
      </c>
      <c r="S80" s="123">
        <f>SUM('Hai Tang:Main Kichen'!S58)</f>
        <v>8109.58</v>
      </c>
      <c r="T80" s="123">
        <f>SUM('Hai Tang:Main Kichen'!T58)</f>
        <v>5738.81</v>
      </c>
      <c r="U80" s="123">
        <f>SUM('Hai Tang:Main Kichen'!U58)</f>
        <v>2952.67</v>
      </c>
      <c r="V80" s="123">
        <f>SUM('Hai Tang:Main Kichen'!V58)</f>
        <v>5897.78</v>
      </c>
      <c r="W80" s="123">
        <f>SUM('Hai Tang:Main Kichen'!W58)</f>
        <v>8394.15</v>
      </c>
      <c r="X80" s="123">
        <f>SUM('Hai Tang:Main Kichen'!X58)</f>
        <v>6961.8700000000008</v>
      </c>
      <c r="Y80" s="123">
        <f>SUM('Hai Tang:Main Kichen'!Y58)</f>
        <v>21500</v>
      </c>
      <c r="Z80" s="123">
        <f>SUM('Hai Tang:Main Kichen'!Z58)</f>
        <v>21500</v>
      </c>
      <c r="AA80" s="123">
        <f>SUM('Hai Tang:Main Kichen'!AA58)</f>
        <v>7500</v>
      </c>
      <c r="AB80" s="123">
        <f>SUM('Hai Tang:Main Kichen'!AB58)</f>
        <v>7500</v>
      </c>
      <c r="AC80" s="133">
        <f t="shared" si="22"/>
        <v>122132.85</v>
      </c>
      <c r="AD80" s="123">
        <f t="shared" si="23"/>
        <v>2867.1499999999942</v>
      </c>
      <c r="AE80" s="196">
        <f t="shared" si="12"/>
        <v>2.3475666047259144E-2</v>
      </c>
      <c r="AF80" s="133">
        <v>120797.66</v>
      </c>
      <c r="AG80" s="124">
        <f t="shared" si="16"/>
        <v>-4202.3399999999965</v>
      </c>
      <c r="AH80" s="124"/>
      <c r="AI80" s="124"/>
      <c r="AJ80" s="124"/>
      <c r="AL80" s="124"/>
    </row>
    <row r="81" spans="1:38">
      <c r="A81" s="105" t="s">
        <v>203</v>
      </c>
      <c r="B81" s="105" t="s">
        <v>407</v>
      </c>
      <c r="C81" s="105" t="s">
        <v>204</v>
      </c>
      <c r="D81" s="123">
        <f>SUM('Hai Tang:Main Kichen'!D59)</f>
        <v>10610</v>
      </c>
      <c r="E81" s="123">
        <f>SUM('Hai Tang:Main Kichen'!E59)</f>
        <v>10610</v>
      </c>
      <c r="F81" s="123">
        <f>SUM('Hai Tang:Main Kichen'!F59)</f>
        <v>10610</v>
      </c>
      <c r="G81" s="123">
        <f>SUM('Hai Tang:Main Kichen'!G59)</f>
        <v>10610</v>
      </c>
      <c r="H81" s="123">
        <f>SUM('Hai Tang:Main Kichen'!H59)</f>
        <v>10610</v>
      </c>
      <c r="I81" s="123">
        <f>SUM('Hai Tang:Main Kichen'!I59)</f>
        <v>10610</v>
      </c>
      <c r="J81" s="123">
        <f>SUM('Hai Tang:Main Kichen'!J59)</f>
        <v>10610</v>
      </c>
      <c r="K81" s="123">
        <f>SUM('Hai Tang:Main Kichen'!K59)</f>
        <v>10610</v>
      </c>
      <c r="L81" s="123">
        <f>SUM('Hai Tang:Main Kichen'!L59)</f>
        <v>10610</v>
      </c>
      <c r="M81" s="123">
        <f>SUM('Hai Tang:Main Kichen'!M59)</f>
        <v>10610</v>
      </c>
      <c r="N81" s="123">
        <f>SUM('Hai Tang:Main Kichen'!N59)</f>
        <v>10610</v>
      </c>
      <c r="O81" s="123">
        <f>SUM('Hai Tang:Main Kichen'!O59)</f>
        <v>10610</v>
      </c>
      <c r="P81" s="133">
        <f t="shared" si="21"/>
        <v>127320</v>
      </c>
      <c r="Q81" s="123">
        <f>SUM('Hai Tang:Main Kichen'!Q59)</f>
        <v>22854.52</v>
      </c>
      <c r="R81" s="123">
        <f>SUM('Hai Tang:Main Kichen'!R59)</f>
        <v>22959.47</v>
      </c>
      <c r="S81" s="123">
        <f>SUM('Hai Tang:Main Kichen'!S59)</f>
        <v>23067</v>
      </c>
      <c r="T81" s="123">
        <f>SUM('Hai Tang:Main Kichen'!T59)</f>
        <v>-47.79</v>
      </c>
      <c r="U81" s="123">
        <f>SUM('Hai Tang:Main Kichen'!U59)</f>
        <v>-102.4</v>
      </c>
      <c r="V81" s="123">
        <f>SUM('Hai Tang:Main Kichen'!V59)</f>
        <v>-227.23000000000002</v>
      </c>
      <c r="W81" s="123">
        <f>SUM('Hai Tang:Main Kichen'!W59)</f>
        <v>-191.16</v>
      </c>
      <c r="X81" s="123">
        <f>SUM('Hai Tang:Main Kichen'!X59)</f>
        <v>-343.03999999999996</v>
      </c>
      <c r="Y81" s="123">
        <f>SUM('Hai Tang:Main Kichen'!Y59)</f>
        <v>0</v>
      </c>
      <c r="Z81" s="123">
        <f>SUM('Hai Tang:Main Kichen'!Z59)</f>
        <v>0</v>
      </c>
      <c r="AA81" s="123">
        <f>SUM('Hai Tang:Main Kichen'!AA59)</f>
        <v>0</v>
      </c>
      <c r="AB81" s="123">
        <f>SUM('Hai Tang:Main Kichen'!AB59)</f>
        <v>0</v>
      </c>
      <c r="AC81" s="133">
        <f t="shared" si="22"/>
        <v>67969.370000000024</v>
      </c>
      <c r="AD81" s="123">
        <f t="shared" si="23"/>
        <v>59350.629999999976</v>
      </c>
      <c r="AE81" s="196">
        <f t="shared" si="12"/>
        <v>0.87319670610452849</v>
      </c>
      <c r="AF81" s="133">
        <v>170233.12</v>
      </c>
      <c r="AG81" s="124">
        <f t="shared" si="16"/>
        <v>42913.119999999995</v>
      </c>
      <c r="AH81" s="124"/>
      <c r="AI81" s="124"/>
      <c r="AJ81" s="124"/>
      <c r="AL81" s="124"/>
    </row>
    <row r="82" spans="1:38">
      <c r="A82" s="105" t="s">
        <v>444</v>
      </c>
      <c r="B82" s="105" t="s">
        <v>407</v>
      </c>
      <c r="C82" s="105" t="s">
        <v>445</v>
      </c>
      <c r="D82" s="123">
        <f>SUM('Hai Tang:Main Kichen'!D60)</f>
        <v>10000</v>
      </c>
      <c r="E82" s="123">
        <f>SUM('Hai Tang:Main Kichen'!E60)</f>
        <v>9000</v>
      </c>
      <c r="F82" s="123">
        <f>SUM('Hai Tang:Main Kichen'!F60)</f>
        <v>6344</v>
      </c>
      <c r="G82" s="123">
        <f>SUM('Hai Tang:Main Kichen'!G60)</f>
        <v>0</v>
      </c>
      <c r="H82" s="123">
        <f>SUM('Hai Tang:Main Kichen'!H60)</f>
        <v>2350</v>
      </c>
      <c r="I82" s="123">
        <f>SUM('Hai Tang:Main Kichen'!I60)</f>
        <v>0</v>
      </c>
      <c r="J82" s="123">
        <f>SUM('Hai Tang:Main Kichen'!J60)</f>
        <v>6000</v>
      </c>
      <c r="K82" s="123">
        <f>SUM('Hai Tang:Main Kichen'!K60)</f>
        <v>2000</v>
      </c>
      <c r="L82" s="123">
        <f>SUM('Hai Tang:Main Kichen'!L60)</f>
        <v>0</v>
      </c>
      <c r="M82" s="123">
        <f>SUM('Hai Tang:Main Kichen'!M60)</f>
        <v>3000</v>
      </c>
      <c r="N82" s="123">
        <f>SUM('Hai Tang:Main Kichen'!N60)</f>
        <v>0</v>
      </c>
      <c r="O82" s="123">
        <f>SUM('Hai Tang:Main Kichen'!O60)</f>
        <v>3800</v>
      </c>
      <c r="P82" s="133">
        <f t="shared" si="21"/>
        <v>42494</v>
      </c>
      <c r="Q82" s="123">
        <f>SUM('Hai Tang:Main Kichen'!Q60)</f>
        <v>9160</v>
      </c>
      <c r="R82" s="123">
        <f>SUM('Hai Tang:Main Kichen'!R60)</f>
        <v>4629.51</v>
      </c>
      <c r="S82" s="123">
        <f>SUM('Hai Tang:Main Kichen'!S60)</f>
        <v>3960</v>
      </c>
      <c r="T82" s="123">
        <f>SUM('Hai Tang:Main Kichen'!T60)</f>
        <v>6075.04</v>
      </c>
      <c r="U82" s="123">
        <f>SUM('Hai Tang:Main Kichen'!U60)</f>
        <v>1629.51</v>
      </c>
      <c r="V82" s="123">
        <f>SUM('Hai Tang:Main Kichen'!V60)</f>
        <v>0</v>
      </c>
      <c r="W82" s="123">
        <f>SUM('Hai Tang:Main Kichen'!W60)</f>
        <v>5940</v>
      </c>
      <c r="X82" s="123">
        <f>SUM('Hai Tang:Main Kichen'!X60)</f>
        <v>0</v>
      </c>
      <c r="Y82" s="123">
        <f>SUM('Hai Tang:Main Kichen'!Y60)</f>
        <v>3500</v>
      </c>
      <c r="Z82" s="123">
        <f>SUM('Hai Tang:Main Kichen'!Z60)</f>
        <v>3000</v>
      </c>
      <c r="AA82" s="123">
        <f>SUM('Hai Tang:Main Kichen'!AA60)</f>
        <v>0</v>
      </c>
      <c r="AB82" s="123">
        <f>SUM('Hai Tang:Main Kichen'!AB60)</f>
        <v>3800</v>
      </c>
      <c r="AC82" s="133">
        <f t="shared" si="22"/>
        <v>41694.06</v>
      </c>
      <c r="AD82" s="123">
        <f t="shared" si="23"/>
        <v>799.94000000000233</v>
      </c>
      <c r="AE82" s="196">
        <f t="shared" si="12"/>
        <v>1.9185946391404491E-2</v>
      </c>
      <c r="AF82" s="133">
        <v>34069.440000000002</v>
      </c>
      <c r="AG82" s="124">
        <f t="shared" si="16"/>
        <v>-8424.5599999999977</v>
      </c>
      <c r="AH82" s="124"/>
      <c r="AI82" s="124"/>
      <c r="AJ82" s="124"/>
      <c r="AL82" s="124"/>
    </row>
    <row r="83" spans="1:38">
      <c r="A83" s="105" t="s">
        <v>446</v>
      </c>
      <c r="B83" s="105" t="s">
        <v>407</v>
      </c>
      <c r="C83" s="105" t="s">
        <v>447</v>
      </c>
      <c r="D83" s="123">
        <f>SUM('Hai Tang:Main Kichen'!D61)</f>
        <v>23100</v>
      </c>
      <c r="E83" s="123">
        <f>SUM('Hai Tang:Main Kichen'!E61)</f>
        <v>3100</v>
      </c>
      <c r="F83" s="123">
        <f>SUM('Hai Tang:Main Kichen'!F61)</f>
        <v>3100</v>
      </c>
      <c r="G83" s="123">
        <f>SUM('Hai Tang:Main Kichen'!G61)</f>
        <v>3100</v>
      </c>
      <c r="H83" s="123">
        <f>SUM('Hai Tang:Main Kichen'!H61)</f>
        <v>13100</v>
      </c>
      <c r="I83" s="123">
        <f>SUM('Hai Tang:Main Kichen'!I61)</f>
        <v>3100</v>
      </c>
      <c r="J83" s="123">
        <f>SUM('Hai Tang:Main Kichen'!J61)</f>
        <v>8100</v>
      </c>
      <c r="K83" s="123">
        <f>SUM('Hai Tang:Main Kichen'!K61)</f>
        <v>13100</v>
      </c>
      <c r="L83" s="123">
        <f>SUM('Hai Tang:Main Kichen'!L61)</f>
        <v>3100</v>
      </c>
      <c r="M83" s="123">
        <f>SUM('Hai Tang:Main Kichen'!M61)</f>
        <v>23100</v>
      </c>
      <c r="N83" s="123">
        <f>SUM('Hai Tang:Main Kichen'!N61)</f>
        <v>3100</v>
      </c>
      <c r="O83" s="123">
        <f>SUM('Hai Tang:Main Kichen'!O61)</f>
        <v>43100</v>
      </c>
      <c r="P83" s="133">
        <f t="shared" si="21"/>
        <v>142200</v>
      </c>
      <c r="Q83" s="123">
        <f>SUM('Hai Tang:Main Kichen'!Q61)</f>
        <v>1229.3800000000001</v>
      </c>
      <c r="R83" s="123">
        <f>SUM('Hai Tang:Main Kichen'!R61)</f>
        <v>2253.48</v>
      </c>
      <c r="S83" s="123">
        <f>SUM('Hai Tang:Main Kichen'!S61)</f>
        <v>3113.92</v>
      </c>
      <c r="T83" s="123">
        <f>SUM('Hai Tang:Main Kichen'!T61)</f>
        <v>2801.89</v>
      </c>
      <c r="U83" s="123">
        <f>SUM('Hai Tang:Main Kichen'!U61)</f>
        <v>2801.89</v>
      </c>
      <c r="V83" s="123">
        <f>SUM('Hai Tang:Main Kichen'!V61)</f>
        <v>2801.89</v>
      </c>
      <c r="W83" s="123">
        <f>SUM('Hai Tang:Main Kichen'!W61)</f>
        <v>4420.76</v>
      </c>
      <c r="X83" s="123">
        <f>SUM('Hai Tang:Main Kichen'!X61)</f>
        <v>6450.0899999999992</v>
      </c>
      <c r="Y83" s="123">
        <f>SUM('Hai Tang:Main Kichen'!Y61)</f>
        <v>3600</v>
      </c>
      <c r="Z83" s="123">
        <f>SUM('Hai Tang:Main Kichen'!Z61)</f>
        <v>30800</v>
      </c>
      <c r="AA83" s="123">
        <f>SUM('Hai Tang:Main Kichen'!AA61)</f>
        <v>1100</v>
      </c>
      <c r="AB83" s="123">
        <f>SUM('Hai Tang:Main Kichen'!AB61)</f>
        <v>66300</v>
      </c>
      <c r="AC83" s="133">
        <f t="shared" si="22"/>
        <v>127673.3</v>
      </c>
      <c r="AD83" s="123">
        <f t="shared" si="23"/>
        <v>14526.699999999997</v>
      </c>
      <c r="AE83" s="196">
        <f t="shared" si="12"/>
        <v>0.11378025006011434</v>
      </c>
      <c r="AF83" s="133">
        <v>104523.92</v>
      </c>
      <c r="AG83" s="124">
        <f t="shared" si="16"/>
        <v>-37676.080000000002</v>
      </c>
      <c r="AH83" s="124"/>
      <c r="AI83" s="124"/>
      <c r="AJ83" s="124"/>
      <c r="AL83" s="124"/>
    </row>
    <row r="84" spans="1:38">
      <c r="A84" s="105" t="s">
        <v>273</v>
      </c>
      <c r="C84" s="105" t="s">
        <v>448</v>
      </c>
      <c r="D84" s="123">
        <f>SUM('Hai Tang:Main Kichen'!D62)</f>
        <v>0</v>
      </c>
      <c r="E84" s="123">
        <f>SUM('Hai Tang:Main Kichen'!E62)</f>
        <v>0</v>
      </c>
      <c r="F84" s="123">
        <f>SUM('Hai Tang:Main Kichen'!F62)</f>
        <v>0</v>
      </c>
      <c r="G84" s="123">
        <f>SUM('Hai Tang:Main Kichen'!G62)</f>
        <v>0</v>
      </c>
      <c r="H84" s="123">
        <f>SUM('Hai Tang:Main Kichen'!H62)</f>
        <v>0</v>
      </c>
      <c r="I84" s="123">
        <f>SUM('Hai Tang:Main Kichen'!I62)</f>
        <v>0</v>
      </c>
      <c r="J84" s="123">
        <f>SUM('Hai Tang:Main Kichen'!J62)</f>
        <v>0</v>
      </c>
      <c r="K84" s="123">
        <f>SUM('Hai Tang:Main Kichen'!K62)</f>
        <v>0</v>
      </c>
      <c r="L84" s="123">
        <f>SUM('Hai Tang:Main Kichen'!L62)</f>
        <v>0</v>
      </c>
      <c r="M84" s="123">
        <f>SUM('Hai Tang:Main Kichen'!M62)</f>
        <v>0</v>
      </c>
      <c r="N84" s="123">
        <f>SUM('Hai Tang:Main Kichen'!N62)</f>
        <v>0</v>
      </c>
      <c r="O84" s="123">
        <f>SUM('Hai Tang:Main Kichen'!O62)</f>
        <v>0</v>
      </c>
      <c r="P84" s="133">
        <f t="shared" si="21"/>
        <v>0</v>
      </c>
      <c r="Q84" s="123">
        <f>SUM('Hai Tang:Main Kichen'!Q62)</f>
        <v>0</v>
      </c>
      <c r="R84" s="123">
        <f>SUM('Hai Tang:Main Kichen'!R62)</f>
        <v>0</v>
      </c>
      <c r="S84" s="123">
        <f>SUM('Hai Tang:Main Kichen'!S62)</f>
        <v>0</v>
      </c>
      <c r="T84" s="123">
        <f>SUM('Hai Tang:Main Kichen'!T62)</f>
        <v>0</v>
      </c>
      <c r="U84" s="123">
        <f>SUM('Hai Tang:Main Kichen'!U62)</f>
        <v>0</v>
      </c>
      <c r="V84" s="123">
        <f>SUM('Hai Tang:Main Kichen'!V62)</f>
        <v>0</v>
      </c>
      <c r="W84" s="123">
        <f>SUM('Hai Tang:Main Kichen'!W62)</f>
        <v>0</v>
      </c>
      <c r="X84" s="123">
        <f>SUM('Hai Tang:Main Kichen'!X62)</f>
        <v>0</v>
      </c>
      <c r="Y84" s="123">
        <f>SUM('Hai Tang:Main Kichen'!Y62)</f>
        <v>0</v>
      </c>
      <c r="Z84" s="123">
        <f>SUM('Hai Tang:Main Kichen'!Z62)</f>
        <v>0</v>
      </c>
      <c r="AA84" s="123">
        <f>SUM('Hai Tang:Main Kichen'!AA62)</f>
        <v>0</v>
      </c>
      <c r="AB84" s="123">
        <f>SUM('Hai Tang:Main Kichen'!AB62)</f>
        <v>0</v>
      </c>
      <c r="AC84" s="133">
        <f t="shared" si="22"/>
        <v>0</v>
      </c>
      <c r="AD84" s="123">
        <f t="shared" si="23"/>
        <v>0</v>
      </c>
      <c r="AE84" s="196" t="e">
        <f t="shared" si="12"/>
        <v>#DIV/0!</v>
      </c>
      <c r="AF84" s="133">
        <v>0</v>
      </c>
      <c r="AG84" s="124">
        <f t="shared" si="16"/>
        <v>0</v>
      </c>
      <c r="AH84" s="124"/>
      <c r="AI84" s="124"/>
      <c r="AJ84" s="124"/>
      <c r="AL84" s="124"/>
    </row>
    <row r="85" spans="1:38">
      <c r="A85" s="105" t="s">
        <v>207</v>
      </c>
      <c r="B85" s="105" t="s">
        <v>407</v>
      </c>
      <c r="C85" s="105" t="s">
        <v>208</v>
      </c>
      <c r="D85" s="123">
        <f>SUM('Hai Tang:Main Kichen'!D63)</f>
        <v>16500</v>
      </c>
      <c r="E85" s="123">
        <f>SUM('Hai Tang:Main Kichen'!E63)</f>
        <v>18500</v>
      </c>
      <c r="F85" s="123">
        <f>SUM('Hai Tang:Main Kichen'!F63)</f>
        <v>13000</v>
      </c>
      <c r="G85" s="123">
        <f>SUM('Hai Tang:Main Kichen'!G63)</f>
        <v>14000</v>
      </c>
      <c r="H85" s="123">
        <f>SUM('Hai Tang:Main Kichen'!H63)</f>
        <v>15500</v>
      </c>
      <c r="I85" s="123">
        <f>SUM('Hai Tang:Main Kichen'!I63)</f>
        <v>11000</v>
      </c>
      <c r="J85" s="123">
        <f>SUM('Hai Tang:Main Kichen'!J63)</f>
        <v>14500</v>
      </c>
      <c r="K85" s="123">
        <f>SUM('Hai Tang:Main Kichen'!K63)</f>
        <v>15500</v>
      </c>
      <c r="L85" s="123">
        <f>SUM('Hai Tang:Main Kichen'!L63)</f>
        <v>11200</v>
      </c>
      <c r="M85" s="123">
        <f>SUM('Hai Tang:Main Kichen'!M63)</f>
        <v>14200</v>
      </c>
      <c r="N85" s="123">
        <f>SUM('Hai Tang:Main Kichen'!N63)</f>
        <v>14200</v>
      </c>
      <c r="O85" s="123">
        <f>SUM('Hai Tang:Main Kichen'!O63)</f>
        <v>16000</v>
      </c>
      <c r="P85" s="133">
        <f t="shared" si="21"/>
        <v>174100</v>
      </c>
      <c r="Q85" s="123">
        <f>SUM('Hai Tang:Main Kichen'!Q63)</f>
        <v>13480.48</v>
      </c>
      <c r="R85" s="123">
        <f>SUM('Hai Tang:Main Kichen'!R63)</f>
        <v>20294.87</v>
      </c>
      <c r="S85" s="123">
        <f>SUM('Hai Tang:Main Kichen'!S63)</f>
        <v>13726.690000000002</v>
      </c>
      <c r="T85" s="123">
        <f>SUM('Hai Tang:Main Kichen'!T63)</f>
        <v>15742.62</v>
      </c>
      <c r="U85" s="123">
        <f>SUM('Hai Tang:Main Kichen'!U63)</f>
        <v>15014.78</v>
      </c>
      <c r="V85" s="123">
        <f>SUM('Hai Tang:Main Kichen'!V63)</f>
        <v>9513.9</v>
      </c>
      <c r="W85" s="123">
        <f>SUM('Hai Tang:Main Kichen'!W63)</f>
        <v>11408.349999999999</v>
      </c>
      <c r="X85" s="123">
        <f>SUM('Hai Tang:Main Kichen'!X63)</f>
        <v>12564.220000000001</v>
      </c>
      <c r="Y85" s="123">
        <f>SUM('Hai Tang:Main Kichen'!Y63)</f>
        <v>12000</v>
      </c>
      <c r="Z85" s="123">
        <f>SUM('Hai Tang:Main Kichen'!Z63)</f>
        <v>14200</v>
      </c>
      <c r="AA85" s="123">
        <f>SUM('Hai Tang:Main Kichen'!AA63)</f>
        <v>15000</v>
      </c>
      <c r="AB85" s="123">
        <f>SUM('Hai Tang:Main Kichen'!AB63)</f>
        <v>19000</v>
      </c>
      <c r="AC85" s="133">
        <f t="shared" si="22"/>
        <v>171945.91</v>
      </c>
      <c r="AD85" s="123">
        <f t="shared" si="23"/>
        <v>2154.0899999999965</v>
      </c>
      <c r="AE85" s="196">
        <f t="shared" si="12"/>
        <v>1.2527718745970733E-2</v>
      </c>
      <c r="AF85" s="133">
        <v>221982.53</v>
      </c>
      <c r="AG85" s="124">
        <f t="shared" si="16"/>
        <v>47882.53</v>
      </c>
      <c r="AH85" s="124"/>
      <c r="AI85" s="124"/>
      <c r="AJ85" s="124"/>
      <c r="AL85" s="124"/>
    </row>
    <row r="86" spans="1:38">
      <c r="A86" s="105" t="s">
        <v>449</v>
      </c>
      <c r="B86" s="105" t="s">
        <v>407</v>
      </c>
      <c r="C86" s="105" t="s">
        <v>450</v>
      </c>
      <c r="D86" s="123">
        <f>SUM('Hai Tang:Main Kichen'!D64)</f>
        <v>38920</v>
      </c>
      <c r="E86" s="123">
        <f>SUM('Hai Tang:Main Kichen'!E64)</f>
        <v>43806</v>
      </c>
      <c r="F86" s="123">
        <f>SUM('Hai Tang:Main Kichen'!F64)</f>
        <v>38920</v>
      </c>
      <c r="G86" s="123">
        <f>SUM('Hai Tang:Main Kichen'!G64)</f>
        <v>38920</v>
      </c>
      <c r="H86" s="123">
        <f>SUM('Hai Tang:Main Kichen'!H64)</f>
        <v>43806</v>
      </c>
      <c r="I86" s="123">
        <f>SUM('Hai Tang:Main Kichen'!I64)</f>
        <v>38740</v>
      </c>
      <c r="J86" s="123">
        <f>SUM('Hai Tang:Main Kichen'!J64)</f>
        <v>38740</v>
      </c>
      <c r="K86" s="123">
        <f>SUM('Hai Tang:Main Kichen'!K64)</f>
        <v>43915</v>
      </c>
      <c r="L86" s="123">
        <f>SUM('Hai Tang:Main Kichen'!L64)</f>
        <v>39029</v>
      </c>
      <c r="M86" s="123">
        <f>SUM('Hai Tang:Main Kichen'!M64)</f>
        <v>43915</v>
      </c>
      <c r="N86" s="123">
        <f>SUM('Hai Tang:Main Kichen'!N64)</f>
        <v>39029</v>
      </c>
      <c r="O86" s="123">
        <f>SUM('Hai Tang:Main Kichen'!O64)</f>
        <v>42915</v>
      </c>
      <c r="P86" s="133">
        <f t="shared" si="21"/>
        <v>490655</v>
      </c>
      <c r="Q86" s="123">
        <f>SUM('Hai Tang:Main Kichen'!Q64)</f>
        <v>37935.949999999997</v>
      </c>
      <c r="R86" s="123">
        <f>SUM('Hai Tang:Main Kichen'!R64)</f>
        <v>41334.01</v>
      </c>
      <c r="S86" s="123">
        <f>SUM('Hai Tang:Main Kichen'!S64)</f>
        <v>42143.499999999993</v>
      </c>
      <c r="T86" s="123">
        <f>SUM('Hai Tang:Main Kichen'!T64)</f>
        <v>42143.499999999993</v>
      </c>
      <c r="U86" s="123">
        <f>SUM('Hai Tang:Main Kichen'!U64)</f>
        <v>42143.499999999993</v>
      </c>
      <c r="V86" s="123">
        <f>SUM('Hai Tang:Main Kichen'!V64)</f>
        <v>41488.25</v>
      </c>
      <c r="W86" s="123">
        <f>SUM('Hai Tang:Main Kichen'!W64)</f>
        <v>41488.25</v>
      </c>
      <c r="X86" s="123">
        <f>SUM('Hai Tang:Main Kichen'!X64)</f>
        <v>41488.25</v>
      </c>
      <c r="Y86" s="123">
        <f>SUM('Hai Tang:Main Kichen'!Y64)</f>
        <v>41891.599999999999</v>
      </c>
      <c r="Z86" s="123">
        <f>SUM('Hai Tang:Main Kichen'!Z64)</f>
        <v>39565.35</v>
      </c>
      <c r="AA86" s="123">
        <f>SUM('Hai Tang:Main Kichen'!AA64)</f>
        <v>39565.35</v>
      </c>
      <c r="AB86" s="123">
        <f>SUM('Hai Tang:Main Kichen'!AB64)</f>
        <v>39565.35</v>
      </c>
      <c r="AC86" s="133">
        <f t="shared" si="22"/>
        <v>490752.85999999987</v>
      </c>
      <c r="AD86" s="123">
        <f t="shared" si="23"/>
        <v>-97.859999999869615</v>
      </c>
      <c r="AE86" s="196">
        <f t="shared" si="12"/>
        <v>-1.994079056408752E-4</v>
      </c>
      <c r="AF86" s="133">
        <v>487089.07000000012</v>
      </c>
      <c r="AG86" s="124">
        <f t="shared" si="16"/>
        <v>-3565.9299999998766</v>
      </c>
      <c r="AH86" s="124"/>
      <c r="AI86" s="124"/>
      <c r="AJ86" s="124"/>
      <c r="AL86" s="124"/>
    </row>
    <row r="87" spans="1:38">
      <c r="A87" s="105" t="s">
        <v>273</v>
      </c>
      <c r="C87" s="105" t="s">
        <v>451</v>
      </c>
      <c r="D87" s="123">
        <f>SUM('Hai Tang:Main Kichen'!D65)</f>
        <v>0</v>
      </c>
      <c r="E87" s="123">
        <f>SUM('Hai Tang:Main Kichen'!E65)</f>
        <v>0</v>
      </c>
      <c r="F87" s="123">
        <f>SUM('Hai Tang:Main Kichen'!F65)</f>
        <v>0</v>
      </c>
      <c r="G87" s="123">
        <f>SUM('Hai Tang:Main Kichen'!G65)</f>
        <v>0</v>
      </c>
      <c r="H87" s="123">
        <f>SUM('Hai Tang:Main Kichen'!H65)</f>
        <v>0</v>
      </c>
      <c r="I87" s="123">
        <f>SUM('Hai Tang:Main Kichen'!I65)</f>
        <v>0</v>
      </c>
      <c r="J87" s="123">
        <f>SUM('Hai Tang:Main Kichen'!J65)</f>
        <v>0</v>
      </c>
      <c r="K87" s="123">
        <f>SUM('Hai Tang:Main Kichen'!K65)</f>
        <v>0</v>
      </c>
      <c r="L87" s="123">
        <f>SUM('Hai Tang:Main Kichen'!L65)</f>
        <v>0</v>
      </c>
      <c r="M87" s="123">
        <f>SUM('Hai Tang:Main Kichen'!M65)</f>
        <v>0</v>
      </c>
      <c r="N87" s="123">
        <f>SUM('Hai Tang:Main Kichen'!N65)</f>
        <v>0</v>
      </c>
      <c r="O87" s="123">
        <f>SUM('Hai Tang:Main Kichen'!O65)</f>
        <v>0</v>
      </c>
      <c r="P87" s="133">
        <f t="shared" si="21"/>
        <v>0</v>
      </c>
      <c r="Q87" s="123">
        <f>SUM('Hai Tang:Main Kichen'!Q65)</f>
        <v>0</v>
      </c>
      <c r="R87" s="123">
        <f>SUM('Hai Tang:Main Kichen'!R65)</f>
        <v>0</v>
      </c>
      <c r="S87" s="123">
        <f>SUM('Hai Tang:Main Kichen'!S65)</f>
        <v>0</v>
      </c>
      <c r="T87" s="123">
        <f>SUM('Hai Tang:Main Kichen'!T65)</f>
        <v>0</v>
      </c>
      <c r="U87" s="123">
        <f>SUM('Hai Tang:Main Kichen'!U65)</f>
        <v>0</v>
      </c>
      <c r="V87" s="123">
        <f>SUM('Hai Tang:Main Kichen'!V65)</f>
        <v>0</v>
      </c>
      <c r="W87" s="123">
        <f>SUM('Hai Tang:Main Kichen'!W65)</f>
        <v>0</v>
      </c>
      <c r="X87" s="123">
        <f>SUM('Hai Tang:Main Kichen'!X65)</f>
        <v>0</v>
      </c>
      <c r="Y87" s="123">
        <f>SUM('Hai Tang:Main Kichen'!Y65)</f>
        <v>0</v>
      </c>
      <c r="Z87" s="123">
        <f>SUM('Hai Tang:Main Kichen'!Z65)</f>
        <v>0</v>
      </c>
      <c r="AA87" s="123">
        <f>SUM('Hai Tang:Main Kichen'!AA65)</f>
        <v>0</v>
      </c>
      <c r="AB87" s="123">
        <f>SUM('Hai Tang:Main Kichen'!AB65)</f>
        <v>0</v>
      </c>
      <c r="AC87" s="133">
        <f t="shared" si="22"/>
        <v>0</v>
      </c>
      <c r="AD87" s="123">
        <f t="shared" si="23"/>
        <v>0</v>
      </c>
      <c r="AE87" s="196" t="e">
        <f t="shared" si="12"/>
        <v>#DIV/0!</v>
      </c>
      <c r="AF87" s="133">
        <v>0</v>
      </c>
      <c r="AG87" s="124">
        <f t="shared" si="16"/>
        <v>0</v>
      </c>
      <c r="AH87" s="124"/>
      <c r="AI87" s="124"/>
      <c r="AJ87" s="124"/>
      <c r="AL87" s="124"/>
    </row>
    <row r="88" spans="1:38">
      <c r="A88" s="105" t="s">
        <v>452</v>
      </c>
      <c r="B88" s="105" t="s">
        <v>407</v>
      </c>
      <c r="C88" s="105" t="s">
        <v>453</v>
      </c>
      <c r="D88" s="123">
        <f>SUM('Hai Tang:Main Kichen'!D66)</f>
        <v>0</v>
      </c>
      <c r="E88" s="123">
        <f>SUM('Hai Tang:Main Kichen'!E66)</f>
        <v>0</v>
      </c>
      <c r="F88" s="123">
        <f>SUM('Hai Tang:Main Kichen'!F66)</f>
        <v>0</v>
      </c>
      <c r="G88" s="123">
        <f>SUM('Hai Tang:Main Kichen'!G66)</f>
        <v>0</v>
      </c>
      <c r="H88" s="123">
        <f>SUM('Hai Tang:Main Kichen'!H66)</f>
        <v>0</v>
      </c>
      <c r="I88" s="123">
        <f>SUM('Hai Tang:Main Kichen'!I66)</f>
        <v>0</v>
      </c>
      <c r="J88" s="123">
        <f>SUM('Hai Tang:Main Kichen'!J66)</f>
        <v>0</v>
      </c>
      <c r="K88" s="123">
        <f>SUM('Hai Tang:Main Kichen'!K66)</f>
        <v>0</v>
      </c>
      <c r="L88" s="123">
        <f>SUM('Hai Tang:Main Kichen'!L66)</f>
        <v>0</v>
      </c>
      <c r="M88" s="123">
        <f>SUM('Hai Tang:Main Kichen'!M66)</f>
        <v>0</v>
      </c>
      <c r="N88" s="123">
        <f>SUM('Hai Tang:Main Kichen'!N66)</f>
        <v>0</v>
      </c>
      <c r="O88" s="123">
        <f>SUM('Hai Tang:Main Kichen'!O66)</f>
        <v>0</v>
      </c>
      <c r="P88" s="133">
        <f t="shared" si="21"/>
        <v>0</v>
      </c>
      <c r="Q88" s="123">
        <f>SUM('Hai Tang:Main Kichen'!Q66)</f>
        <v>0</v>
      </c>
      <c r="R88" s="123">
        <f>SUM('Hai Tang:Main Kichen'!R66)</f>
        <v>0</v>
      </c>
      <c r="S88" s="123">
        <f>SUM('Hai Tang:Main Kichen'!S66)</f>
        <v>0</v>
      </c>
      <c r="T88" s="123">
        <f>SUM('Hai Tang:Main Kichen'!T66)</f>
        <v>0</v>
      </c>
      <c r="U88" s="123">
        <f>SUM('Hai Tang:Main Kichen'!U66)</f>
        <v>0</v>
      </c>
      <c r="V88" s="123">
        <f>SUM('Hai Tang:Main Kichen'!V66)</f>
        <v>0</v>
      </c>
      <c r="W88" s="123">
        <f>SUM('Hai Tang:Main Kichen'!W66)</f>
        <v>0</v>
      </c>
      <c r="X88" s="123">
        <f>SUM('Hai Tang:Main Kichen'!X66)</f>
        <v>0</v>
      </c>
      <c r="Y88" s="123">
        <f>SUM('Hai Tang:Main Kichen'!Y66)</f>
        <v>0</v>
      </c>
      <c r="Z88" s="123">
        <f>SUM('Hai Tang:Main Kichen'!Z66)</f>
        <v>0</v>
      </c>
      <c r="AA88" s="123">
        <f>SUM('Hai Tang:Main Kichen'!AA66)</f>
        <v>0</v>
      </c>
      <c r="AB88" s="123">
        <f>SUM('Hai Tang:Main Kichen'!AB66)</f>
        <v>0</v>
      </c>
      <c r="AC88" s="133">
        <f t="shared" si="22"/>
        <v>0</v>
      </c>
      <c r="AD88" s="123">
        <f t="shared" si="23"/>
        <v>0</v>
      </c>
      <c r="AE88" s="196" t="e">
        <f t="shared" si="12"/>
        <v>#DIV/0!</v>
      </c>
      <c r="AF88" s="133">
        <v>0</v>
      </c>
      <c r="AG88" s="124">
        <f t="shared" si="16"/>
        <v>0</v>
      </c>
      <c r="AH88" s="124"/>
      <c r="AI88" s="124"/>
      <c r="AJ88" s="124"/>
      <c r="AL88" s="124"/>
    </row>
    <row r="89" spans="1:38">
      <c r="A89" s="105" t="s">
        <v>454</v>
      </c>
      <c r="B89" s="105" t="s">
        <v>407</v>
      </c>
      <c r="C89" s="105" t="s">
        <v>455</v>
      </c>
      <c r="D89" s="123">
        <f>SUM('Hai Tang:Main Kichen'!D67)</f>
        <v>13800</v>
      </c>
      <c r="E89" s="123">
        <f>SUM('Hai Tang:Main Kichen'!E67)</f>
        <v>13800</v>
      </c>
      <c r="F89" s="123">
        <f>SUM('Hai Tang:Main Kichen'!F67)</f>
        <v>13800</v>
      </c>
      <c r="G89" s="123">
        <f>SUM('Hai Tang:Main Kichen'!G67)</f>
        <v>13800</v>
      </c>
      <c r="H89" s="123">
        <f>SUM('Hai Tang:Main Kichen'!H67)</f>
        <v>13800</v>
      </c>
      <c r="I89" s="123">
        <f>SUM('Hai Tang:Main Kichen'!I67)</f>
        <v>12800</v>
      </c>
      <c r="J89" s="123">
        <f>SUM('Hai Tang:Main Kichen'!J67)</f>
        <v>13800</v>
      </c>
      <c r="K89" s="123">
        <f>SUM('Hai Tang:Main Kichen'!K67)</f>
        <v>13800</v>
      </c>
      <c r="L89" s="123">
        <f>SUM('Hai Tang:Main Kichen'!L67)</f>
        <v>11800</v>
      </c>
      <c r="M89" s="123">
        <f>SUM('Hai Tang:Main Kichen'!M67)</f>
        <v>13800</v>
      </c>
      <c r="N89" s="123">
        <f>SUM('Hai Tang:Main Kichen'!N67)</f>
        <v>13800</v>
      </c>
      <c r="O89" s="123">
        <f>SUM('Hai Tang:Main Kichen'!O67)</f>
        <v>13800</v>
      </c>
      <c r="P89" s="133">
        <f t="shared" si="21"/>
        <v>162600</v>
      </c>
      <c r="Q89" s="123">
        <f>SUM('Hai Tang:Main Kichen'!Q67)</f>
        <v>11780</v>
      </c>
      <c r="R89" s="123">
        <f>SUM('Hai Tang:Main Kichen'!R67)</f>
        <v>12760</v>
      </c>
      <c r="S89" s="123">
        <f>SUM('Hai Tang:Main Kichen'!S67)</f>
        <v>11780</v>
      </c>
      <c r="T89" s="123">
        <f>SUM('Hai Tang:Main Kichen'!T67)</f>
        <v>11400</v>
      </c>
      <c r="U89" s="123">
        <f>SUM('Hai Tang:Main Kichen'!U67)</f>
        <v>13640</v>
      </c>
      <c r="V89" s="123">
        <f>SUM('Hai Tang:Main Kichen'!V67)</f>
        <v>13200</v>
      </c>
      <c r="W89" s="123">
        <f>SUM('Hai Tang:Main Kichen'!W67)</f>
        <v>13370</v>
      </c>
      <c r="X89" s="123">
        <f>SUM('Hai Tang:Main Kichen'!X67)</f>
        <v>13370</v>
      </c>
      <c r="Y89" s="123">
        <f>SUM('Hai Tang:Main Kichen'!Y67)</f>
        <v>12500</v>
      </c>
      <c r="Z89" s="123">
        <f>SUM('Hai Tang:Main Kichen'!Z67)</f>
        <v>12500</v>
      </c>
      <c r="AA89" s="123">
        <f>SUM('Hai Tang:Main Kichen'!AA67)</f>
        <v>12500</v>
      </c>
      <c r="AB89" s="123">
        <f>SUM('Hai Tang:Main Kichen'!AB67)</f>
        <v>12500</v>
      </c>
      <c r="AC89" s="133">
        <f t="shared" si="22"/>
        <v>151300</v>
      </c>
      <c r="AD89" s="123">
        <f t="shared" si="23"/>
        <v>11300</v>
      </c>
      <c r="AE89" s="196">
        <f t="shared" si="12"/>
        <v>7.4686054196959686E-2</v>
      </c>
      <c r="AF89" s="133">
        <v>81490</v>
      </c>
      <c r="AG89" s="124">
        <f t="shared" si="16"/>
        <v>-81110</v>
      </c>
      <c r="AH89" s="124"/>
      <c r="AI89" s="124"/>
      <c r="AJ89" s="124"/>
      <c r="AL89" s="124"/>
    </row>
    <row r="90" spans="1:38">
      <c r="A90" s="105" t="s">
        <v>456</v>
      </c>
      <c r="B90" s="105" t="s">
        <v>407</v>
      </c>
      <c r="C90" s="105" t="s">
        <v>457</v>
      </c>
      <c r="D90" s="123">
        <f>SUM('Hai Tang:Main Kichen'!D68)</f>
        <v>0</v>
      </c>
      <c r="E90" s="123">
        <f>SUM('Hai Tang:Main Kichen'!E68)</f>
        <v>0</v>
      </c>
      <c r="F90" s="123">
        <f>SUM('Hai Tang:Main Kichen'!F68)</f>
        <v>0</v>
      </c>
      <c r="G90" s="123">
        <f>SUM('Hai Tang:Main Kichen'!G68)</f>
        <v>0</v>
      </c>
      <c r="H90" s="123">
        <f>SUM('Hai Tang:Main Kichen'!H68)</f>
        <v>0</v>
      </c>
      <c r="I90" s="123">
        <f>SUM('Hai Tang:Main Kichen'!I68)</f>
        <v>0</v>
      </c>
      <c r="J90" s="123">
        <f>SUM('Hai Tang:Main Kichen'!J68)</f>
        <v>0</v>
      </c>
      <c r="K90" s="123">
        <f>SUM('Hai Tang:Main Kichen'!K68)</f>
        <v>0</v>
      </c>
      <c r="L90" s="123">
        <f>SUM('Hai Tang:Main Kichen'!L68)</f>
        <v>0</v>
      </c>
      <c r="M90" s="123">
        <f>SUM('Hai Tang:Main Kichen'!M68)</f>
        <v>0</v>
      </c>
      <c r="N90" s="123">
        <f>SUM('Hai Tang:Main Kichen'!N68)</f>
        <v>0</v>
      </c>
      <c r="O90" s="123">
        <f>SUM('Hai Tang:Main Kichen'!O68)</f>
        <v>0</v>
      </c>
      <c r="P90" s="133">
        <f t="shared" si="21"/>
        <v>0</v>
      </c>
      <c r="Q90" s="123">
        <f>SUM('Hai Tang:Main Kichen'!Q68)</f>
        <v>0</v>
      </c>
      <c r="R90" s="123">
        <f>SUM('Hai Tang:Main Kichen'!R68)</f>
        <v>0</v>
      </c>
      <c r="S90" s="123">
        <f>SUM('Hai Tang:Main Kichen'!S68)</f>
        <v>0</v>
      </c>
      <c r="T90" s="123">
        <f>SUM('Hai Tang:Main Kichen'!T68)</f>
        <v>0</v>
      </c>
      <c r="U90" s="123">
        <f>SUM('Hai Tang:Main Kichen'!U68)</f>
        <v>0</v>
      </c>
      <c r="V90" s="123">
        <f>SUM('Hai Tang:Main Kichen'!V68)</f>
        <v>0</v>
      </c>
      <c r="W90" s="123">
        <f>SUM('Hai Tang:Main Kichen'!W68)</f>
        <v>0</v>
      </c>
      <c r="X90" s="123">
        <f>SUM('Hai Tang:Main Kichen'!X68)</f>
        <v>0</v>
      </c>
      <c r="Y90" s="123">
        <f>SUM('Hai Tang:Main Kichen'!Y68)</f>
        <v>0</v>
      </c>
      <c r="Z90" s="123">
        <f>SUM('Hai Tang:Main Kichen'!Z68)</f>
        <v>0</v>
      </c>
      <c r="AA90" s="123">
        <f>SUM('Hai Tang:Main Kichen'!AA68)</f>
        <v>0</v>
      </c>
      <c r="AB90" s="123">
        <f>SUM('Hai Tang:Main Kichen'!AB68)</f>
        <v>0</v>
      </c>
      <c r="AC90" s="133">
        <f t="shared" si="22"/>
        <v>0</v>
      </c>
      <c r="AD90" s="123">
        <f t="shared" si="23"/>
        <v>0</v>
      </c>
      <c r="AE90" s="196" t="e">
        <f t="shared" si="12"/>
        <v>#DIV/0!</v>
      </c>
      <c r="AF90" s="133">
        <v>0</v>
      </c>
      <c r="AG90" s="124">
        <f t="shared" si="16"/>
        <v>0</v>
      </c>
      <c r="AH90" s="124"/>
      <c r="AI90" s="124"/>
      <c r="AJ90" s="124"/>
      <c r="AL90" s="124"/>
    </row>
    <row r="91" spans="1:38">
      <c r="A91" s="105" t="s">
        <v>273</v>
      </c>
      <c r="C91" s="105" t="s">
        <v>458</v>
      </c>
      <c r="D91" s="123">
        <f>SUM('Hai Tang:Main Kichen'!D69)</f>
        <v>0</v>
      </c>
      <c r="E91" s="123">
        <f>SUM('Hai Tang:Main Kichen'!E69)</f>
        <v>0</v>
      </c>
      <c r="F91" s="123">
        <f>SUM('Hai Tang:Main Kichen'!F69)</f>
        <v>0</v>
      </c>
      <c r="G91" s="123">
        <f>SUM('Hai Tang:Main Kichen'!G69)</f>
        <v>0</v>
      </c>
      <c r="H91" s="123">
        <f>SUM('Hai Tang:Main Kichen'!H69)</f>
        <v>0</v>
      </c>
      <c r="I91" s="123">
        <f>SUM('Hai Tang:Main Kichen'!I69)</f>
        <v>0</v>
      </c>
      <c r="J91" s="123">
        <f>SUM('Hai Tang:Main Kichen'!J69)</f>
        <v>0</v>
      </c>
      <c r="K91" s="123">
        <f>SUM('Hai Tang:Main Kichen'!K69)</f>
        <v>0</v>
      </c>
      <c r="L91" s="123">
        <f>SUM('Hai Tang:Main Kichen'!L69)</f>
        <v>0</v>
      </c>
      <c r="M91" s="123">
        <f>SUM('Hai Tang:Main Kichen'!M69)</f>
        <v>0</v>
      </c>
      <c r="N91" s="123">
        <f>SUM('Hai Tang:Main Kichen'!N69)</f>
        <v>0</v>
      </c>
      <c r="O91" s="123">
        <f>SUM('Hai Tang:Main Kichen'!O69)</f>
        <v>0</v>
      </c>
      <c r="P91" s="133">
        <f t="shared" si="21"/>
        <v>0</v>
      </c>
      <c r="Q91" s="123">
        <f>SUM('Hai Tang:Main Kichen'!Q69)</f>
        <v>0</v>
      </c>
      <c r="R91" s="123">
        <f>SUM('Hai Tang:Main Kichen'!R69)</f>
        <v>0</v>
      </c>
      <c r="S91" s="123">
        <f>SUM('Hai Tang:Main Kichen'!S69)</f>
        <v>0</v>
      </c>
      <c r="T91" s="123">
        <f>SUM('Hai Tang:Main Kichen'!T69)</f>
        <v>0</v>
      </c>
      <c r="U91" s="123">
        <f>SUM('Hai Tang:Main Kichen'!U69)</f>
        <v>0</v>
      </c>
      <c r="V91" s="123">
        <f>SUM('Hai Tang:Main Kichen'!V69)</f>
        <v>0</v>
      </c>
      <c r="W91" s="123">
        <f>SUM('Hai Tang:Main Kichen'!W69)</f>
        <v>0</v>
      </c>
      <c r="X91" s="123">
        <f>SUM('Hai Tang:Main Kichen'!X69)</f>
        <v>0</v>
      </c>
      <c r="Y91" s="123">
        <f>SUM('Hai Tang:Main Kichen'!Y69)</f>
        <v>0</v>
      </c>
      <c r="Z91" s="123">
        <f>SUM('Hai Tang:Main Kichen'!Z69)</f>
        <v>0</v>
      </c>
      <c r="AA91" s="123">
        <f>SUM('Hai Tang:Main Kichen'!AA69)</f>
        <v>0</v>
      </c>
      <c r="AB91" s="123">
        <f>SUM('Hai Tang:Main Kichen'!AB69)</f>
        <v>0</v>
      </c>
      <c r="AC91" s="133">
        <f t="shared" si="22"/>
        <v>0</v>
      </c>
      <c r="AD91" s="123">
        <f t="shared" si="23"/>
        <v>0</v>
      </c>
      <c r="AE91" s="196" t="e">
        <f t="shared" si="12"/>
        <v>#DIV/0!</v>
      </c>
      <c r="AF91" s="133">
        <v>0</v>
      </c>
      <c r="AG91" s="124">
        <f t="shared" si="16"/>
        <v>0</v>
      </c>
      <c r="AH91" s="124"/>
      <c r="AI91" s="124"/>
      <c r="AJ91" s="124"/>
      <c r="AL91" s="124"/>
    </row>
    <row r="92" spans="1:38">
      <c r="A92" s="105" t="s">
        <v>209</v>
      </c>
      <c r="B92" s="105" t="s">
        <v>407</v>
      </c>
      <c r="C92" s="105" t="s">
        <v>210</v>
      </c>
      <c r="D92" s="123">
        <f>SUM('Hai Tang:Main Kichen'!D70)</f>
        <v>200</v>
      </c>
      <c r="E92" s="123">
        <f>SUM('Hai Tang:Main Kichen'!E70)</f>
        <v>200</v>
      </c>
      <c r="F92" s="123">
        <f>SUM('Hai Tang:Main Kichen'!F70)</f>
        <v>200</v>
      </c>
      <c r="G92" s="123">
        <f>SUM('Hai Tang:Main Kichen'!G70)</f>
        <v>200</v>
      </c>
      <c r="H92" s="123">
        <f>SUM('Hai Tang:Main Kichen'!H70)</f>
        <v>200</v>
      </c>
      <c r="I92" s="123">
        <f>SUM('Hai Tang:Main Kichen'!I70)</f>
        <v>200</v>
      </c>
      <c r="J92" s="123">
        <f>SUM('Hai Tang:Main Kichen'!J70)</f>
        <v>200</v>
      </c>
      <c r="K92" s="123">
        <f>SUM('Hai Tang:Main Kichen'!K70)</f>
        <v>200</v>
      </c>
      <c r="L92" s="123">
        <f>SUM('Hai Tang:Main Kichen'!L70)</f>
        <v>200</v>
      </c>
      <c r="M92" s="123">
        <f>SUM('Hai Tang:Main Kichen'!M70)</f>
        <v>48200</v>
      </c>
      <c r="N92" s="123">
        <f>SUM('Hai Tang:Main Kichen'!N70)</f>
        <v>200</v>
      </c>
      <c r="O92" s="123">
        <f>SUM('Hai Tang:Main Kichen'!O70)</f>
        <v>200</v>
      </c>
      <c r="P92" s="133">
        <f t="shared" si="21"/>
        <v>50400</v>
      </c>
      <c r="Q92" s="123">
        <f>SUM('Hai Tang:Main Kichen'!Q70)</f>
        <v>0</v>
      </c>
      <c r="R92" s="123">
        <f>SUM('Hai Tang:Main Kichen'!R70)</f>
        <v>0</v>
      </c>
      <c r="S92" s="123">
        <f>SUM('Hai Tang:Main Kichen'!S70)</f>
        <v>81.13</v>
      </c>
      <c r="T92" s="123">
        <f>SUM('Hai Tang:Main Kichen'!T70)</f>
        <v>58.03</v>
      </c>
      <c r="U92" s="123">
        <f>SUM('Hai Tang:Main Kichen'!U70)</f>
        <v>0</v>
      </c>
      <c r="V92" s="123">
        <f>SUM('Hai Tang:Main Kichen'!V70)</f>
        <v>28.3</v>
      </c>
      <c r="W92" s="123">
        <f>SUM('Hai Tang:Main Kichen'!W70)</f>
        <v>0</v>
      </c>
      <c r="X92" s="123">
        <f>SUM('Hai Tang:Main Kichen'!X70)</f>
        <v>0</v>
      </c>
      <c r="Y92" s="123">
        <f>SUM('Hai Tang:Main Kichen'!Y70)</f>
        <v>50200</v>
      </c>
      <c r="Z92" s="123">
        <f>SUM('Hai Tang:Main Kichen'!Z70)</f>
        <v>200</v>
      </c>
      <c r="AA92" s="123">
        <f>SUM('Hai Tang:Main Kichen'!AA70)</f>
        <v>200</v>
      </c>
      <c r="AB92" s="123">
        <f>SUM('Hai Tang:Main Kichen'!AB70)</f>
        <v>200</v>
      </c>
      <c r="AC92" s="133">
        <f t="shared" si="22"/>
        <v>50967.46</v>
      </c>
      <c r="AD92" s="123">
        <f t="shared" si="23"/>
        <v>-567.45999999999913</v>
      </c>
      <c r="AE92" s="196">
        <f t="shared" si="12"/>
        <v>-1.1133770448831452E-2</v>
      </c>
      <c r="AF92" s="133">
        <v>545.46999999999991</v>
      </c>
      <c r="AG92" s="124">
        <f t="shared" si="16"/>
        <v>-49854.53</v>
      </c>
      <c r="AH92" s="124"/>
      <c r="AI92" s="124"/>
      <c r="AJ92" s="124"/>
      <c r="AL92" s="124"/>
    </row>
    <row r="93" spans="1:38">
      <c r="A93" s="105" t="s">
        <v>211</v>
      </c>
      <c r="B93" s="105" t="s">
        <v>407</v>
      </c>
      <c r="C93" s="105" t="s">
        <v>212</v>
      </c>
      <c r="D93" s="123">
        <f>SUM('Hai Tang:Main Kichen'!D71)</f>
        <v>11613</v>
      </c>
      <c r="E93" s="123">
        <f>SUM('Hai Tang:Main Kichen'!E71)</f>
        <v>11613</v>
      </c>
      <c r="F93" s="123">
        <f>SUM('Hai Tang:Main Kichen'!F71)</f>
        <v>10713</v>
      </c>
      <c r="G93" s="123">
        <f>SUM('Hai Tang:Main Kichen'!G71)</f>
        <v>10713</v>
      </c>
      <c r="H93" s="123">
        <f>SUM('Hai Tang:Main Kichen'!H71)</f>
        <v>10713</v>
      </c>
      <c r="I93" s="123">
        <f>SUM('Hai Tang:Main Kichen'!I71)</f>
        <v>8713</v>
      </c>
      <c r="J93" s="123">
        <f>SUM('Hai Tang:Main Kichen'!J71)</f>
        <v>11013</v>
      </c>
      <c r="K93" s="123">
        <f>SUM('Hai Tang:Main Kichen'!K71)</f>
        <v>11013</v>
      </c>
      <c r="L93" s="123">
        <f>SUM('Hai Tang:Main Kichen'!L71)</f>
        <v>8713</v>
      </c>
      <c r="M93" s="123">
        <f>SUM('Hai Tang:Main Kichen'!M71)</f>
        <v>11313</v>
      </c>
      <c r="N93" s="123">
        <f>SUM('Hai Tang:Main Kichen'!N71)</f>
        <v>10713</v>
      </c>
      <c r="O93" s="123">
        <f>SUM('Hai Tang:Main Kichen'!O71)</f>
        <v>11313</v>
      </c>
      <c r="P93" s="133">
        <f t="shared" si="21"/>
        <v>128156</v>
      </c>
      <c r="Q93" s="123">
        <f>SUM('Hai Tang:Main Kichen'!Q71)</f>
        <v>13196.399999999998</v>
      </c>
      <c r="R93" s="123">
        <f>SUM('Hai Tang:Main Kichen'!R71)</f>
        <v>21103.86</v>
      </c>
      <c r="S93" s="123">
        <f>SUM('Hai Tang:Main Kichen'!S71)</f>
        <v>20789.32</v>
      </c>
      <c r="T93" s="123">
        <f>SUM('Hai Tang:Main Kichen'!T71)</f>
        <v>11166.59</v>
      </c>
      <c r="U93" s="123">
        <f>SUM('Hai Tang:Main Kichen'!U71)</f>
        <v>10647.71</v>
      </c>
      <c r="V93" s="123">
        <f>SUM('Hai Tang:Main Kichen'!V71)</f>
        <v>9526.4699999999993</v>
      </c>
      <c r="W93" s="123">
        <f>SUM('Hai Tang:Main Kichen'!W71)</f>
        <v>10719.42</v>
      </c>
      <c r="X93" s="123">
        <f>SUM('Hai Tang:Main Kichen'!X71)</f>
        <v>7212.59</v>
      </c>
      <c r="Y93" s="123">
        <f>SUM('Hai Tang:Main Kichen'!Y71)</f>
        <v>7400</v>
      </c>
      <c r="Z93" s="123">
        <f>SUM('Hai Tang:Main Kichen'!Z71)</f>
        <v>5400</v>
      </c>
      <c r="AA93" s="123">
        <f>SUM('Hai Tang:Main Kichen'!AA71)</f>
        <v>4800</v>
      </c>
      <c r="AB93" s="123">
        <f>SUM('Hai Tang:Main Kichen'!AB71)</f>
        <v>5400</v>
      </c>
      <c r="AC93" s="133">
        <f t="shared" si="22"/>
        <v>127362.36</v>
      </c>
      <c r="AD93" s="123">
        <f t="shared" si="23"/>
        <v>793.63999999999942</v>
      </c>
      <c r="AE93" s="196">
        <f t="shared" si="12"/>
        <v>6.2313543813101403E-3</v>
      </c>
      <c r="AF93" s="133">
        <v>93904.680000000008</v>
      </c>
      <c r="AG93" s="124">
        <f t="shared" si="16"/>
        <v>-34251.319999999992</v>
      </c>
      <c r="AH93" s="124"/>
      <c r="AI93" s="124"/>
      <c r="AJ93" s="124"/>
      <c r="AL93" s="124"/>
    </row>
    <row r="94" spans="1:38">
      <c r="A94" s="105" t="s">
        <v>213</v>
      </c>
      <c r="B94" s="105" t="s">
        <v>407</v>
      </c>
      <c r="C94" s="105" t="s">
        <v>214</v>
      </c>
      <c r="D94" s="123">
        <f>SUM('Hai Tang:Main Kichen'!D72)</f>
        <v>28345</v>
      </c>
      <c r="E94" s="123">
        <f>SUM('Hai Tang:Main Kichen'!E72)</f>
        <v>25840</v>
      </c>
      <c r="F94" s="123">
        <f>SUM('Hai Tang:Main Kichen'!F72)</f>
        <v>26135</v>
      </c>
      <c r="G94" s="123">
        <f>SUM('Hai Tang:Main Kichen'!G72)</f>
        <v>26856</v>
      </c>
      <c r="H94" s="123">
        <f>SUM('Hai Tang:Main Kichen'!H72)</f>
        <v>27611</v>
      </c>
      <c r="I94" s="123">
        <f>SUM('Hai Tang:Main Kichen'!I72)</f>
        <v>26384</v>
      </c>
      <c r="J94" s="123">
        <f>SUM('Hai Tang:Main Kichen'!J72)</f>
        <v>28133</v>
      </c>
      <c r="K94" s="123">
        <f>SUM('Hai Tang:Main Kichen'!K72)</f>
        <v>27998</v>
      </c>
      <c r="L94" s="123">
        <f>SUM('Hai Tang:Main Kichen'!L72)</f>
        <v>27025</v>
      </c>
      <c r="M94" s="123">
        <f>SUM('Hai Tang:Main Kichen'!M72)</f>
        <v>30750</v>
      </c>
      <c r="N94" s="123">
        <f>SUM('Hai Tang:Main Kichen'!N72)</f>
        <v>27161</v>
      </c>
      <c r="O94" s="123">
        <f>SUM('Hai Tang:Main Kichen'!O72)</f>
        <v>27029</v>
      </c>
      <c r="P94" s="133">
        <f t="shared" si="21"/>
        <v>329267</v>
      </c>
      <c r="Q94" s="123">
        <f>SUM('Hai Tang:Main Kichen'!Q72)</f>
        <v>36980.49</v>
      </c>
      <c r="R94" s="123">
        <f>SUM('Hai Tang:Main Kichen'!R72)</f>
        <v>47725.02</v>
      </c>
      <c r="S94" s="123">
        <f>SUM('Hai Tang:Main Kichen'!S72)</f>
        <v>28050.930000000004</v>
      </c>
      <c r="T94" s="123">
        <f>SUM('Hai Tang:Main Kichen'!T72)</f>
        <v>26294.289999999997</v>
      </c>
      <c r="U94" s="123">
        <f>SUM('Hai Tang:Main Kichen'!U72)</f>
        <v>8948.81</v>
      </c>
      <c r="V94" s="123">
        <f>SUM('Hai Tang:Main Kichen'!V72)</f>
        <v>26009.77</v>
      </c>
      <c r="W94" s="123">
        <f>SUM('Hai Tang:Main Kichen'!W72)</f>
        <v>28607.439999999999</v>
      </c>
      <c r="X94" s="123">
        <f>SUM('Hai Tang:Main Kichen'!X72)</f>
        <v>24860.09</v>
      </c>
      <c r="Y94" s="123">
        <f>SUM('Hai Tang:Main Kichen'!Y72)</f>
        <v>26027</v>
      </c>
      <c r="Z94" s="123">
        <f>SUM('Hai Tang:Main Kichen'!Z72)</f>
        <v>29114</v>
      </c>
      <c r="AA94" s="123">
        <f>SUM('Hai Tang:Main Kichen'!AA72)</f>
        <v>24464</v>
      </c>
      <c r="AB94" s="123">
        <f>SUM('Hai Tang:Main Kichen'!AB72)</f>
        <v>25014</v>
      </c>
      <c r="AC94" s="133">
        <f t="shared" si="22"/>
        <v>332095.83999999997</v>
      </c>
      <c r="AD94" s="123">
        <f t="shared" si="23"/>
        <v>-2828.8399999999674</v>
      </c>
      <c r="AE94" s="196">
        <f t="shared" si="12"/>
        <v>-8.5181434371474438E-3</v>
      </c>
      <c r="AF94" s="133">
        <v>240133.33000000002</v>
      </c>
      <c r="AG94" s="124">
        <f t="shared" si="16"/>
        <v>-89133.669999999984</v>
      </c>
      <c r="AH94" s="124"/>
      <c r="AI94" s="124"/>
      <c r="AJ94" s="124"/>
      <c r="AL94" s="124"/>
    </row>
    <row r="95" spans="1:38">
      <c r="A95" s="105" t="s">
        <v>306</v>
      </c>
      <c r="B95" s="105" t="s">
        <v>407</v>
      </c>
      <c r="C95" s="105" t="s">
        <v>206</v>
      </c>
      <c r="D95" s="123">
        <f>SUM('Hai Tang:Main Kichen'!D73)</f>
        <v>0</v>
      </c>
      <c r="E95" s="123">
        <f>SUM('Hai Tang:Main Kichen'!E73)</f>
        <v>0</v>
      </c>
      <c r="F95" s="123">
        <f>SUM('Hai Tang:Main Kichen'!F73)</f>
        <v>0</v>
      </c>
      <c r="G95" s="123">
        <f>SUM('Hai Tang:Main Kichen'!G73)</f>
        <v>0</v>
      </c>
      <c r="H95" s="123">
        <f>SUM('Hai Tang:Main Kichen'!H73)</f>
        <v>0</v>
      </c>
      <c r="I95" s="123">
        <f>SUM('Hai Tang:Main Kichen'!I73)</f>
        <v>0</v>
      </c>
      <c r="J95" s="123">
        <f>SUM('Hai Tang:Main Kichen'!J73)</f>
        <v>0</v>
      </c>
      <c r="K95" s="123">
        <f>SUM('Hai Tang:Main Kichen'!K73)</f>
        <v>0</v>
      </c>
      <c r="L95" s="123">
        <f>SUM('Hai Tang:Main Kichen'!L73)</f>
        <v>0</v>
      </c>
      <c r="M95" s="123">
        <f>SUM('Hai Tang:Main Kichen'!M73)</f>
        <v>0</v>
      </c>
      <c r="N95" s="123">
        <f>SUM('Hai Tang:Main Kichen'!N73)</f>
        <v>30000</v>
      </c>
      <c r="O95" s="123">
        <f>SUM('Hai Tang:Main Kichen'!O73)</f>
        <v>0</v>
      </c>
      <c r="P95" s="133">
        <f t="shared" si="21"/>
        <v>30000</v>
      </c>
      <c r="Q95" s="123">
        <f>SUM('Hai Tang:Main Kichen'!Q73)</f>
        <v>0</v>
      </c>
      <c r="R95" s="123">
        <f>SUM('Hai Tang:Main Kichen'!R73)</f>
        <v>0</v>
      </c>
      <c r="S95" s="123">
        <f>SUM('Hai Tang:Main Kichen'!S73)</f>
        <v>0</v>
      </c>
      <c r="T95" s="123">
        <f>SUM('Hai Tang:Main Kichen'!T73)</f>
        <v>0</v>
      </c>
      <c r="U95" s="123">
        <f>SUM('Hai Tang:Main Kichen'!U73)</f>
        <v>0</v>
      </c>
      <c r="V95" s="123">
        <f>SUM('Hai Tang:Main Kichen'!V73)</f>
        <v>0</v>
      </c>
      <c r="W95" s="123">
        <f>SUM('Hai Tang:Main Kichen'!W73)</f>
        <v>0</v>
      </c>
      <c r="X95" s="123">
        <f>SUM('Hai Tang:Main Kichen'!X73)</f>
        <v>0</v>
      </c>
      <c r="Y95" s="123">
        <f>SUM('Hai Tang:Main Kichen'!Y73)</f>
        <v>0</v>
      </c>
      <c r="Z95" s="123">
        <f>SUM('Hai Tang:Main Kichen'!Z73)</f>
        <v>0</v>
      </c>
      <c r="AA95" s="123">
        <f>SUM('Hai Tang:Main Kichen'!AA73)</f>
        <v>30000</v>
      </c>
      <c r="AB95" s="123">
        <f>SUM('Hai Tang:Main Kichen'!AB73)</f>
        <v>0</v>
      </c>
      <c r="AC95" s="133">
        <f t="shared" si="22"/>
        <v>30000</v>
      </c>
      <c r="AD95" s="123">
        <f t="shared" si="23"/>
        <v>0</v>
      </c>
      <c r="AE95" s="196">
        <f t="shared" si="12"/>
        <v>0</v>
      </c>
      <c r="AF95" s="133">
        <v>3806.7799999999997</v>
      </c>
      <c r="AG95" s="124">
        <f t="shared" si="16"/>
        <v>-26193.22</v>
      </c>
      <c r="AH95" s="124"/>
      <c r="AI95" s="124"/>
      <c r="AJ95" s="124"/>
      <c r="AL95" s="124"/>
    </row>
    <row r="96" spans="1:38">
      <c r="A96" s="105" t="s">
        <v>215</v>
      </c>
      <c r="B96" s="105" t="s">
        <v>407</v>
      </c>
      <c r="C96" s="105" t="s">
        <v>216</v>
      </c>
      <c r="D96" s="123">
        <f>SUM('Hai Tang:Main Kichen'!D74)</f>
        <v>1694</v>
      </c>
      <c r="E96" s="123">
        <f>SUM('Hai Tang:Main Kichen'!E74)</f>
        <v>1693</v>
      </c>
      <c r="F96" s="123">
        <f>SUM('Hai Tang:Main Kichen'!F74)</f>
        <v>1694</v>
      </c>
      <c r="G96" s="123">
        <f>SUM('Hai Tang:Main Kichen'!G74)</f>
        <v>1694</v>
      </c>
      <c r="H96" s="123">
        <f>SUM('Hai Tang:Main Kichen'!H74)</f>
        <v>1694</v>
      </c>
      <c r="I96" s="123">
        <f>SUM('Hai Tang:Main Kichen'!I74)</f>
        <v>1694</v>
      </c>
      <c r="J96" s="123">
        <f>SUM('Hai Tang:Main Kichen'!J74)</f>
        <v>1694</v>
      </c>
      <c r="K96" s="123">
        <f>SUM('Hai Tang:Main Kichen'!K74)</f>
        <v>1688</v>
      </c>
      <c r="L96" s="123">
        <f>SUM('Hai Tang:Main Kichen'!L74)</f>
        <v>1688</v>
      </c>
      <c r="M96" s="123">
        <f>SUM('Hai Tang:Main Kichen'!M74)</f>
        <v>1688</v>
      </c>
      <c r="N96" s="123">
        <f>SUM('Hai Tang:Main Kichen'!N74)</f>
        <v>1688</v>
      </c>
      <c r="O96" s="123">
        <f>SUM('Hai Tang:Main Kichen'!O74)</f>
        <v>1688</v>
      </c>
      <c r="P96" s="133">
        <f t="shared" si="21"/>
        <v>20297</v>
      </c>
      <c r="Q96" s="123">
        <f>SUM('Hai Tang:Main Kichen'!Q74)</f>
        <v>2801.1400000000003</v>
      </c>
      <c r="R96" s="123">
        <f>SUM('Hai Tang:Main Kichen'!R74)</f>
        <v>2489.6800000000003</v>
      </c>
      <c r="S96" s="123">
        <f>SUM('Hai Tang:Main Kichen'!S74)</f>
        <v>3066.69</v>
      </c>
      <c r="T96" s="123">
        <f>SUM('Hai Tang:Main Kichen'!T74)</f>
        <v>2054.58</v>
      </c>
      <c r="U96" s="123">
        <f>SUM('Hai Tang:Main Kichen'!U74)</f>
        <v>2590.17</v>
      </c>
      <c r="V96" s="123">
        <f>SUM('Hai Tang:Main Kichen'!V74)</f>
        <v>2428.1000000000004</v>
      </c>
      <c r="W96" s="123">
        <f>SUM('Hai Tang:Main Kichen'!W74)</f>
        <v>2150.6499999999996</v>
      </c>
      <c r="X96" s="123">
        <f>SUM('Hai Tang:Main Kichen'!X74)</f>
        <v>2426.4300000000003</v>
      </c>
      <c r="Y96" s="123">
        <f>SUM('Hai Tang:Main Kichen'!Y74)</f>
        <v>2870</v>
      </c>
      <c r="Z96" s="123">
        <f>SUM('Hai Tang:Main Kichen'!Z74)</f>
        <v>2870</v>
      </c>
      <c r="AA96" s="123">
        <f>SUM('Hai Tang:Main Kichen'!AA74)</f>
        <v>2870</v>
      </c>
      <c r="AB96" s="123">
        <f>SUM('Hai Tang:Main Kichen'!AB74)</f>
        <v>2870</v>
      </c>
      <c r="AC96" s="133">
        <f t="shared" si="22"/>
        <v>31487.440000000002</v>
      </c>
      <c r="AD96" s="123">
        <f t="shared" si="23"/>
        <v>-11190.440000000002</v>
      </c>
      <c r="AE96" s="196">
        <f t="shared" si="12"/>
        <v>-0.35539376970627023</v>
      </c>
      <c r="AF96" s="133">
        <v>32239.190000000002</v>
      </c>
      <c r="AG96" s="124">
        <f t="shared" si="16"/>
        <v>11942.190000000002</v>
      </c>
      <c r="AH96" s="124"/>
      <c r="AI96" s="124"/>
      <c r="AJ96" s="124"/>
      <c r="AL96" s="124"/>
    </row>
    <row r="97" spans="1:38">
      <c r="A97" s="105" t="s">
        <v>217</v>
      </c>
      <c r="B97" s="105" t="s">
        <v>407</v>
      </c>
      <c r="C97" s="105" t="s">
        <v>218</v>
      </c>
      <c r="D97" s="123">
        <f>SUM('Hai Tang:Main Kichen'!D75)</f>
        <v>4000</v>
      </c>
      <c r="E97" s="123">
        <f>SUM('Hai Tang:Main Kichen'!E75)</f>
        <v>4200</v>
      </c>
      <c r="F97" s="123">
        <f>SUM('Hai Tang:Main Kichen'!F75)</f>
        <v>4000</v>
      </c>
      <c r="G97" s="123">
        <f>SUM('Hai Tang:Main Kichen'!G75)</f>
        <v>4000</v>
      </c>
      <c r="H97" s="123">
        <f>SUM('Hai Tang:Main Kichen'!H75)</f>
        <v>4000</v>
      </c>
      <c r="I97" s="123">
        <f>SUM('Hai Tang:Main Kichen'!I75)</f>
        <v>4000</v>
      </c>
      <c r="J97" s="123">
        <f>SUM('Hai Tang:Main Kichen'!J75)</f>
        <v>4000</v>
      </c>
      <c r="K97" s="123">
        <f>SUM('Hai Tang:Main Kichen'!K75)</f>
        <v>4100</v>
      </c>
      <c r="L97" s="123">
        <f>SUM('Hai Tang:Main Kichen'!L75)</f>
        <v>4300</v>
      </c>
      <c r="M97" s="123">
        <f>SUM('Hai Tang:Main Kichen'!M75)</f>
        <v>4400</v>
      </c>
      <c r="N97" s="123">
        <f>SUM('Hai Tang:Main Kichen'!N75)</f>
        <v>4400</v>
      </c>
      <c r="O97" s="123">
        <f>SUM('Hai Tang:Main Kichen'!O75)</f>
        <v>4700</v>
      </c>
      <c r="P97" s="133">
        <f t="shared" si="21"/>
        <v>50100</v>
      </c>
      <c r="Q97" s="123">
        <f>SUM('Hai Tang:Main Kichen'!Q75)</f>
        <v>7386.9</v>
      </c>
      <c r="R97" s="123">
        <f>SUM('Hai Tang:Main Kichen'!R75)</f>
        <v>7898.07</v>
      </c>
      <c r="S97" s="123">
        <f>SUM('Hai Tang:Main Kichen'!S75)</f>
        <v>3255.8500000000004</v>
      </c>
      <c r="T97" s="123">
        <f>SUM('Hai Tang:Main Kichen'!T75)</f>
        <v>8366.69</v>
      </c>
      <c r="U97" s="123">
        <f>SUM('Hai Tang:Main Kichen'!U75)</f>
        <v>7647.62</v>
      </c>
      <c r="V97" s="123">
        <f>SUM('Hai Tang:Main Kichen'!V75)</f>
        <v>8886.9</v>
      </c>
      <c r="W97" s="123">
        <f>SUM('Hai Tang:Main Kichen'!W75)</f>
        <v>9000.7099999999991</v>
      </c>
      <c r="X97" s="123">
        <f>SUM('Hai Tang:Main Kichen'!X75)</f>
        <v>7945.59</v>
      </c>
      <c r="Y97" s="123">
        <f>SUM('Hai Tang:Main Kichen'!Y75)</f>
        <v>8880</v>
      </c>
      <c r="Z97" s="123">
        <f>SUM('Hai Tang:Main Kichen'!Z75)</f>
        <v>4980</v>
      </c>
      <c r="AA97" s="123">
        <f>SUM('Hai Tang:Main Kichen'!AA75)</f>
        <v>5030</v>
      </c>
      <c r="AB97" s="123">
        <f>SUM('Hai Tang:Main Kichen'!AB75)</f>
        <v>5380</v>
      </c>
      <c r="AC97" s="133">
        <f t="shared" si="22"/>
        <v>84658.33</v>
      </c>
      <c r="AD97" s="123">
        <f t="shared" si="23"/>
        <v>-34558.33</v>
      </c>
      <c r="AE97" s="196">
        <f t="shared" si="12"/>
        <v>-0.40820944613483401</v>
      </c>
      <c r="AF97" s="133">
        <v>34050.65</v>
      </c>
      <c r="AG97" s="124">
        <f t="shared" si="16"/>
        <v>-16049.349999999999</v>
      </c>
      <c r="AH97" s="124"/>
      <c r="AI97" s="124"/>
      <c r="AJ97" s="124"/>
      <c r="AL97" s="124"/>
    </row>
    <row r="98" spans="1:38">
      <c r="A98" s="105" t="s">
        <v>219</v>
      </c>
      <c r="B98" s="105" t="s">
        <v>407</v>
      </c>
      <c r="C98" s="105" t="s">
        <v>220</v>
      </c>
      <c r="D98" s="123">
        <f>SUM('Hai Tang:Main Kichen'!D76)</f>
        <v>0</v>
      </c>
      <c r="E98" s="123">
        <f>SUM('Hai Tang:Main Kichen'!E76)</f>
        <v>0</v>
      </c>
      <c r="F98" s="123">
        <f>SUM('Hai Tang:Main Kichen'!F76)</f>
        <v>10000</v>
      </c>
      <c r="G98" s="123">
        <f>SUM('Hai Tang:Main Kichen'!G76)</f>
        <v>10000</v>
      </c>
      <c r="H98" s="123">
        <f>SUM('Hai Tang:Main Kichen'!H76)</f>
        <v>0</v>
      </c>
      <c r="I98" s="123">
        <f>SUM('Hai Tang:Main Kichen'!I76)</f>
        <v>0</v>
      </c>
      <c r="J98" s="123">
        <f>SUM('Hai Tang:Main Kichen'!J76)</f>
        <v>4000</v>
      </c>
      <c r="K98" s="123">
        <f>SUM('Hai Tang:Main Kichen'!K76)</f>
        <v>0</v>
      </c>
      <c r="L98" s="123">
        <f>SUM('Hai Tang:Main Kichen'!L76)</f>
        <v>0</v>
      </c>
      <c r="M98" s="123">
        <f>SUM('Hai Tang:Main Kichen'!M76)</f>
        <v>20000</v>
      </c>
      <c r="N98" s="123">
        <f>SUM('Hai Tang:Main Kichen'!N76)</f>
        <v>0</v>
      </c>
      <c r="O98" s="123">
        <f>SUM('Hai Tang:Main Kichen'!O76)</f>
        <v>0</v>
      </c>
      <c r="P98" s="133">
        <f t="shared" si="21"/>
        <v>44000</v>
      </c>
      <c r="Q98" s="123">
        <f>SUM('Hai Tang:Main Kichen'!Q76)</f>
        <v>0</v>
      </c>
      <c r="R98" s="123">
        <f>SUM('Hai Tang:Main Kichen'!R76)</f>
        <v>0</v>
      </c>
      <c r="S98" s="123">
        <f>SUM('Hai Tang:Main Kichen'!S76)</f>
        <v>35503</v>
      </c>
      <c r="T98" s="123">
        <f>SUM('Hai Tang:Main Kichen'!T76)</f>
        <v>18442</v>
      </c>
      <c r="U98" s="123">
        <f>SUM('Hai Tang:Main Kichen'!U76)</f>
        <v>-9176.58</v>
      </c>
      <c r="V98" s="123">
        <f>SUM('Hai Tang:Main Kichen'!V76)</f>
        <v>0</v>
      </c>
      <c r="W98" s="123">
        <f>SUM('Hai Tang:Main Kichen'!W76)</f>
        <v>0</v>
      </c>
      <c r="X98" s="123">
        <f>SUM('Hai Tang:Main Kichen'!X76)</f>
        <v>0</v>
      </c>
      <c r="Y98" s="123">
        <f>SUM('Hai Tang:Main Kichen'!Y76)</f>
        <v>0</v>
      </c>
      <c r="Z98" s="123">
        <f>SUM('Hai Tang:Main Kichen'!Z76)</f>
        <v>0</v>
      </c>
      <c r="AA98" s="123">
        <f>SUM('Hai Tang:Main Kichen'!AA76)</f>
        <v>0</v>
      </c>
      <c r="AB98" s="123">
        <f>SUM('Hai Tang:Main Kichen'!AB76)</f>
        <v>0</v>
      </c>
      <c r="AC98" s="133">
        <f t="shared" si="22"/>
        <v>44768.42</v>
      </c>
      <c r="AD98" s="123">
        <f t="shared" si="23"/>
        <v>-768.41999999999825</v>
      </c>
      <c r="AE98" s="196">
        <f t="shared" si="12"/>
        <v>-1.7164331464009638E-2</v>
      </c>
      <c r="AF98" s="133">
        <v>26040.87</v>
      </c>
      <c r="AG98" s="124">
        <f t="shared" si="16"/>
        <v>-17959.13</v>
      </c>
      <c r="AH98" s="124"/>
      <c r="AI98" s="124"/>
      <c r="AJ98" s="124"/>
      <c r="AL98" s="124"/>
    </row>
    <row r="99" spans="1:38">
      <c r="A99" s="105" t="s">
        <v>273</v>
      </c>
      <c r="C99" s="105" t="s">
        <v>459</v>
      </c>
      <c r="D99" s="123">
        <f>SUM('Hai Tang:Main Kichen'!D77)</f>
        <v>0</v>
      </c>
      <c r="E99" s="123">
        <f>SUM('Hai Tang:Main Kichen'!E77)</f>
        <v>0</v>
      </c>
      <c r="F99" s="123">
        <f>SUM('Hai Tang:Main Kichen'!F77)</f>
        <v>0</v>
      </c>
      <c r="G99" s="123">
        <f>SUM('Hai Tang:Main Kichen'!G77)</f>
        <v>0</v>
      </c>
      <c r="H99" s="123">
        <f>SUM('Hai Tang:Main Kichen'!H77)</f>
        <v>0</v>
      </c>
      <c r="I99" s="123">
        <f>SUM('Hai Tang:Main Kichen'!I77)</f>
        <v>0</v>
      </c>
      <c r="J99" s="123">
        <f>SUM('Hai Tang:Main Kichen'!J77)</f>
        <v>0</v>
      </c>
      <c r="K99" s="123">
        <f>SUM('Hai Tang:Main Kichen'!K77)</f>
        <v>0</v>
      </c>
      <c r="L99" s="123">
        <f>SUM('Hai Tang:Main Kichen'!L77)</f>
        <v>0</v>
      </c>
      <c r="M99" s="123">
        <f>SUM('Hai Tang:Main Kichen'!M77)</f>
        <v>0</v>
      </c>
      <c r="N99" s="123">
        <f>SUM('Hai Tang:Main Kichen'!N77)</f>
        <v>0</v>
      </c>
      <c r="O99" s="123">
        <f>SUM('Hai Tang:Main Kichen'!O77)</f>
        <v>0</v>
      </c>
      <c r="P99" s="133">
        <f t="shared" si="21"/>
        <v>0</v>
      </c>
      <c r="Q99" s="123">
        <f>SUM('Hai Tang:Main Kichen'!Q77)</f>
        <v>0</v>
      </c>
      <c r="R99" s="123">
        <f>SUM('Hai Tang:Main Kichen'!R77)</f>
        <v>0</v>
      </c>
      <c r="S99" s="123">
        <f>SUM('Hai Tang:Main Kichen'!S77)</f>
        <v>0</v>
      </c>
      <c r="T99" s="123">
        <f>SUM('Hai Tang:Main Kichen'!T77)</f>
        <v>0</v>
      </c>
      <c r="U99" s="123">
        <f>SUM('Hai Tang:Main Kichen'!U77)</f>
        <v>0</v>
      </c>
      <c r="V99" s="123">
        <f>SUM('Hai Tang:Main Kichen'!V77)</f>
        <v>0</v>
      </c>
      <c r="W99" s="123">
        <f>SUM('Hai Tang:Main Kichen'!W77)</f>
        <v>0</v>
      </c>
      <c r="X99" s="123">
        <f>SUM('Hai Tang:Main Kichen'!X77)</f>
        <v>0</v>
      </c>
      <c r="Y99" s="123">
        <f>SUM('Hai Tang:Main Kichen'!Y77)</f>
        <v>0</v>
      </c>
      <c r="Z99" s="123">
        <f>SUM('Hai Tang:Main Kichen'!Z77)</f>
        <v>0</v>
      </c>
      <c r="AA99" s="123">
        <f>SUM('Hai Tang:Main Kichen'!AA77)</f>
        <v>0</v>
      </c>
      <c r="AB99" s="123">
        <f>SUM('Hai Tang:Main Kichen'!AB77)</f>
        <v>0</v>
      </c>
      <c r="AC99" s="133">
        <f t="shared" si="22"/>
        <v>0</v>
      </c>
      <c r="AD99" s="123">
        <f t="shared" si="23"/>
        <v>0</v>
      </c>
      <c r="AE99" s="196" t="e">
        <f t="shared" si="12"/>
        <v>#DIV/0!</v>
      </c>
      <c r="AF99" s="133">
        <v>0</v>
      </c>
      <c r="AG99" s="124">
        <f t="shared" si="16"/>
        <v>0</v>
      </c>
      <c r="AH99" s="124"/>
      <c r="AI99" s="124"/>
      <c r="AJ99" s="124"/>
      <c r="AL99" s="124"/>
    </row>
    <row r="100" spans="1:38">
      <c r="A100" s="105" t="s">
        <v>221</v>
      </c>
      <c r="B100" s="105" t="s">
        <v>407</v>
      </c>
      <c r="C100" s="105" t="s">
        <v>222</v>
      </c>
      <c r="D100" s="123">
        <f>SUM('Hai Tang:Main Kichen'!D78)</f>
        <v>83500</v>
      </c>
      <c r="E100" s="123">
        <f>SUM('Hai Tang:Main Kichen'!E78)</f>
        <v>83500</v>
      </c>
      <c r="F100" s="123">
        <f>SUM('Hai Tang:Main Kichen'!F78)</f>
        <v>83500</v>
      </c>
      <c r="G100" s="123">
        <f>SUM('Hai Tang:Main Kichen'!G78)</f>
        <v>83500</v>
      </c>
      <c r="H100" s="123">
        <f>SUM('Hai Tang:Main Kichen'!H78)</f>
        <v>83500</v>
      </c>
      <c r="I100" s="123">
        <f>SUM('Hai Tang:Main Kichen'!I78)</f>
        <v>79300</v>
      </c>
      <c r="J100" s="123">
        <f>SUM('Hai Tang:Main Kichen'!J78)</f>
        <v>83500</v>
      </c>
      <c r="K100" s="123">
        <f>SUM('Hai Tang:Main Kichen'!K78)</f>
        <v>83500</v>
      </c>
      <c r="L100" s="123">
        <f>SUM('Hai Tang:Main Kichen'!L78)</f>
        <v>74500</v>
      </c>
      <c r="M100" s="123">
        <f>SUM('Hai Tang:Main Kichen'!M78)</f>
        <v>83500</v>
      </c>
      <c r="N100" s="123">
        <f>SUM('Hai Tang:Main Kichen'!N78)</f>
        <v>83500</v>
      </c>
      <c r="O100" s="123">
        <f>SUM('Hai Tang:Main Kichen'!O78)</f>
        <v>83500</v>
      </c>
      <c r="P100" s="133">
        <f t="shared" si="21"/>
        <v>988800</v>
      </c>
      <c r="Q100" s="123">
        <f>SUM('Hai Tang:Main Kichen'!Q78)</f>
        <v>45691.83</v>
      </c>
      <c r="R100" s="123">
        <f>SUM('Hai Tang:Main Kichen'!R78)</f>
        <v>148757.54</v>
      </c>
      <c r="S100" s="123">
        <f>SUM('Hai Tang:Main Kichen'!S78)</f>
        <v>82554.540000000008</v>
      </c>
      <c r="T100" s="123">
        <f>SUM('Hai Tang:Main Kichen'!T78)</f>
        <v>34075.410000000003</v>
      </c>
      <c r="U100" s="123">
        <f>SUM('Hai Tang:Main Kichen'!U78)</f>
        <v>83652.400000000009</v>
      </c>
      <c r="V100" s="123">
        <f>SUM('Hai Tang:Main Kichen'!V78)</f>
        <v>53119.490000000005</v>
      </c>
      <c r="W100" s="123">
        <f>SUM('Hai Tang:Main Kichen'!W78)</f>
        <v>139674.69</v>
      </c>
      <c r="X100" s="123">
        <f>SUM('Hai Tang:Main Kichen'!X78)</f>
        <v>133900.41</v>
      </c>
      <c r="Y100" s="123">
        <f>SUM('Hai Tang:Main Kichen'!Y78)</f>
        <v>71274</v>
      </c>
      <c r="Z100" s="123">
        <f>SUM('Hai Tang:Main Kichen'!Z78)</f>
        <v>53362</v>
      </c>
      <c r="AA100" s="123">
        <f>SUM('Hai Tang:Main Kichen'!AA78)</f>
        <v>47978</v>
      </c>
      <c r="AB100" s="123">
        <f>SUM('Hai Tang:Main Kichen'!AB78)</f>
        <v>66711</v>
      </c>
      <c r="AC100" s="133">
        <f t="shared" si="22"/>
        <v>960751.31000000017</v>
      </c>
      <c r="AD100" s="123">
        <f t="shared" si="23"/>
        <v>28048.689999999828</v>
      </c>
      <c r="AE100" s="196">
        <f t="shared" si="12"/>
        <v>2.9194537345985844E-2</v>
      </c>
      <c r="AF100" s="133">
        <v>622691.03</v>
      </c>
      <c r="AG100" s="124">
        <f t="shared" si="16"/>
        <v>-366108.97</v>
      </c>
      <c r="AH100" s="124"/>
      <c r="AI100" s="124"/>
      <c r="AJ100" s="124"/>
      <c r="AL100" s="124"/>
    </row>
    <row r="101" spans="1:38">
      <c r="A101" s="105" t="s">
        <v>273</v>
      </c>
      <c r="C101" s="105" t="s">
        <v>223</v>
      </c>
      <c r="D101" s="133">
        <f t="shared" ref="D101:AC101" si="24">SUM(D60:D100)</f>
        <v>1177943.1600000001</v>
      </c>
      <c r="E101" s="133">
        <f t="shared" si="24"/>
        <v>1174215.02</v>
      </c>
      <c r="F101" s="133">
        <f t="shared" si="24"/>
        <v>974475.52</v>
      </c>
      <c r="G101" s="133">
        <f t="shared" si="24"/>
        <v>956962.46000000008</v>
      </c>
      <c r="H101" s="133">
        <f t="shared" si="24"/>
        <v>1036656.2300000001</v>
      </c>
      <c r="I101" s="133">
        <f t="shared" si="24"/>
        <v>901604.49</v>
      </c>
      <c r="J101" s="133">
        <f t="shared" si="24"/>
        <v>1042167.8300000001</v>
      </c>
      <c r="K101" s="133">
        <f t="shared" si="24"/>
        <v>1049409.0900000001</v>
      </c>
      <c r="L101" s="133">
        <f t="shared" si="24"/>
        <v>888826.09000000008</v>
      </c>
      <c r="M101" s="133">
        <f t="shared" si="24"/>
        <v>1177349.2200000002</v>
      </c>
      <c r="N101" s="133">
        <f t="shared" si="24"/>
        <v>967617.83000000007</v>
      </c>
      <c r="O101" s="133">
        <f t="shared" si="24"/>
        <v>1036915.0900000001</v>
      </c>
      <c r="P101" s="133">
        <f t="shared" si="24"/>
        <v>12384142.029999999</v>
      </c>
      <c r="Q101" s="133">
        <f t="shared" si="24"/>
        <v>1301209.8999999997</v>
      </c>
      <c r="R101" s="133">
        <f t="shared" si="24"/>
        <v>1957208.6900000004</v>
      </c>
      <c r="S101" s="133">
        <f t="shared" si="24"/>
        <v>1305907.0499999998</v>
      </c>
      <c r="T101" s="133">
        <f t="shared" si="24"/>
        <v>1013619.9500000001</v>
      </c>
      <c r="U101" s="133">
        <f t="shared" si="24"/>
        <v>914148.88000000012</v>
      </c>
      <c r="V101" s="133">
        <f t="shared" si="24"/>
        <v>955928.42000000016</v>
      </c>
      <c r="W101" s="133">
        <f t="shared" si="24"/>
        <v>1102252.01</v>
      </c>
      <c r="X101" s="133">
        <f t="shared" si="24"/>
        <v>1143702.44</v>
      </c>
      <c r="Y101" s="133">
        <f>SUM(Y60:Y100)</f>
        <v>582630.18999999994</v>
      </c>
      <c r="Z101" s="133">
        <f>SUM(Z60:Z100)</f>
        <v>523967.23</v>
      </c>
      <c r="AA101" s="133">
        <f>SUM(AA60:AA100)</f>
        <v>453234.6</v>
      </c>
      <c r="AB101" s="133">
        <f>SUM(AB60:AB100)</f>
        <v>577504.02</v>
      </c>
      <c r="AC101" s="133">
        <f t="shared" si="24"/>
        <v>11831313.380000001</v>
      </c>
      <c r="AD101" s="133">
        <f t="shared" si="23"/>
        <v>552828.64999999851</v>
      </c>
      <c r="AE101" s="196">
        <f t="shared" si="12"/>
        <v>4.6725890207127495E-2</v>
      </c>
      <c r="AF101" s="133">
        <v>5418263.2300000014</v>
      </c>
      <c r="AG101" s="124">
        <f t="shared" si="16"/>
        <v>-6965878.799999998</v>
      </c>
      <c r="AH101" s="124"/>
      <c r="AI101" s="124"/>
      <c r="AJ101" s="124"/>
      <c r="AL101" s="124"/>
    </row>
    <row r="102" spans="1:38">
      <c r="A102" s="105" t="s">
        <v>273</v>
      </c>
      <c r="C102" s="105" t="s">
        <v>224</v>
      </c>
      <c r="D102" s="133">
        <f t="shared" ref="D102:AC102" si="25">D48-D55-D57-D101</f>
        <v>3184183.7199999997</v>
      </c>
      <c r="E102" s="133">
        <f t="shared" si="25"/>
        <v>2980281.29</v>
      </c>
      <c r="F102" s="133">
        <f t="shared" si="25"/>
        <v>1655023.0499999998</v>
      </c>
      <c r="G102" s="133">
        <f t="shared" si="25"/>
        <v>1331896.56</v>
      </c>
      <c r="H102" s="133">
        <f t="shared" si="25"/>
        <v>1198970.3399999999</v>
      </c>
      <c r="I102" s="133">
        <f t="shared" si="25"/>
        <v>1067749.6599999999</v>
      </c>
      <c r="J102" s="133">
        <f t="shared" si="25"/>
        <v>2189986.04</v>
      </c>
      <c r="K102" s="133">
        <f t="shared" si="25"/>
        <v>2361973.7599999998</v>
      </c>
      <c r="L102" s="133">
        <f t="shared" si="25"/>
        <v>1093035.76</v>
      </c>
      <c r="M102" s="133">
        <f t="shared" si="25"/>
        <v>1558269.27</v>
      </c>
      <c r="N102" s="133">
        <f t="shared" si="25"/>
        <v>1770543.06</v>
      </c>
      <c r="O102" s="133">
        <f t="shared" si="25"/>
        <v>2539865.7800000003</v>
      </c>
      <c r="P102" s="133">
        <f t="shared" si="25"/>
        <v>22931778.289999999</v>
      </c>
      <c r="Q102" s="133">
        <f t="shared" si="25"/>
        <v>2109615.1500000013</v>
      </c>
      <c r="R102" s="133">
        <f t="shared" si="25"/>
        <v>4018851.7499999991</v>
      </c>
      <c r="S102" s="133">
        <f t="shared" si="25"/>
        <v>1826306.2800000012</v>
      </c>
      <c r="T102" s="133">
        <f t="shared" si="25"/>
        <v>1750176.6700000009</v>
      </c>
      <c r="U102" s="133">
        <f t="shared" si="25"/>
        <v>1663482.03</v>
      </c>
      <c r="V102" s="133">
        <f t="shared" si="25"/>
        <v>1152293.2899999989</v>
      </c>
      <c r="W102" s="133">
        <f t="shared" si="25"/>
        <v>2206938</v>
      </c>
      <c r="X102" s="133">
        <f>X48-X55-X57-X101</f>
        <v>2273485.879999999</v>
      </c>
      <c r="Y102" s="133">
        <f>Y48-Y55-Y57-Y101</f>
        <v>544777.29</v>
      </c>
      <c r="Z102" s="133">
        <f>Z48-Z55-Z57-Z101</f>
        <v>1077873.25</v>
      </c>
      <c r="AA102" s="133">
        <f>AA48-AA55-AA57-AA101</f>
        <v>1307437.8799999999</v>
      </c>
      <c r="AB102" s="133">
        <f>AB48-AB55-AB57-AB101</f>
        <v>1802377.46</v>
      </c>
      <c r="AC102" s="133">
        <f t="shared" si="25"/>
        <v>21733614.929999985</v>
      </c>
      <c r="AD102" s="133">
        <f t="shared" si="23"/>
        <v>1198163.3600000143</v>
      </c>
      <c r="AE102" s="196">
        <f t="shared" si="12"/>
        <v>5.5129501643379632E-2</v>
      </c>
      <c r="AF102" s="133">
        <v>30646490.499999974</v>
      </c>
      <c r="AG102" s="124">
        <f>P102-AF102</f>
        <v>-7714712.2099999748</v>
      </c>
      <c r="AH102" s="124"/>
      <c r="AI102" s="124"/>
      <c r="AJ102" s="124"/>
      <c r="AL102" s="124"/>
    </row>
    <row r="103" spans="1:38">
      <c r="A103" s="105" t="s">
        <v>273</v>
      </c>
      <c r="C103" s="105" t="s">
        <v>225</v>
      </c>
      <c r="D103" s="139">
        <f t="shared" ref="D103:AC103" si="26">D102/D48</f>
        <v>0.35379701178773848</v>
      </c>
      <c r="E103" s="139">
        <f t="shared" si="26"/>
        <v>0.36333958145280176</v>
      </c>
      <c r="F103" s="139">
        <f t="shared" si="26"/>
        <v>0.27540034415411419</v>
      </c>
      <c r="G103" s="139">
        <f t="shared" si="26"/>
        <v>0.23632224224059403</v>
      </c>
      <c r="H103" s="139">
        <f t="shared" si="26"/>
        <v>0.21032822013190833</v>
      </c>
      <c r="I103" s="139">
        <f t="shared" si="26"/>
        <v>0.20791943219234485</v>
      </c>
      <c r="J103" s="139">
        <f t="shared" si="26"/>
        <v>0.31178057455119684</v>
      </c>
      <c r="K103" s="139">
        <f t="shared" si="26"/>
        <v>0.32395384991608239</v>
      </c>
      <c r="L103" s="139">
        <f t="shared" si="26"/>
        <v>0.21170600208522622</v>
      </c>
      <c r="M103" s="139">
        <f t="shared" si="26"/>
        <v>0.2142223265501112</v>
      </c>
      <c r="N103" s="139">
        <f t="shared" si="26"/>
        <v>0.28722210821578009</v>
      </c>
      <c r="O103" s="139">
        <f t="shared" si="26"/>
        <v>0.34318536083050927</v>
      </c>
      <c r="P103" s="139">
        <f t="shared" si="26"/>
        <v>0.2866424990237661</v>
      </c>
      <c r="Q103" s="139">
        <f t="shared" si="26"/>
        <v>0.27404240394614815</v>
      </c>
      <c r="R103" s="139">
        <f t="shared" si="26"/>
        <v>0.34848202087751023</v>
      </c>
      <c r="S103" s="139">
        <f t="shared" si="26"/>
        <v>0.26252185861053429</v>
      </c>
      <c r="T103" s="139">
        <f t="shared" si="26"/>
        <v>0.27620567479177588</v>
      </c>
      <c r="U103" s="139">
        <f t="shared" si="26"/>
        <v>0.27841009146210888</v>
      </c>
      <c r="V103" s="139">
        <f t="shared" si="26"/>
        <v>0.21210319295872773</v>
      </c>
      <c r="W103" s="139">
        <f t="shared" si="26"/>
        <v>0.31423840113014639</v>
      </c>
      <c r="X103" s="139">
        <f>X102/X48</f>
        <v>0.30482103995762322</v>
      </c>
      <c r="Y103" s="139">
        <f>Y102/Y48</f>
        <v>0.10286737580389731</v>
      </c>
      <c r="Z103" s="139">
        <f>Z102/Z48</f>
        <v>0.19261670361899294</v>
      </c>
      <c r="AA103" s="139">
        <f>AA102/AA48</f>
        <v>0.24173533354867133</v>
      </c>
      <c r="AB103" s="139">
        <f>AB102/AB48</f>
        <v>0.28654294271072633</v>
      </c>
      <c r="AC103" s="139">
        <f t="shared" si="26"/>
        <v>0.26830446027211874</v>
      </c>
      <c r="AD103" s="198">
        <f t="shared" si="23"/>
        <v>1.8338038751647356E-2</v>
      </c>
      <c r="AE103" s="196">
        <f t="shared" si="12"/>
        <v>6.8347871418345488E-2</v>
      </c>
      <c r="AF103" s="139">
        <v>0.356142439901943</v>
      </c>
      <c r="AG103" s="124">
        <f>P103-AF103</f>
        <v>-6.9499940878176902E-2</v>
      </c>
      <c r="AH103" s="124"/>
      <c r="AI103" s="124"/>
      <c r="AJ103" s="124"/>
      <c r="AL103" s="124"/>
    </row>
    <row r="104" spans="1:38">
      <c r="A104" s="105" t="s">
        <v>273</v>
      </c>
      <c r="C104" s="105" t="s">
        <v>154</v>
      </c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39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97">
        <f>AC101/AC48</f>
        <v>0.14605918808055368</v>
      </c>
      <c r="AD104" s="123"/>
      <c r="AE104" s="196">
        <f t="shared" si="12"/>
        <v>0</v>
      </c>
      <c r="AF104" s="133">
        <v>6.2965561644429874E-2</v>
      </c>
      <c r="AG104" s="123"/>
      <c r="AH104" s="124"/>
      <c r="AI104" s="124"/>
      <c r="AJ104" s="124"/>
      <c r="AL104" s="124"/>
    </row>
    <row r="105" spans="1:38">
      <c r="A105" s="105" t="s">
        <v>273</v>
      </c>
      <c r="C105" s="105" t="s">
        <v>460</v>
      </c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3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33"/>
      <c r="AD105" s="123"/>
      <c r="AE105" s="196" t="e">
        <f t="shared" si="12"/>
        <v>#DIV/0!</v>
      </c>
      <c r="AF105" s="133"/>
      <c r="AG105" s="123"/>
      <c r="AH105" s="124"/>
      <c r="AI105" s="124"/>
      <c r="AJ105" s="124"/>
      <c r="AL105" s="124"/>
    </row>
    <row r="106" spans="1:38">
      <c r="A106" s="105" t="s">
        <v>273</v>
      </c>
      <c r="C106" s="105" t="s">
        <v>371</v>
      </c>
      <c r="D106" s="123" t="s">
        <v>372</v>
      </c>
      <c r="E106" s="123" t="s">
        <v>372</v>
      </c>
      <c r="F106" s="123" t="s">
        <v>372</v>
      </c>
      <c r="G106" s="123" t="s">
        <v>372</v>
      </c>
      <c r="H106" s="123" t="s">
        <v>372</v>
      </c>
      <c r="I106" s="123" t="s">
        <v>372</v>
      </c>
      <c r="J106" s="123" t="s">
        <v>372</v>
      </c>
      <c r="K106" s="123" t="s">
        <v>372</v>
      </c>
      <c r="L106" s="123" t="s">
        <v>372</v>
      </c>
      <c r="M106" s="123" t="s">
        <v>372</v>
      </c>
      <c r="N106" s="123" t="s">
        <v>372</v>
      </c>
      <c r="O106" s="123" t="s">
        <v>372</v>
      </c>
      <c r="P106" s="133">
        <f t="shared" ref="P106:P120" si="27">SUM(D106:O106)</f>
        <v>0</v>
      </c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33" t="s">
        <v>372</v>
      </c>
      <c r="AD106" s="123" t="e">
        <f t="shared" ref="AD106:AD121" si="28">P106-AC106</f>
        <v>#VALUE!</v>
      </c>
      <c r="AE106" s="196" t="e">
        <f t="shared" si="12"/>
        <v>#VALUE!</v>
      </c>
      <c r="AF106" s="133" t="s">
        <v>372</v>
      </c>
      <c r="AG106" s="123"/>
      <c r="AH106" s="124"/>
      <c r="AI106" s="124"/>
      <c r="AJ106" s="124"/>
      <c r="AL106" s="124"/>
    </row>
    <row r="107" spans="1:38">
      <c r="A107" s="105" t="s">
        <v>273</v>
      </c>
      <c r="C107" s="105" t="s">
        <v>373</v>
      </c>
      <c r="D107" s="123" t="s">
        <v>372</v>
      </c>
      <c r="E107" s="123" t="s">
        <v>372</v>
      </c>
      <c r="F107" s="123" t="s">
        <v>372</v>
      </c>
      <c r="G107" s="123" t="s">
        <v>372</v>
      </c>
      <c r="H107" s="123" t="s">
        <v>372</v>
      </c>
      <c r="I107" s="123" t="s">
        <v>372</v>
      </c>
      <c r="J107" s="123" t="s">
        <v>372</v>
      </c>
      <c r="K107" s="123" t="s">
        <v>372</v>
      </c>
      <c r="L107" s="123" t="s">
        <v>372</v>
      </c>
      <c r="M107" s="123" t="s">
        <v>372</v>
      </c>
      <c r="N107" s="123" t="s">
        <v>372</v>
      </c>
      <c r="O107" s="123" t="s">
        <v>372</v>
      </c>
      <c r="P107" s="133">
        <f t="shared" si="27"/>
        <v>0</v>
      </c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33" t="s">
        <v>372</v>
      </c>
      <c r="AD107" s="123" t="e">
        <f t="shared" si="28"/>
        <v>#VALUE!</v>
      </c>
      <c r="AE107" s="196" t="e">
        <f t="shared" si="12"/>
        <v>#VALUE!</v>
      </c>
      <c r="AF107" s="133" t="s">
        <v>372</v>
      </c>
      <c r="AG107" s="124" t="e">
        <f t="shared" ref="AG107:AG140" si="29">P107-AF107</f>
        <v>#VALUE!</v>
      </c>
      <c r="AH107" s="124"/>
      <c r="AI107" s="124"/>
      <c r="AJ107" s="124"/>
      <c r="AL107" s="124"/>
    </row>
    <row r="108" spans="1:38">
      <c r="A108" s="105" t="s">
        <v>461</v>
      </c>
      <c r="B108" s="105" t="s">
        <v>375</v>
      </c>
      <c r="C108" s="105" t="s">
        <v>376</v>
      </c>
      <c r="D108" s="123">
        <f>'Hai Tang'!D90</f>
        <v>29500</v>
      </c>
      <c r="E108" s="123">
        <f>'Hai Tang'!E90</f>
        <v>27000</v>
      </c>
      <c r="F108" s="123">
        <f>'Hai Tang'!F90</f>
        <v>25000</v>
      </c>
      <c r="G108" s="123">
        <f>'Hai Tang'!G90</f>
        <v>25000</v>
      </c>
      <c r="H108" s="123">
        <f>'Hai Tang'!H90</f>
        <v>25000</v>
      </c>
      <c r="I108" s="123">
        <f>'Hai Tang'!I90</f>
        <v>23000</v>
      </c>
      <c r="J108" s="123">
        <f>'Hai Tang'!J90</f>
        <v>29000</v>
      </c>
      <c r="K108" s="123">
        <f>'Hai Tang'!K90</f>
        <v>29000</v>
      </c>
      <c r="L108" s="123">
        <f>'Hai Tang'!L90</f>
        <v>23000</v>
      </c>
      <c r="M108" s="123">
        <f>'Hai Tang'!M90</f>
        <v>25000</v>
      </c>
      <c r="N108" s="123">
        <f>'Hai Tang'!N90</f>
        <v>24000</v>
      </c>
      <c r="O108" s="123">
        <f>'Hai Tang'!O90</f>
        <v>27000</v>
      </c>
      <c r="P108" s="133">
        <f t="shared" si="27"/>
        <v>311500</v>
      </c>
      <c r="Q108" s="123">
        <f>'Hai Tang'!Q90</f>
        <v>29297</v>
      </c>
      <c r="R108" s="123">
        <f>'Hai Tang'!R90</f>
        <v>29860</v>
      </c>
      <c r="S108" s="123">
        <f>'Hai Tang'!S90</f>
        <v>27303</v>
      </c>
      <c r="T108" s="123">
        <f>'Hai Tang'!T90</f>
        <v>26602</v>
      </c>
      <c r="U108" s="123">
        <f>'Hai Tang'!U90</f>
        <v>21629</v>
      </c>
      <c r="V108" s="123">
        <f>'Hai Tang'!V90</f>
        <v>22866</v>
      </c>
      <c r="W108" s="123">
        <f>'Hai Tang'!W90</f>
        <v>29039</v>
      </c>
      <c r="X108" s="123">
        <f>'Hai Tang'!X90</f>
        <v>29860</v>
      </c>
      <c r="Y108" s="123">
        <f>'Hai Tang'!Y90</f>
        <v>16500</v>
      </c>
      <c r="Z108" s="123">
        <f>'Hai Tang'!Z90</f>
        <v>22000</v>
      </c>
      <c r="AA108" s="123">
        <f>'Hai Tang'!AA90</f>
        <v>19000</v>
      </c>
      <c r="AB108" s="123">
        <f>'Hai Tang'!AB90</f>
        <v>21300</v>
      </c>
      <c r="AC108" s="133">
        <f t="shared" ref="AC108:AC120" si="30">SUM(Q108:AB108)</f>
        <v>295256</v>
      </c>
      <c r="AD108" s="123">
        <f t="shared" si="28"/>
        <v>16244</v>
      </c>
      <c r="AE108" s="196">
        <f t="shared" ref="AE108:AE171" si="31">AD108/AC108</f>
        <v>5.5016663505568046E-2</v>
      </c>
      <c r="AF108" s="133">
        <v>311737</v>
      </c>
      <c r="AG108" s="124">
        <f t="shared" si="29"/>
        <v>-237</v>
      </c>
      <c r="AH108" s="124"/>
      <c r="AI108" s="124"/>
      <c r="AJ108" s="124"/>
      <c r="AL108" s="124"/>
    </row>
    <row r="109" spans="1:38">
      <c r="A109" s="105" t="s">
        <v>461</v>
      </c>
      <c r="B109" s="105" t="s">
        <v>377</v>
      </c>
      <c r="C109" s="105" t="s">
        <v>378</v>
      </c>
      <c r="D109" s="123">
        <f>'Pin Ju'!D90</f>
        <v>11500</v>
      </c>
      <c r="E109" s="123">
        <f>'Pin Ju'!E90</f>
        <v>9500</v>
      </c>
      <c r="F109" s="123">
        <f>'Pin Ju'!F90</f>
        <v>8200</v>
      </c>
      <c r="G109" s="123">
        <f>'Pin Ju'!G90</f>
        <v>8000</v>
      </c>
      <c r="H109" s="123">
        <f>'Pin Ju'!H90</f>
        <v>8400</v>
      </c>
      <c r="I109" s="123">
        <f>'Pin Ju'!I90</f>
        <v>6200</v>
      </c>
      <c r="J109" s="123">
        <f>'Pin Ju'!J90</f>
        <v>10650</v>
      </c>
      <c r="K109" s="123">
        <f>'Pin Ju'!K90</f>
        <v>11200</v>
      </c>
      <c r="L109" s="123">
        <f>'Pin Ju'!L90</f>
        <v>5944</v>
      </c>
      <c r="M109" s="123">
        <f>'Pin Ju'!M90</f>
        <v>7300</v>
      </c>
      <c r="N109" s="123">
        <f>'Pin Ju'!N90</f>
        <v>6800</v>
      </c>
      <c r="O109" s="123">
        <f>'Pin Ju'!O90</f>
        <v>8600</v>
      </c>
      <c r="P109" s="133">
        <f t="shared" si="27"/>
        <v>102294</v>
      </c>
      <c r="Q109" s="123">
        <f>'Pin Ju'!Q90</f>
        <v>10707</v>
      </c>
      <c r="R109" s="123">
        <f>'Pin Ju'!R90</f>
        <v>11028</v>
      </c>
      <c r="S109" s="123">
        <f>'Pin Ju'!S90</f>
        <v>9556</v>
      </c>
      <c r="T109" s="123">
        <f>'Pin Ju'!T90</f>
        <v>4982</v>
      </c>
      <c r="U109" s="123">
        <f>'Pin Ju'!U90</f>
        <v>8688</v>
      </c>
      <c r="V109" s="123">
        <f>'Pin Ju'!V90</f>
        <v>8500</v>
      </c>
      <c r="W109" s="123">
        <f>'Pin Ju'!W90</f>
        <v>10283</v>
      </c>
      <c r="X109" s="123">
        <f>'Pin Ju'!X90</f>
        <v>12645</v>
      </c>
      <c r="Y109" s="123">
        <f>'Pin Ju'!Y90</f>
        <v>4600</v>
      </c>
      <c r="Z109" s="123">
        <f>'Pin Ju'!Z90</f>
        <v>5100</v>
      </c>
      <c r="AA109" s="123">
        <f>'Pin Ju'!AA90</f>
        <v>6800</v>
      </c>
      <c r="AB109" s="123">
        <f>'Pin Ju'!AB90</f>
        <v>8000</v>
      </c>
      <c r="AC109" s="133">
        <f t="shared" si="30"/>
        <v>100889</v>
      </c>
      <c r="AD109" s="123">
        <f t="shared" si="28"/>
        <v>1405</v>
      </c>
      <c r="AE109" s="196">
        <f t="shared" si="31"/>
        <v>1.3926196116524101E-2</v>
      </c>
      <c r="AF109" s="133">
        <v>111728</v>
      </c>
      <c r="AG109" s="124">
        <f t="shared" si="29"/>
        <v>-9434</v>
      </c>
      <c r="AH109" s="124"/>
      <c r="AI109" s="124"/>
      <c r="AJ109" s="124"/>
      <c r="AL109" s="124"/>
    </row>
    <row r="110" spans="1:38">
      <c r="A110" s="105" t="s">
        <v>461</v>
      </c>
      <c r="B110" s="105" t="s">
        <v>379</v>
      </c>
      <c r="C110" s="105" t="s">
        <v>380</v>
      </c>
      <c r="D110" s="123">
        <f>Silk!D90</f>
        <v>3300</v>
      </c>
      <c r="E110" s="123">
        <f>Silk!E90</f>
        <v>2900</v>
      </c>
      <c r="F110" s="123">
        <f>Silk!F90</f>
        <v>2500</v>
      </c>
      <c r="G110" s="123">
        <f>Silk!G90</f>
        <v>2000</v>
      </c>
      <c r="H110" s="123">
        <f>Silk!H90</f>
        <v>2020</v>
      </c>
      <c r="I110" s="123">
        <f>Silk!I90</f>
        <v>2080</v>
      </c>
      <c r="J110" s="123">
        <f>Silk!J90</f>
        <v>3000</v>
      </c>
      <c r="K110" s="123">
        <f>Silk!K90</f>
        <v>3200</v>
      </c>
      <c r="L110" s="123">
        <f>Silk!L90</f>
        <v>1950</v>
      </c>
      <c r="M110" s="123">
        <f>Silk!M90</f>
        <v>2000</v>
      </c>
      <c r="N110" s="123">
        <f>Silk!N90</f>
        <v>2100</v>
      </c>
      <c r="O110" s="123">
        <f>Silk!O90</f>
        <v>2600</v>
      </c>
      <c r="P110" s="133">
        <f t="shared" si="27"/>
        <v>29650</v>
      </c>
      <c r="Q110" s="123">
        <f>Silk!Q90</f>
        <v>2728</v>
      </c>
      <c r="R110" s="123">
        <f>Silk!R90</f>
        <v>3666</v>
      </c>
      <c r="S110" s="123">
        <f>Silk!S90</f>
        <v>2433</v>
      </c>
      <c r="T110" s="123">
        <f>Silk!T90</f>
        <v>3063</v>
      </c>
      <c r="U110" s="123">
        <f>Silk!U90</f>
        <v>2253</v>
      </c>
      <c r="V110" s="123">
        <f>Silk!V90</f>
        <v>1880</v>
      </c>
      <c r="W110" s="123">
        <f>Silk!W90</f>
        <v>2952</v>
      </c>
      <c r="X110" s="123">
        <f>Silk!X90</f>
        <v>3280</v>
      </c>
      <c r="Y110" s="123">
        <f>Silk!Y90</f>
        <v>1800</v>
      </c>
      <c r="Z110" s="123">
        <f>Silk!Z90</f>
        <v>2500</v>
      </c>
      <c r="AA110" s="123">
        <f>Silk!AA90</f>
        <v>2000</v>
      </c>
      <c r="AB110" s="123">
        <f>Silk!AB90</f>
        <v>2597</v>
      </c>
      <c r="AC110" s="133">
        <f t="shared" si="30"/>
        <v>31152</v>
      </c>
      <c r="AD110" s="123">
        <f t="shared" si="28"/>
        <v>-1502</v>
      </c>
      <c r="AE110" s="196">
        <f t="shared" si="31"/>
        <v>-4.8215202876219825E-2</v>
      </c>
      <c r="AF110" s="133">
        <v>36151</v>
      </c>
      <c r="AG110" s="124">
        <f t="shared" si="29"/>
        <v>-6501</v>
      </c>
      <c r="AH110" s="124"/>
      <c r="AI110" s="124"/>
      <c r="AJ110" s="124"/>
      <c r="AL110" s="124"/>
    </row>
    <row r="111" spans="1:38">
      <c r="A111" s="105" t="s">
        <v>461</v>
      </c>
      <c r="B111" s="105" t="s">
        <v>381</v>
      </c>
      <c r="C111" s="105" t="s">
        <v>382</v>
      </c>
      <c r="D111" s="123">
        <f>Neera!D90</f>
        <v>4500</v>
      </c>
      <c r="E111" s="123">
        <f>Neera!E90</f>
        <v>3800</v>
      </c>
      <c r="F111" s="123">
        <f>Neera!F90</f>
        <v>3400</v>
      </c>
      <c r="G111" s="123">
        <f>Neera!G90</f>
        <v>3100</v>
      </c>
      <c r="H111" s="123">
        <f>Neera!H90</f>
        <v>3100</v>
      </c>
      <c r="I111" s="123">
        <f>Neera!I90</f>
        <v>2900</v>
      </c>
      <c r="J111" s="123">
        <f>Neera!J90</f>
        <v>3500</v>
      </c>
      <c r="K111" s="123">
        <f>Neera!K90</f>
        <v>4000</v>
      </c>
      <c r="L111" s="123">
        <f>Neera!L90</f>
        <v>3000</v>
      </c>
      <c r="M111" s="123">
        <f>Neera!M90</f>
        <v>3284</v>
      </c>
      <c r="N111" s="123">
        <f>Neera!N90</f>
        <v>3059</v>
      </c>
      <c r="O111" s="123">
        <f>Neera!O90</f>
        <v>3322</v>
      </c>
      <c r="P111" s="133">
        <f t="shared" si="27"/>
        <v>40965</v>
      </c>
      <c r="Q111" s="123">
        <f>Neera!Q90</f>
        <v>4402</v>
      </c>
      <c r="R111" s="123">
        <f>Neera!R90</f>
        <v>4755</v>
      </c>
      <c r="S111" s="123">
        <f>Neera!S90</f>
        <v>4436</v>
      </c>
      <c r="T111" s="123">
        <f>Neera!T90</f>
        <v>4423</v>
      </c>
      <c r="U111" s="123">
        <f>Neera!U90</f>
        <v>3863</v>
      </c>
      <c r="V111" s="123">
        <f>Neera!V90</f>
        <v>3597</v>
      </c>
      <c r="W111" s="123">
        <f>Neera!W90</f>
        <v>4570</v>
      </c>
      <c r="X111" s="123">
        <f>Neera!X90</f>
        <v>4998</v>
      </c>
      <c r="Y111" s="123">
        <f>Neera!Y90</f>
        <v>3100</v>
      </c>
      <c r="Z111" s="123">
        <f>Neera!Z90</f>
        <v>3200</v>
      </c>
      <c r="AA111" s="123">
        <f>Neera!AA90</f>
        <v>3200</v>
      </c>
      <c r="AB111" s="123">
        <f>Neera!AB90</f>
        <v>3200</v>
      </c>
      <c r="AC111" s="133">
        <f t="shared" si="30"/>
        <v>47744</v>
      </c>
      <c r="AD111" s="123">
        <f t="shared" si="28"/>
        <v>-6779</v>
      </c>
      <c r="AE111" s="196">
        <f t="shared" si="31"/>
        <v>-0.14198642761394101</v>
      </c>
      <c r="AF111" s="133">
        <v>40294</v>
      </c>
      <c r="AG111" s="124">
        <f t="shared" si="29"/>
        <v>671</v>
      </c>
      <c r="AH111" s="124"/>
      <c r="AI111" s="124"/>
      <c r="AJ111" s="124"/>
      <c r="AL111" s="124"/>
    </row>
    <row r="112" spans="1:38">
      <c r="A112" s="105" t="s">
        <v>461</v>
      </c>
      <c r="B112" s="105" t="s">
        <v>383</v>
      </c>
      <c r="C112" s="105" t="s">
        <v>384</v>
      </c>
      <c r="D112" s="123">
        <f>Poolside!D90</f>
        <v>5400</v>
      </c>
      <c r="E112" s="123">
        <f>Poolside!E90</f>
        <v>4400</v>
      </c>
      <c r="F112" s="123">
        <f>Poolside!F90</f>
        <v>4200</v>
      </c>
      <c r="G112" s="123">
        <f>Poolside!G90</f>
        <v>3650</v>
      </c>
      <c r="H112" s="123">
        <f>Poolside!H90</f>
        <v>3750</v>
      </c>
      <c r="I112" s="123">
        <f>Poolside!I90</f>
        <v>3620</v>
      </c>
      <c r="J112" s="123">
        <f>Poolside!J90</f>
        <v>5330</v>
      </c>
      <c r="K112" s="123">
        <f>Poolside!K90</f>
        <v>5330</v>
      </c>
      <c r="L112" s="123">
        <f>Poolside!L90</f>
        <v>3750</v>
      </c>
      <c r="M112" s="123">
        <f>Poolside!M90</f>
        <v>4100</v>
      </c>
      <c r="N112" s="123">
        <f>Poolside!N90</f>
        <v>4180</v>
      </c>
      <c r="O112" s="123">
        <f>Poolside!O90</f>
        <v>4450</v>
      </c>
      <c r="P112" s="133">
        <f t="shared" si="27"/>
        <v>52160</v>
      </c>
      <c r="Q112" s="123">
        <f>Poolside!Q90</f>
        <v>4231</v>
      </c>
      <c r="R112" s="123">
        <f>Poolside!R90</f>
        <v>5414</v>
      </c>
      <c r="S112" s="123">
        <f>Poolside!S90</f>
        <v>4357</v>
      </c>
      <c r="T112" s="123">
        <f>Poolside!T90</f>
        <v>4551</v>
      </c>
      <c r="U112" s="123">
        <f>Poolside!U90</f>
        <v>4695</v>
      </c>
      <c r="V112" s="123">
        <f>Poolside!V90</f>
        <v>4491</v>
      </c>
      <c r="W112" s="123">
        <f>Poolside!W90</f>
        <v>5554</v>
      </c>
      <c r="X112" s="123">
        <f>Poolside!X90</f>
        <v>6620</v>
      </c>
      <c r="Y112" s="123">
        <f>Poolside!Y90</f>
        <v>2700</v>
      </c>
      <c r="Z112" s="123">
        <f>Poolside!Z90</f>
        <v>3300</v>
      </c>
      <c r="AA112" s="123">
        <f>Poolside!AA90</f>
        <v>3160</v>
      </c>
      <c r="AB112" s="123">
        <f>Poolside!AB90</f>
        <v>3320</v>
      </c>
      <c r="AC112" s="133">
        <f t="shared" si="30"/>
        <v>52393</v>
      </c>
      <c r="AD112" s="123">
        <f t="shared" si="28"/>
        <v>-233</v>
      </c>
      <c r="AE112" s="196">
        <f t="shared" si="31"/>
        <v>-4.4471589716183462E-3</v>
      </c>
      <c r="AF112" s="133">
        <v>54579</v>
      </c>
      <c r="AG112" s="124">
        <f t="shared" si="29"/>
        <v>-2419</v>
      </c>
      <c r="AH112" s="124"/>
      <c r="AI112" s="124"/>
      <c r="AJ112" s="124"/>
      <c r="AL112" s="124"/>
    </row>
    <row r="113" spans="1:38">
      <c r="A113" s="105" t="s">
        <v>461</v>
      </c>
      <c r="B113" s="105" t="s">
        <v>385</v>
      </c>
      <c r="C113" s="105" t="s">
        <v>386</v>
      </c>
      <c r="D113" s="123">
        <f>'Cafe to Go'!D90</f>
        <v>3100</v>
      </c>
      <c r="E113" s="123">
        <f>'Cafe to Go'!E90</f>
        <v>4400</v>
      </c>
      <c r="F113" s="123">
        <f>'Cafe to Go'!F90</f>
        <v>2650</v>
      </c>
      <c r="G113" s="123">
        <f>'Cafe to Go'!G90</f>
        <v>2150</v>
      </c>
      <c r="H113" s="123">
        <f>'Cafe to Go'!H90</f>
        <v>2150</v>
      </c>
      <c r="I113" s="123">
        <f>'Cafe to Go'!I90</f>
        <v>1850</v>
      </c>
      <c r="J113" s="123">
        <f>'Cafe to Go'!J90</f>
        <v>2700</v>
      </c>
      <c r="K113" s="123">
        <f>'Cafe to Go'!K90</f>
        <v>3000</v>
      </c>
      <c r="L113" s="123">
        <f>'Cafe to Go'!L90</f>
        <v>1850</v>
      </c>
      <c r="M113" s="123">
        <f>'Cafe to Go'!M90</f>
        <v>2500</v>
      </c>
      <c r="N113" s="123">
        <f>'Cafe to Go'!N90</f>
        <v>1850</v>
      </c>
      <c r="O113" s="123">
        <f>'Cafe to Go'!O90</f>
        <v>2050</v>
      </c>
      <c r="P113" s="133">
        <f t="shared" si="27"/>
        <v>30250</v>
      </c>
      <c r="Q113" s="123">
        <f>'Cafe to Go'!Q90</f>
        <v>2377</v>
      </c>
      <c r="R113" s="123">
        <f>'Cafe to Go'!R90</f>
        <v>4447</v>
      </c>
      <c r="S113" s="123">
        <f>'Cafe to Go'!S90</f>
        <v>3007</v>
      </c>
      <c r="T113" s="123">
        <f>'Cafe to Go'!T90</f>
        <v>2432</v>
      </c>
      <c r="U113" s="123">
        <f>'Cafe to Go'!U90</f>
        <v>2325</v>
      </c>
      <c r="V113" s="123">
        <f>'Cafe to Go'!V90</f>
        <v>1808</v>
      </c>
      <c r="W113" s="123">
        <f>'Cafe to Go'!W90</f>
        <v>2903</v>
      </c>
      <c r="X113" s="123">
        <f>'Cafe to Go'!X90</f>
        <v>3080</v>
      </c>
      <c r="Y113" s="123">
        <f>'Cafe to Go'!Y90</f>
        <v>1850</v>
      </c>
      <c r="Z113" s="123">
        <f>'Cafe to Go'!Z90</f>
        <v>2500</v>
      </c>
      <c r="AA113" s="123">
        <f>'Cafe to Go'!AA90</f>
        <v>1850</v>
      </c>
      <c r="AB113" s="123">
        <f>'Cafe to Go'!AB90</f>
        <v>2050</v>
      </c>
      <c r="AC113" s="133">
        <f t="shared" si="30"/>
        <v>30629</v>
      </c>
      <c r="AD113" s="123">
        <f t="shared" si="28"/>
        <v>-379</v>
      </c>
      <c r="AE113" s="196">
        <f t="shared" si="31"/>
        <v>-1.237389402200529E-2</v>
      </c>
      <c r="AF113" s="133">
        <v>16278</v>
      </c>
      <c r="AG113" s="124">
        <f t="shared" si="29"/>
        <v>13972</v>
      </c>
      <c r="AH113" s="124"/>
      <c r="AI113" s="124"/>
      <c r="AJ113" s="124"/>
      <c r="AL113" s="124"/>
    </row>
    <row r="114" spans="1:38">
      <c r="A114" s="105" t="s">
        <v>461</v>
      </c>
      <c r="B114" s="105" t="s">
        <v>387</v>
      </c>
      <c r="C114" s="105" t="s">
        <v>388</v>
      </c>
      <c r="D114" s="123">
        <f>'Wet Republic'!D90</f>
        <v>0</v>
      </c>
      <c r="E114" s="123">
        <f>'Wet Republic'!E90</f>
        <v>0</v>
      </c>
      <c r="F114" s="123">
        <f>'Wet Republic'!F90</f>
        <v>0</v>
      </c>
      <c r="G114" s="123">
        <f>'Wet Republic'!G90</f>
        <v>0</v>
      </c>
      <c r="H114" s="123">
        <f>'Wet Republic'!H90</f>
        <v>0</v>
      </c>
      <c r="I114" s="123">
        <f>'Wet Republic'!I90</f>
        <v>0</v>
      </c>
      <c r="J114" s="123">
        <f>'Wet Republic'!J90</f>
        <v>0</v>
      </c>
      <c r="K114" s="123">
        <f>'Wet Republic'!K90</f>
        <v>0</v>
      </c>
      <c r="L114" s="123">
        <f>'Wet Republic'!L90</f>
        <v>0</v>
      </c>
      <c r="M114" s="123">
        <f>'Wet Republic'!M90</f>
        <v>0</v>
      </c>
      <c r="N114" s="123">
        <f>'Wet Republic'!N90</f>
        <v>0</v>
      </c>
      <c r="O114" s="123">
        <f>'Wet Republic'!O90</f>
        <v>0</v>
      </c>
      <c r="P114" s="133">
        <f t="shared" si="27"/>
        <v>0</v>
      </c>
      <c r="Q114" s="123">
        <f>'Wet Republic'!Q90</f>
        <v>0</v>
      </c>
      <c r="R114" s="123">
        <f>'Wet Republic'!R90</f>
        <v>0</v>
      </c>
      <c r="S114" s="123">
        <f>'Wet Republic'!S90</f>
        <v>0</v>
      </c>
      <c r="T114" s="123">
        <f>'Wet Republic'!T90</f>
        <v>0</v>
      </c>
      <c r="U114" s="123">
        <f>'Wet Republic'!U90</f>
        <v>0</v>
      </c>
      <c r="V114" s="123">
        <f>'Wet Republic'!V90</f>
        <v>0</v>
      </c>
      <c r="W114" s="123">
        <f>'Wet Republic'!W90</f>
        <v>0</v>
      </c>
      <c r="X114" s="123">
        <f>'Wet Republic'!X90</f>
        <v>0</v>
      </c>
      <c r="Y114" s="123">
        <f>'Wet Republic'!Y90</f>
        <v>0</v>
      </c>
      <c r="Z114" s="123">
        <f>'Wet Republic'!Z90</f>
        <v>0</v>
      </c>
      <c r="AA114" s="123">
        <f>'Wet Republic'!AA90</f>
        <v>0</v>
      </c>
      <c r="AB114" s="123">
        <f>'Wet Republic'!AB90</f>
        <v>0</v>
      </c>
      <c r="AC114" s="133">
        <f t="shared" si="30"/>
        <v>0</v>
      </c>
      <c r="AD114" s="123">
        <f t="shared" si="28"/>
        <v>0</v>
      </c>
      <c r="AE114" s="196" t="e">
        <f t="shared" si="31"/>
        <v>#DIV/0!</v>
      </c>
      <c r="AF114" s="133">
        <v>1278</v>
      </c>
      <c r="AG114" s="124">
        <f t="shared" si="29"/>
        <v>-1278</v>
      </c>
      <c r="AH114" s="124"/>
      <c r="AI114" s="124"/>
      <c r="AJ114" s="124"/>
      <c r="AL114" s="124"/>
    </row>
    <row r="115" spans="1:38">
      <c r="A115" s="105" t="s">
        <v>461</v>
      </c>
      <c r="B115" s="105" t="s">
        <v>389</v>
      </c>
      <c r="C115" s="105" t="s">
        <v>390</v>
      </c>
      <c r="D115" s="123">
        <f>'Lobby Lounge'!D90</f>
        <v>1440</v>
      </c>
      <c r="E115" s="123">
        <f>'Lobby Lounge'!E90</f>
        <v>1870</v>
      </c>
      <c r="F115" s="123">
        <f>'Lobby Lounge'!F90</f>
        <v>1211</v>
      </c>
      <c r="G115" s="123">
        <f>'Lobby Lounge'!G90</f>
        <v>1301</v>
      </c>
      <c r="H115" s="123">
        <f>'Lobby Lounge'!H90</f>
        <v>1307</v>
      </c>
      <c r="I115" s="123">
        <f>'Lobby Lounge'!I90</f>
        <v>1198</v>
      </c>
      <c r="J115" s="123">
        <f>'Lobby Lounge'!J90</f>
        <v>1513</v>
      </c>
      <c r="K115" s="123">
        <f>'Lobby Lounge'!K90</f>
        <v>1709</v>
      </c>
      <c r="L115" s="123">
        <f>'Lobby Lounge'!L90</f>
        <v>1197</v>
      </c>
      <c r="M115" s="123">
        <f>'Lobby Lounge'!M90</f>
        <v>1236</v>
      </c>
      <c r="N115" s="123">
        <f>'Lobby Lounge'!N90</f>
        <v>1205</v>
      </c>
      <c r="O115" s="123">
        <f>'Lobby Lounge'!O90</f>
        <v>1213</v>
      </c>
      <c r="P115" s="133">
        <f t="shared" si="27"/>
        <v>16400</v>
      </c>
      <c r="Q115" s="123">
        <f>'Lobby Lounge'!Q90</f>
        <v>1756</v>
      </c>
      <c r="R115" s="123">
        <f>'Lobby Lounge'!R90</f>
        <v>3132</v>
      </c>
      <c r="S115" s="123">
        <f>'Lobby Lounge'!S90</f>
        <v>1581</v>
      </c>
      <c r="T115" s="123">
        <f>'Lobby Lounge'!T90</f>
        <v>2663</v>
      </c>
      <c r="U115" s="123">
        <f>'Lobby Lounge'!U90</f>
        <v>1729</v>
      </c>
      <c r="V115" s="123">
        <f>'Lobby Lounge'!V90</f>
        <v>1670</v>
      </c>
      <c r="W115" s="123">
        <f>'Lobby Lounge'!W90</f>
        <v>2430</v>
      </c>
      <c r="X115" s="123">
        <f>'Lobby Lounge'!X90</f>
        <v>3017</v>
      </c>
      <c r="Y115" s="123">
        <f>'Lobby Lounge'!Y90</f>
        <v>1197</v>
      </c>
      <c r="Z115" s="123">
        <f>'Lobby Lounge'!Z90</f>
        <v>1236</v>
      </c>
      <c r="AA115" s="123">
        <f>'Lobby Lounge'!AA90</f>
        <v>1205</v>
      </c>
      <c r="AB115" s="123">
        <f>'Lobby Lounge'!AB90</f>
        <v>1213</v>
      </c>
      <c r="AC115" s="133">
        <f t="shared" si="30"/>
        <v>22829</v>
      </c>
      <c r="AD115" s="123">
        <f t="shared" si="28"/>
        <v>-6429</v>
      </c>
      <c r="AE115" s="196">
        <f t="shared" si="31"/>
        <v>-0.28161548907091855</v>
      </c>
      <c r="AF115" s="133">
        <v>18786</v>
      </c>
      <c r="AG115" s="124">
        <f t="shared" si="29"/>
        <v>-2386</v>
      </c>
      <c r="AH115" s="124"/>
      <c r="AI115" s="124"/>
      <c r="AJ115" s="124"/>
      <c r="AL115" s="124"/>
    </row>
    <row r="116" spans="1:38">
      <c r="A116" s="105" t="s">
        <v>461</v>
      </c>
      <c r="B116" s="105" t="s">
        <v>391</v>
      </c>
      <c r="C116" s="105" t="s">
        <v>392</v>
      </c>
      <c r="D116" s="123">
        <f>AOC!D90</f>
        <v>0</v>
      </c>
      <c r="E116" s="123">
        <f>AOC!E90</f>
        <v>0</v>
      </c>
      <c r="F116" s="123">
        <f>AOC!F90</f>
        <v>0</v>
      </c>
      <c r="G116" s="123">
        <f>AOC!G90</f>
        <v>0</v>
      </c>
      <c r="H116" s="123">
        <f>AOC!H90</f>
        <v>0</v>
      </c>
      <c r="I116" s="123">
        <f>AOC!I90</f>
        <v>0</v>
      </c>
      <c r="J116" s="123">
        <f>AOC!J90</f>
        <v>0</v>
      </c>
      <c r="K116" s="123">
        <f>AOC!K90</f>
        <v>0</v>
      </c>
      <c r="L116" s="123">
        <f>AOC!L90</f>
        <v>0</v>
      </c>
      <c r="M116" s="123">
        <f>AOC!M90</f>
        <v>0</v>
      </c>
      <c r="N116" s="123">
        <f>AOC!N90</f>
        <v>0</v>
      </c>
      <c r="O116" s="123">
        <f>AOC!O90</f>
        <v>0</v>
      </c>
      <c r="P116" s="133">
        <f t="shared" si="27"/>
        <v>0</v>
      </c>
      <c r="Q116" s="123">
        <f>AOC!Q90</f>
        <v>0</v>
      </c>
      <c r="R116" s="123">
        <f>AOC!R90</f>
        <v>0</v>
      </c>
      <c r="S116" s="123">
        <f>AOC!S90</f>
        <v>0</v>
      </c>
      <c r="T116" s="123">
        <f>AOC!T90</f>
        <v>32</v>
      </c>
      <c r="U116" s="123">
        <f>AOC!U90</f>
        <v>-30</v>
      </c>
      <c r="V116" s="123">
        <f>AOC!V90</f>
        <v>0</v>
      </c>
      <c r="W116" s="123">
        <f>AOC!W90</f>
        <v>0</v>
      </c>
      <c r="X116" s="123">
        <f>AOC!X90</f>
        <v>0</v>
      </c>
      <c r="Y116" s="123">
        <f>AOC!Y90</f>
        <v>0</v>
      </c>
      <c r="Z116" s="123">
        <f>AOC!Z90</f>
        <v>0</v>
      </c>
      <c r="AA116" s="123">
        <f>AOC!AA90</f>
        <v>0</v>
      </c>
      <c r="AB116" s="123">
        <f>AOC!AB90</f>
        <v>0</v>
      </c>
      <c r="AC116" s="133">
        <f t="shared" si="30"/>
        <v>2</v>
      </c>
      <c r="AD116" s="123">
        <f t="shared" si="28"/>
        <v>-2</v>
      </c>
      <c r="AE116" s="196">
        <f t="shared" si="31"/>
        <v>-1</v>
      </c>
      <c r="AF116" s="133">
        <v>663</v>
      </c>
      <c r="AG116" s="124">
        <f t="shared" si="29"/>
        <v>-663</v>
      </c>
      <c r="AH116" s="124"/>
      <c r="AI116" s="124"/>
      <c r="AJ116" s="124"/>
      <c r="AL116" s="124"/>
    </row>
    <row r="117" spans="1:38">
      <c r="A117" s="105" t="s">
        <v>461</v>
      </c>
      <c r="B117" s="105" t="s">
        <v>393</v>
      </c>
      <c r="C117" s="106" t="s">
        <v>394</v>
      </c>
      <c r="D117" s="123">
        <f>'Bubble Bar'!D90</f>
        <v>1860</v>
      </c>
      <c r="E117" s="123">
        <f>'Bubble Bar'!E90</f>
        <v>2130</v>
      </c>
      <c r="F117" s="123">
        <f>'Bubble Bar'!F90</f>
        <v>1650</v>
      </c>
      <c r="G117" s="123">
        <f>'Bubble Bar'!G90</f>
        <v>1590</v>
      </c>
      <c r="H117" s="123">
        <f>'Bubble Bar'!H90</f>
        <v>1750</v>
      </c>
      <c r="I117" s="123">
        <f>'Bubble Bar'!I90</f>
        <v>1480</v>
      </c>
      <c r="J117" s="123">
        <f>'Bubble Bar'!J90</f>
        <v>1740</v>
      </c>
      <c r="K117" s="123">
        <f>'Bubble Bar'!K90</f>
        <v>1730</v>
      </c>
      <c r="L117" s="123">
        <f>'Bubble Bar'!L90</f>
        <v>1620</v>
      </c>
      <c r="M117" s="123">
        <f>'Bubble Bar'!M90</f>
        <v>1600</v>
      </c>
      <c r="N117" s="123">
        <f>'Bubble Bar'!N90</f>
        <v>1430</v>
      </c>
      <c r="O117" s="123">
        <f>'Bubble Bar'!O90</f>
        <v>1730</v>
      </c>
      <c r="P117" s="133">
        <f t="shared" si="27"/>
        <v>20310</v>
      </c>
      <c r="Q117" s="123">
        <f>'Bubble Bar'!Q90</f>
        <v>1363</v>
      </c>
      <c r="R117" s="123">
        <f>'Bubble Bar'!R90</f>
        <v>1192</v>
      </c>
      <c r="S117" s="123">
        <f>'Bubble Bar'!S90</f>
        <v>1591</v>
      </c>
      <c r="T117" s="123">
        <f>'Bubble Bar'!T90</f>
        <v>1588</v>
      </c>
      <c r="U117" s="123">
        <f>'Bubble Bar'!U90</f>
        <v>1129</v>
      </c>
      <c r="V117" s="123">
        <f>'Bubble Bar'!V90</f>
        <v>735</v>
      </c>
      <c r="W117" s="123">
        <f>'Bubble Bar'!W90</f>
        <v>1119</v>
      </c>
      <c r="X117" s="123">
        <f>'Bubble Bar'!X90</f>
        <v>2072</v>
      </c>
      <c r="Y117" s="123">
        <f>'Bubble Bar'!Y90</f>
        <v>1620</v>
      </c>
      <c r="Z117" s="123">
        <f>'Bubble Bar'!Z90</f>
        <v>1600</v>
      </c>
      <c r="AA117" s="123">
        <f>'Bubble Bar'!AA90</f>
        <v>1430</v>
      </c>
      <c r="AB117" s="123">
        <f>'Bubble Bar'!AB90</f>
        <v>1730</v>
      </c>
      <c r="AC117" s="133">
        <f t="shared" si="30"/>
        <v>17169</v>
      </c>
      <c r="AD117" s="123">
        <f t="shared" si="28"/>
        <v>3141</v>
      </c>
      <c r="AE117" s="196">
        <f t="shared" si="31"/>
        <v>0.18294600733880831</v>
      </c>
      <c r="AF117" s="133">
        <v>5862</v>
      </c>
      <c r="AG117" s="124">
        <f t="shared" si="29"/>
        <v>14448</v>
      </c>
      <c r="AH117" s="124"/>
      <c r="AI117" s="124"/>
      <c r="AJ117" s="124"/>
      <c r="AL117" s="124"/>
    </row>
    <row r="118" spans="1:38">
      <c r="A118" s="105" t="s">
        <v>461</v>
      </c>
      <c r="B118" s="105" t="s">
        <v>395</v>
      </c>
      <c r="C118" s="105" t="s">
        <v>396</v>
      </c>
      <c r="D118" s="193">
        <f>Papillon!D90</f>
        <v>0</v>
      </c>
      <c r="E118" s="194">
        <f>Papillon!E90</f>
        <v>0</v>
      </c>
      <c r="F118" s="194">
        <f>Papillon!F90</f>
        <v>0</v>
      </c>
      <c r="G118" s="194">
        <f>Papillon!G90</f>
        <v>0</v>
      </c>
      <c r="H118" s="194">
        <f>Papillon!H90</f>
        <v>0</v>
      </c>
      <c r="I118" s="194">
        <f>Papillon!I90</f>
        <v>0</v>
      </c>
      <c r="J118" s="194">
        <f>Papillon!J90</f>
        <v>0</v>
      </c>
      <c r="K118" s="194">
        <f>Papillon!K90</f>
        <v>0</v>
      </c>
      <c r="L118" s="194">
        <f>Papillon!L90</f>
        <v>0</v>
      </c>
      <c r="M118" s="194">
        <f>Papillon!M90</f>
        <v>0</v>
      </c>
      <c r="N118" s="194">
        <f>Papillon!N90</f>
        <v>0</v>
      </c>
      <c r="O118" s="194">
        <f>Papillon!O90</f>
        <v>0</v>
      </c>
      <c r="P118" s="133">
        <f t="shared" si="27"/>
        <v>0</v>
      </c>
      <c r="Q118" s="194">
        <f>Papillon!Q90</f>
        <v>0</v>
      </c>
      <c r="R118" s="194">
        <f>Papillon!R90</f>
        <v>0</v>
      </c>
      <c r="S118" s="194">
        <f>Papillon!S90</f>
        <v>0</v>
      </c>
      <c r="T118" s="194">
        <f>Papillon!T90</f>
        <v>0</v>
      </c>
      <c r="U118" s="194">
        <f>Papillon!U90</f>
        <v>0</v>
      </c>
      <c r="V118" s="194">
        <f>Papillon!V90</f>
        <v>0</v>
      </c>
      <c r="W118" s="194">
        <f>Papillon!W90</f>
        <v>0</v>
      </c>
      <c r="X118" s="194">
        <f>Papillon!X90</f>
        <v>0</v>
      </c>
      <c r="Y118" s="194">
        <f>Papillon!Y90</f>
        <v>0</v>
      </c>
      <c r="Z118" s="194">
        <f>Papillon!Z90</f>
        <v>0</v>
      </c>
      <c r="AA118" s="194">
        <f>Papillon!AA90</f>
        <v>0</v>
      </c>
      <c r="AB118" s="194">
        <f>Papillon!AB90</f>
        <v>0</v>
      </c>
      <c r="AC118" s="133">
        <f t="shared" si="30"/>
        <v>0</v>
      </c>
      <c r="AD118" s="123">
        <f t="shared" si="28"/>
        <v>0</v>
      </c>
      <c r="AE118" s="196" t="e">
        <f t="shared" si="31"/>
        <v>#DIV/0!</v>
      </c>
      <c r="AF118" s="133">
        <v>375</v>
      </c>
      <c r="AG118" s="124">
        <f t="shared" si="29"/>
        <v>-375</v>
      </c>
      <c r="AH118" s="124"/>
      <c r="AI118" s="124"/>
      <c r="AJ118" s="124"/>
      <c r="AL118" s="124"/>
    </row>
    <row r="119" spans="1:38">
      <c r="A119" s="105" t="s">
        <v>461</v>
      </c>
      <c r="B119" s="105" t="s">
        <v>397</v>
      </c>
      <c r="C119" s="105" t="s">
        <v>398</v>
      </c>
      <c r="D119" s="123">
        <f>'Room Service'!D90</f>
        <v>1380</v>
      </c>
      <c r="E119" s="123">
        <f>'Room Service'!E90</f>
        <v>1600</v>
      </c>
      <c r="F119" s="123">
        <f>'Room Service'!F90</f>
        <v>1230</v>
      </c>
      <c r="G119" s="123">
        <f>'Room Service'!G90</f>
        <v>1060</v>
      </c>
      <c r="H119" s="123">
        <f>'Room Service'!H90</f>
        <v>1010</v>
      </c>
      <c r="I119" s="123">
        <f>'Room Service'!I90</f>
        <v>990</v>
      </c>
      <c r="J119" s="123">
        <f>'Room Service'!J90</f>
        <v>1130</v>
      </c>
      <c r="K119" s="123">
        <f>'Room Service'!K90</f>
        <v>1180</v>
      </c>
      <c r="L119" s="123">
        <f>'Room Service'!L90</f>
        <v>1110</v>
      </c>
      <c r="M119" s="123">
        <f>'Room Service'!M90</f>
        <v>1280</v>
      </c>
      <c r="N119" s="123">
        <f>'Room Service'!N90</f>
        <v>1300</v>
      </c>
      <c r="O119" s="123">
        <f>'Room Service'!O90</f>
        <v>1500</v>
      </c>
      <c r="P119" s="133">
        <f t="shared" si="27"/>
        <v>14770</v>
      </c>
      <c r="Q119" s="123">
        <f>'Room Service'!Q90</f>
        <v>1585</v>
      </c>
      <c r="R119" s="123">
        <f>'Room Service'!R90</f>
        <v>1312</v>
      </c>
      <c r="S119" s="123">
        <f>'Room Service'!S90</f>
        <v>1200</v>
      </c>
      <c r="T119" s="123">
        <f>'Room Service'!T90</f>
        <v>1216</v>
      </c>
      <c r="U119" s="123">
        <f>'Room Service'!U90</f>
        <v>1038</v>
      </c>
      <c r="V119" s="123">
        <f>'Room Service'!V90</f>
        <v>870</v>
      </c>
      <c r="W119" s="123">
        <f>'Room Service'!W90</f>
        <v>1197</v>
      </c>
      <c r="X119" s="123">
        <f>'Room Service'!X90</f>
        <v>1287</v>
      </c>
      <c r="Y119" s="123">
        <f>'Room Service'!Y90</f>
        <v>1110</v>
      </c>
      <c r="Z119" s="123">
        <f>'Room Service'!Z90</f>
        <v>1280</v>
      </c>
      <c r="AA119" s="123">
        <f>'Room Service'!AA90</f>
        <v>1300</v>
      </c>
      <c r="AB119" s="123">
        <f>'Room Service'!AB90</f>
        <v>1500</v>
      </c>
      <c r="AC119" s="133">
        <f t="shared" si="30"/>
        <v>14895</v>
      </c>
      <c r="AD119" s="123">
        <f t="shared" si="28"/>
        <v>-125</v>
      </c>
      <c r="AE119" s="196">
        <f t="shared" si="31"/>
        <v>-8.3920778784827132E-3</v>
      </c>
      <c r="AF119" s="133">
        <v>23848</v>
      </c>
      <c r="AG119" s="124">
        <f t="shared" si="29"/>
        <v>-9078</v>
      </c>
      <c r="AH119" s="124"/>
      <c r="AI119" s="124"/>
      <c r="AJ119" s="124"/>
      <c r="AL119" s="124"/>
    </row>
    <row r="120" spans="1:38">
      <c r="A120" s="105" t="s">
        <v>461</v>
      </c>
      <c r="B120" s="105" t="s">
        <v>399</v>
      </c>
      <c r="C120" s="105" t="s">
        <v>404</v>
      </c>
      <c r="D120" s="123">
        <f>Banquet!D90</f>
        <v>650</v>
      </c>
      <c r="E120" s="123">
        <f>Banquet!E90</f>
        <v>100</v>
      </c>
      <c r="F120" s="123">
        <f>Banquet!F90</f>
        <v>650</v>
      </c>
      <c r="G120" s="123">
        <f>Banquet!G90</f>
        <v>650</v>
      </c>
      <c r="H120" s="123">
        <f>Banquet!H90</f>
        <v>550</v>
      </c>
      <c r="I120" s="123">
        <f>Banquet!I90</f>
        <v>600</v>
      </c>
      <c r="J120" s="123">
        <f>Banquet!J90</f>
        <v>300</v>
      </c>
      <c r="K120" s="123">
        <f>Banquet!K90</f>
        <v>300</v>
      </c>
      <c r="L120" s="123">
        <f>Banquet!L90</f>
        <v>900</v>
      </c>
      <c r="M120" s="123">
        <f>Banquet!M90</f>
        <v>1700</v>
      </c>
      <c r="N120" s="123">
        <f>Banquet!N90</f>
        <v>2300</v>
      </c>
      <c r="O120" s="123">
        <f>Banquet!O90</f>
        <v>2400</v>
      </c>
      <c r="P120" s="133">
        <f t="shared" si="27"/>
        <v>11100</v>
      </c>
      <c r="Q120" s="123">
        <f>Banquet!Q90</f>
        <v>726</v>
      </c>
      <c r="R120" s="123">
        <f>Banquet!R90</f>
        <v>20</v>
      </c>
      <c r="S120" s="123">
        <f>Banquet!S90</f>
        <v>482</v>
      </c>
      <c r="T120" s="123">
        <f>Banquet!T90</f>
        <v>407</v>
      </c>
      <c r="U120" s="123">
        <f>Banquet!U90</f>
        <v>546</v>
      </c>
      <c r="V120" s="123">
        <f>Banquet!V90</f>
        <v>371</v>
      </c>
      <c r="W120" s="123">
        <f>Banquet!W90</f>
        <v>313</v>
      </c>
      <c r="X120" s="123">
        <f>Banquet!X90</f>
        <v>0</v>
      </c>
      <c r="Y120" s="123">
        <f>Banquet!Y90</f>
        <v>900</v>
      </c>
      <c r="Z120" s="123">
        <f>Banquet!Z90</f>
        <v>1300</v>
      </c>
      <c r="AA120" s="123">
        <f>Banquet!AA90</f>
        <v>1700</v>
      </c>
      <c r="AB120" s="123">
        <f>Banquet!AB90</f>
        <v>1770</v>
      </c>
      <c r="AC120" s="133">
        <f t="shared" si="30"/>
        <v>8535</v>
      </c>
      <c r="AD120" s="123">
        <f t="shared" si="28"/>
        <v>2565</v>
      </c>
      <c r="AE120" s="196">
        <f t="shared" si="31"/>
        <v>0.30052724077328646</v>
      </c>
      <c r="AF120" s="133">
        <v>15745</v>
      </c>
      <c r="AG120" s="124">
        <f t="shared" si="29"/>
        <v>-4645</v>
      </c>
      <c r="AH120" s="124"/>
      <c r="AI120" s="124"/>
      <c r="AJ120" s="124"/>
      <c r="AL120" s="124"/>
    </row>
    <row r="121" spans="1:38">
      <c r="A121" s="105" t="s">
        <v>273</v>
      </c>
      <c r="C121" s="105" t="s">
        <v>462</v>
      </c>
      <c r="D121" s="133">
        <f>SUM(D106:D120)</f>
        <v>62630</v>
      </c>
      <c r="E121" s="133">
        <f t="shared" ref="E121:AC121" si="32">SUM(E106:E120)</f>
        <v>57700</v>
      </c>
      <c r="F121" s="133">
        <f t="shared" si="32"/>
        <v>50691</v>
      </c>
      <c r="G121" s="133">
        <f t="shared" si="32"/>
        <v>48501</v>
      </c>
      <c r="H121" s="133">
        <f t="shared" si="32"/>
        <v>49037</v>
      </c>
      <c r="I121" s="133">
        <f t="shared" si="32"/>
        <v>43918</v>
      </c>
      <c r="J121" s="133">
        <f t="shared" si="32"/>
        <v>58863</v>
      </c>
      <c r="K121" s="133">
        <f t="shared" si="32"/>
        <v>60649</v>
      </c>
      <c r="L121" s="133">
        <f t="shared" si="32"/>
        <v>44321</v>
      </c>
      <c r="M121" s="133">
        <f t="shared" si="32"/>
        <v>50000</v>
      </c>
      <c r="N121" s="133">
        <f t="shared" si="32"/>
        <v>48224</v>
      </c>
      <c r="O121" s="133">
        <f t="shared" si="32"/>
        <v>54865</v>
      </c>
      <c r="P121" s="133">
        <f t="shared" si="32"/>
        <v>629399</v>
      </c>
      <c r="Q121" s="133">
        <f t="shared" si="32"/>
        <v>59172</v>
      </c>
      <c r="R121" s="133">
        <f t="shared" si="32"/>
        <v>64826</v>
      </c>
      <c r="S121" s="133">
        <f t="shared" si="32"/>
        <v>55946</v>
      </c>
      <c r="T121" s="133">
        <f t="shared" si="32"/>
        <v>51959</v>
      </c>
      <c r="U121" s="133">
        <f t="shared" si="32"/>
        <v>47865</v>
      </c>
      <c r="V121" s="133">
        <f t="shared" si="32"/>
        <v>46788</v>
      </c>
      <c r="W121" s="133">
        <f t="shared" si="32"/>
        <v>60360</v>
      </c>
      <c r="X121" s="133">
        <f t="shared" si="32"/>
        <v>66859</v>
      </c>
      <c r="Y121" s="133">
        <f>SUM(Y106:Y120)</f>
        <v>35377</v>
      </c>
      <c r="Z121" s="133">
        <f>SUM(Z106:Z120)</f>
        <v>44016</v>
      </c>
      <c r="AA121" s="133">
        <f>SUM(AA106:AA120)</f>
        <v>41645</v>
      </c>
      <c r="AB121" s="133">
        <f>SUM(AB106:AB120)</f>
        <v>46680</v>
      </c>
      <c r="AC121" s="133">
        <f t="shared" si="32"/>
        <v>621493</v>
      </c>
      <c r="AD121" s="133">
        <f t="shared" si="28"/>
        <v>7906</v>
      </c>
      <c r="AE121" s="196">
        <f t="shared" si="31"/>
        <v>1.2720979962767078E-2</v>
      </c>
      <c r="AF121" s="133">
        <v>637324</v>
      </c>
      <c r="AG121" s="124">
        <f t="shared" si="29"/>
        <v>-7925</v>
      </c>
      <c r="AH121" s="124"/>
      <c r="AI121" s="124"/>
      <c r="AJ121" s="124"/>
      <c r="AL121" s="124"/>
    </row>
    <row r="122" spans="1:38">
      <c r="A122" s="105" t="s">
        <v>273</v>
      </c>
      <c r="C122" s="105" t="s">
        <v>154</v>
      </c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33">
        <f>P121/'Rooms+Summary'!Q52</f>
        <v>2.9660790107399189</v>
      </c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33">
        <f>AC121/'Rooms+Summary'!AD52</f>
        <v>2.8359122249042898</v>
      </c>
      <c r="AD122" s="123"/>
      <c r="AE122" s="196">
        <f t="shared" si="31"/>
        <v>0</v>
      </c>
      <c r="AF122" s="133">
        <f>AF121/'Rooms+Summary'!AG52</f>
        <v>2.9827072208468079</v>
      </c>
      <c r="AG122" s="124">
        <f t="shared" si="29"/>
        <v>-1.6628210106889085E-2</v>
      </c>
      <c r="AH122" s="124"/>
      <c r="AI122" s="124"/>
      <c r="AJ122" s="124"/>
      <c r="AL122" s="124"/>
    </row>
    <row r="123" spans="1:38">
      <c r="A123" s="105" t="s">
        <v>273</v>
      </c>
      <c r="C123" s="105" t="s">
        <v>463</v>
      </c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3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33"/>
      <c r="AD123" s="123"/>
      <c r="AE123" s="196" t="e">
        <f t="shared" si="31"/>
        <v>#DIV/0!</v>
      </c>
      <c r="AF123" s="133"/>
      <c r="AG123" s="124">
        <f t="shared" si="29"/>
        <v>0</v>
      </c>
      <c r="AH123" s="124"/>
      <c r="AI123" s="124"/>
      <c r="AJ123" s="124"/>
      <c r="AL123" s="124"/>
    </row>
    <row r="124" spans="1:38" ht="15">
      <c r="A124" s="105" t="s">
        <v>273</v>
      </c>
      <c r="C124" s="105" t="s">
        <v>371</v>
      </c>
      <c r="D124" s="199"/>
      <c r="E124" s="123" t="s">
        <v>372</v>
      </c>
      <c r="F124" s="123" t="s">
        <v>372</v>
      </c>
      <c r="G124" s="123" t="s">
        <v>372</v>
      </c>
      <c r="H124" s="123" t="s">
        <v>372</v>
      </c>
      <c r="I124" s="123" t="s">
        <v>372</v>
      </c>
      <c r="J124" s="123" t="s">
        <v>372</v>
      </c>
      <c r="K124" s="123" t="s">
        <v>372</v>
      </c>
      <c r="L124" s="123" t="s">
        <v>372</v>
      </c>
      <c r="M124" s="123" t="s">
        <v>372</v>
      </c>
      <c r="N124" s="123" t="s">
        <v>372</v>
      </c>
      <c r="O124" s="123" t="s">
        <v>372</v>
      </c>
      <c r="P124" s="133" t="s">
        <v>372</v>
      </c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33" t="s">
        <v>372</v>
      </c>
      <c r="AD124" s="123" t="e">
        <f t="shared" ref="AD124:AD139" si="33">P124-AC124</f>
        <v>#VALUE!</v>
      </c>
      <c r="AE124" s="196" t="e">
        <f t="shared" si="31"/>
        <v>#VALUE!</v>
      </c>
      <c r="AF124" s="133" t="s">
        <v>372</v>
      </c>
      <c r="AG124" s="124" t="e">
        <f t="shared" si="29"/>
        <v>#VALUE!</v>
      </c>
      <c r="AH124" s="124"/>
      <c r="AI124" s="124"/>
      <c r="AJ124" s="124"/>
      <c r="AL124" s="124"/>
    </row>
    <row r="125" spans="1:38">
      <c r="A125" s="105" t="s">
        <v>273</v>
      </c>
      <c r="C125" s="105" t="s">
        <v>373</v>
      </c>
      <c r="D125" s="123" t="s">
        <v>372</v>
      </c>
      <c r="E125" s="123" t="s">
        <v>372</v>
      </c>
      <c r="F125" s="123" t="s">
        <v>372</v>
      </c>
      <c r="G125" s="123" t="s">
        <v>372</v>
      </c>
      <c r="H125" s="123" t="s">
        <v>372</v>
      </c>
      <c r="I125" s="123" t="s">
        <v>372</v>
      </c>
      <c r="J125" s="123" t="s">
        <v>372</v>
      </c>
      <c r="K125" s="123" t="s">
        <v>372</v>
      </c>
      <c r="L125" s="123" t="s">
        <v>372</v>
      </c>
      <c r="M125" s="123" t="s">
        <v>372</v>
      </c>
      <c r="N125" s="123" t="s">
        <v>372</v>
      </c>
      <c r="O125" s="123" t="s">
        <v>372</v>
      </c>
      <c r="P125" s="133" t="s">
        <v>372</v>
      </c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33" t="s">
        <v>372</v>
      </c>
      <c r="AD125" s="123" t="e">
        <f t="shared" si="33"/>
        <v>#VALUE!</v>
      </c>
      <c r="AE125" s="196" t="e">
        <f t="shared" si="31"/>
        <v>#VALUE!</v>
      </c>
      <c r="AF125" s="133" t="s">
        <v>372</v>
      </c>
      <c r="AG125" s="124" t="e">
        <f t="shared" si="29"/>
        <v>#VALUE!</v>
      </c>
      <c r="AH125" s="124"/>
      <c r="AI125" s="124"/>
      <c r="AJ125" s="124"/>
      <c r="AL125" s="124"/>
    </row>
    <row r="126" spans="1:38">
      <c r="A126" s="105" t="s">
        <v>273</v>
      </c>
      <c r="C126" s="105" t="s">
        <v>376</v>
      </c>
      <c r="D126" s="123">
        <f t="shared" ref="D126:AC135" si="34">IF(D108=0,0,ROUND(D11/D108,2))</f>
        <v>94</v>
      </c>
      <c r="E126" s="123">
        <f t="shared" si="34"/>
        <v>95</v>
      </c>
      <c r="F126" s="123">
        <f t="shared" si="34"/>
        <v>85</v>
      </c>
      <c r="G126" s="123">
        <f t="shared" si="34"/>
        <v>85</v>
      </c>
      <c r="H126" s="123">
        <f t="shared" si="34"/>
        <v>85</v>
      </c>
      <c r="I126" s="123">
        <f t="shared" si="34"/>
        <v>85</v>
      </c>
      <c r="J126" s="123">
        <f t="shared" si="34"/>
        <v>92</v>
      </c>
      <c r="K126" s="123">
        <f t="shared" si="34"/>
        <v>92</v>
      </c>
      <c r="L126" s="123">
        <f t="shared" si="34"/>
        <v>85</v>
      </c>
      <c r="M126" s="123">
        <f t="shared" si="34"/>
        <v>85</v>
      </c>
      <c r="N126" s="123">
        <f t="shared" si="34"/>
        <v>85</v>
      </c>
      <c r="O126" s="123">
        <f t="shared" si="34"/>
        <v>85</v>
      </c>
      <c r="P126" s="133">
        <f t="shared" si="34"/>
        <v>88.02</v>
      </c>
      <c r="Q126" s="123">
        <f t="shared" si="34"/>
        <v>92.48</v>
      </c>
      <c r="R126" s="123">
        <f t="shared" si="34"/>
        <v>105.03</v>
      </c>
      <c r="S126" s="123">
        <f t="shared" si="34"/>
        <v>91.76</v>
      </c>
      <c r="T126" s="123">
        <f t="shared" si="34"/>
        <v>92.45</v>
      </c>
      <c r="U126" s="123">
        <f t="shared" si="34"/>
        <v>89.19</v>
      </c>
      <c r="V126" s="123">
        <f t="shared" si="34"/>
        <v>92.53</v>
      </c>
      <c r="W126" s="123">
        <f t="shared" si="34"/>
        <v>94.32</v>
      </c>
      <c r="X126" s="123">
        <f t="shared" si="34"/>
        <v>94.28</v>
      </c>
      <c r="Y126" s="123">
        <f t="shared" si="34"/>
        <v>72.540000000000006</v>
      </c>
      <c r="Z126" s="123">
        <f t="shared" si="34"/>
        <v>90</v>
      </c>
      <c r="AA126" s="123">
        <f t="shared" si="34"/>
        <v>90</v>
      </c>
      <c r="AB126" s="123">
        <f t="shared" si="34"/>
        <v>92</v>
      </c>
      <c r="AC126" s="133">
        <f t="shared" si="34"/>
        <v>92.31</v>
      </c>
      <c r="AD126" s="123">
        <f t="shared" si="33"/>
        <v>-4.2900000000000063</v>
      </c>
      <c r="AE126" s="196">
        <f t="shared" si="31"/>
        <v>-4.6473838154046217E-2</v>
      </c>
      <c r="AF126" s="133">
        <v>93.7</v>
      </c>
      <c r="AG126" s="124">
        <f t="shared" si="29"/>
        <v>-5.6800000000000068</v>
      </c>
      <c r="AH126" s="124"/>
      <c r="AI126" s="124"/>
      <c r="AJ126" s="124"/>
      <c r="AL126" s="124"/>
    </row>
    <row r="127" spans="1:38">
      <c r="A127" s="105" t="s">
        <v>273</v>
      </c>
      <c r="C127" s="105" t="s">
        <v>378</v>
      </c>
      <c r="D127" s="123">
        <f t="shared" si="34"/>
        <v>130.57</v>
      </c>
      <c r="E127" s="123">
        <f t="shared" si="34"/>
        <v>132.4</v>
      </c>
      <c r="F127" s="123">
        <f t="shared" si="34"/>
        <v>100.83</v>
      </c>
      <c r="G127" s="123">
        <f t="shared" si="34"/>
        <v>100.5</v>
      </c>
      <c r="H127" s="123">
        <f t="shared" si="34"/>
        <v>101</v>
      </c>
      <c r="I127" s="123">
        <f t="shared" si="34"/>
        <v>102.81</v>
      </c>
      <c r="J127" s="123">
        <f t="shared" si="34"/>
        <v>106.34</v>
      </c>
      <c r="K127" s="123">
        <f t="shared" si="34"/>
        <v>106.05</v>
      </c>
      <c r="L127" s="123">
        <f t="shared" si="34"/>
        <v>102.28</v>
      </c>
      <c r="M127" s="123">
        <f t="shared" si="34"/>
        <v>102.12</v>
      </c>
      <c r="N127" s="123">
        <f t="shared" si="34"/>
        <v>104.03</v>
      </c>
      <c r="O127" s="123">
        <f t="shared" si="34"/>
        <v>103.84</v>
      </c>
      <c r="P127" s="133">
        <f t="shared" si="34"/>
        <v>109</v>
      </c>
      <c r="Q127" s="123">
        <f t="shared" si="34"/>
        <v>122.33</v>
      </c>
      <c r="R127" s="123">
        <f t="shared" si="34"/>
        <v>157.28</v>
      </c>
      <c r="S127" s="123">
        <f t="shared" si="34"/>
        <v>110.42</v>
      </c>
      <c r="T127" s="123">
        <f t="shared" si="34"/>
        <v>109.29</v>
      </c>
      <c r="U127" s="123">
        <f t="shared" si="34"/>
        <v>114.68</v>
      </c>
      <c r="V127" s="123">
        <f t="shared" si="34"/>
        <v>104.64</v>
      </c>
      <c r="W127" s="123">
        <f t="shared" si="34"/>
        <v>106.85</v>
      </c>
      <c r="X127" s="123">
        <f t="shared" si="34"/>
        <v>101.1</v>
      </c>
      <c r="Y127" s="123">
        <f t="shared" si="34"/>
        <v>116.96</v>
      </c>
      <c r="Z127" s="123">
        <f t="shared" si="34"/>
        <v>120</v>
      </c>
      <c r="AA127" s="123">
        <f t="shared" si="34"/>
        <v>111.97</v>
      </c>
      <c r="AB127" s="123">
        <f t="shared" si="34"/>
        <v>111.75</v>
      </c>
      <c r="AC127" s="133">
        <f t="shared" si="34"/>
        <v>116.09</v>
      </c>
      <c r="AD127" s="123">
        <f t="shared" si="33"/>
        <v>-7.0900000000000034</v>
      </c>
      <c r="AE127" s="196">
        <f t="shared" si="31"/>
        <v>-6.1073305194245871E-2</v>
      </c>
      <c r="AF127" s="133">
        <v>122.14</v>
      </c>
      <c r="AG127" s="124">
        <f t="shared" si="29"/>
        <v>-13.14</v>
      </c>
      <c r="AH127" s="124"/>
      <c r="AI127" s="124"/>
      <c r="AJ127" s="124"/>
      <c r="AL127" s="124"/>
    </row>
    <row r="128" spans="1:38">
      <c r="A128" s="105" t="s">
        <v>273</v>
      </c>
      <c r="C128" s="105" t="s">
        <v>380</v>
      </c>
      <c r="D128" s="123">
        <f t="shared" si="34"/>
        <v>320</v>
      </c>
      <c r="E128" s="123">
        <f t="shared" si="34"/>
        <v>326.20999999999998</v>
      </c>
      <c r="F128" s="123">
        <f t="shared" si="34"/>
        <v>165.6</v>
      </c>
      <c r="G128" s="123">
        <f t="shared" si="34"/>
        <v>160</v>
      </c>
      <c r="H128" s="123">
        <f t="shared" si="34"/>
        <v>159.9</v>
      </c>
      <c r="I128" s="123">
        <f t="shared" si="34"/>
        <v>159.62</v>
      </c>
      <c r="J128" s="123">
        <f t="shared" si="34"/>
        <v>174</v>
      </c>
      <c r="K128" s="123">
        <f t="shared" si="34"/>
        <v>174.06</v>
      </c>
      <c r="L128" s="123">
        <f t="shared" si="34"/>
        <v>159.22999999999999</v>
      </c>
      <c r="M128" s="123">
        <f t="shared" si="34"/>
        <v>160</v>
      </c>
      <c r="N128" s="123">
        <f t="shared" si="34"/>
        <v>170.48</v>
      </c>
      <c r="O128" s="123">
        <f t="shared" si="34"/>
        <v>170.77</v>
      </c>
      <c r="P128" s="133">
        <f t="shared" si="34"/>
        <v>199.07</v>
      </c>
      <c r="Q128" s="123">
        <f t="shared" si="34"/>
        <v>236.41</v>
      </c>
      <c r="R128" s="123">
        <f t="shared" si="34"/>
        <v>468.71</v>
      </c>
      <c r="S128" s="123">
        <f t="shared" si="34"/>
        <v>177.98</v>
      </c>
      <c r="T128" s="123">
        <f t="shared" si="34"/>
        <v>176.76</v>
      </c>
      <c r="U128" s="123">
        <f t="shared" si="34"/>
        <v>158.38999999999999</v>
      </c>
      <c r="V128" s="123">
        <f t="shared" si="34"/>
        <v>134.22</v>
      </c>
      <c r="W128" s="123">
        <f t="shared" si="34"/>
        <v>138.80000000000001</v>
      </c>
      <c r="X128" s="123">
        <f t="shared" si="34"/>
        <v>134.79</v>
      </c>
      <c r="Y128" s="123">
        <f t="shared" si="34"/>
        <v>175</v>
      </c>
      <c r="Z128" s="123">
        <f t="shared" si="34"/>
        <v>181.36</v>
      </c>
      <c r="AA128" s="123">
        <f t="shared" si="34"/>
        <v>190</v>
      </c>
      <c r="AB128" s="123">
        <f t="shared" si="34"/>
        <v>189.99</v>
      </c>
      <c r="AC128" s="133">
        <f t="shared" si="34"/>
        <v>206.74</v>
      </c>
      <c r="AD128" s="123">
        <f t="shared" si="33"/>
        <v>-7.6700000000000159</v>
      </c>
      <c r="AE128" s="196">
        <f t="shared" si="31"/>
        <v>-3.7099738802360525E-2</v>
      </c>
      <c r="AF128" s="133">
        <v>185.19</v>
      </c>
      <c r="AG128" s="124">
        <f t="shared" si="29"/>
        <v>13.879999999999995</v>
      </c>
      <c r="AH128" s="124"/>
      <c r="AI128" s="124"/>
      <c r="AJ128" s="124"/>
      <c r="AL128" s="124"/>
    </row>
    <row r="129" spans="1:38">
      <c r="A129" s="105" t="s">
        <v>273</v>
      </c>
      <c r="C129" s="105" t="s">
        <v>382</v>
      </c>
      <c r="D129" s="123">
        <f t="shared" si="34"/>
        <v>178.37</v>
      </c>
      <c r="E129" s="123">
        <f t="shared" si="34"/>
        <v>177.53</v>
      </c>
      <c r="F129" s="123">
        <f t="shared" si="34"/>
        <v>163.19999999999999</v>
      </c>
      <c r="G129" s="123">
        <f t="shared" si="34"/>
        <v>169.06</v>
      </c>
      <c r="H129" s="123">
        <f t="shared" si="34"/>
        <v>169.06</v>
      </c>
      <c r="I129" s="123">
        <f t="shared" si="34"/>
        <v>163.74</v>
      </c>
      <c r="J129" s="123">
        <f t="shared" si="34"/>
        <v>164.61</v>
      </c>
      <c r="K129" s="123">
        <f t="shared" si="34"/>
        <v>166.72</v>
      </c>
      <c r="L129" s="123">
        <f t="shared" si="34"/>
        <v>160.66999999999999</v>
      </c>
      <c r="M129" s="123">
        <f t="shared" si="34"/>
        <v>165.34</v>
      </c>
      <c r="N129" s="123">
        <f t="shared" si="34"/>
        <v>173.55</v>
      </c>
      <c r="O129" s="123">
        <f t="shared" si="34"/>
        <v>173.87</v>
      </c>
      <c r="P129" s="133">
        <f t="shared" si="34"/>
        <v>169.21</v>
      </c>
      <c r="Q129" s="123">
        <f t="shared" si="34"/>
        <v>154.84</v>
      </c>
      <c r="R129" s="123">
        <f t="shared" si="34"/>
        <v>203.33</v>
      </c>
      <c r="S129" s="123">
        <f t="shared" si="34"/>
        <v>154.13</v>
      </c>
      <c r="T129" s="123">
        <f t="shared" si="34"/>
        <v>149.56</v>
      </c>
      <c r="U129" s="123">
        <f t="shared" si="34"/>
        <v>146.84</v>
      </c>
      <c r="V129" s="123">
        <f t="shared" si="34"/>
        <v>127.54</v>
      </c>
      <c r="W129" s="123">
        <f t="shared" si="34"/>
        <v>140.49</v>
      </c>
      <c r="X129" s="123">
        <f t="shared" si="34"/>
        <v>128.86000000000001</v>
      </c>
      <c r="Y129" s="123">
        <f t="shared" si="34"/>
        <v>152.71</v>
      </c>
      <c r="Z129" s="123">
        <f t="shared" si="34"/>
        <v>150.12</v>
      </c>
      <c r="AA129" s="123">
        <f t="shared" si="34"/>
        <v>150.12</v>
      </c>
      <c r="AB129" s="123">
        <f t="shared" si="34"/>
        <v>150.12</v>
      </c>
      <c r="AC129" s="133">
        <f t="shared" si="34"/>
        <v>151.22999999999999</v>
      </c>
      <c r="AD129" s="123">
        <f t="shared" si="33"/>
        <v>17.980000000000018</v>
      </c>
      <c r="AE129" s="196">
        <f t="shared" si="31"/>
        <v>0.11889175428155802</v>
      </c>
      <c r="AF129" s="133">
        <v>158.87</v>
      </c>
      <c r="AG129" s="124">
        <f t="shared" si="29"/>
        <v>10.340000000000003</v>
      </c>
      <c r="AH129" s="124"/>
      <c r="AI129" s="124"/>
      <c r="AJ129" s="124"/>
      <c r="AL129" s="124"/>
    </row>
    <row r="130" spans="1:38">
      <c r="A130" s="105" t="s">
        <v>273</v>
      </c>
      <c r="C130" s="105" t="s">
        <v>384</v>
      </c>
      <c r="D130" s="123">
        <f t="shared" si="34"/>
        <v>271.11</v>
      </c>
      <c r="E130" s="123">
        <f t="shared" si="34"/>
        <v>282.73</v>
      </c>
      <c r="F130" s="123">
        <f t="shared" si="34"/>
        <v>217.14</v>
      </c>
      <c r="G130" s="123">
        <f t="shared" si="34"/>
        <v>215.14</v>
      </c>
      <c r="H130" s="123">
        <f t="shared" si="34"/>
        <v>216.24</v>
      </c>
      <c r="I130" s="123">
        <f t="shared" si="34"/>
        <v>209.01</v>
      </c>
      <c r="J130" s="123">
        <f t="shared" si="34"/>
        <v>220.85</v>
      </c>
      <c r="K130" s="123">
        <f t="shared" si="34"/>
        <v>229.91</v>
      </c>
      <c r="L130" s="123">
        <f t="shared" si="34"/>
        <v>199.47</v>
      </c>
      <c r="M130" s="123">
        <f t="shared" si="34"/>
        <v>198.78</v>
      </c>
      <c r="N130" s="123">
        <f t="shared" si="34"/>
        <v>183.35</v>
      </c>
      <c r="O130" s="123">
        <f t="shared" si="34"/>
        <v>280.06</v>
      </c>
      <c r="P130" s="133">
        <f t="shared" si="34"/>
        <v>229.12</v>
      </c>
      <c r="Q130" s="123">
        <f t="shared" si="34"/>
        <v>246.33</v>
      </c>
      <c r="R130" s="123">
        <f t="shared" si="34"/>
        <v>349.11</v>
      </c>
      <c r="S130" s="123">
        <f t="shared" si="34"/>
        <v>233.96</v>
      </c>
      <c r="T130" s="123">
        <f t="shared" si="34"/>
        <v>219.63</v>
      </c>
      <c r="U130" s="123">
        <f t="shared" si="34"/>
        <v>222.16</v>
      </c>
      <c r="V130" s="123">
        <f t="shared" si="34"/>
        <v>201.44</v>
      </c>
      <c r="W130" s="123">
        <f t="shared" si="34"/>
        <v>214.67</v>
      </c>
      <c r="X130" s="123">
        <f t="shared" si="34"/>
        <v>209.91</v>
      </c>
      <c r="Y130" s="123">
        <f t="shared" si="34"/>
        <v>222.22</v>
      </c>
      <c r="Z130" s="123">
        <f t="shared" si="34"/>
        <v>229.24</v>
      </c>
      <c r="AA130" s="123">
        <f t="shared" si="34"/>
        <v>219.72</v>
      </c>
      <c r="AB130" s="123">
        <f t="shared" si="34"/>
        <v>277.91000000000003</v>
      </c>
      <c r="AC130" s="133">
        <f t="shared" si="34"/>
        <v>237.71</v>
      </c>
      <c r="AD130" s="123">
        <f t="shared" si="33"/>
        <v>-8.5900000000000034</v>
      </c>
      <c r="AE130" s="196">
        <f t="shared" si="31"/>
        <v>-3.613646880652898E-2</v>
      </c>
      <c r="AF130" s="133">
        <v>259.14999999999998</v>
      </c>
      <c r="AG130" s="124">
        <f t="shared" si="29"/>
        <v>-30.029999999999973</v>
      </c>
      <c r="AH130" s="124"/>
      <c r="AI130" s="124"/>
      <c r="AJ130" s="124"/>
      <c r="AL130" s="124"/>
    </row>
    <row r="131" spans="1:38">
      <c r="A131" s="105" t="s">
        <v>273</v>
      </c>
      <c r="C131" s="105" t="s">
        <v>386</v>
      </c>
      <c r="D131" s="123">
        <f t="shared" si="34"/>
        <v>65.290000000000006</v>
      </c>
      <c r="E131" s="123">
        <f t="shared" si="34"/>
        <v>65.45</v>
      </c>
      <c r="F131" s="123">
        <f t="shared" si="34"/>
        <v>65.28</v>
      </c>
      <c r="G131" s="123">
        <f t="shared" si="34"/>
        <v>53.72</v>
      </c>
      <c r="H131" s="123">
        <f t="shared" si="34"/>
        <v>58.37</v>
      </c>
      <c r="I131" s="123">
        <f t="shared" si="34"/>
        <v>55.41</v>
      </c>
      <c r="J131" s="123">
        <f t="shared" si="34"/>
        <v>63.89</v>
      </c>
      <c r="K131" s="123">
        <f t="shared" si="34"/>
        <v>63.5</v>
      </c>
      <c r="L131" s="123">
        <f t="shared" si="34"/>
        <v>54.05</v>
      </c>
      <c r="M131" s="123">
        <f t="shared" si="34"/>
        <v>63.8</v>
      </c>
      <c r="N131" s="123">
        <f t="shared" si="34"/>
        <v>62.97</v>
      </c>
      <c r="O131" s="123">
        <f t="shared" si="34"/>
        <v>62.93</v>
      </c>
      <c r="P131" s="133">
        <f t="shared" si="34"/>
        <v>61.98</v>
      </c>
      <c r="Q131" s="123">
        <f t="shared" si="34"/>
        <v>66.260000000000005</v>
      </c>
      <c r="R131" s="123">
        <f t="shared" si="34"/>
        <v>66.64</v>
      </c>
      <c r="S131" s="123">
        <f t="shared" si="34"/>
        <v>55.39</v>
      </c>
      <c r="T131" s="123">
        <f t="shared" si="34"/>
        <v>55.74</v>
      </c>
      <c r="U131" s="123">
        <f t="shared" si="34"/>
        <v>52.25</v>
      </c>
      <c r="V131" s="123">
        <f t="shared" si="34"/>
        <v>58.03</v>
      </c>
      <c r="W131" s="123">
        <f t="shared" si="34"/>
        <v>63.03</v>
      </c>
      <c r="X131" s="123">
        <f t="shared" si="34"/>
        <v>61.85</v>
      </c>
      <c r="Y131" s="123">
        <f t="shared" si="34"/>
        <v>54.05</v>
      </c>
      <c r="Z131" s="123">
        <f t="shared" si="34"/>
        <v>63.8</v>
      </c>
      <c r="AA131" s="123">
        <f t="shared" si="34"/>
        <v>62.97</v>
      </c>
      <c r="AB131" s="123">
        <f t="shared" si="34"/>
        <v>62.93</v>
      </c>
      <c r="AC131" s="133">
        <f t="shared" si="34"/>
        <v>60.75</v>
      </c>
      <c r="AD131" s="123">
        <f t="shared" si="33"/>
        <v>1.2299999999999969</v>
      </c>
      <c r="AE131" s="196">
        <f t="shared" si="31"/>
        <v>2.0246913580246863E-2</v>
      </c>
      <c r="AF131" s="133">
        <v>98.24</v>
      </c>
      <c r="AG131" s="124">
        <f t="shared" si="29"/>
        <v>-36.26</v>
      </c>
      <c r="AH131" s="124"/>
      <c r="AI131" s="124"/>
      <c r="AJ131" s="124"/>
      <c r="AL131" s="124"/>
    </row>
    <row r="132" spans="1:38">
      <c r="A132" s="105" t="s">
        <v>273</v>
      </c>
      <c r="C132" s="105" t="s">
        <v>388</v>
      </c>
      <c r="D132" s="123">
        <f t="shared" si="34"/>
        <v>0</v>
      </c>
      <c r="E132" s="123">
        <f t="shared" si="34"/>
        <v>0</v>
      </c>
      <c r="F132" s="123">
        <f t="shared" si="34"/>
        <v>0</v>
      </c>
      <c r="G132" s="123">
        <f t="shared" si="34"/>
        <v>0</v>
      </c>
      <c r="H132" s="123">
        <f t="shared" si="34"/>
        <v>0</v>
      </c>
      <c r="I132" s="123">
        <f t="shared" si="34"/>
        <v>0</v>
      </c>
      <c r="J132" s="123">
        <f t="shared" si="34"/>
        <v>0</v>
      </c>
      <c r="K132" s="123">
        <f t="shared" si="34"/>
        <v>0</v>
      </c>
      <c r="L132" s="123">
        <f t="shared" si="34"/>
        <v>0</v>
      </c>
      <c r="M132" s="123">
        <f t="shared" si="34"/>
        <v>0</v>
      </c>
      <c r="N132" s="123">
        <f t="shared" si="34"/>
        <v>0</v>
      </c>
      <c r="O132" s="123">
        <f t="shared" si="34"/>
        <v>0</v>
      </c>
      <c r="P132" s="133">
        <f t="shared" si="34"/>
        <v>0</v>
      </c>
      <c r="Q132" s="123">
        <f t="shared" si="34"/>
        <v>0</v>
      </c>
      <c r="R132" s="123">
        <f t="shared" si="34"/>
        <v>0</v>
      </c>
      <c r="S132" s="123">
        <f t="shared" si="34"/>
        <v>0</v>
      </c>
      <c r="T132" s="123">
        <f t="shared" si="34"/>
        <v>0</v>
      </c>
      <c r="U132" s="123">
        <f t="shared" si="34"/>
        <v>0</v>
      </c>
      <c r="V132" s="123">
        <f t="shared" si="34"/>
        <v>0</v>
      </c>
      <c r="W132" s="123">
        <f t="shared" si="34"/>
        <v>0</v>
      </c>
      <c r="X132" s="123">
        <f t="shared" si="34"/>
        <v>0</v>
      </c>
      <c r="Y132" s="123">
        <f t="shared" si="34"/>
        <v>0</v>
      </c>
      <c r="Z132" s="123">
        <f t="shared" si="34"/>
        <v>0</v>
      </c>
      <c r="AA132" s="123">
        <f t="shared" si="34"/>
        <v>0</v>
      </c>
      <c r="AB132" s="123">
        <f t="shared" si="34"/>
        <v>0</v>
      </c>
      <c r="AC132" s="133">
        <f t="shared" si="34"/>
        <v>0</v>
      </c>
      <c r="AD132" s="123">
        <f t="shared" si="33"/>
        <v>0</v>
      </c>
      <c r="AE132" s="196" t="e">
        <f t="shared" si="31"/>
        <v>#DIV/0!</v>
      </c>
      <c r="AF132" s="133">
        <v>288.52</v>
      </c>
      <c r="AG132" s="124">
        <f t="shared" si="29"/>
        <v>-288.52</v>
      </c>
      <c r="AH132" s="124"/>
      <c r="AI132" s="124"/>
      <c r="AJ132" s="124"/>
      <c r="AL132" s="124"/>
    </row>
    <row r="133" spans="1:38">
      <c r="A133" s="105" t="s">
        <v>273</v>
      </c>
      <c r="C133" s="105" t="s">
        <v>390</v>
      </c>
      <c r="D133" s="123">
        <f t="shared" si="34"/>
        <v>81.42</v>
      </c>
      <c r="E133" s="123">
        <f t="shared" si="34"/>
        <v>85.27</v>
      </c>
      <c r="F133" s="123">
        <f t="shared" si="34"/>
        <v>81.7</v>
      </c>
      <c r="G133" s="123">
        <f t="shared" si="34"/>
        <v>75.930000000000007</v>
      </c>
      <c r="H133" s="123">
        <f t="shared" si="34"/>
        <v>76.89</v>
      </c>
      <c r="I133" s="123">
        <f t="shared" si="34"/>
        <v>76.53</v>
      </c>
      <c r="J133" s="123">
        <f t="shared" si="34"/>
        <v>73.5</v>
      </c>
      <c r="K133" s="123">
        <f t="shared" si="34"/>
        <v>74.94</v>
      </c>
      <c r="L133" s="123">
        <f t="shared" si="34"/>
        <v>75.73</v>
      </c>
      <c r="M133" s="123">
        <f t="shared" si="34"/>
        <v>77.23</v>
      </c>
      <c r="N133" s="123">
        <f t="shared" si="34"/>
        <v>78.2</v>
      </c>
      <c r="O133" s="123">
        <f t="shared" si="34"/>
        <v>74.61</v>
      </c>
      <c r="P133" s="133">
        <f>IF(P115=0,0,ROUND(P18/P115,2))</f>
        <v>77.849999999999994</v>
      </c>
      <c r="Q133" s="123">
        <f t="shared" si="34"/>
        <v>64.180000000000007</v>
      </c>
      <c r="R133" s="123">
        <f t="shared" si="34"/>
        <v>69.569999999999993</v>
      </c>
      <c r="S133" s="123">
        <f t="shared" si="34"/>
        <v>58.02</v>
      </c>
      <c r="T133" s="123">
        <f t="shared" si="34"/>
        <v>40.479999999999997</v>
      </c>
      <c r="U133" s="123">
        <f t="shared" si="34"/>
        <v>50.84</v>
      </c>
      <c r="V133" s="123">
        <f t="shared" si="34"/>
        <v>56.4</v>
      </c>
      <c r="W133" s="123">
        <f t="shared" si="34"/>
        <v>56.12</v>
      </c>
      <c r="X133" s="123">
        <f t="shared" si="34"/>
        <v>50.89</v>
      </c>
      <c r="Y133" s="123">
        <f>IF(Y115=0,0,ROUND(Y18/Y115,2))</f>
        <v>67.08</v>
      </c>
      <c r="Z133" s="123">
        <f t="shared" si="34"/>
        <v>77.23</v>
      </c>
      <c r="AA133" s="123">
        <f t="shared" si="34"/>
        <v>78.2</v>
      </c>
      <c r="AB133" s="123">
        <f>IF(AB115=0,0,ROUND(AB18/AB115,2))</f>
        <v>74.61</v>
      </c>
      <c r="AC133" s="133">
        <f>IF(AC115=0,0,ROUND(AC18/AC115,2))</f>
        <v>59.69</v>
      </c>
      <c r="AD133" s="123">
        <f t="shared" si="33"/>
        <v>18.159999999999997</v>
      </c>
      <c r="AE133" s="196">
        <f t="shared" si="31"/>
        <v>0.30423856592394033</v>
      </c>
      <c r="AF133" s="133">
        <v>81.77</v>
      </c>
      <c r="AG133" s="124">
        <f t="shared" si="29"/>
        <v>-3.9200000000000017</v>
      </c>
      <c r="AH133" s="124"/>
      <c r="AI133" s="124"/>
      <c r="AJ133" s="124"/>
      <c r="AL133" s="124"/>
    </row>
    <row r="134" spans="1:38">
      <c r="A134" s="105" t="s">
        <v>273</v>
      </c>
      <c r="C134" s="105" t="s">
        <v>392</v>
      </c>
      <c r="D134" s="123">
        <f t="shared" si="34"/>
        <v>0</v>
      </c>
      <c r="E134" s="123">
        <f t="shared" si="34"/>
        <v>0</v>
      </c>
      <c r="F134" s="123">
        <f t="shared" si="34"/>
        <v>0</v>
      </c>
      <c r="G134" s="123">
        <f t="shared" si="34"/>
        <v>0</v>
      </c>
      <c r="H134" s="123">
        <f t="shared" si="34"/>
        <v>0</v>
      </c>
      <c r="I134" s="123">
        <f t="shared" si="34"/>
        <v>0</v>
      </c>
      <c r="J134" s="123">
        <f t="shared" si="34"/>
        <v>0</v>
      </c>
      <c r="K134" s="123">
        <f t="shared" si="34"/>
        <v>0</v>
      </c>
      <c r="L134" s="123">
        <f t="shared" si="34"/>
        <v>0</v>
      </c>
      <c r="M134" s="123">
        <f t="shared" si="34"/>
        <v>0</v>
      </c>
      <c r="N134" s="123">
        <f t="shared" si="34"/>
        <v>0</v>
      </c>
      <c r="O134" s="123">
        <f t="shared" si="34"/>
        <v>0</v>
      </c>
      <c r="P134" s="133">
        <f t="shared" si="34"/>
        <v>0</v>
      </c>
      <c r="Q134" s="123">
        <f t="shared" si="34"/>
        <v>0</v>
      </c>
      <c r="R134" s="123">
        <f t="shared" si="34"/>
        <v>0</v>
      </c>
      <c r="S134" s="123">
        <f t="shared" si="34"/>
        <v>0</v>
      </c>
      <c r="T134" s="123">
        <f t="shared" si="34"/>
        <v>0</v>
      </c>
      <c r="U134" s="123">
        <f t="shared" si="34"/>
        <v>0</v>
      </c>
      <c r="V134" s="123">
        <f t="shared" si="34"/>
        <v>0</v>
      </c>
      <c r="W134" s="123">
        <f t="shared" si="34"/>
        <v>0</v>
      </c>
      <c r="X134" s="123">
        <f t="shared" si="34"/>
        <v>0</v>
      </c>
      <c r="Y134" s="123">
        <f t="shared" si="34"/>
        <v>0</v>
      </c>
      <c r="Z134" s="123">
        <f t="shared" si="34"/>
        <v>0</v>
      </c>
      <c r="AA134" s="123">
        <f t="shared" si="34"/>
        <v>0</v>
      </c>
      <c r="AB134" s="123">
        <f t="shared" si="34"/>
        <v>0</v>
      </c>
      <c r="AC134" s="133">
        <f t="shared" si="34"/>
        <v>0</v>
      </c>
      <c r="AD134" s="123">
        <f t="shared" si="33"/>
        <v>0</v>
      </c>
      <c r="AE134" s="196" t="e">
        <f t="shared" si="31"/>
        <v>#DIV/0!</v>
      </c>
      <c r="AF134" s="133">
        <v>30.24</v>
      </c>
      <c r="AG134" s="124">
        <f t="shared" si="29"/>
        <v>-30.24</v>
      </c>
      <c r="AH134" s="124"/>
      <c r="AI134" s="124"/>
      <c r="AJ134" s="124"/>
      <c r="AL134" s="124"/>
    </row>
    <row r="135" spans="1:38">
      <c r="A135" s="105" t="s">
        <v>273</v>
      </c>
      <c r="C135" s="106" t="s">
        <v>394</v>
      </c>
      <c r="D135" s="123">
        <f t="shared" si="34"/>
        <v>79.349999999999994</v>
      </c>
      <c r="E135" s="123">
        <f t="shared" si="34"/>
        <v>83</v>
      </c>
      <c r="F135" s="123">
        <f t="shared" si="34"/>
        <v>72.5</v>
      </c>
      <c r="G135" s="123">
        <f t="shared" si="34"/>
        <v>69.62</v>
      </c>
      <c r="H135" s="123">
        <f t="shared" si="34"/>
        <v>76.08</v>
      </c>
      <c r="I135" s="123">
        <f t="shared" si="34"/>
        <v>71.819999999999993</v>
      </c>
      <c r="J135" s="123">
        <f t="shared" si="34"/>
        <v>82.27</v>
      </c>
      <c r="K135" s="123">
        <f t="shared" si="34"/>
        <v>81.760000000000005</v>
      </c>
      <c r="L135" s="123">
        <f t="shared" si="34"/>
        <v>72.72</v>
      </c>
      <c r="M135" s="123">
        <f t="shared" si="34"/>
        <v>75.5</v>
      </c>
      <c r="N135" s="123">
        <f t="shared" si="34"/>
        <v>72.97</v>
      </c>
      <c r="O135" s="123">
        <f t="shared" si="34"/>
        <v>79.42</v>
      </c>
      <c r="P135" s="133">
        <f t="shared" si="34"/>
        <v>76.760000000000005</v>
      </c>
      <c r="Q135" s="123">
        <f t="shared" si="34"/>
        <v>84.12</v>
      </c>
      <c r="R135" s="123">
        <f t="shared" si="34"/>
        <v>139.19999999999999</v>
      </c>
      <c r="S135" s="123">
        <f t="shared" si="34"/>
        <v>90.24</v>
      </c>
      <c r="T135" s="123">
        <f t="shared" si="34"/>
        <v>75.39</v>
      </c>
      <c r="U135" s="123">
        <f t="shared" si="34"/>
        <v>86.46</v>
      </c>
      <c r="V135" s="123">
        <f t="shared" si="34"/>
        <v>81.78</v>
      </c>
      <c r="W135" s="123">
        <f t="shared" si="34"/>
        <v>82.29</v>
      </c>
      <c r="X135" s="123">
        <f t="shared" si="34"/>
        <v>68.09</v>
      </c>
      <c r="Y135" s="123">
        <f t="shared" si="34"/>
        <v>77.84</v>
      </c>
      <c r="Z135" s="123">
        <f t="shared" si="34"/>
        <v>76.25</v>
      </c>
      <c r="AA135" s="123">
        <f t="shared" si="34"/>
        <v>73.67</v>
      </c>
      <c r="AB135" s="123">
        <f t="shared" si="34"/>
        <v>74.97</v>
      </c>
      <c r="AC135" s="133">
        <f t="shared" ref="AC135:AC139" si="35">IF(AC117=0,0,ROUND(AC20/AC117,2))</f>
        <v>82.59</v>
      </c>
      <c r="AD135" s="123">
        <f t="shared" si="33"/>
        <v>-5.8299999999999983</v>
      </c>
      <c r="AE135" s="196">
        <f t="shared" si="31"/>
        <v>-7.0589659765104715E-2</v>
      </c>
      <c r="AF135" s="133">
        <v>41.07</v>
      </c>
      <c r="AG135" s="124">
        <f t="shared" si="29"/>
        <v>35.690000000000005</v>
      </c>
      <c r="AH135" s="124"/>
      <c r="AI135" s="124"/>
      <c r="AJ135" s="124"/>
      <c r="AL135" s="124"/>
    </row>
    <row r="136" spans="1:38">
      <c r="A136" s="105" t="s">
        <v>273</v>
      </c>
      <c r="C136" s="105" t="s">
        <v>396</v>
      </c>
      <c r="D136" s="123">
        <f t="shared" ref="D136:AB139" si="36">IF(D118=0,0,ROUND(D21/D118,2))</f>
        <v>0</v>
      </c>
      <c r="E136" s="195">
        <f t="shared" si="36"/>
        <v>0</v>
      </c>
      <c r="F136" s="195">
        <f t="shared" si="36"/>
        <v>0</v>
      </c>
      <c r="G136" s="195">
        <f t="shared" si="36"/>
        <v>0</v>
      </c>
      <c r="H136" s="195">
        <f t="shared" si="36"/>
        <v>0</v>
      </c>
      <c r="I136" s="195">
        <f t="shared" si="36"/>
        <v>0</v>
      </c>
      <c r="J136" s="195">
        <f t="shared" si="36"/>
        <v>0</v>
      </c>
      <c r="K136" s="195">
        <f t="shared" si="36"/>
        <v>0</v>
      </c>
      <c r="L136" s="195">
        <f t="shared" si="36"/>
        <v>0</v>
      </c>
      <c r="M136" s="195">
        <f t="shared" si="36"/>
        <v>0</v>
      </c>
      <c r="N136" s="195">
        <f t="shared" si="36"/>
        <v>0</v>
      </c>
      <c r="O136" s="195">
        <f t="shared" si="36"/>
        <v>0</v>
      </c>
      <c r="P136" s="200">
        <f t="shared" si="36"/>
        <v>0</v>
      </c>
      <c r="Q136" s="123">
        <f t="shared" si="36"/>
        <v>0</v>
      </c>
      <c r="R136" s="123">
        <f t="shared" si="36"/>
        <v>0</v>
      </c>
      <c r="S136" s="123">
        <f t="shared" si="36"/>
        <v>0</v>
      </c>
      <c r="T136" s="123">
        <f t="shared" si="36"/>
        <v>0</v>
      </c>
      <c r="U136" s="123">
        <f t="shared" si="36"/>
        <v>0</v>
      </c>
      <c r="V136" s="123">
        <f t="shared" si="36"/>
        <v>0</v>
      </c>
      <c r="W136" s="123">
        <f t="shared" si="36"/>
        <v>0</v>
      </c>
      <c r="X136" s="123">
        <f t="shared" si="36"/>
        <v>0</v>
      </c>
      <c r="Y136" s="123">
        <f t="shared" si="36"/>
        <v>0</v>
      </c>
      <c r="Z136" s="123">
        <f t="shared" si="36"/>
        <v>0</v>
      </c>
      <c r="AA136" s="123">
        <f t="shared" si="36"/>
        <v>0</v>
      </c>
      <c r="AB136" s="123">
        <f t="shared" si="36"/>
        <v>0</v>
      </c>
      <c r="AC136" s="133">
        <f t="shared" si="35"/>
        <v>0</v>
      </c>
      <c r="AD136" s="123">
        <f t="shared" si="33"/>
        <v>0</v>
      </c>
      <c r="AE136" s="196" t="e">
        <f t="shared" si="31"/>
        <v>#DIV/0!</v>
      </c>
      <c r="AF136" s="133">
        <v>0</v>
      </c>
      <c r="AG136" s="124">
        <f t="shared" si="29"/>
        <v>0</v>
      </c>
      <c r="AH136" s="124"/>
      <c r="AI136" s="124"/>
      <c r="AJ136" s="124"/>
      <c r="AL136" s="124"/>
    </row>
    <row r="137" spans="1:38">
      <c r="A137" s="105" t="s">
        <v>273</v>
      </c>
      <c r="C137" s="105" t="s">
        <v>398</v>
      </c>
      <c r="D137" s="123">
        <f t="shared" si="36"/>
        <v>135.22</v>
      </c>
      <c r="E137" s="195">
        <f t="shared" si="36"/>
        <v>146.69</v>
      </c>
      <c r="F137" s="195">
        <f t="shared" si="36"/>
        <v>119.84</v>
      </c>
      <c r="G137" s="195">
        <f t="shared" si="36"/>
        <v>119.3</v>
      </c>
      <c r="H137" s="195">
        <f t="shared" si="36"/>
        <v>119.76</v>
      </c>
      <c r="I137" s="195">
        <f t="shared" si="36"/>
        <v>119.66</v>
      </c>
      <c r="J137" s="195">
        <f t="shared" si="36"/>
        <v>120.04</v>
      </c>
      <c r="K137" s="195">
        <f t="shared" si="36"/>
        <v>122.37</v>
      </c>
      <c r="L137" s="195">
        <f t="shared" si="36"/>
        <v>122.22</v>
      </c>
      <c r="M137" s="195">
        <f t="shared" si="36"/>
        <v>124.58</v>
      </c>
      <c r="N137" s="195">
        <f t="shared" si="36"/>
        <v>124.92</v>
      </c>
      <c r="O137" s="195">
        <f t="shared" si="36"/>
        <v>131.1</v>
      </c>
      <c r="P137" s="200">
        <f t="shared" si="36"/>
        <v>126.53</v>
      </c>
      <c r="Q137" s="123">
        <f t="shared" si="36"/>
        <v>116.22</v>
      </c>
      <c r="R137" s="123">
        <f t="shared" si="36"/>
        <v>179.49</v>
      </c>
      <c r="S137" s="123">
        <f t="shared" si="36"/>
        <v>125.92</v>
      </c>
      <c r="T137" s="123">
        <f t="shared" si="36"/>
        <v>116.89</v>
      </c>
      <c r="U137" s="123">
        <f t="shared" si="36"/>
        <v>132.02000000000001</v>
      </c>
      <c r="V137" s="123">
        <f t="shared" si="36"/>
        <v>129.87</v>
      </c>
      <c r="W137" s="123">
        <f t="shared" si="36"/>
        <v>119.57</v>
      </c>
      <c r="X137" s="123">
        <f t="shared" si="36"/>
        <v>105.34</v>
      </c>
      <c r="Y137" s="123">
        <f t="shared" si="36"/>
        <v>122.22</v>
      </c>
      <c r="Z137" s="123">
        <f t="shared" si="36"/>
        <v>124.58</v>
      </c>
      <c r="AA137" s="123">
        <f t="shared" si="36"/>
        <v>124.92</v>
      </c>
      <c r="AB137" s="123">
        <f t="shared" si="36"/>
        <v>131.1</v>
      </c>
      <c r="AC137" s="133">
        <f t="shared" si="35"/>
        <v>127.28</v>
      </c>
      <c r="AD137" s="123">
        <f t="shared" si="33"/>
        <v>-0.75</v>
      </c>
      <c r="AE137" s="196">
        <f t="shared" si="31"/>
        <v>-5.8925204274041486E-3</v>
      </c>
      <c r="AF137" s="133">
        <v>116.5</v>
      </c>
      <c r="AG137" s="124">
        <f t="shared" si="29"/>
        <v>10.030000000000001</v>
      </c>
      <c r="AH137" s="124"/>
      <c r="AI137" s="124"/>
      <c r="AJ137" s="124"/>
      <c r="AL137" s="124"/>
    </row>
    <row r="138" spans="1:38">
      <c r="A138" s="105" t="s">
        <v>273</v>
      </c>
      <c r="C138" s="105" t="s">
        <v>404</v>
      </c>
      <c r="D138" s="123">
        <f t="shared" si="36"/>
        <v>284.62</v>
      </c>
      <c r="E138" s="195">
        <f t="shared" si="36"/>
        <v>265</v>
      </c>
      <c r="F138" s="195">
        <f t="shared" si="36"/>
        <v>334.62</v>
      </c>
      <c r="G138" s="195">
        <f t="shared" si="36"/>
        <v>334.62</v>
      </c>
      <c r="H138" s="195">
        <f t="shared" si="36"/>
        <v>331.82</v>
      </c>
      <c r="I138" s="195">
        <f t="shared" si="36"/>
        <v>333.33</v>
      </c>
      <c r="J138" s="195">
        <f t="shared" si="36"/>
        <v>350</v>
      </c>
      <c r="K138" s="195">
        <f t="shared" si="36"/>
        <v>350</v>
      </c>
      <c r="L138" s="195">
        <f t="shared" si="36"/>
        <v>300</v>
      </c>
      <c r="M138" s="195">
        <f t="shared" si="36"/>
        <v>335.29</v>
      </c>
      <c r="N138" s="195">
        <f t="shared" si="36"/>
        <v>334.78</v>
      </c>
      <c r="O138" s="195">
        <f t="shared" si="36"/>
        <v>333.33</v>
      </c>
      <c r="P138" s="200">
        <f t="shared" si="36"/>
        <v>328.74</v>
      </c>
      <c r="Q138" s="123">
        <f t="shared" si="36"/>
        <v>214.23</v>
      </c>
      <c r="R138" s="123">
        <f t="shared" si="36"/>
        <v>1120.76</v>
      </c>
      <c r="S138" s="123">
        <f t="shared" si="36"/>
        <v>318.01</v>
      </c>
      <c r="T138" s="123">
        <f t="shared" si="36"/>
        <v>362.32</v>
      </c>
      <c r="U138" s="123">
        <f t="shared" si="36"/>
        <v>357.8</v>
      </c>
      <c r="V138" s="123">
        <f t="shared" si="36"/>
        <v>272.77</v>
      </c>
      <c r="W138" s="123">
        <f t="shared" si="36"/>
        <v>207.71</v>
      </c>
      <c r="X138" s="123">
        <f t="shared" si="36"/>
        <v>0</v>
      </c>
      <c r="Y138" s="123">
        <f t="shared" si="36"/>
        <v>300</v>
      </c>
      <c r="Z138" s="123">
        <f t="shared" si="36"/>
        <v>330.77</v>
      </c>
      <c r="AA138" s="123">
        <f t="shared" si="36"/>
        <v>332.35</v>
      </c>
      <c r="AB138" s="123">
        <f t="shared" si="36"/>
        <v>333.05</v>
      </c>
      <c r="AC138" s="133">
        <f t="shared" si="35"/>
        <v>315.73</v>
      </c>
      <c r="AD138" s="123">
        <f t="shared" si="33"/>
        <v>13.009999999999991</v>
      </c>
      <c r="AE138" s="196">
        <f t="shared" si="31"/>
        <v>4.1206093814335001E-2</v>
      </c>
      <c r="AF138" s="133">
        <v>202.55</v>
      </c>
      <c r="AG138" s="124">
        <f t="shared" si="29"/>
        <v>126.19</v>
      </c>
      <c r="AH138" s="124"/>
      <c r="AI138" s="124"/>
      <c r="AJ138" s="124"/>
      <c r="AL138" s="124"/>
    </row>
    <row r="139" spans="1:38">
      <c r="A139" s="105" t="s">
        <v>273</v>
      </c>
      <c r="C139" s="105" t="s">
        <v>463</v>
      </c>
      <c r="D139" s="133">
        <f t="shared" si="36"/>
        <v>134.69999999999999</v>
      </c>
      <c r="E139" s="133">
        <f t="shared" si="36"/>
        <v>131.25</v>
      </c>
      <c r="F139" s="133">
        <f t="shared" si="36"/>
        <v>110.26</v>
      </c>
      <c r="G139" s="133">
        <f t="shared" si="36"/>
        <v>107.78</v>
      </c>
      <c r="H139" s="133">
        <f t="shared" si="36"/>
        <v>107.96</v>
      </c>
      <c r="I139" s="133">
        <f t="shared" si="36"/>
        <v>108.72</v>
      </c>
      <c r="J139" s="133">
        <f t="shared" si="36"/>
        <v>114.56</v>
      </c>
      <c r="K139" s="133">
        <f t="shared" si="36"/>
        <v>115.66</v>
      </c>
      <c r="L139" s="133">
        <f t="shared" si="36"/>
        <v>108.7</v>
      </c>
      <c r="M139" s="133">
        <f t="shared" si="36"/>
        <v>113.07</v>
      </c>
      <c r="N139" s="133">
        <f t="shared" si="36"/>
        <v>117.17</v>
      </c>
      <c r="O139" s="133">
        <f t="shared" si="36"/>
        <v>124.11</v>
      </c>
      <c r="P139" s="133">
        <f t="shared" si="36"/>
        <v>116.91</v>
      </c>
      <c r="Q139" s="133">
        <f t="shared" si="36"/>
        <v>120.2</v>
      </c>
      <c r="R139" s="133">
        <f t="shared" si="36"/>
        <v>160.18</v>
      </c>
      <c r="S139" s="133">
        <f t="shared" si="36"/>
        <v>114.45</v>
      </c>
      <c r="T139" s="133">
        <f t="shared" si="36"/>
        <v>112.76</v>
      </c>
      <c r="U139" s="133">
        <f t="shared" si="36"/>
        <v>115.57</v>
      </c>
      <c r="V139" s="133">
        <f t="shared" si="36"/>
        <v>108.88</v>
      </c>
      <c r="W139" s="133">
        <f t="shared" si="36"/>
        <v>111.02</v>
      </c>
      <c r="X139" s="133">
        <f t="shared" si="36"/>
        <v>107.54</v>
      </c>
      <c r="Y139" s="133">
        <f t="shared" si="36"/>
        <v>108.41</v>
      </c>
      <c r="Z139" s="133">
        <f t="shared" si="36"/>
        <v>119.25</v>
      </c>
      <c r="AA139" s="133">
        <f>IF(AA121=0,0,ROUND(AA24/AA121,2))</f>
        <v>121.73</v>
      </c>
      <c r="AB139" s="133">
        <f t="shared" si="36"/>
        <v>126.08</v>
      </c>
      <c r="AC139" s="133">
        <f t="shared" si="35"/>
        <v>119.57</v>
      </c>
      <c r="AD139" s="133">
        <f t="shared" si="33"/>
        <v>-2.6599999999999966</v>
      </c>
      <c r="AE139" s="196">
        <f t="shared" si="31"/>
        <v>-2.224638287195782E-2</v>
      </c>
      <c r="AF139" s="133">
        <v>125.25</v>
      </c>
      <c r="AG139" s="124">
        <f t="shared" si="29"/>
        <v>-8.3400000000000034</v>
      </c>
      <c r="AH139" s="124"/>
      <c r="AI139" s="124"/>
      <c r="AJ139" s="124"/>
      <c r="AL139" s="124"/>
    </row>
    <row r="140" spans="1:38">
      <c r="A140" s="105" t="s">
        <v>273</v>
      </c>
      <c r="C140" s="105" t="s">
        <v>154</v>
      </c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3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  <c r="AC140" s="133"/>
      <c r="AD140" s="123"/>
      <c r="AE140" s="196" t="e">
        <f t="shared" si="31"/>
        <v>#DIV/0!</v>
      </c>
      <c r="AF140" s="133"/>
      <c r="AG140" s="124">
        <f t="shared" si="29"/>
        <v>0</v>
      </c>
      <c r="AH140" s="124"/>
      <c r="AI140" s="124"/>
      <c r="AJ140" s="124"/>
      <c r="AL140" s="124"/>
    </row>
    <row r="141" spans="1:38">
      <c r="A141" s="105" t="s">
        <v>273</v>
      </c>
      <c r="C141" s="105" t="s">
        <v>464</v>
      </c>
      <c r="D141" s="133">
        <f t="shared" ref="D141:AC141" si="37">IF(D121=0,0,ROUND((D55+D57+D101)/D121,2))</f>
        <v>92.86</v>
      </c>
      <c r="E141" s="133">
        <f t="shared" si="37"/>
        <v>90.51</v>
      </c>
      <c r="F141" s="133">
        <f t="shared" si="37"/>
        <v>85.9</v>
      </c>
      <c r="G141" s="133">
        <f t="shared" si="37"/>
        <v>88.74</v>
      </c>
      <c r="H141" s="133">
        <f t="shared" si="37"/>
        <v>91.8</v>
      </c>
      <c r="I141" s="133">
        <f t="shared" si="37"/>
        <v>92.62</v>
      </c>
      <c r="J141" s="133">
        <f t="shared" si="37"/>
        <v>82.13</v>
      </c>
      <c r="K141" s="133">
        <f t="shared" si="37"/>
        <v>81.27</v>
      </c>
      <c r="L141" s="133">
        <f t="shared" si="37"/>
        <v>91.83</v>
      </c>
      <c r="M141" s="133">
        <f t="shared" si="37"/>
        <v>114.32</v>
      </c>
      <c r="N141" s="133">
        <f t="shared" si="37"/>
        <v>91.11</v>
      </c>
      <c r="O141" s="133">
        <f t="shared" si="37"/>
        <v>88.6</v>
      </c>
      <c r="P141" s="133">
        <f t="shared" si="37"/>
        <v>90.67</v>
      </c>
      <c r="Q141" s="133">
        <f t="shared" si="37"/>
        <v>94.45</v>
      </c>
      <c r="R141" s="133">
        <f t="shared" si="37"/>
        <v>115.9</v>
      </c>
      <c r="S141" s="133">
        <f t="shared" si="37"/>
        <v>91.7</v>
      </c>
      <c r="T141" s="133">
        <f t="shared" si="37"/>
        <v>88.27</v>
      </c>
      <c r="U141" s="133">
        <f t="shared" si="37"/>
        <v>90.08</v>
      </c>
      <c r="V141" s="133">
        <f t="shared" si="37"/>
        <v>91.49</v>
      </c>
      <c r="W141" s="133">
        <f t="shared" si="37"/>
        <v>79.790000000000006</v>
      </c>
      <c r="X141" s="133">
        <f t="shared" si="37"/>
        <v>77.55</v>
      </c>
      <c r="Y141" s="133">
        <f>IF(Y121=0,0,ROUND((Y55+Y57+Y101)/Y121,2))</f>
        <v>134.30000000000001</v>
      </c>
      <c r="Z141" s="133">
        <f>IF(Z121=0,0,ROUND((Z55+Z57+Z101)/Z121,2))</f>
        <v>102.65</v>
      </c>
      <c r="AA141" s="133">
        <f>IF(AA121=0,0,ROUND((AA55+AA57+AA101)/AA121,2))</f>
        <v>98.48</v>
      </c>
      <c r="AB141" s="133">
        <f>IF(AB121=0,0,ROUND((AB55+AB57+AB101)/AB121,2))</f>
        <v>96.14</v>
      </c>
      <c r="AC141" s="133">
        <f t="shared" si="37"/>
        <v>95.37</v>
      </c>
      <c r="AD141" s="133">
        <f>P141-AC141</f>
        <v>-4.7000000000000028</v>
      </c>
      <c r="AE141" s="196">
        <f t="shared" si="31"/>
        <v>-4.9281744783474912E-2</v>
      </c>
      <c r="AF141" s="133">
        <v>86.93</v>
      </c>
      <c r="AG141" s="124">
        <f>AF141-P141</f>
        <v>-3.7399999999999949</v>
      </c>
      <c r="AH141" s="124"/>
      <c r="AI141" s="124"/>
      <c r="AJ141" s="124"/>
      <c r="AL141" s="124"/>
    </row>
    <row r="142" spans="1:38">
      <c r="A142" s="105" t="s">
        <v>273</v>
      </c>
      <c r="C142" s="105" t="s">
        <v>154</v>
      </c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3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33"/>
      <c r="AD142" s="123"/>
      <c r="AE142" s="196" t="e">
        <f t="shared" si="31"/>
        <v>#DIV/0!</v>
      </c>
      <c r="AF142" s="133"/>
      <c r="AG142" s="123"/>
      <c r="AH142" s="124"/>
      <c r="AI142" s="124"/>
      <c r="AJ142" s="124"/>
      <c r="AL142" s="124"/>
    </row>
    <row r="143" spans="1:38">
      <c r="A143" s="105" t="s">
        <v>273</v>
      </c>
      <c r="C143" s="109" t="s">
        <v>246</v>
      </c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3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  <c r="AC143" s="133"/>
      <c r="AD143" s="123"/>
      <c r="AE143" s="196" t="e">
        <f t="shared" si="31"/>
        <v>#DIV/0!</v>
      </c>
      <c r="AF143" s="133"/>
      <c r="AG143" s="123"/>
      <c r="AH143" s="124"/>
      <c r="AI143" s="124"/>
      <c r="AJ143" s="124"/>
      <c r="AL143" s="124"/>
    </row>
    <row r="144" spans="1:38">
      <c r="A144" s="105" t="s">
        <v>273</v>
      </c>
      <c r="C144" s="105" t="s">
        <v>465</v>
      </c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3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3"/>
      <c r="AC144" s="133"/>
      <c r="AD144" s="123"/>
      <c r="AE144" s="196" t="e">
        <f t="shared" si="31"/>
        <v>#DIV/0!</v>
      </c>
      <c r="AF144" s="133"/>
      <c r="AG144" s="123"/>
      <c r="AH144" s="124"/>
      <c r="AI144" s="124"/>
      <c r="AJ144" s="124"/>
      <c r="AL144" s="124"/>
    </row>
    <row r="145" spans="1:38" s="175" customFormat="1">
      <c r="A145" s="175" t="s">
        <v>248</v>
      </c>
      <c r="B145" s="175" t="s">
        <v>466</v>
      </c>
      <c r="C145" s="175" t="s">
        <v>250</v>
      </c>
      <c r="D145" s="201">
        <f>SUM('Hai Tang:Main Kichen'!D102)</f>
        <v>393640.38</v>
      </c>
      <c r="E145" s="201">
        <f>SUM('Hai Tang:Main Kichen'!E102)</f>
        <v>393640.38</v>
      </c>
      <c r="F145" s="201">
        <f>SUM('Hai Tang:Main Kichen'!F102)</f>
        <v>398291.15</v>
      </c>
      <c r="G145" s="201">
        <f>SUM('Hai Tang:Main Kichen'!G102)</f>
        <v>398291.15</v>
      </c>
      <c r="H145" s="201">
        <f>SUM('Hai Tang:Main Kichen'!H102)</f>
        <v>398291.15</v>
      </c>
      <c r="I145" s="201">
        <f>SUM('Hai Tang:Main Kichen'!I102)</f>
        <v>394904.52999999997</v>
      </c>
      <c r="J145" s="201">
        <f>SUM('Hai Tang:Main Kichen'!J102)</f>
        <v>394904.52999999997</v>
      </c>
      <c r="K145" s="201">
        <f>SUM('Hai Tang:Main Kichen'!K102)</f>
        <v>394904.52999999997</v>
      </c>
      <c r="L145" s="201">
        <f>SUM('Hai Tang:Main Kichen'!L102)</f>
        <v>394904.52999999997</v>
      </c>
      <c r="M145" s="201">
        <f>SUM('Hai Tang:Main Kichen'!M102)</f>
        <v>394904.52999999997</v>
      </c>
      <c r="N145" s="201">
        <f>SUM('Hai Tang:Main Kichen'!N102)</f>
        <v>394904.52999999997</v>
      </c>
      <c r="O145" s="201">
        <f>SUM('Hai Tang:Main Kichen'!O102)</f>
        <v>394904.52999999997</v>
      </c>
      <c r="P145" s="200">
        <f>SUM(D145:O145)</f>
        <v>4746485.919999999</v>
      </c>
      <c r="Q145" s="201">
        <f>SUM('Hai Tang:Main Kichen'!Q102)</f>
        <v>379743.28</v>
      </c>
      <c r="R145" s="201">
        <f>SUM('Hai Tang:Main Kichen'!R102)</f>
        <v>407095.58999999997</v>
      </c>
      <c r="S145" s="201">
        <f>SUM('Hai Tang:Main Kichen'!S102)</f>
        <v>365736.94</v>
      </c>
      <c r="T145" s="201">
        <f>SUM('Hai Tang:Main Kichen'!T102)</f>
        <v>355822.38</v>
      </c>
      <c r="U145" s="201">
        <f>SUM('Hai Tang:Main Kichen'!U102)</f>
        <v>329053.92000000004</v>
      </c>
      <c r="V145" s="201">
        <f>SUM('Hai Tang:Main Kichen'!V102)</f>
        <v>349678.76</v>
      </c>
      <c r="W145" s="201">
        <f>SUM('Hai Tang:Main Kichen'!W102)</f>
        <v>337974.11</v>
      </c>
      <c r="X145" s="201">
        <f>SUM('Hai Tang:Main Kichen'!X102)</f>
        <v>357095.58999999997</v>
      </c>
      <c r="Y145" s="201">
        <f>SUM('Hai Tang:Main Kichen'!Y102)</f>
        <v>416168</v>
      </c>
      <c r="Z145" s="201">
        <f>SUM('Hai Tang:Main Kichen'!Z102)</f>
        <v>416168</v>
      </c>
      <c r="AA145" s="201">
        <f>SUM('Hai Tang:Main Kichen'!AA102)</f>
        <v>416168</v>
      </c>
      <c r="AB145" s="201">
        <f>SUM('Hai Tang:Main Kichen'!AB102)</f>
        <v>416168</v>
      </c>
      <c r="AC145" s="133">
        <f>SUM(Q145:AB145)</f>
        <v>4546872.57</v>
      </c>
      <c r="AD145" s="201">
        <f t="shared" ref="AD145:AD148" si="38">P145-AC145</f>
        <v>199613.3499999987</v>
      </c>
      <c r="AE145" s="196">
        <f t="shared" si="31"/>
        <v>4.3901241331687171E-2</v>
      </c>
      <c r="AF145" s="133">
        <v>5746109.0200000005</v>
      </c>
      <c r="AG145" s="124">
        <f t="shared" ref="AG145:AG208" si="39">AF145-P145</f>
        <v>999623.10000000149</v>
      </c>
      <c r="AH145" s="124"/>
      <c r="AI145" s="124"/>
      <c r="AJ145" s="124"/>
      <c r="AL145" s="124"/>
    </row>
    <row r="146" spans="1:38">
      <c r="A146" s="105" t="s">
        <v>251</v>
      </c>
      <c r="B146" s="105" t="s">
        <v>467</v>
      </c>
      <c r="C146" s="105" t="s">
        <v>468</v>
      </c>
      <c r="D146" s="201">
        <f>SUM('Hai Tang:Main Kichen'!D103)</f>
        <v>221175.9</v>
      </c>
      <c r="E146" s="201">
        <f>SUM('Hai Tang:Main Kichen'!E103)</f>
        <v>221175.9</v>
      </c>
      <c r="F146" s="201">
        <f>SUM('Hai Tang:Main Kichen'!F103)</f>
        <v>227345.15</v>
      </c>
      <c r="G146" s="201">
        <f>SUM('Hai Tang:Main Kichen'!G103)</f>
        <v>227345.15</v>
      </c>
      <c r="H146" s="201">
        <f>SUM('Hai Tang:Main Kichen'!H103)</f>
        <v>227345.15</v>
      </c>
      <c r="I146" s="201">
        <f>SUM('Hai Tang:Main Kichen'!I103)</f>
        <v>227345.15</v>
      </c>
      <c r="J146" s="201">
        <f>SUM('Hai Tang:Main Kichen'!J103)</f>
        <v>227345.15</v>
      </c>
      <c r="K146" s="201">
        <f>SUM('Hai Tang:Main Kichen'!K103)</f>
        <v>227345.15</v>
      </c>
      <c r="L146" s="201">
        <f>SUM('Hai Tang:Main Kichen'!L103)</f>
        <v>227345.15</v>
      </c>
      <c r="M146" s="201">
        <f>SUM('Hai Tang:Main Kichen'!M103)</f>
        <v>227345.15</v>
      </c>
      <c r="N146" s="201">
        <f>SUM('Hai Tang:Main Kichen'!N103)</f>
        <v>227345.15</v>
      </c>
      <c r="O146" s="201">
        <f>SUM('Hai Tang:Main Kichen'!O103)</f>
        <v>227345.15</v>
      </c>
      <c r="P146" s="200">
        <f>SUM(D146:O146)</f>
        <v>2715803.2999999993</v>
      </c>
      <c r="Q146" s="201">
        <f>SUM('Hai Tang:Main Kichen'!Q103)</f>
        <v>182251.61000000002</v>
      </c>
      <c r="R146" s="201">
        <f>SUM('Hai Tang:Main Kichen'!R103)</f>
        <v>188616.29000000004</v>
      </c>
      <c r="S146" s="201">
        <f>SUM('Hai Tang:Main Kichen'!S103)</f>
        <v>183343.64</v>
      </c>
      <c r="T146" s="201">
        <f>SUM('Hai Tang:Main Kichen'!T103)</f>
        <v>174488.71</v>
      </c>
      <c r="U146" s="201">
        <f>SUM('Hai Tang:Main Kichen'!U103)</f>
        <v>157248.95999999999</v>
      </c>
      <c r="V146" s="201">
        <f>SUM('Hai Tang:Main Kichen'!V103)</f>
        <v>170320.49</v>
      </c>
      <c r="W146" s="201">
        <f>SUM('Hai Tang:Main Kichen'!W103)</f>
        <v>173129.77</v>
      </c>
      <c r="X146" s="201">
        <f>SUM('Hai Tang:Main Kichen'!X103)</f>
        <v>174367.12</v>
      </c>
      <c r="Y146" s="201">
        <f>SUM('Hai Tang:Main Kichen'!Y103)</f>
        <v>168697</v>
      </c>
      <c r="Z146" s="201">
        <f>SUM('Hai Tang:Main Kichen'!Z103)</f>
        <v>168697</v>
      </c>
      <c r="AA146" s="201">
        <f>SUM('Hai Tang:Main Kichen'!AA103)</f>
        <v>168697</v>
      </c>
      <c r="AB146" s="201">
        <f>SUM('Hai Tang:Main Kichen'!AB103)</f>
        <v>168697</v>
      </c>
      <c r="AC146" s="133">
        <f>SUM(Q146:AB146)</f>
        <v>2078554.5899999999</v>
      </c>
      <c r="AD146" s="123">
        <f t="shared" si="38"/>
        <v>637248.7099999995</v>
      </c>
      <c r="AE146" s="196">
        <f t="shared" si="31"/>
        <v>0.30658261903046746</v>
      </c>
      <c r="AF146" s="133">
        <v>2412137.8199999998</v>
      </c>
      <c r="AG146" s="124">
        <f t="shared" si="39"/>
        <v>-303665.47999999952</v>
      </c>
      <c r="AH146" s="124"/>
      <c r="AI146" s="124"/>
      <c r="AJ146" s="124"/>
      <c r="AL146" s="124"/>
    </row>
    <row r="147" spans="1:38">
      <c r="A147" s="105" t="s">
        <v>251</v>
      </c>
      <c r="B147" s="105" t="s">
        <v>469</v>
      </c>
      <c r="C147" s="105" t="s">
        <v>470</v>
      </c>
      <c r="D147" s="201">
        <f>SUM('Hai Tang:Main Kichen'!D104)</f>
        <v>146356.70000000001</v>
      </c>
      <c r="E147" s="201">
        <f>SUM('Hai Tang:Main Kichen'!E104)</f>
        <v>146356.70000000001</v>
      </c>
      <c r="F147" s="201">
        <f>SUM('Hai Tang:Main Kichen'!F104)</f>
        <v>150553.85</v>
      </c>
      <c r="G147" s="201">
        <f>SUM('Hai Tang:Main Kichen'!G104)</f>
        <v>155089.85</v>
      </c>
      <c r="H147" s="201">
        <f>SUM('Hai Tang:Main Kichen'!H104)</f>
        <v>159074.59999999998</v>
      </c>
      <c r="I147" s="201">
        <f>SUM('Hai Tang:Main Kichen'!I104)</f>
        <v>165173</v>
      </c>
      <c r="J147" s="201">
        <f>SUM('Hai Tang:Main Kichen'!J104)</f>
        <v>165173</v>
      </c>
      <c r="K147" s="201">
        <f>SUM('Hai Tang:Main Kichen'!K104)</f>
        <v>165173</v>
      </c>
      <c r="L147" s="201">
        <f>SUM('Hai Tang:Main Kichen'!L104)</f>
        <v>165173</v>
      </c>
      <c r="M147" s="201">
        <f>SUM('Hai Tang:Main Kichen'!M104)</f>
        <v>165173</v>
      </c>
      <c r="N147" s="201">
        <f>SUM('Hai Tang:Main Kichen'!N104)</f>
        <v>165173</v>
      </c>
      <c r="O147" s="201">
        <f>SUM('Hai Tang:Main Kichen'!O104)</f>
        <v>165173</v>
      </c>
      <c r="P147" s="200">
        <f>SUM(D147:O147)</f>
        <v>1913642.7</v>
      </c>
      <c r="Q147" s="201">
        <f>SUM('Hai Tang:Main Kichen'!Q104)</f>
        <v>250951.72</v>
      </c>
      <c r="R147" s="201">
        <f>SUM('Hai Tang:Main Kichen'!R104)</f>
        <v>247187.91</v>
      </c>
      <c r="S147" s="201">
        <f>SUM('Hai Tang:Main Kichen'!S104)</f>
        <v>241956.89</v>
      </c>
      <c r="T147" s="201">
        <f>SUM('Hai Tang:Main Kichen'!T104)</f>
        <v>234082.99000000002</v>
      </c>
      <c r="U147" s="201">
        <f>SUM('Hai Tang:Main Kichen'!U104)</f>
        <v>217759.18</v>
      </c>
      <c r="V147" s="201">
        <f>SUM('Hai Tang:Main Kichen'!V104)</f>
        <v>223425.71</v>
      </c>
      <c r="W147" s="201">
        <f>SUM('Hai Tang:Main Kichen'!W104)</f>
        <v>225597.66999999998</v>
      </c>
      <c r="X147" s="201">
        <f>SUM('Hai Tang:Main Kichen'!X104)</f>
        <v>244220.82</v>
      </c>
      <c r="Y147" s="201">
        <f>SUM('Hai Tang:Main Kichen'!Y104)</f>
        <v>253600</v>
      </c>
      <c r="Z147" s="201">
        <f>SUM('Hai Tang:Main Kichen'!Z104)</f>
        <v>283600</v>
      </c>
      <c r="AA147" s="201">
        <f>SUM('Hai Tang:Main Kichen'!AA104)</f>
        <v>283600</v>
      </c>
      <c r="AB147" s="201">
        <f>SUM('Hai Tang:Main Kichen'!AB104)</f>
        <v>283600</v>
      </c>
      <c r="AC147" s="133">
        <f>SUM(Q147:AB147)</f>
        <v>2989582.8899999997</v>
      </c>
      <c r="AD147" s="123">
        <f t="shared" si="38"/>
        <v>-1075940.1899999997</v>
      </c>
      <c r="AE147" s="196">
        <f t="shared" si="31"/>
        <v>-0.35989642354422219</v>
      </c>
      <c r="AF147" s="133">
        <v>3812546.5199999996</v>
      </c>
      <c r="AG147" s="124">
        <f t="shared" si="39"/>
        <v>1898903.8199999996</v>
      </c>
      <c r="AH147" s="124"/>
      <c r="AI147" s="124"/>
      <c r="AJ147" s="124"/>
      <c r="AL147" s="124"/>
    </row>
    <row r="148" spans="1:38">
      <c r="A148" s="105" t="s">
        <v>273</v>
      </c>
      <c r="C148" s="109" t="s">
        <v>471</v>
      </c>
      <c r="D148" s="133">
        <f>SUM(D145:D147)</f>
        <v>761172.98</v>
      </c>
      <c r="E148" s="133">
        <f t="shared" ref="E148:AC148" si="40">SUM(E145:E147)</f>
        <v>761172.98</v>
      </c>
      <c r="F148" s="133">
        <f t="shared" si="40"/>
        <v>776190.15</v>
      </c>
      <c r="G148" s="133">
        <f t="shared" si="40"/>
        <v>780726.15</v>
      </c>
      <c r="H148" s="133">
        <f t="shared" si="40"/>
        <v>784710.9</v>
      </c>
      <c r="I148" s="133">
        <f t="shared" si="40"/>
        <v>787422.67999999993</v>
      </c>
      <c r="J148" s="133">
        <f t="shared" si="40"/>
        <v>787422.67999999993</v>
      </c>
      <c r="K148" s="133">
        <f t="shared" si="40"/>
        <v>787422.67999999993</v>
      </c>
      <c r="L148" s="133">
        <f t="shared" si="40"/>
        <v>787422.67999999993</v>
      </c>
      <c r="M148" s="133">
        <f t="shared" si="40"/>
        <v>787422.67999999993</v>
      </c>
      <c r="N148" s="133">
        <f t="shared" si="40"/>
        <v>787422.67999999993</v>
      </c>
      <c r="O148" s="133">
        <f t="shared" si="40"/>
        <v>787422.67999999993</v>
      </c>
      <c r="P148" s="133">
        <f t="shared" si="40"/>
        <v>9375931.9199999981</v>
      </c>
      <c r="Q148" s="133">
        <f t="shared" si="40"/>
        <v>812946.61</v>
      </c>
      <c r="R148" s="133">
        <f t="shared" si="40"/>
        <v>842899.79</v>
      </c>
      <c r="S148" s="133">
        <f t="shared" si="40"/>
        <v>791037.47000000009</v>
      </c>
      <c r="T148" s="133">
        <f t="shared" si="40"/>
        <v>764394.08</v>
      </c>
      <c r="U148" s="133">
        <f t="shared" si="40"/>
        <v>704062.06</v>
      </c>
      <c r="V148" s="133">
        <f t="shared" si="40"/>
        <v>743424.96</v>
      </c>
      <c r="W148" s="133">
        <f t="shared" si="40"/>
        <v>736701.55</v>
      </c>
      <c r="X148" s="133">
        <f t="shared" si="40"/>
        <v>775683.53</v>
      </c>
      <c r="Y148" s="133">
        <f>SUM(Y145:Y147)</f>
        <v>838465</v>
      </c>
      <c r="Z148" s="133">
        <f>SUM(Z145:Z147)</f>
        <v>868465</v>
      </c>
      <c r="AA148" s="133">
        <f>SUM(AA145:AA147)</f>
        <v>868465</v>
      </c>
      <c r="AB148" s="133">
        <f>SUM(AB145:AB147)</f>
        <v>868465</v>
      </c>
      <c r="AC148" s="133">
        <f t="shared" si="40"/>
        <v>9615010.0500000007</v>
      </c>
      <c r="AD148" s="133">
        <f t="shared" si="38"/>
        <v>-239078.13000000268</v>
      </c>
      <c r="AE148" s="196">
        <f t="shared" si="31"/>
        <v>-2.486509413476928E-2</v>
      </c>
      <c r="AF148" s="133">
        <v>11970793.359999999</v>
      </c>
      <c r="AG148" s="124">
        <f t="shared" si="39"/>
        <v>2594861.4400000013</v>
      </c>
      <c r="AH148" s="124"/>
      <c r="AI148" s="124"/>
      <c r="AJ148" s="124"/>
      <c r="AL148" s="124"/>
    </row>
    <row r="149" spans="1:38">
      <c r="A149" s="105" t="s">
        <v>273</v>
      </c>
      <c r="C149" s="105" t="s">
        <v>154</v>
      </c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33"/>
      <c r="Q149" s="195"/>
      <c r="R149" s="195"/>
      <c r="S149" s="195"/>
      <c r="T149" s="195"/>
      <c r="U149" s="195"/>
      <c r="V149" s="195"/>
      <c r="W149" s="195"/>
      <c r="X149" s="195"/>
      <c r="Y149" s="195"/>
      <c r="Z149" s="195"/>
      <c r="AA149" s="195"/>
      <c r="AB149" s="195"/>
      <c r="AC149" s="133"/>
      <c r="AD149" s="123"/>
      <c r="AE149" s="196" t="e">
        <f t="shared" si="31"/>
        <v>#DIV/0!</v>
      </c>
      <c r="AF149" s="133"/>
      <c r="AG149" s="124">
        <f t="shared" si="39"/>
        <v>0</v>
      </c>
      <c r="AH149" s="124"/>
      <c r="AI149" s="124"/>
      <c r="AJ149" s="124"/>
      <c r="AL149" s="124"/>
    </row>
    <row r="150" spans="1:38">
      <c r="A150" s="105" t="s">
        <v>119</v>
      </c>
      <c r="B150" s="105" t="s">
        <v>407</v>
      </c>
      <c r="C150" s="105" t="s">
        <v>260</v>
      </c>
      <c r="D150" s="201">
        <f>SUM('Hai Tang:Main Kichen'!D107)</f>
        <v>301004.43</v>
      </c>
      <c r="E150" s="201">
        <f>SUM('Hai Tang:Main Kichen'!E107)</f>
        <v>0</v>
      </c>
      <c r="F150" s="201">
        <f>SUM('Hai Tang:Main Kichen'!F107)</f>
        <v>0</v>
      </c>
      <c r="G150" s="201">
        <f>SUM('Hai Tang:Main Kichen'!G107)</f>
        <v>62470.46</v>
      </c>
      <c r="H150" s="201">
        <f>SUM('Hai Tang:Main Kichen'!H107)</f>
        <v>124353.23000000001</v>
      </c>
      <c r="I150" s="201">
        <f>SUM('Hai Tang:Main Kichen'!I107)</f>
        <v>0</v>
      </c>
      <c r="J150" s="201">
        <f>SUM('Hai Tang:Main Kichen'!J107)</f>
        <v>0</v>
      </c>
      <c r="K150" s="201">
        <f>SUM('Hai Tang:Main Kichen'!K107)</f>
        <v>0</v>
      </c>
      <c r="L150" s="201">
        <f>SUM('Hai Tang:Main Kichen'!L107)</f>
        <v>0</v>
      </c>
      <c r="M150" s="201">
        <f>SUM('Hai Tang:Main Kichen'!M107)</f>
        <v>304411.3</v>
      </c>
      <c r="N150" s="201">
        <f>SUM('Hai Tang:Main Kichen'!N107)</f>
        <v>0</v>
      </c>
      <c r="O150" s="201">
        <f>SUM('Hai Tang:Main Kichen'!O107)</f>
        <v>0</v>
      </c>
      <c r="P150" s="133">
        <f>SUM(D150:O150)</f>
        <v>792239.41999999993</v>
      </c>
      <c r="Q150" s="201">
        <f>SUM('Hai Tang:Main Kichen'!Q107)</f>
        <v>69039.8</v>
      </c>
      <c r="R150" s="201">
        <f>SUM('Hai Tang:Main Kichen'!R107)</f>
        <v>224817.36999999994</v>
      </c>
      <c r="S150" s="201">
        <f>SUM('Hai Tang:Main Kichen'!S107)</f>
        <v>0</v>
      </c>
      <c r="T150" s="201">
        <f>SUM('Hai Tang:Main Kichen'!T107)</f>
        <v>51844.23</v>
      </c>
      <c r="U150" s="201">
        <f>SUM('Hai Tang:Main Kichen'!U107)</f>
        <v>63823.25</v>
      </c>
      <c r="V150" s="201">
        <f>SUM('Hai Tang:Main Kichen'!V107)</f>
        <v>56899.369999999995</v>
      </c>
      <c r="W150" s="201">
        <f>SUM('Hai Tang:Main Kichen'!W107)</f>
        <v>0</v>
      </c>
      <c r="X150" s="201">
        <f>SUM('Hai Tang:Main Kichen'!X107)</f>
        <v>0</v>
      </c>
      <c r="Y150" s="201">
        <f>SUM('Hai Tang:Main Kichen'!Y107)</f>
        <v>101892</v>
      </c>
      <c r="Z150" s="201">
        <f>SUM('Hai Tang:Main Kichen'!Z107)</f>
        <v>301453</v>
      </c>
      <c r="AA150" s="201">
        <f>SUM('Hai Tang:Main Kichen'!AA107)</f>
        <v>0</v>
      </c>
      <c r="AB150" s="201">
        <f>SUM('Hai Tang:Main Kichen'!AB107)</f>
        <v>0</v>
      </c>
      <c r="AC150" s="133">
        <f>SUM(Q150:AB150)</f>
        <v>869769.0199999999</v>
      </c>
      <c r="AD150" s="123">
        <f t="shared" ref="AD150:AD155" si="41">P150-AC150</f>
        <v>-77529.599999999977</v>
      </c>
      <c r="AE150" s="196">
        <f t="shared" si="31"/>
        <v>-8.913814842473923E-2</v>
      </c>
      <c r="AF150" s="133">
        <v>898834.55999999982</v>
      </c>
      <c r="AG150" s="124">
        <f t="shared" si="39"/>
        <v>106595.1399999999</v>
      </c>
      <c r="AH150" s="124"/>
      <c r="AI150" s="124"/>
      <c r="AJ150" s="124"/>
      <c r="AL150" s="124"/>
    </row>
    <row r="151" spans="1:38">
      <c r="A151" s="105" t="s">
        <v>120</v>
      </c>
      <c r="B151" s="105" t="s">
        <v>407</v>
      </c>
      <c r="C151" s="105" t="s">
        <v>261</v>
      </c>
      <c r="D151" s="201">
        <f>SUM('Hai Tang:Main Kichen'!D108)</f>
        <v>140157.78999999998</v>
      </c>
      <c r="E151" s="201">
        <f>SUM('Hai Tang:Main Kichen'!E108)</f>
        <v>140157.78999999998</v>
      </c>
      <c r="F151" s="201">
        <f>SUM('Hai Tang:Main Kichen'!F108)</f>
        <v>140907.78999999998</v>
      </c>
      <c r="G151" s="201">
        <f>SUM('Hai Tang:Main Kichen'!G108)</f>
        <v>143124.46</v>
      </c>
      <c r="H151" s="201">
        <f>SUM('Hai Tang:Main Kichen'!H108)</f>
        <v>144141.13</v>
      </c>
      <c r="I151" s="201">
        <f>SUM('Hai Tang:Main Kichen'!I108)</f>
        <v>144157.81</v>
      </c>
      <c r="J151" s="201">
        <f>SUM('Hai Tang:Main Kichen'!J108)</f>
        <v>144157.81</v>
      </c>
      <c r="K151" s="201">
        <f>SUM('Hai Tang:Main Kichen'!K108)</f>
        <v>144157.81</v>
      </c>
      <c r="L151" s="201">
        <f>SUM('Hai Tang:Main Kichen'!L108)</f>
        <v>144157.81</v>
      </c>
      <c r="M151" s="201">
        <f>SUM('Hai Tang:Main Kichen'!M108)</f>
        <v>144157.81</v>
      </c>
      <c r="N151" s="201">
        <f>SUM('Hai Tang:Main Kichen'!N108)</f>
        <v>144157.81</v>
      </c>
      <c r="O151" s="201">
        <f>SUM('Hai Tang:Main Kichen'!O108)</f>
        <v>144157.81</v>
      </c>
      <c r="P151" s="133">
        <f>SUM(D151:O151)</f>
        <v>1717593.6300000004</v>
      </c>
      <c r="Q151" s="201">
        <f>SUM('Hai Tang:Main Kichen'!Q108)</f>
        <v>203973.66999999998</v>
      </c>
      <c r="R151" s="201">
        <f>SUM('Hai Tang:Main Kichen'!R108)</f>
        <v>204075.22000000003</v>
      </c>
      <c r="S151" s="201">
        <f>SUM('Hai Tang:Main Kichen'!S108)</f>
        <v>197479.42</v>
      </c>
      <c r="T151" s="201">
        <f>SUM('Hai Tang:Main Kichen'!T108)</f>
        <v>124364.66999999998</v>
      </c>
      <c r="U151" s="201">
        <f>SUM('Hai Tang:Main Kichen'!U108)</f>
        <v>117542.13999999998</v>
      </c>
      <c r="V151" s="201">
        <f>SUM('Hai Tang:Main Kichen'!V108)</f>
        <v>124469.45999999999</v>
      </c>
      <c r="W151" s="201">
        <f>SUM('Hai Tang:Main Kichen'!W108)</f>
        <v>123820.53999999998</v>
      </c>
      <c r="X151" s="201">
        <f>SUM('Hai Tang:Main Kichen'!X108)</f>
        <v>130678.78</v>
      </c>
      <c r="Y151" s="201">
        <f>SUM('Hai Tang:Main Kichen'!Y108)</f>
        <v>123077.5</v>
      </c>
      <c r="Z151" s="201">
        <f>SUM('Hai Tang:Main Kichen'!Z108)</f>
        <v>123077.5</v>
      </c>
      <c r="AA151" s="201">
        <f>SUM('Hai Tang:Main Kichen'!AA108)</f>
        <v>123077.5</v>
      </c>
      <c r="AB151" s="201">
        <f>SUM('Hai Tang:Main Kichen'!AB108)</f>
        <v>123077.5</v>
      </c>
      <c r="AC151" s="133">
        <f>SUM(Q151:AB151)</f>
        <v>1718713.9</v>
      </c>
      <c r="AD151" s="123">
        <f t="shared" si="41"/>
        <v>-1120.269999999553</v>
      </c>
      <c r="AE151" s="196">
        <f t="shared" si="31"/>
        <v>-6.5180714486544442E-4</v>
      </c>
      <c r="AF151" s="133">
        <v>1908604.3199999998</v>
      </c>
      <c r="AG151" s="124">
        <f t="shared" si="39"/>
        <v>191010.68999999948</v>
      </c>
      <c r="AH151" s="124"/>
      <c r="AI151" s="124"/>
      <c r="AJ151" s="124"/>
      <c r="AL151" s="124"/>
    </row>
    <row r="152" spans="1:38">
      <c r="A152" s="105" t="s">
        <v>121</v>
      </c>
      <c r="B152" s="105" t="s">
        <v>407</v>
      </c>
      <c r="C152" s="105" t="s">
        <v>262</v>
      </c>
      <c r="D152" s="201">
        <f>SUM('Hai Tang:Main Kichen'!D109)</f>
        <v>97910</v>
      </c>
      <c r="E152" s="201">
        <f>SUM('Hai Tang:Main Kichen'!E109)</f>
        <v>97910</v>
      </c>
      <c r="F152" s="201">
        <f>SUM('Hai Tang:Main Kichen'!F109)</f>
        <v>98240</v>
      </c>
      <c r="G152" s="201">
        <f>SUM('Hai Tang:Main Kichen'!G109)</f>
        <v>99330</v>
      </c>
      <c r="H152" s="201">
        <f>SUM('Hai Tang:Main Kichen'!H109)</f>
        <v>100190</v>
      </c>
      <c r="I152" s="201">
        <f>SUM('Hai Tang:Main Kichen'!I109)</f>
        <v>99955</v>
      </c>
      <c r="J152" s="201">
        <f>SUM('Hai Tang:Main Kichen'!J109)</f>
        <v>99555</v>
      </c>
      <c r="K152" s="201">
        <f>SUM('Hai Tang:Main Kichen'!K109)</f>
        <v>99355</v>
      </c>
      <c r="L152" s="201">
        <f>SUM('Hai Tang:Main Kichen'!L109)</f>
        <v>99355</v>
      </c>
      <c r="M152" s="201">
        <f>SUM('Hai Tang:Main Kichen'!M109)</f>
        <v>99355</v>
      </c>
      <c r="N152" s="201">
        <f>SUM('Hai Tang:Main Kichen'!N109)</f>
        <v>99355</v>
      </c>
      <c r="O152" s="201">
        <f>SUM('Hai Tang:Main Kichen'!O109)</f>
        <v>99355</v>
      </c>
      <c r="P152" s="133">
        <f>SUM(D152:O152)</f>
        <v>1189865</v>
      </c>
      <c r="Q152" s="201">
        <f>SUM('Hai Tang:Main Kichen'!Q109)</f>
        <v>87585.16</v>
      </c>
      <c r="R152" s="201">
        <f>SUM('Hai Tang:Main Kichen'!R109)</f>
        <v>84764</v>
      </c>
      <c r="S152" s="201">
        <f>SUM('Hai Tang:Main Kichen'!S109)</f>
        <v>84310.150000000009</v>
      </c>
      <c r="T152" s="201">
        <f>SUM('Hai Tang:Main Kichen'!T109)</f>
        <v>80528.84</v>
      </c>
      <c r="U152" s="201">
        <f>SUM('Hai Tang:Main Kichen'!U109)</f>
        <v>80384.649999999994</v>
      </c>
      <c r="V152" s="201">
        <f>SUM('Hai Tang:Main Kichen'!V109)</f>
        <v>78388.479999999981</v>
      </c>
      <c r="W152" s="201">
        <f>SUM('Hai Tang:Main Kichen'!W109)</f>
        <v>83539.070000000007</v>
      </c>
      <c r="X152" s="201">
        <f>SUM('Hai Tang:Main Kichen'!X109)</f>
        <v>86452.14</v>
      </c>
      <c r="Y152" s="201">
        <f>SUM('Hai Tang:Main Kichen'!Y109)</f>
        <v>128870</v>
      </c>
      <c r="Z152" s="201">
        <f>SUM('Hai Tang:Main Kichen'!Z109)</f>
        <v>127516</v>
      </c>
      <c r="AA152" s="201">
        <f>SUM('Hai Tang:Main Kichen'!AA109)</f>
        <v>127818</v>
      </c>
      <c r="AB152" s="201">
        <f>SUM('Hai Tang:Main Kichen'!AB109)</f>
        <v>129005</v>
      </c>
      <c r="AC152" s="133">
        <f>SUM(Q152:AB152)</f>
        <v>1179161.4900000002</v>
      </c>
      <c r="AD152" s="123">
        <f t="shared" si="41"/>
        <v>10703.509999999776</v>
      </c>
      <c r="AE152" s="196">
        <f t="shared" si="31"/>
        <v>9.0772214754060322E-3</v>
      </c>
      <c r="AF152" s="133">
        <v>669750</v>
      </c>
      <c r="AG152" s="124">
        <f t="shared" si="39"/>
        <v>-520115</v>
      </c>
      <c r="AH152" s="124"/>
      <c r="AI152" s="124"/>
      <c r="AJ152" s="124"/>
      <c r="AL152" s="124"/>
    </row>
    <row r="153" spans="1:38">
      <c r="A153" s="105" t="s">
        <v>122</v>
      </c>
      <c r="B153" s="105" t="s">
        <v>407</v>
      </c>
      <c r="C153" s="105" t="s">
        <v>263</v>
      </c>
      <c r="D153" s="201">
        <f>SUM('Hai Tang:Main Kichen'!D110)</f>
        <v>0</v>
      </c>
      <c r="E153" s="201">
        <f>SUM('Hai Tang:Main Kichen'!E110)</f>
        <v>0</v>
      </c>
      <c r="F153" s="201">
        <f>SUM('Hai Tang:Main Kichen'!F110)</f>
        <v>0</v>
      </c>
      <c r="G153" s="201">
        <f>SUM('Hai Tang:Main Kichen'!G110)</f>
        <v>0</v>
      </c>
      <c r="H153" s="201">
        <f>SUM('Hai Tang:Main Kichen'!H110)</f>
        <v>0</v>
      </c>
      <c r="I153" s="201">
        <f>SUM('Hai Tang:Main Kichen'!I110)</f>
        <v>0</v>
      </c>
      <c r="J153" s="201">
        <f>SUM('Hai Tang:Main Kichen'!J110)</f>
        <v>0</v>
      </c>
      <c r="K153" s="201">
        <f>SUM('Hai Tang:Main Kichen'!K110)</f>
        <v>0</v>
      </c>
      <c r="L153" s="201">
        <f>SUM('Hai Tang:Main Kichen'!L110)</f>
        <v>0</v>
      </c>
      <c r="M153" s="201">
        <f>SUM('Hai Tang:Main Kichen'!M110)</f>
        <v>0</v>
      </c>
      <c r="N153" s="201">
        <f>SUM('Hai Tang:Main Kichen'!N110)</f>
        <v>0</v>
      </c>
      <c r="O153" s="201">
        <f>SUM('Hai Tang:Main Kichen'!O110)</f>
        <v>0</v>
      </c>
      <c r="P153" s="133">
        <f>SUM(D153:O153)</f>
        <v>0</v>
      </c>
      <c r="Q153" s="201">
        <f>SUM('Hai Tang:Main Kichen'!Q110)</f>
        <v>0</v>
      </c>
      <c r="R153" s="201">
        <f>SUM('Hai Tang:Main Kichen'!R110)</f>
        <v>0</v>
      </c>
      <c r="S153" s="201">
        <f>SUM('Hai Tang:Main Kichen'!S110)</f>
        <v>0</v>
      </c>
      <c r="T153" s="201">
        <f>SUM('Hai Tang:Main Kichen'!T110)</f>
        <v>0</v>
      </c>
      <c r="U153" s="201">
        <f>SUM('Hai Tang:Main Kichen'!U110)</f>
        <v>0</v>
      </c>
      <c r="V153" s="201">
        <f>SUM('Hai Tang:Main Kichen'!V110)</f>
        <v>0</v>
      </c>
      <c r="W153" s="201">
        <f>SUM('Hai Tang:Main Kichen'!W110)</f>
        <v>0</v>
      </c>
      <c r="X153" s="201">
        <f>SUM('Hai Tang:Main Kichen'!X110)</f>
        <v>0</v>
      </c>
      <c r="Y153" s="201">
        <f>SUM('Hai Tang:Main Kichen'!Y110)</f>
        <v>0</v>
      </c>
      <c r="Z153" s="201">
        <f>SUM('Hai Tang:Main Kichen'!Z110)</f>
        <v>0</v>
      </c>
      <c r="AA153" s="201">
        <f>SUM('Hai Tang:Main Kichen'!AA110)</f>
        <v>0</v>
      </c>
      <c r="AB153" s="201">
        <f>SUM('Hai Tang:Main Kichen'!AB110)</f>
        <v>0</v>
      </c>
      <c r="AC153" s="133">
        <f>SUM(Q153:AB153)</f>
        <v>0</v>
      </c>
      <c r="AD153" s="123">
        <f t="shared" si="41"/>
        <v>0</v>
      </c>
      <c r="AE153" s="196" t="e">
        <f t="shared" si="31"/>
        <v>#DIV/0!</v>
      </c>
      <c r="AF153" s="133">
        <v>0</v>
      </c>
      <c r="AG153" s="124">
        <f t="shared" si="39"/>
        <v>0</v>
      </c>
      <c r="AH153" s="124"/>
      <c r="AI153" s="124"/>
      <c r="AJ153" s="124"/>
      <c r="AL153" s="124"/>
    </row>
    <row r="154" spans="1:38">
      <c r="A154" s="105" t="s">
        <v>123</v>
      </c>
      <c r="B154" s="105" t="s">
        <v>407</v>
      </c>
      <c r="C154" s="105" t="s">
        <v>264</v>
      </c>
      <c r="D154" s="201">
        <f>SUM('Hai Tang:Main Kichen'!D111)</f>
        <v>30080.83</v>
      </c>
      <c r="E154" s="201">
        <f>SUM('Hai Tang:Main Kichen'!E111)</f>
        <v>30080.83</v>
      </c>
      <c r="F154" s="201">
        <f>SUM('Hai Tang:Main Kichen'!F111)</f>
        <v>30280.83</v>
      </c>
      <c r="G154" s="201">
        <f>SUM('Hai Tang:Main Kichen'!G111)</f>
        <v>30880.83</v>
      </c>
      <c r="H154" s="201">
        <f>SUM('Hai Tang:Main Kichen'!H111)</f>
        <v>31280.83</v>
      </c>
      <c r="I154" s="201">
        <f>SUM('Hai Tang:Main Kichen'!I111)</f>
        <v>31880.83</v>
      </c>
      <c r="J154" s="201">
        <f>SUM('Hai Tang:Main Kichen'!J111)</f>
        <v>32280.83</v>
      </c>
      <c r="K154" s="201">
        <f>SUM('Hai Tang:Main Kichen'!K111)</f>
        <v>32480.83</v>
      </c>
      <c r="L154" s="201">
        <f>SUM('Hai Tang:Main Kichen'!L111)</f>
        <v>32480.83</v>
      </c>
      <c r="M154" s="201">
        <f>SUM('Hai Tang:Main Kichen'!M111)</f>
        <v>32480.83</v>
      </c>
      <c r="N154" s="201">
        <f>SUM('Hai Tang:Main Kichen'!N111)</f>
        <v>32480.83</v>
      </c>
      <c r="O154" s="201">
        <f>SUM('Hai Tang:Main Kichen'!O111)</f>
        <v>32480.83</v>
      </c>
      <c r="P154" s="133">
        <f>SUM(D154:O154)</f>
        <v>379169.96000000014</v>
      </c>
      <c r="Q154" s="201">
        <f>SUM('Hai Tang:Main Kichen'!Q111)</f>
        <v>49286.43</v>
      </c>
      <c r="R154" s="201">
        <f>SUM('Hai Tang:Main Kichen'!R111)</f>
        <v>58755.01</v>
      </c>
      <c r="S154" s="201">
        <f>SUM('Hai Tang:Main Kichen'!S111)</f>
        <v>39514.21</v>
      </c>
      <c r="T154" s="201">
        <f>SUM('Hai Tang:Main Kichen'!T111)</f>
        <v>48831.010000000009</v>
      </c>
      <c r="U154" s="201">
        <f>SUM('Hai Tang:Main Kichen'!U111)</f>
        <v>12589.41</v>
      </c>
      <c r="V154" s="201">
        <f>SUM('Hai Tang:Main Kichen'!V111)</f>
        <v>24920.71</v>
      </c>
      <c r="W154" s="201">
        <f>SUM('Hai Tang:Main Kichen'!W111)</f>
        <v>31295.91</v>
      </c>
      <c r="X154" s="201">
        <f>SUM('Hai Tang:Main Kichen'!X111)</f>
        <v>102628.74999999999</v>
      </c>
      <c r="Y154" s="201">
        <f>SUM('Hai Tang:Main Kichen'!Y111)</f>
        <v>116260</v>
      </c>
      <c r="Z154" s="201">
        <f>SUM('Hai Tang:Main Kichen'!Z111)</f>
        <v>68660</v>
      </c>
      <c r="AA154" s="201">
        <f>SUM('Hai Tang:Main Kichen'!AA111)</f>
        <v>68660</v>
      </c>
      <c r="AB154" s="201">
        <f>SUM('Hai Tang:Main Kichen'!AB111)</f>
        <v>68660</v>
      </c>
      <c r="AC154" s="133">
        <f>SUM(Q154:AB154)</f>
        <v>690061.44</v>
      </c>
      <c r="AD154" s="123">
        <f t="shared" si="41"/>
        <v>-310891.47999999981</v>
      </c>
      <c r="AE154" s="196">
        <f t="shared" si="31"/>
        <v>-0.45052724580582248</v>
      </c>
      <c r="AF154" s="133">
        <v>628877.14</v>
      </c>
      <c r="AG154" s="124">
        <f t="shared" si="39"/>
        <v>249707.17999999988</v>
      </c>
      <c r="AH154" s="124"/>
      <c r="AI154" s="124"/>
      <c r="AJ154" s="124"/>
      <c r="AL154" s="124"/>
    </row>
    <row r="155" spans="1:38">
      <c r="A155" s="105" t="s">
        <v>273</v>
      </c>
      <c r="C155" s="109" t="s">
        <v>265</v>
      </c>
      <c r="D155" s="133">
        <f>SUM(D150:D154)</f>
        <v>569153.04999999993</v>
      </c>
      <c r="E155" s="133">
        <f t="shared" ref="E155:AC155" si="42">SUM(E150:E154)</f>
        <v>268148.62</v>
      </c>
      <c r="F155" s="133">
        <f t="shared" si="42"/>
        <v>269428.62</v>
      </c>
      <c r="G155" s="133">
        <f t="shared" si="42"/>
        <v>335805.75</v>
      </c>
      <c r="H155" s="133">
        <f t="shared" si="42"/>
        <v>399965.19</v>
      </c>
      <c r="I155" s="133">
        <f t="shared" si="42"/>
        <v>275993.64</v>
      </c>
      <c r="J155" s="133">
        <f t="shared" si="42"/>
        <v>275993.64</v>
      </c>
      <c r="K155" s="133">
        <f t="shared" si="42"/>
        <v>275993.64</v>
      </c>
      <c r="L155" s="133">
        <f t="shared" si="42"/>
        <v>275993.64</v>
      </c>
      <c r="M155" s="133">
        <f t="shared" si="42"/>
        <v>580404.93999999994</v>
      </c>
      <c r="N155" s="133">
        <f t="shared" si="42"/>
        <v>275993.64</v>
      </c>
      <c r="O155" s="133">
        <f t="shared" si="42"/>
        <v>275993.64</v>
      </c>
      <c r="P155" s="133">
        <f t="shared" si="42"/>
        <v>4078868.0100000002</v>
      </c>
      <c r="Q155" s="133">
        <f t="shared" si="42"/>
        <v>409885.06</v>
      </c>
      <c r="R155" s="133">
        <f t="shared" si="42"/>
        <v>572411.6</v>
      </c>
      <c r="S155" s="133">
        <f t="shared" si="42"/>
        <v>321303.78000000003</v>
      </c>
      <c r="T155" s="133">
        <f t="shared" si="42"/>
        <v>305568.75</v>
      </c>
      <c r="U155" s="133">
        <f t="shared" si="42"/>
        <v>274339.44999999995</v>
      </c>
      <c r="V155" s="133">
        <f t="shared" si="42"/>
        <v>284678.01999999996</v>
      </c>
      <c r="W155" s="133">
        <f t="shared" si="42"/>
        <v>238655.52</v>
      </c>
      <c r="X155" s="133">
        <f t="shared" si="42"/>
        <v>319759.67</v>
      </c>
      <c r="Y155" s="133">
        <f>SUM(Y150:Y154)</f>
        <v>470099.5</v>
      </c>
      <c r="Z155" s="133">
        <f>SUM(Z150:Z154)</f>
        <v>620706.5</v>
      </c>
      <c r="AA155" s="133">
        <f>SUM(AA150:AA154)</f>
        <v>319555.5</v>
      </c>
      <c r="AB155" s="133">
        <f>SUM(AB150:AB154)</f>
        <v>320742.5</v>
      </c>
      <c r="AC155" s="133">
        <f t="shared" si="42"/>
        <v>4457705.8499999996</v>
      </c>
      <c r="AD155" s="133">
        <f t="shared" si="41"/>
        <v>-378837.83999999939</v>
      </c>
      <c r="AE155" s="196">
        <f t="shared" si="31"/>
        <v>-8.4984934571221069E-2</v>
      </c>
      <c r="AF155" s="133">
        <v>4106066.02</v>
      </c>
      <c r="AG155" s="124">
        <f t="shared" si="39"/>
        <v>27198.009999999776</v>
      </c>
      <c r="AH155" s="124"/>
      <c r="AI155" s="124"/>
      <c r="AJ155" s="124"/>
      <c r="AL155" s="124"/>
    </row>
    <row r="156" spans="1:38">
      <c r="A156" s="105" t="s">
        <v>273</v>
      </c>
      <c r="C156" s="105" t="s">
        <v>154</v>
      </c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33"/>
      <c r="Q156" s="195"/>
      <c r="R156" s="195"/>
      <c r="S156" s="195"/>
      <c r="T156" s="195"/>
      <c r="U156" s="195"/>
      <c r="V156" s="195"/>
      <c r="W156" s="195"/>
      <c r="X156" s="195"/>
      <c r="Y156" s="195"/>
      <c r="Z156" s="195"/>
      <c r="AA156" s="195"/>
      <c r="AB156" s="195"/>
      <c r="AC156" s="133"/>
      <c r="AD156" s="123"/>
      <c r="AE156" s="196" t="e">
        <f t="shared" si="31"/>
        <v>#DIV/0!</v>
      </c>
      <c r="AF156" s="133"/>
      <c r="AG156" s="124">
        <f t="shared" si="39"/>
        <v>0</v>
      </c>
      <c r="AH156" s="124"/>
      <c r="AI156" s="124"/>
      <c r="AJ156" s="124"/>
      <c r="AL156" s="124"/>
    </row>
    <row r="157" spans="1:38">
      <c r="A157" s="105" t="s">
        <v>124</v>
      </c>
      <c r="B157" s="105" t="s">
        <v>407</v>
      </c>
      <c r="C157" s="105" t="s">
        <v>266</v>
      </c>
      <c r="D157" s="201">
        <f>SUM('Hai Tang:Main Kichen'!D114)</f>
        <v>185758.28000000003</v>
      </c>
      <c r="E157" s="201">
        <f>SUM('Hai Tang:Main Kichen'!E114)</f>
        <v>185758.28000000003</v>
      </c>
      <c r="F157" s="201">
        <f>SUM('Hai Tang:Main Kichen'!F114)</f>
        <v>186585.52000000002</v>
      </c>
      <c r="G157" s="201">
        <f>SUM('Hai Tang:Main Kichen'!G114)</f>
        <v>189200.00000000003</v>
      </c>
      <c r="H157" s="201">
        <f>SUM('Hai Tang:Main Kichen'!H114)</f>
        <v>190854.48</v>
      </c>
      <c r="I157" s="201">
        <f>SUM('Hai Tang:Main Kichen'!I114)</f>
        <v>190627.43000000002</v>
      </c>
      <c r="J157" s="201">
        <f>SUM('Hai Tang:Main Kichen'!J114)</f>
        <v>195638.55000000002</v>
      </c>
      <c r="K157" s="201">
        <f>SUM('Hai Tang:Main Kichen'!K114)</f>
        <v>195638.55000000002</v>
      </c>
      <c r="L157" s="201">
        <f>SUM('Hai Tang:Main Kichen'!L114)</f>
        <v>195638.55000000002</v>
      </c>
      <c r="M157" s="201">
        <f>SUM('Hai Tang:Main Kichen'!M114)</f>
        <v>195638.55000000002</v>
      </c>
      <c r="N157" s="201">
        <f>SUM('Hai Tang:Main Kichen'!N114)</f>
        <v>195638.55000000002</v>
      </c>
      <c r="O157" s="201">
        <f>SUM('Hai Tang:Main Kichen'!O114)</f>
        <v>195638.55000000002</v>
      </c>
      <c r="P157" s="133">
        <f t="shared" ref="P157:P164" si="43">SUM(D157:O157)</f>
        <v>2302615.29</v>
      </c>
      <c r="Q157" s="201">
        <f>SUM('Hai Tang:Main Kichen'!Q114)</f>
        <v>189549.87000000005</v>
      </c>
      <c r="R157" s="201">
        <f>SUM('Hai Tang:Main Kichen'!R114)</f>
        <v>188514.74000000002</v>
      </c>
      <c r="S157" s="201">
        <f>SUM('Hai Tang:Main Kichen'!S114)</f>
        <v>180626.19000000006</v>
      </c>
      <c r="T157" s="201">
        <f>SUM('Hai Tang:Main Kichen'!T114)</f>
        <v>170756.86000000002</v>
      </c>
      <c r="U157" s="201">
        <f>SUM('Hai Tang:Main Kichen'!U114)</f>
        <v>163174.23000000001</v>
      </c>
      <c r="V157" s="201">
        <f>SUM('Hai Tang:Main Kichen'!V114)</f>
        <v>167491.93000000002</v>
      </c>
      <c r="W157" s="201">
        <f>SUM('Hai Tang:Main Kichen'!W114)</f>
        <v>170544.2</v>
      </c>
      <c r="X157" s="201">
        <f>SUM('Hai Tang:Main Kichen'!X114)</f>
        <v>177377.09</v>
      </c>
      <c r="Y157" s="201">
        <f>SUM('Hai Tang:Main Kichen'!Y114)</f>
        <v>172477</v>
      </c>
      <c r="Z157" s="201">
        <f>SUM('Hai Tang:Main Kichen'!Z114)</f>
        <v>172477</v>
      </c>
      <c r="AA157" s="201">
        <f>SUM('Hai Tang:Main Kichen'!AA114)</f>
        <v>172477</v>
      </c>
      <c r="AB157" s="201">
        <f>SUM('Hai Tang:Main Kichen'!AB114)</f>
        <v>172477</v>
      </c>
      <c r="AC157" s="133">
        <f t="shared" ref="AC157:AC164" si="44">SUM(Q157:AB157)</f>
        <v>2097943.1100000003</v>
      </c>
      <c r="AD157" s="123">
        <f t="shared" ref="AD157:AD165" si="45">P157-AC157</f>
        <v>204672.1799999997</v>
      </c>
      <c r="AE157" s="196">
        <f t="shared" si="31"/>
        <v>9.7558498619154485E-2</v>
      </c>
      <c r="AF157" s="133">
        <v>1807690.3200000003</v>
      </c>
      <c r="AG157" s="124">
        <f t="shared" si="39"/>
        <v>-494924.96999999974</v>
      </c>
      <c r="AH157" s="124"/>
      <c r="AI157" s="124"/>
      <c r="AJ157" s="124"/>
      <c r="AL157" s="124"/>
    </row>
    <row r="158" spans="1:38">
      <c r="A158" s="105" t="s">
        <v>125</v>
      </c>
      <c r="B158" s="105" t="s">
        <v>407</v>
      </c>
      <c r="C158" s="105" t="s">
        <v>267</v>
      </c>
      <c r="D158" s="201">
        <f>SUM('Hai Tang:Main Kichen'!D115)</f>
        <v>75577.709999999992</v>
      </c>
      <c r="E158" s="201">
        <f>SUM('Hai Tang:Main Kichen'!E115)</f>
        <v>75577.709999999992</v>
      </c>
      <c r="F158" s="201">
        <f>SUM('Hai Tang:Main Kichen'!F115)</f>
        <v>75910.349999999991</v>
      </c>
      <c r="G158" s="201">
        <f>SUM('Hai Tang:Main Kichen'!G115)</f>
        <v>76965.62999999999</v>
      </c>
      <c r="H158" s="201">
        <f>SUM('Hai Tang:Main Kichen'!H115)</f>
        <v>77630.909999999989</v>
      </c>
      <c r="I158" s="201">
        <f>SUM('Hai Tang:Main Kichen'!I115)</f>
        <v>77531.819999999978</v>
      </c>
      <c r="J158" s="201">
        <f>SUM('Hai Tang:Main Kichen'!J115)</f>
        <v>79231.48</v>
      </c>
      <c r="K158" s="201">
        <f>SUM('Hai Tang:Main Kichen'!K115)</f>
        <v>79231.48</v>
      </c>
      <c r="L158" s="201">
        <f>SUM('Hai Tang:Main Kichen'!L115)</f>
        <v>79231.48</v>
      </c>
      <c r="M158" s="201">
        <f>SUM('Hai Tang:Main Kichen'!M115)</f>
        <v>79231.48</v>
      </c>
      <c r="N158" s="201">
        <f>SUM('Hai Tang:Main Kichen'!N115)</f>
        <v>79231.48</v>
      </c>
      <c r="O158" s="201">
        <f>SUM('Hai Tang:Main Kichen'!O115)</f>
        <v>79231.48</v>
      </c>
      <c r="P158" s="133">
        <f t="shared" si="43"/>
        <v>934583.00999999978</v>
      </c>
      <c r="Q158" s="201">
        <f>SUM('Hai Tang:Main Kichen'!Q115)</f>
        <v>100698.32</v>
      </c>
      <c r="R158" s="201">
        <f>SUM('Hai Tang:Main Kichen'!R115)</f>
        <v>100148.41</v>
      </c>
      <c r="S158" s="201">
        <f>SUM('Hai Tang:Main Kichen'!S115)</f>
        <v>95957.62000000001</v>
      </c>
      <c r="T158" s="201">
        <f>SUM('Hai Tang:Main Kichen'!T115)</f>
        <v>90714.550000000017</v>
      </c>
      <c r="U158" s="201">
        <f>SUM('Hai Tang:Main Kichen'!U115)</f>
        <v>86686.280000000013</v>
      </c>
      <c r="V158" s="201">
        <f>SUM('Hai Tang:Main Kichen'!V115)</f>
        <v>88980.040000000008</v>
      </c>
      <c r="W158" s="201">
        <f>SUM('Hai Tang:Main Kichen'!W115)</f>
        <v>69283.520000000004</v>
      </c>
      <c r="X158" s="201">
        <f>SUM('Hai Tang:Main Kichen'!X115)</f>
        <v>72059.38</v>
      </c>
      <c r="Y158" s="201">
        <f>SUM('Hai Tang:Main Kichen'!Y115)</f>
        <v>89067</v>
      </c>
      <c r="Z158" s="201">
        <f>SUM('Hai Tang:Main Kichen'!Z115)</f>
        <v>89067</v>
      </c>
      <c r="AA158" s="201">
        <f>SUM('Hai Tang:Main Kichen'!AA115)</f>
        <v>89067</v>
      </c>
      <c r="AB158" s="201">
        <f>SUM('Hai Tang:Main Kichen'!AB115)</f>
        <v>89067</v>
      </c>
      <c r="AC158" s="133">
        <f t="shared" si="44"/>
        <v>1060796.1200000001</v>
      </c>
      <c r="AD158" s="123">
        <f t="shared" si="45"/>
        <v>-126213.11000000034</v>
      </c>
      <c r="AE158" s="196">
        <f t="shared" si="31"/>
        <v>-0.11897961127535074</v>
      </c>
      <c r="AF158" s="133">
        <v>873491.04999999993</v>
      </c>
      <c r="AG158" s="124">
        <f t="shared" si="39"/>
        <v>-61091.959999999846</v>
      </c>
      <c r="AH158" s="124"/>
      <c r="AI158" s="124"/>
      <c r="AJ158" s="124"/>
      <c r="AL158" s="124"/>
    </row>
    <row r="159" spans="1:38" ht="14.25" customHeight="1">
      <c r="A159" s="105" t="s">
        <v>126</v>
      </c>
      <c r="B159" s="105" t="s">
        <v>407</v>
      </c>
      <c r="C159" s="105" t="s">
        <v>268</v>
      </c>
      <c r="D159" s="201">
        <f>SUM('Hai Tang:Main Kichen'!D116)</f>
        <v>5787.49</v>
      </c>
      <c r="E159" s="201">
        <f>SUM('Hai Tang:Main Kichen'!E116)</f>
        <v>5787.49</v>
      </c>
      <c r="F159" s="201">
        <f>SUM('Hai Tang:Main Kichen'!F116)</f>
        <v>5813.08</v>
      </c>
      <c r="G159" s="201">
        <f>SUM('Hai Tang:Main Kichen'!G116)</f>
        <v>5894.26</v>
      </c>
      <c r="H159" s="201">
        <f>SUM('Hai Tang:Main Kichen'!H116)</f>
        <v>5945.4400000000005</v>
      </c>
      <c r="I159" s="201">
        <f>SUM('Hai Tang:Main Kichen'!I116)</f>
        <v>5937.8200000000006</v>
      </c>
      <c r="J159" s="201">
        <f>SUM('Hai Tang:Main Kichen'!J116)</f>
        <v>6071.23</v>
      </c>
      <c r="K159" s="201">
        <f>SUM('Hai Tang:Main Kichen'!K116)</f>
        <v>6071.23</v>
      </c>
      <c r="L159" s="201">
        <f>SUM('Hai Tang:Main Kichen'!L116)</f>
        <v>6071.23</v>
      </c>
      <c r="M159" s="201">
        <f>SUM('Hai Tang:Main Kichen'!M116)</f>
        <v>6071.23</v>
      </c>
      <c r="N159" s="201">
        <f>SUM('Hai Tang:Main Kichen'!N116)</f>
        <v>6071.23</v>
      </c>
      <c r="O159" s="201">
        <f>SUM('Hai Tang:Main Kichen'!O116)</f>
        <v>6071.23</v>
      </c>
      <c r="P159" s="133">
        <f t="shared" si="43"/>
        <v>71592.959999999977</v>
      </c>
      <c r="Q159" s="201">
        <f>SUM('Hai Tang:Main Kichen'!Q116)</f>
        <v>5923.44</v>
      </c>
      <c r="R159" s="201">
        <f>SUM('Hai Tang:Main Kichen'!R116)</f>
        <v>5891.09</v>
      </c>
      <c r="S159" s="201">
        <f>SUM('Hai Tang:Main Kichen'!S116)</f>
        <v>5644.57</v>
      </c>
      <c r="T159" s="201">
        <f>SUM('Hai Tang:Main Kichen'!T116)</f>
        <v>5336.15</v>
      </c>
      <c r="U159" s="201">
        <f>SUM('Hai Tang:Main Kichen'!U116)</f>
        <v>5099.2000000000007</v>
      </c>
      <c r="V159" s="201">
        <f>SUM('Hai Tang:Main Kichen'!V116)</f>
        <v>5234.1200000000008</v>
      </c>
      <c r="W159" s="201">
        <f>SUM('Hai Tang:Main Kichen'!W116)</f>
        <v>5329.5000000000009</v>
      </c>
      <c r="X159" s="201">
        <f>SUM('Hai Tang:Main Kichen'!X116)</f>
        <v>5543.0299999999988</v>
      </c>
      <c r="Y159" s="201">
        <f>SUM('Hai Tang:Main Kichen'!Y116)</f>
        <v>5675</v>
      </c>
      <c r="Z159" s="201">
        <f>SUM('Hai Tang:Main Kichen'!Z116)</f>
        <v>5675</v>
      </c>
      <c r="AA159" s="201">
        <f>SUM('Hai Tang:Main Kichen'!AA116)</f>
        <v>5675</v>
      </c>
      <c r="AB159" s="201">
        <f>SUM('Hai Tang:Main Kichen'!AB116)</f>
        <v>5675</v>
      </c>
      <c r="AC159" s="133">
        <f t="shared" si="44"/>
        <v>66701.100000000006</v>
      </c>
      <c r="AD159" s="123">
        <f t="shared" si="45"/>
        <v>4891.8599999999715</v>
      </c>
      <c r="AE159" s="196">
        <f t="shared" si="31"/>
        <v>7.3340019879731683E-2</v>
      </c>
      <c r="AF159" s="133">
        <v>53606.18</v>
      </c>
      <c r="AG159" s="124">
        <f t="shared" si="39"/>
        <v>-17986.779999999977</v>
      </c>
      <c r="AH159" s="124"/>
      <c r="AI159" s="124"/>
      <c r="AJ159" s="124"/>
      <c r="AL159" s="124"/>
    </row>
    <row r="160" spans="1:38">
      <c r="A160" s="105" t="s">
        <v>127</v>
      </c>
      <c r="B160" s="105" t="s">
        <v>407</v>
      </c>
      <c r="C160" s="105" t="s">
        <v>269</v>
      </c>
      <c r="D160" s="201">
        <f>SUM('Hai Tang:Main Kichen'!D117)</f>
        <v>1388.8899999999999</v>
      </c>
      <c r="E160" s="201">
        <f>SUM('Hai Tang:Main Kichen'!E117)</f>
        <v>1388.8899999999999</v>
      </c>
      <c r="F160" s="201">
        <f>SUM('Hai Tang:Main Kichen'!F117)</f>
        <v>1395.0299999999997</v>
      </c>
      <c r="G160" s="201">
        <f>SUM('Hai Tang:Main Kichen'!G117)</f>
        <v>1414.5099999999998</v>
      </c>
      <c r="H160" s="201">
        <f>SUM('Hai Tang:Main Kichen'!H117)</f>
        <v>1426.7899999999997</v>
      </c>
      <c r="I160" s="201">
        <f>SUM('Hai Tang:Main Kichen'!I117)</f>
        <v>1424.9599999999998</v>
      </c>
      <c r="J160" s="201">
        <f>SUM('Hai Tang:Main Kichen'!J117)</f>
        <v>1457.3100000000002</v>
      </c>
      <c r="K160" s="201">
        <f>SUM('Hai Tang:Main Kichen'!K117)</f>
        <v>1457.3100000000002</v>
      </c>
      <c r="L160" s="201">
        <f>SUM('Hai Tang:Main Kichen'!L117)</f>
        <v>1457.3100000000002</v>
      </c>
      <c r="M160" s="201">
        <f>SUM('Hai Tang:Main Kichen'!M117)</f>
        <v>1457.3100000000002</v>
      </c>
      <c r="N160" s="201">
        <f>SUM('Hai Tang:Main Kichen'!N117)</f>
        <v>1457.3100000000002</v>
      </c>
      <c r="O160" s="201">
        <f>SUM('Hai Tang:Main Kichen'!O117)</f>
        <v>1457.3100000000002</v>
      </c>
      <c r="P160" s="133">
        <f t="shared" si="43"/>
        <v>17182.929999999997</v>
      </c>
      <c r="Q160" s="201">
        <f>SUM('Hai Tang:Main Kichen'!Q117)</f>
        <v>1421.8600000000001</v>
      </c>
      <c r="R160" s="201">
        <f>SUM('Hai Tang:Main Kichen'!R117)</f>
        <v>1414.1000000000001</v>
      </c>
      <c r="S160" s="201">
        <f>SUM('Hai Tang:Main Kichen'!S117)</f>
        <v>1354.92</v>
      </c>
      <c r="T160" s="201">
        <f>SUM('Hai Tang:Main Kichen'!T117)</f>
        <v>1280.9000000000001</v>
      </c>
      <c r="U160" s="201">
        <f>SUM('Hai Tang:Main Kichen'!U117)</f>
        <v>1224.03</v>
      </c>
      <c r="V160" s="201">
        <f>SUM('Hai Tang:Main Kichen'!V117)</f>
        <v>1256.42</v>
      </c>
      <c r="W160" s="201">
        <f>SUM('Hai Tang:Main Kichen'!W117)</f>
        <v>1279.3300000000002</v>
      </c>
      <c r="X160" s="201">
        <f>SUM('Hai Tang:Main Kichen'!X117)</f>
        <v>1330.5900000000001</v>
      </c>
      <c r="Y160" s="201">
        <f>SUM('Hai Tang:Main Kichen'!Y117)</f>
        <v>1701</v>
      </c>
      <c r="Z160" s="201">
        <f>SUM('Hai Tang:Main Kichen'!Z117)</f>
        <v>1701</v>
      </c>
      <c r="AA160" s="201">
        <f>SUM('Hai Tang:Main Kichen'!AA117)</f>
        <v>1701</v>
      </c>
      <c r="AB160" s="201">
        <f>SUM('Hai Tang:Main Kichen'!AB117)</f>
        <v>1701</v>
      </c>
      <c r="AC160" s="133">
        <f t="shared" si="44"/>
        <v>17366.150000000001</v>
      </c>
      <c r="AD160" s="123">
        <f t="shared" si="45"/>
        <v>-183.2200000000048</v>
      </c>
      <c r="AE160" s="196">
        <f t="shared" si="31"/>
        <v>-1.0550409849045688E-2</v>
      </c>
      <c r="AF160" s="133">
        <v>17154.46</v>
      </c>
      <c r="AG160" s="124">
        <f t="shared" si="39"/>
        <v>-28.469999999997526</v>
      </c>
      <c r="AH160" s="124"/>
      <c r="AI160" s="124"/>
      <c r="AJ160" s="124"/>
      <c r="AL160" s="124"/>
    </row>
    <row r="161" spans="1:38">
      <c r="A161" s="105" t="s">
        <v>128</v>
      </c>
      <c r="B161" s="105" t="s">
        <v>407</v>
      </c>
      <c r="C161" s="105" t="s">
        <v>270</v>
      </c>
      <c r="D161" s="201">
        <f>SUM('Hai Tang:Main Kichen'!D118)</f>
        <v>0</v>
      </c>
      <c r="E161" s="201">
        <f>SUM('Hai Tang:Main Kichen'!E118)</f>
        <v>0</v>
      </c>
      <c r="F161" s="201">
        <f>SUM('Hai Tang:Main Kichen'!F118)</f>
        <v>0</v>
      </c>
      <c r="G161" s="201">
        <f>SUM('Hai Tang:Main Kichen'!G118)</f>
        <v>0</v>
      </c>
      <c r="H161" s="201">
        <f>SUM('Hai Tang:Main Kichen'!H118)</f>
        <v>0</v>
      </c>
      <c r="I161" s="201">
        <f>SUM('Hai Tang:Main Kichen'!I118)</f>
        <v>0</v>
      </c>
      <c r="J161" s="201">
        <f>SUM('Hai Tang:Main Kichen'!J118)</f>
        <v>0</v>
      </c>
      <c r="K161" s="201">
        <f>SUM('Hai Tang:Main Kichen'!K118)</f>
        <v>0</v>
      </c>
      <c r="L161" s="201">
        <f>SUM('Hai Tang:Main Kichen'!L118)</f>
        <v>0</v>
      </c>
      <c r="M161" s="201">
        <f>SUM('Hai Tang:Main Kichen'!M118)</f>
        <v>0</v>
      </c>
      <c r="N161" s="201">
        <f>SUM('Hai Tang:Main Kichen'!N118)</f>
        <v>0</v>
      </c>
      <c r="O161" s="201">
        <f>SUM('Hai Tang:Main Kichen'!O118)</f>
        <v>0</v>
      </c>
      <c r="P161" s="133">
        <f t="shared" si="43"/>
        <v>0</v>
      </c>
      <c r="Q161" s="201">
        <f>SUM('Hai Tang:Main Kichen'!Q118)</f>
        <v>0</v>
      </c>
      <c r="R161" s="201">
        <f>SUM('Hai Tang:Main Kichen'!R118)</f>
        <v>0</v>
      </c>
      <c r="S161" s="201">
        <f>SUM('Hai Tang:Main Kichen'!S118)</f>
        <v>0</v>
      </c>
      <c r="T161" s="201">
        <f>SUM('Hai Tang:Main Kichen'!T118)</f>
        <v>0</v>
      </c>
      <c r="U161" s="201">
        <f>SUM('Hai Tang:Main Kichen'!U118)</f>
        <v>0</v>
      </c>
      <c r="V161" s="201">
        <f>SUM('Hai Tang:Main Kichen'!V118)</f>
        <v>0</v>
      </c>
      <c r="W161" s="201">
        <f>SUM('Hai Tang:Main Kichen'!W118)</f>
        <v>0</v>
      </c>
      <c r="X161" s="201">
        <f>SUM('Hai Tang:Main Kichen'!X118)</f>
        <v>0</v>
      </c>
      <c r="Y161" s="201">
        <f>SUM('Hai Tang:Main Kichen'!Y118)</f>
        <v>0</v>
      </c>
      <c r="Z161" s="201">
        <f>SUM('Hai Tang:Main Kichen'!Z118)</f>
        <v>0</v>
      </c>
      <c r="AA161" s="201">
        <f>SUM('Hai Tang:Main Kichen'!AA118)</f>
        <v>0</v>
      </c>
      <c r="AB161" s="201">
        <f>SUM('Hai Tang:Main Kichen'!AB118)</f>
        <v>0</v>
      </c>
      <c r="AC161" s="133">
        <f t="shared" si="44"/>
        <v>0</v>
      </c>
      <c r="AD161" s="123">
        <f t="shared" si="45"/>
        <v>0</v>
      </c>
      <c r="AE161" s="196" t="e">
        <f t="shared" si="31"/>
        <v>#DIV/0!</v>
      </c>
      <c r="AF161" s="133">
        <v>37805.040000000001</v>
      </c>
      <c r="AG161" s="124">
        <f t="shared" si="39"/>
        <v>37805.040000000001</v>
      </c>
      <c r="AH161" s="124"/>
      <c r="AI161" s="124"/>
      <c r="AJ161" s="124"/>
      <c r="AL161" s="124"/>
    </row>
    <row r="162" spans="1:38">
      <c r="A162" s="105" t="s">
        <v>129</v>
      </c>
      <c r="B162" s="105" t="s">
        <v>407</v>
      </c>
      <c r="C162" s="105" t="s">
        <v>271</v>
      </c>
      <c r="D162" s="201">
        <f>SUM('Hai Tang:Main Kichen'!D119)</f>
        <v>55189.440000000002</v>
      </c>
      <c r="E162" s="201">
        <f>SUM('Hai Tang:Main Kichen'!E119)</f>
        <v>55189.440000000002</v>
      </c>
      <c r="F162" s="201">
        <f>SUM('Hai Tang:Main Kichen'!F119)</f>
        <v>55414.44</v>
      </c>
      <c r="G162" s="201">
        <f>SUM('Hai Tang:Main Kichen'!G119)</f>
        <v>56079.44</v>
      </c>
      <c r="H162" s="201">
        <f>SUM('Hai Tang:Main Kichen'!H119)</f>
        <v>56384.44</v>
      </c>
      <c r="I162" s="201">
        <f>SUM('Hai Tang:Main Kichen'!I119)</f>
        <v>56081.239999999991</v>
      </c>
      <c r="J162" s="201">
        <f>SUM('Hai Tang:Main Kichen'!J119)</f>
        <v>60708.980000000018</v>
      </c>
      <c r="K162" s="201">
        <f>SUM('Hai Tang:Main Kichen'!K119)</f>
        <v>56249.999999999993</v>
      </c>
      <c r="L162" s="201">
        <f>SUM('Hai Tang:Main Kichen'!L119)</f>
        <v>56249.999999999993</v>
      </c>
      <c r="M162" s="201">
        <f>SUM('Hai Tang:Main Kichen'!M119)</f>
        <v>56249.999999999993</v>
      </c>
      <c r="N162" s="201">
        <f>SUM('Hai Tang:Main Kichen'!N119)</f>
        <v>60708.980000000018</v>
      </c>
      <c r="O162" s="201">
        <f>SUM('Hai Tang:Main Kichen'!O119)</f>
        <v>56249.999999999993</v>
      </c>
      <c r="P162" s="133">
        <f t="shared" si="43"/>
        <v>680756.4</v>
      </c>
      <c r="Q162" s="201">
        <f>SUM('Hai Tang:Main Kichen'!Q119)</f>
        <v>59030</v>
      </c>
      <c r="R162" s="201">
        <f>SUM('Hai Tang:Main Kichen'!R119)</f>
        <v>58625</v>
      </c>
      <c r="S162" s="201">
        <f>SUM('Hai Tang:Main Kichen'!S119)</f>
        <v>56115</v>
      </c>
      <c r="T162" s="201">
        <f>SUM('Hai Tang:Main Kichen'!T119)</f>
        <v>52844</v>
      </c>
      <c r="U162" s="201">
        <f>SUM('Hai Tang:Main Kichen'!U119)</f>
        <v>50473.61</v>
      </c>
      <c r="V162" s="201">
        <f>SUM('Hai Tang:Main Kichen'!V119)</f>
        <v>51206.229999999996</v>
      </c>
      <c r="W162" s="201">
        <f>SUM('Hai Tang:Main Kichen'!W119)</f>
        <v>51897</v>
      </c>
      <c r="X162" s="201">
        <f>SUM('Hai Tang:Main Kichen'!X119)</f>
        <v>53574</v>
      </c>
      <c r="Y162" s="201">
        <f>SUM('Hai Tang:Main Kichen'!Y119)</f>
        <v>50932</v>
      </c>
      <c r="Z162" s="201">
        <f>SUM('Hai Tang:Main Kichen'!Z119)</f>
        <v>50932</v>
      </c>
      <c r="AA162" s="201">
        <f>SUM('Hai Tang:Main Kichen'!AA119)</f>
        <v>50932</v>
      </c>
      <c r="AB162" s="201">
        <f>SUM('Hai Tang:Main Kichen'!AB119)</f>
        <v>50932</v>
      </c>
      <c r="AC162" s="129">
        <f t="shared" si="44"/>
        <v>637492.84</v>
      </c>
      <c r="AD162" s="123">
        <f t="shared" si="45"/>
        <v>43263.560000000056</v>
      </c>
      <c r="AE162" s="192">
        <f t="shared" si="31"/>
        <v>6.7865170062145416E-2</v>
      </c>
      <c r="AF162" s="133">
        <v>503771.63</v>
      </c>
      <c r="AG162" s="124">
        <f t="shared" si="39"/>
        <v>-176984.77000000002</v>
      </c>
      <c r="AH162" s="124"/>
      <c r="AI162" s="124"/>
      <c r="AJ162" s="124"/>
      <c r="AL162" s="124"/>
    </row>
    <row r="163" spans="1:38">
      <c r="A163" s="105" t="s">
        <v>130</v>
      </c>
      <c r="B163" s="105" t="s">
        <v>407</v>
      </c>
      <c r="C163" s="105" t="s">
        <v>272</v>
      </c>
      <c r="D163" s="201">
        <f>SUM('Hai Tang:Main Kichen'!D120)</f>
        <v>25965</v>
      </c>
      <c r="E163" s="201">
        <f>SUM('Hai Tang:Main Kichen'!E120)</f>
        <v>19944</v>
      </c>
      <c r="F163" s="201">
        <f>SUM('Hai Tang:Main Kichen'!F120)</f>
        <v>20269</v>
      </c>
      <c r="G163" s="201">
        <f>SUM('Hai Tang:Main Kichen'!G120)</f>
        <v>21688</v>
      </c>
      <c r="H163" s="201">
        <f>SUM('Hai Tang:Main Kichen'!H120)</f>
        <v>23052</v>
      </c>
      <c r="I163" s="201">
        <f>SUM('Hai Tang:Main Kichen'!I120)</f>
        <v>20625</v>
      </c>
      <c r="J163" s="201">
        <f>SUM('Hai Tang:Main Kichen'!J120)</f>
        <v>20625</v>
      </c>
      <c r="K163" s="201">
        <f>SUM('Hai Tang:Main Kichen'!K120)</f>
        <v>20625</v>
      </c>
      <c r="L163" s="201">
        <f>SUM('Hai Tang:Main Kichen'!L120)</f>
        <v>20625</v>
      </c>
      <c r="M163" s="201">
        <f>SUM('Hai Tang:Main Kichen'!M120)</f>
        <v>26714</v>
      </c>
      <c r="N163" s="201">
        <f>SUM('Hai Tang:Main Kichen'!N120)</f>
        <v>20625</v>
      </c>
      <c r="O163" s="201">
        <f>SUM('Hai Tang:Main Kichen'!O120)</f>
        <v>20625</v>
      </c>
      <c r="P163" s="133">
        <f t="shared" si="43"/>
        <v>261382</v>
      </c>
      <c r="Q163" s="201">
        <f>SUM('Hai Tang:Main Kichen'!Q120)</f>
        <v>20445.669999999998</v>
      </c>
      <c r="R163" s="201">
        <f>SUM('Hai Tang:Main Kichen'!R120)</f>
        <v>24121.839999999997</v>
      </c>
      <c r="S163" s="201">
        <f>SUM('Hai Tang:Main Kichen'!S120)</f>
        <v>39300.020000000004</v>
      </c>
      <c r="T163" s="201">
        <f>SUM('Hai Tang:Main Kichen'!T120)</f>
        <v>30109.479999999996</v>
      </c>
      <c r="U163" s="201">
        <f>SUM('Hai Tang:Main Kichen'!U120)</f>
        <v>18089.59</v>
      </c>
      <c r="V163" s="201">
        <f>SUM('Hai Tang:Main Kichen'!V120)</f>
        <v>18230.030000000002</v>
      </c>
      <c r="W163" s="201">
        <f>SUM('Hai Tang:Main Kichen'!W120)</f>
        <v>16921.020000000004</v>
      </c>
      <c r="X163" s="201">
        <f>SUM('Hai Tang:Main Kichen'!X120)</f>
        <v>18175.809999999998</v>
      </c>
      <c r="Y163" s="201">
        <f>SUM('Hai Tang:Main Kichen'!Y120)</f>
        <v>28706</v>
      </c>
      <c r="Z163" s="201">
        <f>SUM('Hai Tang:Main Kichen'!Z120)</f>
        <v>28706</v>
      </c>
      <c r="AA163" s="201">
        <f>SUM('Hai Tang:Main Kichen'!AA120)</f>
        <v>28706</v>
      </c>
      <c r="AB163" s="201">
        <f>SUM('Hai Tang:Main Kichen'!AB120)</f>
        <v>28706</v>
      </c>
      <c r="AC163" s="129">
        <f t="shared" si="44"/>
        <v>300217.46000000002</v>
      </c>
      <c r="AD163" s="123">
        <f t="shared" si="45"/>
        <v>-38835.460000000021</v>
      </c>
      <c r="AE163" s="192">
        <f t="shared" si="31"/>
        <v>-0.12935776620054015</v>
      </c>
      <c r="AF163" s="133">
        <v>335267.92</v>
      </c>
      <c r="AG163" s="124">
        <f t="shared" si="39"/>
        <v>73885.919999999984</v>
      </c>
      <c r="AH163" s="124"/>
      <c r="AI163" s="124"/>
      <c r="AJ163" s="124"/>
      <c r="AL163" s="124"/>
    </row>
    <row r="164" spans="1:38">
      <c r="A164" s="105" t="s">
        <v>273</v>
      </c>
      <c r="C164" s="105" t="s">
        <v>274</v>
      </c>
      <c r="D164" s="201">
        <f>SUM('Hai Tang:Main Kichen'!D121)</f>
        <v>0</v>
      </c>
      <c r="E164" s="201">
        <f>SUM('Hai Tang:Main Kichen'!E121)</f>
        <v>0</v>
      </c>
      <c r="F164" s="201">
        <f>SUM('Hai Tang:Main Kichen'!F121)</f>
        <v>0</v>
      </c>
      <c r="G164" s="201">
        <f>SUM('Hai Tang:Main Kichen'!G121)</f>
        <v>0</v>
      </c>
      <c r="H164" s="201">
        <f>SUM('Hai Tang:Main Kichen'!H121)</f>
        <v>0</v>
      </c>
      <c r="I164" s="201">
        <f>SUM('Hai Tang:Main Kichen'!I121)</f>
        <v>0</v>
      </c>
      <c r="J164" s="201">
        <f>SUM('Hai Tang:Main Kichen'!J121)</f>
        <v>0</v>
      </c>
      <c r="K164" s="201">
        <f>SUM('Hai Tang:Main Kichen'!K121)</f>
        <v>0</v>
      </c>
      <c r="L164" s="201">
        <f>SUM('Hai Tang:Main Kichen'!L121)</f>
        <v>0</v>
      </c>
      <c r="M164" s="201">
        <f>SUM('Hai Tang:Main Kichen'!M121)</f>
        <v>0</v>
      </c>
      <c r="N164" s="201">
        <f>SUM('Hai Tang:Main Kichen'!N121)</f>
        <v>0</v>
      </c>
      <c r="O164" s="201">
        <f>SUM('Hai Tang:Main Kichen'!O121)</f>
        <v>0</v>
      </c>
      <c r="P164" s="133">
        <f t="shared" si="43"/>
        <v>0</v>
      </c>
      <c r="Q164" s="201">
        <f>SUM('Hai Tang:Main Kichen'!Q121)</f>
        <v>0</v>
      </c>
      <c r="R164" s="201">
        <f>SUM('Hai Tang:Main Kichen'!R121)</f>
        <v>0</v>
      </c>
      <c r="S164" s="201">
        <f>SUM('Hai Tang:Main Kichen'!S121)</f>
        <v>0</v>
      </c>
      <c r="T164" s="201">
        <f>SUM('Hai Tang:Main Kichen'!T121)</f>
        <v>0</v>
      </c>
      <c r="U164" s="201">
        <f>SUM('Hai Tang:Main Kichen'!U121)</f>
        <v>0</v>
      </c>
      <c r="V164" s="201">
        <f>SUM('Hai Tang:Main Kichen'!V121)</f>
        <v>0</v>
      </c>
      <c r="W164" s="201">
        <f>SUM('Hai Tang:Main Kichen'!W121)</f>
        <v>0</v>
      </c>
      <c r="X164" s="201">
        <f>SUM('Hai Tang:Main Kichen'!X121)</f>
        <v>0</v>
      </c>
      <c r="Y164" s="201">
        <f>SUM('Hai Tang:Main Kichen'!Y121)</f>
        <v>0</v>
      </c>
      <c r="Z164" s="201">
        <f>SUM('Hai Tang:Main Kichen'!Z121)</f>
        <v>0</v>
      </c>
      <c r="AA164" s="201">
        <f>SUM('Hai Tang:Main Kichen'!AA121)</f>
        <v>0</v>
      </c>
      <c r="AB164" s="201">
        <f>SUM('Hai Tang:Main Kichen'!AB121)</f>
        <v>0</v>
      </c>
      <c r="AC164" s="129">
        <f t="shared" si="44"/>
        <v>0</v>
      </c>
      <c r="AD164" s="123">
        <f t="shared" si="45"/>
        <v>0</v>
      </c>
      <c r="AE164" s="192" t="e">
        <f t="shared" si="31"/>
        <v>#DIV/0!</v>
      </c>
      <c r="AF164" s="133">
        <v>0</v>
      </c>
      <c r="AG164" s="124">
        <f t="shared" si="39"/>
        <v>0</v>
      </c>
      <c r="AH164" s="124"/>
      <c r="AI164" s="124"/>
      <c r="AJ164" s="124"/>
      <c r="AL164" s="124"/>
    </row>
    <row r="165" spans="1:38">
      <c r="A165" s="105" t="s">
        <v>273</v>
      </c>
      <c r="C165" s="109" t="s">
        <v>275</v>
      </c>
      <c r="D165" s="133">
        <f>SUM(D157:D164)</f>
        <v>349666.81000000006</v>
      </c>
      <c r="E165" s="133">
        <f t="shared" ref="E165:AC165" si="46">SUM(E157:E164)</f>
        <v>343645.81000000006</v>
      </c>
      <c r="F165" s="133">
        <f t="shared" si="46"/>
        <v>345387.42000000004</v>
      </c>
      <c r="G165" s="133">
        <f t="shared" si="46"/>
        <v>351241.84</v>
      </c>
      <c r="H165" s="133">
        <f t="shared" si="46"/>
        <v>355294.06</v>
      </c>
      <c r="I165" s="133">
        <f t="shared" si="46"/>
        <v>352228.27</v>
      </c>
      <c r="J165" s="133">
        <f t="shared" si="46"/>
        <v>363732.55000000005</v>
      </c>
      <c r="K165" s="133">
        <f t="shared" si="46"/>
        <v>359273.57</v>
      </c>
      <c r="L165" s="133">
        <f t="shared" si="46"/>
        <v>359273.57</v>
      </c>
      <c r="M165" s="133">
        <f t="shared" si="46"/>
        <v>365362.57</v>
      </c>
      <c r="N165" s="133">
        <f t="shared" si="46"/>
        <v>363732.55000000005</v>
      </c>
      <c r="O165" s="133">
        <f t="shared" si="46"/>
        <v>359273.57</v>
      </c>
      <c r="P165" s="133">
        <f t="shared" si="46"/>
        <v>4268112.59</v>
      </c>
      <c r="Q165" s="133">
        <f t="shared" si="46"/>
        <v>377069.16000000003</v>
      </c>
      <c r="R165" s="133">
        <f t="shared" si="46"/>
        <v>378715.18000000005</v>
      </c>
      <c r="S165" s="133">
        <f t="shared" si="46"/>
        <v>378998.32000000007</v>
      </c>
      <c r="T165" s="133">
        <f t="shared" si="46"/>
        <v>351041.94000000006</v>
      </c>
      <c r="U165" s="133">
        <f t="shared" si="46"/>
        <v>324746.94000000006</v>
      </c>
      <c r="V165" s="133">
        <f t="shared" si="46"/>
        <v>332398.77</v>
      </c>
      <c r="W165" s="133">
        <f t="shared" si="46"/>
        <v>315254.57000000007</v>
      </c>
      <c r="X165" s="133">
        <f t="shared" si="46"/>
        <v>328059.89999999997</v>
      </c>
      <c r="Y165" s="133">
        <f>SUM(Y157:Y164)</f>
        <v>348558</v>
      </c>
      <c r="Z165" s="133">
        <f>SUM(Z157:Z164)</f>
        <v>348558</v>
      </c>
      <c r="AA165" s="133">
        <f>SUM(AA157:AA164)</f>
        <v>348558</v>
      </c>
      <c r="AB165" s="133">
        <f>SUM(AB157:AB164)</f>
        <v>348558</v>
      </c>
      <c r="AC165" s="133">
        <f t="shared" si="46"/>
        <v>4180516.7800000003</v>
      </c>
      <c r="AD165" s="133">
        <f t="shared" si="45"/>
        <v>87595.80999999959</v>
      </c>
      <c r="AE165" s="192">
        <f t="shared" si="31"/>
        <v>2.0953344911582818E-2</v>
      </c>
      <c r="AF165" s="133">
        <v>3628786.6</v>
      </c>
      <c r="AG165" s="124">
        <f t="shared" si="39"/>
        <v>-639325.98999999976</v>
      </c>
      <c r="AH165" s="124"/>
      <c r="AI165" s="124"/>
      <c r="AJ165" s="124"/>
      <c r="AL165" s="124"/>
    </row>
    <row r="166" spans="1:38">
      <c r="A166" s="105" t="s">
        <v>273</v>
      </c>
      <c r="C166" s="105" t="s">
        <v>154</v>
      </c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33"/>
      <c r="Q166" s="195"/>
      <c r="R166" s="195"/>
      <c r="S166" s="195"/>
      <c r="T166" s="195"/>
      <c r="U166" s="195"/>
      <c r="V166" s="195"/>
      <c r="W166" s="195"/>
      <c r="X166" s="195"/>
      <c r="Y166" s="195"/>
      <c r="Z166" s="195"/>
      <c r="AA166" s="195"/>
      <c r="AB166" s="195"/>
      <c r="AC166" s="133"/>
      <c r="AD166" s="123"/>
      <c r="AE166" s="192" t="e">
        <f t="shared" si="31"/>
        <v>#DIV/0!</v>
      </c>
      <c r="AF166" s="133"/>
      <c r="AG166" s="124">
        <f t="shared" si="39"/>
        <v>0</v>
      </c>
      <c r="AH166" s="124"/>
      <c r="AI166" s="124"/>
      <c r="AJ166" s="124"/>
      <c r="AL166" s="124"/>
    </row>
    <row r="167" spans="1:38">
      <c r="A167" s="105" t="s">
        <v>131</v>
      </c>
      <c r="C167" s="105" t="s">
        <v>276</v>
      </c>
      <c r="D167" s="201">
        <f>SUM('Hai Tang:Main Kichen'!D124)</f>
        <v>0</v>
      </c>
      <c r="E167" s="201">
        <f>SUM('Hai Tang:Main Kichen'!E124)</f>
        <v>0</v>
      </c>
      <c r="F167" s="201">
        <f>SUM('Hai Tang:Main Kichen'!F124)</f>
        <v>0</v>
      </c>
      <c r="G167" s="201">
        <f>SUM('Hai Tang:Main Kichen'!G124)</f>
        <v>0</v>
      </c>
      <c r="H167" s="201">
        <f>SUM('Hai Tang:Main Kichen'!H124)</f>
        <v>0</v>
      </c>
      <c r="I167" s="201">
        <f>SUM('Hai Tang:Main Kichen'!I124)</f>
        <v>0</v>
      </c>
      <c r="J167" s="201">
        <f>SUM('Hai Tang:Main Kichen'!J124)</f>
        <v>0</v>
      </c>
      <c r="K167" s="201">
        <f>SUM('Hai Tang:Main Kichen'!K124)</f>
        <v>0</v>
      </c>
      <c r="L167" s="201">
        <f>SUM('Hai Tang:Main Kichen'!L124)</f>
        <v>0</v>
      </c>
      <c r="M167" s="201">
        <f>SUM('Hai Tang:Main Kichen'!M124)</f>
        <v>0</v>
      </c>
      <c r="N167" s="201">
        <f>SUM('Hai Tang:Main Kichen'!N124)</f>
        <v>0</v>
      </c>
      <c r="O167" s="201">
        <f>SUM('Hai Tang:Main Kichen'!O124)</f>
        <v>0</v>
      </c>
      <c r="P167" s="133">
        <f t="shared" ref="P167:P175" si="47">SUM(D167:O167)</f>
        <v>0</v>
      </c>
      <c r="Q167" s="201">
        <f>SUM('Hai Tang:Main Kichen'!Q124)</f>
        <v>0</v>
      </c>
      <c r="R167" s="201">
        <f>SUM('Hai Tang:Main Kichen'!R124)</f>
        <v>0</v>
      </c>
      <c r="S167" s="201">
        <f>SUM('Hai Tang:Main Kichen'!S124)</f>
        <v>0</v>
      </c>
      <c r="T167" s="201">
        <f>SUM('Hai Tang:Main Kichen'!T124)</f>
        <v>0</v>
      </c>
      <c r="U167" s="201">
        <f>SUM('Hai Tang:Main Kichen'!U124)</f>
        <v>0</v>
      </c>
      <c r="V167" s="201">
        <f>SUM('Hai Tang:Main Kichen'!V124)</f>
        <v>0</v>
      </c>
      <c r="W167" s="201">
        <f>SUM('Hai Tang:Main Kichen'!W124)</f>
        <v>0</v>
      </c>
      <c r="X167" s="201">
        <f>SUM('Hai Tang:Main Kichen'!X124)</f>
        <v>0</v>
      </c>
      <c r="Y167" s="201">
        <f>SUM('Hai Tang:Main Kichen'!Y124)</f>
        <v>0</v>
      </c>
      <c r="Z167" s="201">
        <f>SUM('Hai Tang:Main Kichen'!Z124)</f>
        <v>0</v>
      </c>
      <c r="AA167" s="201">
        <f>SUM('Hai Tang:Main Kichen'!AA124)</f>
        <v>0</v>
      </c>
      <c r="AB167" s="201">
        <f>SUM('Hai Tang:Main Kichen'!AB124)</f>
        <v>0</v>
      </c>
      <c r="AC167" s="129">
        <f t="shared" ref="AC167:AC175" si="48">SUM(Q167:AB167)</f>
        <v>0</v>
      </c>
      <c r="AD167" s="123">
        <f t="shared" ref="AD167:AD177" si="49">P167-AC167</f>
        <v>0</v>
      </c>
      <c r="AE167" s="192" t="e">
        <f t="shared" si="31"/>
        <v>#DIV/0!</v>
      </c>
      <c r="AF167" s="133">
        <v>0</v>
      </c>
      <c r="AG167" s="124">
        <f t="shared" si="39"/>
        <v>0</v>
      </c>
      <c r="AH167" s="124"/>
      <c r="AI167" s="124"/>
      <c r="AJ167" s="124"/>
      <c r="AL167" s="124"/>
    </row>
    <row r="168" spans="1:38">
      <c r="A168" s="105" t="s">
        <v>132</v>
      </c>
      <c r="C168" s="105" t="s">
        <v>277</v>
      </c>
      <c r="D168" s="201">
        <f>SUM('Hai Tang:Main Kichen'!D125)</f>
        <v>0</v>
      </c>
      <c r="E168" s="201">
        <f>SUM('Hai Tang:Main Kichen'!E125)</f>
        <v>0</v>
      </c>
      <c r="F168" s="201">
        <f>SUM('Hai Tang:Main Kichen'!F125)</f>
        <v>0</v>
      </c>
      <c r="G168" s="201">
        <f>SUM('Hai Tang:Main Kichen'!G125)</f>
        <v>0</v>
      </c>
      <c r="H168" s="201">
        <f>SUM('Hai Tang:Main Kichen'!H125)</f>
        <v>0</v>
      </c>
      <c r="I168" s="201">
        <f>SUM('Hai Tang:Main Kichen'!I125)</f>
        <v>0</v>
      </c>
      <c r="J168" s="201">
        <f>SUM('Hai Tang:Main Kichen'!J125)</f>
        <v>0</v>
      </c>
      <c r="K168" s="201">
        <f>SUM('Hai Tang:Main Kichen'!K125)</f>
        <v>0</v>
      </c>
      <c r="L168" s="201">
        <f>SUM('Hai Tang:Main Kichen'!L125)</f>
        <v>0</v>
      </c>
      <c r="M168" s="201">
        <f>SUM('Hai Tang:Main Kichen'!M125)</f>
        <v>0</v>
      </c>
      <c r="N168" s="201">
        <f>SUM('Hai Tang:Main Kichen'!N125)</f>
        <v>0</v>
      </c>
      <c r="O168" s="201">
        <f>SUM('Hai Tang:Main Kichen'!O125)</f>
        <v>0</v>
      </c>
      <c r="P168" s="133">
        <f t="shared" si="47"/>
        <v>0</v>
      </c>
      <c r="Q168" s="201">
        <f>SUM('Hai Tang:Main Kichen'!Q125)</f>
        <v>0</v>
      </c>
      <c r="R168" s="201">
        <f>SUM('Hai Tang:Main Kichen'!R125)</f>
        <v>0</v>
      </c>
      <c r="S168" s="201">
        <f>SUM('Hai Tang:Main Kichen'!S125)</f>
        <v>0</v>
      </c>
      <c r="T168" s="201">
        <f>SUM('Hai Tang:Main Kichen'!T125)</f>
        <v>0</v>
      </c>
      <c r="U168" s="201">
        <f>SUM('Hai Tang:Main Kichen'!U125)</f>
        <v>0</v>
      </c>
      <c r="V168" s="201">
        <f>SUM('Hai Tang:Main Kichen'!V125)</f>
        <v>0</v>
      </c>
      <c r="W168" s="201">
        <f>SUM('Hai Tang:Main Kichen'!W125)</f>
        <v>0</v>
      </c>
      <c r="X168" s="201">
        <f>SUM('Hai Tang:Main Kichen'!X125)</f>
        <v>0</v>
      </c>
      <c r="Y168" s="201">
        <f>SUM('Hai Tang:Main Kichen'!Y125)</f>
        <v>0</v>
      </c>
      <c r="Z168" s="201">
        <f>SUM('Hai Tang:Main Kichen'!Z125)</f>
        <v>0</v>
      </c>
      <c r="AA168" s="201">
        <f>SUM('Hai Tang:Main Kichen'!AA125)</f>
        <v>0</v>
      </c>
      <c r="AB168" s="201">
        <f>SUM('Hai Tang:Main Kichen'!AB125)</f>
        <v>0</v>
      </c>
      <c r="AC168" s="129">
        <f t="shared" si="48"/>
        <v>0</v>
      </c>
      <c r="AD168" s="123">
        <f t="shared" si="49"/>
        <v>0</v>
      </c>
      <c r="AE168" s="192" t="e">
        <f t="shared" si="31"/>
        <v>#DIV/0!</v>
      </c>
      <c r="AF168" s="133">
        <v>0</v>
      </c>
      <c r="AG168" s="124">
        <f t="shared" si="39"/>
        <v>0</v>
      </c>
      <c r="AH168" s="124"/>
      <c r="AI168" s="124"/>
      <c r="AJ168" s="124"/>
      <c r="AL168" s="124"/>
    </row>
    <row r="169" spans="1:38">
      <c r="A169" s="105" t="s">
        <v>133</v>
      </c>
      <c r="C169" s="105" t="s">
        <v>278</v>
      </c>
      <c r="D169" s="201">
        <f>SUM('Hai Tang:Main Kichen'!D126)</f>
        <v>0</v>
      </c>
      <c r="E169" s="201">
        <f>SUM('Hai Tang:Main Kichen'!E126)</f>
        <v>0</v>
      </c>
      <c r="F169" s="201">
        <f>SUM('Hai Tang:Main Kichen'!F126)</f>
        <v>0</v>
      </c>
      <c r="G169" s="201">
        <f>SUM('Hai Tang:Main Kichen'!G126)</f>
        <v>0</v>
      </c>
      <c r="H169" s="201">
        <f>SUM('Hai Tang:Main Kichen'!H126)</f>
        <v>0</v>
      </c>
      <c r="I169" s="201">
        <f>SUM('Hai Tang:Main Kichen'!I126)</f>
        <v>0</v>
      </c>
      <c r="J169" s="201">
        <f>SUM('Hai Tang:Main Kichen'!J126)</f>
        <v>0</v>
      </c>
      <c r="K169" s="201">
        <f>SUM('Hai Tang:Main Kichen'!K126)</f>
        <v>0</v>
      </c>
      <c r="L169" s="201">
        <f>SUM('Hai Tang:Main Kichen'!L126)</f>
        <v>0</v>
      </c>
      <c r="M169" s="201">
        <f>SUM('Hai Tang:Main Kichen'!M126)</f>
        <v>0</v>
      </c>
      <c r="N169" s="201">
        <f>SUM('Hai Tang:Main Kichen'!N126)</f>
        <v>0</v>
      </c>
      <c r="O169" s="201">
        <f>SUM('Hai Tang:Main Kichen'!O126)</f>
        <v>0</v>
      </c>
      <c r="P169" s="133">
        <f t="shared" si="47"/>
        <v>0</v>
      </c>
      <c r="Q169" s="201">
        <f>SUM('Hai Tang:Main Kichen'!Q126)</f>
        <v>0</v>
      </c>
      <c r="R169" s="201">
        <f>SUM('Hai Tang:Main Kichen'!R126)</f>
        <v>0</v>
      </c>
      <c r="S169" s="201">
        <f>SUM('Hai Tang:Main Kichen'!S126)</f>
        <v>0</v>
      </c>
      <c r="T169" s="201">
        <f>SUM('Hai Tang:Main Kichen'!T126)</f>
        <v>0</v>
      </c>
      <c r="U169" s="201">
        <f>SUM('Hai Tang:Main Kichen'!U126)</f>
        <v>0</v>
      </c>
      <c r="V169" s="201">
        <f>SUM('Hai Tang:Main Kichen'!V126)</f>
        <v>0</v>
      </c>
      <c r="W169" s="201">
        <f>SUM('Hai Tang:Main Kichen'!W126)</f>
        <v>0</v>
      </c>
      <c r="X169" s="201">
        <f>SUM('Hai Tang:Main Kichen'!X126)</f>
        <v>0</v>
      </c>
      <c r="Y169" s="201">
        <f>SUM('Hai Tang:Main Kichen'!Y126)</f>
        <v>0</v>
      </c>
      <c r="Z169" s="201">
        <f>SUM('Hai Tang:Main Kichen'!Z126)</f>
        <v>0</v>
      </c>
      <c r="AA169" s="201">
        <f>SUM('Hai Tang:Main Kichen'!AA126)</f>
        <v>0</v>
      </c>
      <c r="AB169" s="201">
        <f>SUM('Hai Tang:Main Kichen'!AB126)</f>
        <v>0</v>
      </c>
      <c r="AC169" s="129">
        <f t="shared" si="48"/>
        <v>0</v>
      </c>
      <c r="AD169" s="123">
        <f t="shared" si="49"/>
        <v>0</v>
      </c>
      <c r="AE169" s="192" t="e">
        <f t="shared" si="31"/>
        <v>#DIV/0!</v>
      </c>
      <c r="AF169" s="133">
        <v>0</v>
      </c>
      <c r="AG169" s="124">
        <f t="shared" si="39"/>
        <v>0</v>
      </c>
      <c r="AH169" s="124"/>
      <c r="AI169" s="124"/>
      <c r="AJ169" s="124"/>
      <c r="AL169" s="124"/>
    </row>
    <row r="170" spans="1:38">
      <c r="A170" s="105" t="s">
        <v>134</v>
      </c>
      <c r="B170" s="105" t="s">
        <v>407</v>
      </c>
      <c r="C170" s="105" t="s">
        <v>279</v>
      </c>
      <c r="D170" s="201">
        <f>SUM('Hai Tang:Main Kichen'!D127)</f>
        <v>4533.32</v>
      </c>
      <c r="E170" s="201">
        <f>SUM('Hai Tang:Main Kichen'!E127)</f>
        <v>4533.32</v>
      </c>
      <c r="F170" s="201">
        <f>SUM('Hai Tang:Main Kichen'!F127)</f>
        <v>4533.32</v>
      </c>
      <c r="G170" s="201">
        <f>SUM('Hai Tang:Main Kichen'!G127)</f>
        <v>4533.32</v>
      </c>
      <c r="H170" s="201">
        <f>SUM('Hai Tang:Main Kichen'!H127)</f>
        <v>4533.32</v>
      </c>
      <c r="I170" s="201">
        <f>SUM('Hai Tang:Main Kichen'!I127)</f>
        <v>4533.32</v>
      </c>
      <c r="J170" s="201">
        <f>SUM('Hai Tang:Main Kichen'!J127)</f>
        <v>4533.32</v>
      </c>
      <c r="K170" s="201">
        <f>SUM('Hai Tang:Main Kichen'!K127)</f>
        <v>4533.32</v>
      </c>
      <c r="L170" s="201">
        <f>SUM('Hai Tang:Main Kichen'!L127)</f>
        <v>4533.32</v>
      </c>
      <c r="M170" s="201">
        <f>SUM('Hai Tang:Main Kichen'!M127)</f>
        <v>4533.32</v>
      </c>
      <c r="N170" s="201">
        <f>SUM('Hai Tang:Main Kichen'!N127)</f>
        <v>4533.32</v>
      </c>
      <c r="O170" s="201">
        <f>SUM('Hai Tang:Main Kichen'!O127)</f>
        <v>4533.32</v>
      </c>
      <c r="P170" s="133">
        <f t="shared" si="47"/>
        <v>54399.839999999997</v>
      </c>
      <c r="Q170" s="201">
        <f>SUM('Hai Tang:Main Kichen'!Q127)</f>
        <v>3881.43</v>
      </c>
      <c r="R170" s="201">
        <f>SUM('Hai Tang:Main Kichen'!R127)</f>
        <v>3651.29</v>
      </c>
      <c r="S170" s="201">
        <f>SUM('Hai Tang:Main Kichen'!S127)</f>
        <v>3813</v>
      </c>
      <c r="T170" s="201">
        <f>SUM('Hai Tang:Main Kichen'!T127)</f>
        <v>3901.12</v>
      </c>
      <c r="U170" s="201">
        <f>SUM('Hai Tang:Main Kichen'!U127)</f>
        <v>4348</v>
      </c>
      <c r="V170" s="201">
        <f>SUM('Hai Tang:Main Kichen'!V127)</f>
        <v>4391.7299999999996</v>
      </c>
      <c r="W170" s="201">
        <f>SUM('Hai Tang:Main Kichen'!W127)</f>
        <v>4484</v>
      </c>
      <c r="X170" s="201">
        <f>SUM('Hai Tang:Main Kichen'!X127)</f>
        <v>4484</v>
      </c>
      <c r="Y170" s="201">
        <f>SUM('Hai Tang:Main Kichen'!Y127)</f>
        <v>3675</v>
      </c>
      <c r="Z170" s="201">
        <f>SUM('Hai Tang:Main Kichen'!Z127)</f>
        <v>3675</v>
      </c>
      <c r="AA170" s="201">
        <f>SUM('Hai Tang:Main Kichen'!AA127)</f>
        <v>3675</v>
      </c>
      <c r="AB170" s="201">
        <f>SUM('Hai Tang:Main Kichen'!AB127)</f>
        <v>3675</v>
      </c>
      <c r="AC170" s="129">
        <f t="shared" si="48"/>
        <v>47654.57</v>
      </c>
      <c r="AD170" s="123">
        <f t="shared" si="49"/>
        <v>6745.2699999999968</v>
      </c>
      <c r="AE170" s="192">
        <f t="shared" si="31"/>
        <v>0.14154508161546725</v>
      </c>
      <c r="AF170" s="133">
        <v>77424.08</v>
      </c>
      <c r="AG170" s="124">
        <f t="shared" si="39"/>
        <v>23024.240000000005</v>
      </c>
      <c r="AH170" s="124"/>
      <c r="AI170" s="124"/>
      <c r="AJ170" s="124"/>
      <c r="AL170" s="124"/>
    </row>
    <row r="171" spans="1:38">
      <c r="A171" s="105" t="s">
        <v>135</v>
      </c>
      <c r="B171" s="105" t="s">
        <v>407</v>
      </c>
      <c r="C171" s="105" t="s">
        <v>280</v>
      </c>
      <c r="D171" s="201">
        <f>SUM('Hai Tang:Main Kichen'!D128)</f>
        <v>12479.3</v>
      </c>
      <c r="E171" s="201">
        <f>SUM('Hai Tang:Main Kichen'!E128)</f>
        <v>12479.3</v>
      </c>
      <c r="F171" s="201">
        <f>SUM('Hai Tang:Main Kichen'!F128)</f>
        <v>12479.3</v>
      </c>
      <c r="G171" s="201">
        <f>SUM('Hai Tang:Main Kichen'!G128)</f>
        <v>12479.3</v>
      </c>
      <c r="H171" s="201">
        <f>SUM('Hai Tang:Main Kichen'!H128)</f>
        <v>12479.3</v>
      </c>
      <c r="I171" s="201">
        <f>SUM('Hai Tang:Main Kichen'!I128)</f>
        <v>12479.3</v>
      </c>
      <c r="J171" s="201">
        <f>SUM('Hai Tang:Main Kichen'!J128)</f>
        <v>12479.3</v>
      </c>
      <c r="K171" s="201">
        <f>SUM('Hai Tang:Main Kichen'!K128)</f>
        <v>12479.3</v>
      </c>
      <c r="L171" s="201">
        <f>SUM('Hai Tang:Main Kichen'!L128)</f>
        <v>12479.3</v>
      </c>
      <c r="M171" s="201">
        <f>SUM('Hai Tang:Main Kichen'!M128)</f>
        <v>12479.3</v>
      </c>
      <c r="N171" s="201">
        <f>SUM('Hai Tang:Main Kichen'!N128)</f>
        <v>12479.3</v>
      </c>
      <c r="O171" s="201">
        <f>SUM('Hai Tang:Main Kichen'!O128)</f>
        <v>12479.3</v>
      </c>
      <c r="P171" s="133">
        <f t="shared" si="47"/>
        <v>149751.6</v>
      </c>
      <c r="Q171" s="201">
        <f>SUM('Hai Tang:Main Kichen'!Q128)</f>
        <v>2653.4500000000003</v>
      </c>
      <c r="R171" s="201">
        <f>SUM('Hai Tang:Main Kichen'!R128)</f>
        <v>3254.5199999999995</v>
      </c>
      <c r="S171" s="201">
        <f>SUM('Hai Tang:Main Kichen'!S128)</f>
        <v>2959.6000000000004</v>
      </c>
      <c r="T171" s="201">
        <f>SUM('Hai Tang:Main Kichen'!T128)</f>
        <v>2903.05</v>
      </c>
      <c r="U171" s="201">
        <f>SUM('Hai Tang:Main Kichen'!U128)</f>
        <v>2813.38</v>
      </c>
      <c r="V171" s="201">
        <f>SUM('Hai Tang:Main Kichen'!V128)</f>
        <v>2884.96</v>
      </c>
      <c r="W171" s="201">
        <f>SUM('Hai Tang:Main Kichen'!W128)</f>
        <v>2961.9800000000005</v>
      </c>
      <c r="X171" s="201">
        <f>SUM('Hai Tang:Main Kichen'!X128)</f>
        <v>3016.63</v>
      </c>
      <c r="Y171" s="201">
        <f>SUM('Hai Tang:Main Kichen'!Y128)</f>
        <v>3816</v>
      </c>
      <c r="Z171" s="201">
        <f>SUM('Hai Tang:Main Kichen'!Z128)</f>
        <v>3816</v>
      </c>
      <c r="AA171" s="201">
        <f>SUM('Hai Tang:Main Kichen'!AA128)</f>
        <v>3816</v>
      </c>
      <c r="AB171" s="201">
        <f>SUM('Hai Tang:Main Kichen'!AB128)</f>
        <v>3816</v>
      </c>
      <c r="AC171" s="129">
        <f t="shared" si="48"/>
        <v>38711.57</v>
      </c>
      <c r="AD171" s="123">
        <f t="shared" si="49"/>
        <v>111040.03</v>
      </c>
      <c r="AE171" s="192">
        <f t="shared" si="31"/>
        <v>2.8683938677764811</v>
      </c>
      <c r="AF171" s="133">
        <v>210964.80999999997</v>
      </c>
      <c r="AG171" s="124">
        <f t="shared" si="39"/>
        <v>61213.209999999963</v>
      </c>
      <c r="AH171" s="124"/>
      <c r="AI171" s="124"/>
      <c r="AJ171" s="124"/>
      <c r="AL171" s="124"/>
    </row>
    <row r="172" spans="1:38">
      <c r="A172" s="105" t="s">
        <v>136</v>
      </c>
      <c r="B172" s="105" t="s">
        <v>407</v>
      </c>
      <c r="C172" s="105" t="s">
        <v>282</v>
      </c>
      <c r="D172" s="201">
        <f>SUM('Hai Tang:Main Kichen'!D129)</f>
        <v>37367</v>
      </c>
      <c r="E172" s="201">
        <f>SUM('Hai Tang:Main Kichen'!E129)</f>
        <v>34352</v>
      </c>
      <c r="F172" s="201">
        <f>SUM('Hai Tang:Main Kichen'!F129)</f>
        <v>34820</v>
      </c>
      <c r="G172" s="201">
        <f>SUM('Hai Tang:Main Kichen'!G129)</f>
        <v>39260</v>
      </c>
      <c r="H172" s="201">
        <f>SUM('Hai Tang:Main Kichen'!H129)</f>
        <v>40605</v>
      </c>
      <c r="I172" s="201">
        <f>SUM('Hai Tang:Main Kichen'!I129)</f>
        <v>38496</v>
      </c>
      <c r="J172" s="201">
        <f>SUM('Hai Tang:Main Kichen'!J129)</f>
        <v>38687</v>
      </c>
      <c r="K172" s="201">
        <f>SUM('Hai Tang:Main Kichen'!K129)</f>
        <v>39496</v>
      </c>
      <c r="L172" s="201">
        <f>SUM('Hai Tang:Main Kichen'!L129)</f>
        <v>39507</v>
      </c>
      <c r="M172" s="201">
        <f>SUM('Hai Tang:Main Kichen'!M129)</f>
        <v>39686</v>
      </c>
      <c r="N172" s="201">
        <f>SUM('Hai Tang:Main Kichen'!N129)</f>
        <v>36837</v>
      </c>
      <c r="O172" s="201">
        <f>SUM('Hai Tang:Main Kichen'!O129)</f>
        <v>36751</v>
      </c>
      <c r="P172" s="133">
        <f t="shared" si="47"/>
        <v>455864</v>
      </c>
      <c r="Q172" s="201">
        <f>SUM('Hai Tang:Main Kichen'!Q129)</f>
        <v>50165.98000000001</v>
      </c>
      <c r="R172" s="201">
        <f>SUM('Hai Tang:Main Kichen'!R129)</f>
        <v>58823.43</v>
      </c>
      <c r="S172" s="201">
        <f>SUM('Hai Tang:Main Kichen'!S129)</f>
        <v>47257.44999999999</v>
      </c>
      <c r="T172" s="201">
        <f>SUM('Hai Tang:Main Kichen'!T129)</f>
        <v>52673.25</v>
      </c>
      <c r="U172" s="201">
        <f>SUM('Hai Tang:Main Kichen'!U129)</f>
        <v>58548.740000000005</v>
      </c>
      <c r="V172" s="201">
        <f>SUM('Hai Tang:Main Kichen'!V129)</f>
        <v>55022.93</v>
      </c>
      <c r="W172" s="201">
        <f>SUM('Hai Tang:Main Kichen'!W129)</f>
        <v>48916.83</v>
      </c>
      <c r="X172" s="201">
        <f>SUM('Hai Tang:Main Kichen'!X129)</f>
        <v>60383.350000000006</v>
      </c>
      <c r="Y172" s="201">
        <f>SUM('Hai Tang:Main Kichen'!Y129)</f>
        <v>156721</v>
      </c>
      <c r="Z172" s="201">
        <f>SUM('Hai Tang:Main Kichen'!Z129)</f>
        <v>150990</v>
      </c>
      <c r="AA172" s="201">
        <f>SUM('Hai Tang:Main Kichen'!AA129)</f>
        <v>143808</v>
      </c>
      <c r="AB172" s="201">
        <f>SUM('Hai Tang:Main Kichen'!AB129)</f>
        <v>143830</v>
      </c>
      <c r="AC172" s="129">
        <f t="shared" si="48"/>
        <v>1027140.96</v>
      </c>
      <c r="AD172" s="123">
        <f t="shared" si="49"/>
        <v>-571276.96</v>
      </c>
      <c r="AE172" s="192">
        <f t="shared" ref="AE172:AE209" si="50">AD172/AC172</f>
        <v>-0.55618165592383739</v>
      </c>
      <c r="AF172" s="133">
        <v>1101459.5699999998</v>
      </c>
      <c r="AG172" s="124">
        <f t="shared" si="39"/>
        <v>645595.56999999983</v>
      </c>
      <c r="AH172" s="124"/>
      <c r="AI172" s="124"/>
      <c r="AJ172" s="124"/>
      <c r="AL172" s="124"/>
    </row>
    <row r="173" spans="1:38">
      <c r="A173" s="105" t="s">
        <v>137</v>
      </c>
      <c r="B173" s="105" t="s">
        <v>407</v>
      </c>
      <c r="C173" s="105" t="s">
        <v>283</v>
      </c>
      <c r="D173" s="201">
        <f>SUM('Hai Tang:Main Kichen'!D130)</f>
        <v>195294.65999999997</v>
      </c>
      <c r="E173" s="201">
        <f>SUM('Hai Tang:Main Kichen'!E130)</f>
        <v>165289.65999999997</v>
      </c>
      <c r="F173" s="201">
        <f>SUM('Hai Tang:Main Kichen'!F130)</f>
        <v>165438.61999999997</v>
      </c>
      <c r="G173" s="201">
        <f>SUM('Hai Tang:Main Kichen'!G130)</f>
        <v>167674.61999999997</v>
      </c>
      <c r="H173" s="201">
        <f>SUM('Hai Tang:Main Kichen'!H130)</f>
        <v>180190.65999999997</v>
      </c>
      <c r="I173" s="201">
        <f>SUM('Hai Tang:Main Kichen'!I130)</f>
        <v>167981.64</v>
      </c>
      <c r="J173" s="201">
        <f>SUM('Hai Tang:Main Kichen'!J130)</f>
        <v>167013.64000000001</v>
      </c>
      <c r="K173" s="201">
        <f>SUM('Hai Tang:Main Kichen'!K130)</f>
        <v>166877.64000000001</v>
      </c>
      <c r="L173" s="201">
        <f>SUM('Hai Tang:Main Kichen'!L130)</f>
        <v>167867.64</v>
      </c>
      <c r="M173" s="201">
        <f>SUM('Hai Tang:Main Kichen'!M130)</f>
        <v>193721.69999999995</v>
      </c>
      <c r="N173" s="201">
        <f>SUM('Hai Tang:Main Kichen'!N130)</f>
        <v>167196.61999999997</v>
      </c>
      <c r="O173" s="201">
        <f>SUM('Hai Tang:Main Kichen'!O130)</f>
        <v>167059.61999999997</v>
      </c>
      <c r="P173" s="133">
        <f t="shared" si="47"/>
        <v>2071606.72</v>
      </c>
      <c r="Q173" s="201">
        <f>SUM('Hai Tang:Main Kichen'!Q130)</f>
        <v>206224.02999999997</v>
      </c>
      <c r="R173" s="201">
        <f>SUM('Hai Tang:Main Kichen'!R130)</f>
        <v>199988.47999999998</v>
      </c>
      <c r="S173" s="201">
        <f>SUM('Hai Tang:Main Kichen'!S130)</f>
        <v>194082.95</v>
      </c>
      <c r="T173" s="201">
        <f>SUM('Hai Tang:Main Kichen'!T130)</f>
        <v>181979.72999999998</v>
      </c>
      <c r="U173" s="201">
        <f>SUM('Hai Tang:Main Kichen'!U130)</f>
        <v>131302.33999999997</v>
      </c>
      <c r="V173" s="201">
        <f>SUM('Hai Tang:Main Kichen'!V130)</f>
        <v>147000.75</v>
      </c>
      <c r="W173" s="201">
        <f>SUM('Hai Tang:Main Kichen'!W130)</f>
        <v>146342.72000000003</v>
      </c>
      <c r="X173" s="201">
        <f>SUM('Hai Tang:Main Kichen'!X130)</f>
        <v>160591.56000000003</v>
      </c>
      <c r="Y173" s="201">
        <f>SUM('Hai Tang:Main Kichen'!Y130)</f>
        <v>346902.02</v>
      </c>
      <c r="Z173" s="201">
        <f>SUM('Hai Tang:Main Kichen'!Z130)</f>
        <v>357476.02</v>
      </c>
      <c r="AA173" s="201">
        <f>SUM('Hai Tang:Main Kichen'!AA130)</f>
        <v>376468.02</v>
      </c>
      <c r="AB173" s="201">
        <f>SUM('Hai Tang:Main Kichen'!AB130)</f>
        <v>376463.02</v>
      </c>
      <c r="AC173" s="129">
        <f t="shared" si="48"/>
        <v>2824821.64</v>
      </c>
      <c r="AD173" s="123">
        <f t="shared" si="49"/>
        <v>-753214.92000000016</v>
      </c>
      <c r="AE173" s="192">
        <f t="shared" si="50"/>
        <v>-0.26664158520111031</v>
      </c>
      <c r="AF173" s="133">
        <v>4472787.97</v>
      </c>
      <c r="AG173" s="124">
        <f t="shared" si="39"/>
        <v>2401181.25</v>
      </c>
      <c r="AH173" s="124"/>
      <c r="AI173" s="124"/>
      <c r="AJ173" s="124"/>
      <c r="AL173" s="124"/>
    </row>
    <row r="174" spans="1:38">
      <c r="C174" s="105" t="s">
        <v>472</v>
      </c>
      <c r="D174" s="201">
        <f>SUM('Hai Tang:Main Kichen'!D131)</f>
        <v>0</v>
      </c>
      <c r="E174" s="201">
        <f>SUM('Hai Tang:Main Kichen'!E131)</f>
        <v>0</v>
      </c>
      <c r="F174" s="201">
        <f>SUM('Hai Tang:Main Kichen'!F131)</f>
        <v>0</v>
      </c>
      <c r="G174" s="201">
        <f>SUM('Hai Tang:Main Kichen'!G131)</f>
        <v>0</v>
      </c>
      <c r="H174" s="201">
        <f>SUM('Hai Tang:Main Kichen'!H131)</f>
        <v>0</v>
      </c>
      <c r="I174" s="201">
        <f>SUM('Hai Tang:Main Kichen'!I131)</f>
        <v>0</v>
      </c>
      <c r="J174" s="201">
        <f>SUM('Hai Tang:Main Kichen'!J131)</f>
        <v>0</v>
      </c>
      <c r="K174" s="201">
        <f>SUM('Hai Tang:Main Kichen'!K131)</f>
        <v>0</v>
      </c>
      <c r="L174" s="201">
        <f>SUM('Hai Tang:Main Kichen'!L131)</f>
        <v>0</v>
      </c>
      <c r="M174" s="201">
        <f>SUM('Hai Tang:Main Kichen'!M131)</f>
        <v>0</v>
      </c>
      <c r="N174" s="201">
        <f>SUM('Hai Tang:Main Kichen'!N131)</f>
        <v>0</v>
      </c>
      <c r="O174" s="201">
        <f>SUM('Hai Tang:Main Kichen'!O131)</f>
        <v>0</v>
      </c>
      <c r="P174" s="133">
        <f t="shared" si="47"/>
        <v>0</v>
      </c>
      <c r="Q174" s="201">
        <f>SUM('Hai Tang:Main Kichen'!Q131)</f>
        <v>0</v>
      </c>
      <c r="R174" s="201">
        <f>SUM('Hai Tang:Main Kichen'!R131)</f>
        <v>0</v>
      </c>
      <c r="S174" s="201">
        <f>SUM('Hai Tang:Main Kichen'!S131)</f>
        <v>0</v>
      </c>
      <c r="T174" s="201">
        <f>SUM('Hai Tang:Main Kichen'!T131)</f>
        <v>0</v>
      </c>
      <c r="U174" s="201">
        <f>SUM('Hai Tang:Main Kichen'!U131)</f>
        <v>0</v>
      </c>
      <c r="V174" s="201">
        <f>SUM('Hai Tang:Main Kichen'!V131)</f>
        <v>0</v>
      </c>
      <c r="W174" s="201">
        <f>SUM('Hai Tang:Main Kichen'!W131)</f>
        <v>0</v>
      </c>
      <c r="X174" s="201">
        <f>SUM('Hai Tang:Main Kichen'!X131)</f>
        <v>0</v>
      </c>
      <c r="Y174" s="201">
        <f>SUM('Hai Tang:Main Kichen'!Y131)</f>
        <v>0</v>
      </c>
      <c r="Z174" s="201">
        <f>SUM('Hai Tang:Main Kichen'!Z131)</f>
        <v>0</v>
      </c>
      <c r="AA174" s="201">
        <f>SUM('Hai Tang:Main Kichen'!AA131)</f>
        <v>0</v>
      </c>
      <c r="AB174" s="201">
        <f>SUM('Hai Tang:Main Kichen'!AB131)</f>
        <v>0</v>
      </c>
      <c r="AC174" s="129">
        <f t="shared" si="48"/>
        <v>0</v>
      </c>
      <c r="AD174" s="123">
        <f t="shared" si="49"/>
        <v>0</v>
      </c>
      <c r="AE174" s="192" t="e">
        <f t="shared" si="50"/>
        <v>#DIV/0!</v>
      </c>
      <c r="AF174" s="133">
        <v>0</v>
      </c>
      <c r="AG174" s="124">
        <f t="shared" si="39"/>
        <v>0</v>
      </c>
      <c r="AH174" s="124"/>
      <c r="AI174" s="124"/>
      <c r="AJ174" s="124"/>
      <c r="AL174" s="124"/>
    </row>
    <row r="175" spans="1:38">
      <c r="C175" s="105" t="s">
        <v>473</v>
      </c>
      <c r="D175" s="201">
        <f>SUM('Hai Tang:Main Kichen'!D132)</f>
        <v>0</v>
      </c>
      <c r="E175" s="201">
        <f>SUM('Hai Tang:Main Kichen'!E132)</f>
        <v>0</v>
      </c>
      <c r="F175" s="201">
        <f>SUM('Hai Tang:Main Kichen'!F132)</f>
        <v>0</v>
      </c>
      <c r="G175" s="201">
        <f>SUM('Hai Tang:Main Kichen'!G132)</f>
        <v>0</v>
      </c>
      <c r="H175" s="201">
        <f>SUM('Hai Tang:Main Kichen'!H132)</f>
        <v>0</v>
      </c>
      <c r="I175" s="201">
        <f>SUM('Hai Tang:Main Kichen'!I132)</f>
        <v>0</v>
      </c>
      <c r="J175" s="201">
        <f>SUM('Hai Tang:Main Kichen'!J132)</f>
        <v>0</v>
      </c>
      <c r="K175" s="201">
        <f>SUM('Hai Tang:Main Kichen'!K132)</f>
        <v>0</v>
      </c>
      <c r="L175" s="201">
        <f>SUM('Hai Tang:Main Kichen'!L132)</f>
        <v>0</v>
      </c>
      <c r="M175" s="201">
        <f>SUM('Hai Tang:Main Kichen'!M132)</f>
        <v>0</v>
      </c>
      <c r="N175" s="201">
        <f>SUM('Hai Tang:Main Kichen'!N132)</f>
        <v>0</v>
      </c>
      <c r="O175" s="201">
        <f>SUM('Hai Tang:Main Kichen'!O132)</f>
        <v>0</v>
      </c>
      <c r="P175" s="133">
        <f t="shared" si="47"/>
        <v>0</v>
      </c>
      <c r="Q175" s="201">
        <f>SUM('Hai Tang:Main Kichen'!Q132)</f>
        <v>0</v>
      </c>
      <c r="R175" s="201">
        <f>SUM('Hai Tang:Main Kichen'!R132)</f>
        <v>0</v>
      </c>
      <c r="S175" s="201">
        <f>SUM('Hai Tang:Main Kichen'!S132)</f>
        <v>0</v>
      </c>
      <c r="T175" s="201">
        <f>SUM('Hai Tang:Main Kichen'!T132)</f>
        <v>0</v>
      </c>
      <c r="U175" s="201">
        <f>SUM('Hai Tang:Main Kichen'!U132)</f>
        <v>0</v>
      </c>
      <c r="V175" s="201">
        <f>SUM('Hai Tang:Main Kichen'!V132)</f>
        <v>0</v>
      </c>
      <c r="W175" s="201">
        <f>SUM('Hai Tang:Main Kichen'!W132)</f>
        <v>0</v>
      </c>
      <c r="X175" s="201">
        <f>SUM('Hai Tang:Main Kichen'!X132)</f>
        <v>0</v>
      </c>
      <c r="Y175" s="201">
        <f>SUM('Hai Tang:Main Kichen'!Y132)</f>
        <v>0</v>
      </c>
      <c r="Z175" s="201">
        <f>SUM('Hai Tang:Main Kichen'!Z132)</f>
        <v>0</v>
      </c>
      <c r="AA175" s="201">
        <f>SUM('Hai Tang:Main Kichen'!AA132)</f>
        <v>0</v>
      </c>
      <c r="AB175" s="201">
        <f>SUM('Hai Tang:Main Kichen'!AB132)</f>
        <v>0</v>
      </c>
      <c r="AC175" s="129">
        <f t="shared" si="48"/>
        <v>0</v>
      </c>
      <c r="AD175" s="123">
        <f t="shared" si="49"/>
        <v>0</v>
      </c>
      <c r="AE175" s="192" t="e">
        <f t="shared" si="50"/>
        <v>#DIV/0!</v>
      </c>
      <c r="AF175" s="133">
        <v>0</v>
      </c>
      <c r="AG175" s="124">
        <f t="shared" si="39"/>
        <v>0</v>
      </c>
      <c r="AH175" s="124"/>
      <c r="AI175" s="124"/>
      <c r="AJ175" s="124"/>
      <c r="AL175" s="124"/>
    </row>
    <row r="176" spans="1:38">
      <c r="A176" s="105" t="s">
        <v>273</v>
      </c>
      <c r="C176" s="109" t="s">
        <v>286</v>
      </c>
      <c r="D176" s="133">
        <f>SUM(D167:D175)</f>
        <v>249674.27999999997</v>
      </c>
      <c r="E176" s="133">
        <f t="shared" ref="E176:AC176" si="51">SUM(E167:E175)</f>
        <v>216654.27999999997</v>
      </c>
      <c r="F176" s="133">
        <f t="shared" si="51"/>
        <v>217271.23999999996</v>
      </c>
      <c r="G176" s="133">
        <f t="shared" si="51"/>
        <v>223947.23999999996</v>
      </c>
      <c r="H176" s="133">
        <f t="shared" si="51"/>
        <v>237808.27999999997</v>
      </c>
      <c r="I176" s="133">
        <f t="shared" si="51"/>
        <v>223490.26</v>
      </c>
      <c r="J176" s="133">
        <f t="shared" si="51"/>
        <v>222713.26</v>
      </c>
      <c r="K176" s="133">
        <f t="shared" si="51"/>
        <v>223386.26</v>
      </c>
      <c r="L176" s="133">
        <f t="shared" si="51"/>
        <v>224387.26</v>
      </c>
      <c r="M176" s="133">
        <f t="shared" si="51"/>
        <v>250420.31999999995</v>
      </c>
      <c r="N176" s="133">
        <f t="shared" si="51"/>
        <v>221046.23999999996</v>
      </c>
      <c r="O176" s="133">
        <f t="shared" si="51"/>
        <v>220823.23999999996</v>
      </c>
      <c r="P176" s="133">
        <f t="shared" si="51"/>
        <v>2731622.16</v>
      </c>
      <c r="Q176" s="133">
        <f t="shared" si="51"/>
        <v>262924.88999999996</v>
      </c>
      <c r="R176" s="133">
        <f t="shared" si="51"/>
        <v>265717.71999999997</v>
      </c>
      <c r="S176" s="133">
        <f t="shared" si="51"/>
        <v>248113</v>
      </c>
      <c r="T176" s="133">
        <f t="shared" si="51"/>
        <v>241457.14999999997</v>
      </c>
      <c r="U176" s="133">
        <f t="shared" si="51"/>
        <v>197012.45999999996</v>
      </c>
      <c r="V176" s="133">
        <f t="shared" si="51"/>
        <v>209300.37</v>
      </c>
      <c r="W176" s="133">
        <f t="shared" si="51"/>
        <v>202705.53000000003</v>
      </c>
      <c r="X176" s="133">
        <f t="shared" si="51"/>
        <v>228475.54000000004</v>
      </c>
      <c r="Y176" s="133">
        <f>SUM(Y167:Y175)</f>
        <v>511114.02</v>
      </c>
      <c r="Z176" s="133">
        <f>SUM(Z167:Z175)</f>
        <v>515957.02</v>
      </c>
      <c r="AA176" s="133">
        <f>SUM(AA167:AA175)</f>
        <v>527767.02</v>
      </c>
      <c r="AB176" s="133">
        <f>SUM(AB167:AB175)</f>
        <v>527784.02</v>
      </c>
      <c r="AC176" s="133">
        <f t="shared" si="51"/>
        <v>3938328.74</v>
      </c>
      <c r="AD176" s="133">
        <f t="shared" si="49"/>
        <v>-1206706.58</v>
      </c>
      <c r="AE176" s="192">
        <f t="shared" si="50"/>
        <v>-0.30640067390616049</v>
      </c>
      <c r="AF176" s="133">
        <v>5862636.4299999997</v>
      </c>
      <c r="AG176" s="124">
        <f t="shared" si="39"/>
        <v>3131014.2699999996</v>
      </c>
      <c r="AH176" s="124"/>
      <c r="AI176" s="124"/>
      <c r="AJ176" s="124"/>
      <c r="AL176" s="124"/>
    </row>
    <row r="177" spans="1:38">
      <c r="A177" s="105" t="s">
        <v>273</v>
      </c>
      <c r="C177" s="109" t="s">
        <v>287</v>
      </c>
      <c r="D177" s="133">
        <f>D155+D165+D176+D148</f>
        <v>1929667.1199999999</v>
      </c>
      <c r="E177" s="133">
        <f t="shared" ref="E177:X177" si="52">E155+E165+E176+E148</f>
        <v>1589621.69</v>
      </c>
      <c r="F177" s="133">
        <f t="shared" si="52"/>
        <v>1608277.4300000002</v>
      </c>
      <c r="G177" s="133">
        <f t="shared" si="52"/>
        <v>1691720.98</v>
      </c>
      <c r="H177" s="133">
        <f t="shared" si="52"/>
        <v>1777778.4300000002</v>
      </c>
      <c r="I177" s="133">
        <f t="shared" si="52"/>
        <v>1639134.85</v>
      </c>
      <c r="J177" s="133">
        <f t="shared" si="52"/>
        <v>1649862.13</v>
      </c>
      <c r="K177" s="133">
        <f t="shared" si="52"/>
        <v>1646076.15</v>
      </c>
      <c r="L177" s="133">
        <f t="shared" si="52"/>
        <v>1647077.15</v>
      </c>
      <c r="M177" s="133">
        <f t="shared" si="52"/>
        <v>1983610.51</v>
      </c>
      <c r="N177" s="133">
        <f t="shared" si="52"/>
        <v>1648195.1099999999</v>
      </c>
      <c r="O177" s="133">
        <f t="shared" si="52"/>
        <v>1643513.13</v>
      </c>
      <c r="P177" s="133">
        <f t="shared" si="52"/>
        <v>20454534.68</v>
      </c>
      <c r="Q177" s="133">
        <f t="shared" si="52"/>
        <v>1862825.7199999997</v>
      </c>
      <c r="R177" s="133">
        <f t="shared" si="52"/>
        <v>2059744.29</v>
      </c>
      <c r="S177" s="133">
        <f t="shared" si="52"/>
        <v>1739452.5700000003</v>
      </c>
      <c r="T177" s="133">
        <f t="shared" si="52"/>
        <v>1662461.92</v>
      </c>
      <c r="U177" s="133">
        <f t="shared" si="52"/>
        <v>1500160.9100000001</v>
      </c>
      <c r="V177" s="133">
        <f t="shared" si="52"/>
        <v>1569802.12</v>
      </c>
      <c r="W177" s="133">
        <f t="shared" si="52"/>
        <v>1493317.1700000002</v>
      </c>
      <c r="X177" s="133">
        <f t="shared" si="52"/>
        <v>1651978.6400000001</v>
      </c>
      <c r="Y177" s="133">
        <f>Y155+Y165+Y176+Y148</f>
        <v>2168236.52</v>
      </c>
      <c r="Z177" s="133">
        <f>Z155+Z165+Z176+Z148</f>
        <v>2353686.52</v>
      </c>
      <c r="AA177" s="133">
        <f>AA155+AA165+AA176+AA148</f>
        <v>2064345.52</v>
      </c>
      <c r="AB177" s="133">
        <f>AB155+AB165+AB176+AB148</f>
        <v>2065549.52</v>
      </c>
      <c r="AC177" s="133">
        <f>AC155+AC165+AC176+AC148</f>
        <v>22191561.420000002</v>
      </c>
      <c r="AD177" s="133">
        <f t="shared" si="49"/>
        <v>-1737026.7400000021</v>
      </c>
      <c r="AE177" s="192">
        <f t="shared" si="50"/>
        <v>-7.8274201040874847E-2</v>
      </c>
      <c r="AF177" s="133">
        <v>25568282.41</v>
      </c>
      <c r="AG177" s="124">
        <f t="shared" si="39"/>
        <v>5113747.7300000004</v>
      </c>
      <c r="AH177" s="124"/>
      <c r="AI177" s="124"/>
      <c r="AJ177" s="124"/>
      <c r="AL177" s="124"/>
    </row>
    <row r="178" spans="1:38">
      <c r="A178" s="105" t="s">
        <v>273</v>
      </c>
      <c r="C178" s="105" t="s">
        <v>154</v>
      </c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33"/>
      <c r="Q178" s="195"/>
      <c r="R178" s="195"/>
      <c r="S178" s="195"/>
      <c r="T178" s="195"/>
      <c r="U178" s="195"/>
      <c r="V178" s="195"/>
      <c r="W178" s="195"/>
      <c r="X178" s="195"/>
      <c r="Y178" s="195"/>
      <c r="Z178" s="195"/>
      <c r="AA178" s="195"/>
      <c r="AB178" s="195"/>
      <c r="AC178" s="133"/>
      <c r="AD178" s="123"/>
      <c r="AE178" s="192" t="e">
        <f t="shared" si="50"/>
        <v>#DIV/0!</v>
      </c>
      <c r="AF178" s="133"/>
      <c r="AG178" s="124">
        <f t="shared" si="39"/>
        <v>0</v>
      </c>
      <c r="AH178" s="124"/>
      <c r="AI178" s="124"/>
      <c r="AJ178" s="124"/>
      <c r="AL178" s="124"/>
    </row>
    <row r="179" spans="1:38" s="109" customFormat="1">
      <c r="A179" s="109" t="s">
        <v>141</v>
      </c>
      <c r="B179" s="109" t="s">
        <v>407</v>
      </c>
      <c r="C179" s="109" t="s">
        <v>288</v>
      </c>
      <c r="D179" s="133">
        <f>SUM('Hai Tang:Main Kichen'!D136)</f>
        <v>160</v>
      </c>
      <c r="E179" s="145">
        <f>SUM('Hai Tang:Main Kichen'!E136)</f>
        <v>160</v>
      </c>
      <c r="F179" s="145">
        <f>SUM('Hai Tang:Main Kichen'!F136)</f>
        <v>160</v>
      </c>
      <c r="G179" s="145">
        <f>SUM('Hai Tang:Main Kichen'!G136)</f>
        <v>160</v>
      </c>
      <c r="H179" s="145">
        <f>SUM('Hai Tang:Main Kichen'!H136)</f>
        <v>160</v>
      </c>
      <c r="I179" s="145">
        <f>SUM('Hai Tang:Main Kichen'!I136)</f>
        <v>160</v>
      </c>
      <c r="J179" s="145">
        <f>SUM('Hai Tang:Main Kichen'!J136)</f>
        <v>160</v>
      </c>
      <c r="K179" s="145">
        <f>SUM('Hai Tang:Main Kichen'!K136)</f>
        <v>160</v>
      </c>
      <c r="L179" s="145">
        <f>SUM('Hai Tang:Main Kichen'!L136)</f>
        <v>160</v>
      </c>
      <c r="M179" s="145">
        <f>SUM('Hai Tang:Main Kichen'!M136)</f>
        <v>160</v>
      </c>
      <c r="N179" s="145">
        <f>SUM('Hai Tang:Main Kichen'!N136)</f>
        <v>160</v>
      </c>
      <c r="O179" s="145">
        <f>SUM('Hai Tang:Main Kichen'!O136)</f>
        <v>160</v>
      </c>
      <c r="P179" s="145">
        <f>SUM(D179:O179)/12</f>
        <v>160</v>
      </c>
      <c r="Q179" s="145">
        <f>SUM('Hai Tang:Main Kichen'!Q136)</f>
        <v>158</v>
      </c>
      <c r="R179" s="145">
        <f>SUM('Hai Tang:Main Kichen'!R136)</f>
        <v>156</v>
      </c>
      <c r="S179" s="145">
        <f>SUM('Hai Tang:Main Kichen'!S136)</f>
        <v>157</v>
      </c>
      <c r="T179" s="145">
        <f>SUM('Hai Tang:Main Kichen'!T136)</f>
        <v>154</v>
      </c>
      <c r="U179" s="145">
        <f>SUM('Hai Tang:Main Kichen'!U136)</f>
        <v>143</v>
      </c>
      <c r="V179" s="145">
        <f>SUM('Hai Tang:Main Kichen'!V136)</f>
        <v>146</v>
      </c>
      <c r="W179" s="145">
        <f>SUM('Hai Tang:Main Kichen'!W136)</f>
        <v>147</v>
      </c>
      <c r="X179" s="145">
        <f>SUM('Hai Tang:Main Kichen'!X136)</f>
        <v>154</v>
      </c>
      <c r="Y179" s="145">
        <f>SUM('Hai Tang:Main Kichen'!Y136)</f>
        <v>151</v>
      </c>
      <c r="Z179" s="145">
        <f>SUM('Hai Tang:Main Kichen'!Z136)</f>
        <v>151</v>
      </c>
      <c r="AA179" s="145">
        <f>SUM('Hai Tang:Main Kichen'!AA136)</f>
        <v>151</v>
      </c>
      <c r="AB179" s="145">
        <f>SUM('Hai Tang:Main Kichen'!AB136)</f>
        <v>151</v>
      </c>
      <c r="AC179" s="202">
        <f>SUM(Q179:AB179)/12</f>
        <v>151.58333333333334</v>
      </c>
      <c r="AD179" s="145">
        <f>P179-AC179</f>
        <v>8.4166666666666572</v>
      </c>
      <c r="AE179" s="132">
        <f t="shared" si="50"/>
        <v>5.5525013743815216E-2</v>
      </c>
      <c r="AF179" s="133">
        <v>268.41666666666669</v>
      </c>
      <c r="AG179" s="129">
        <f t="shared" si="39"/>
        <v>108.41666666666669</v>
      </c>
      <c r="AH179" s="124"/>
      <c r="AI179" s="124"/>
      <c r="AJ179" s="124"/>
      <c r="AL179" s="124"/>
    </row>
    <row r="180" spans="1:38">
      <c r="P180" s="132">
        <f>P177/P48</f>
        <v>0.25567746482183046</v>
      </c>
      <c r="AC180" s="132">
        <f>AC177/AC48</f>
        <v>0.27395787256587223</v>
      </c>
      <c r="AF180" s="132">
        <f>AF177/AF48</f>
        <v>0.29712865431033086</v>
      </c>
      <c r="AG180" s="124">
        <f t="shared" si="39"/>
        <v>4.1451189488500406E-2</v>
      </c>
      <c r="AH180" s="124"/>
      <c r="AI180" s="124"/>
      <c r="AJ180" s="124"/>
      <c r="AL180" s="124"/>
    </row>
    <row r="181" spans="1:38">
      <c r="C181" s="149" t="s">
        <v>474</v>
      </c>
      <c r="D181" s="124">
        <f>D60+D61+D62+D63+D64+D65+D66+D69+D70+D71+D72+D73+D74+D75+D76+D77+D78+D79+D80+D81+D82+D83+D84+D86+D87+D88+D89+D90+D91+D94+D95+D99+D100+D55</f>
        <v>3851872.16</v>
      </c>
      <c r="E181" s="124">
        <f t="shared" ref="E181:AB181" si="53">E60+E61+E62+E63+E64+E65+E66+E69+E70+E71+E72+E73+E74+E75+E76+E77+E78+E79+E80+E81+E82+E83+E84+E86+E87+E88+E89+E90+E91+E94+E95+E99+E100+E55</f>
        <v>3596059.02</v>
      </c>
      <c r="F181" s="124">
        <f t="shared" si="53"/>
        <v>2706309.52</v>
      </c>
      <c r="G181" s="124">
        <f t="shared" si="53"/>
        <v>2571409.46</v>
      </c>
      <c r="H181" s="124">
        <f t="shared" si="53"/>
        <v>2691317.23</v>
      </c>
      <c r="I181" s="124">
        <f t="shared" si="53"/>
        <v>2402909.4900000002</v>
      </c>
      <c r="J181" s="124">
        <f t="shared" si="53"/>
        <v>3148570.83</v>
      </c>
      <c r="K181" s="124">
        <f t="shared" si="53"/>
        <v>3250230.09</v>
      </c>
      <c r="L181" s="124">
        <f t="shared" si="53"/>
        <v>2396775.09</v>
      </c>
      <c r="M181" s="124">
        <f t="shared" si="53"/>
        <v>3632094.22</v>
      </c>
      <c r="N181" s="124">
        <f t="shared" si="53"/>
        <v>2714129.83</v>
      </c>
      <c r="O181" s="124">
        <f t="shared" si="53"/>
        <v>3183377.09</v>
      </c>
      <c r="P181" s="129">
        <f>SUM(D181:O181)</f>
        <v>36145054.030000001</v>
      </c>
      <c r="Q181" s="124">
        <f t="shared" ref="Q181:X181" si="54">Q60+Q61+Q62+Q63+Q64+Q65+Q66+Q69+Q70+Q71+Q72+Q73+Q74+Q75+Q76+Q77+Q78+Q79+Q80+Q81+Q82+Q83+Q84+Q86+Q87+Q88+Q89+Q90+Q91+Q94+Q95+Q99+Q100+Q55</f>
        <v>3688828.22</v>
      </c>
      <c r="R181" s="124">
        <f t="shared" si="54"/>
        <v>5402068.25</v>
      </c>
      <c r="S181" s="124">
        <f t="shared" si="54"/>
        <v>3314219.8099999996</v>
      </c>
      <c r="T181" s="124">
        <f t="shared" si="54"/>
        <v>2867895.8800000004</v>
      </c>
      <c r="U181" s="124">
        <f t="shared" si="54"/>
        <v>2784457.5300000003</v>
      </c>
      <c r="V181" s="124">
        <f t="shared" si="54"/>
        <v>2679921.5700000003</v>
      </c>
      <c r="W181" s="124">
        <f t="shared" si="54"/>
        <v>3289598.4299999997</v>
      </c>
      <c r="X181" s="124">
        <f t="shared" si="54"/>
        <v>3502814.9800000004</v>
      </c>
      <c r="Y181" s="124">
        <f t="shared" si="53"/>
        <v>2501555.19</v>
      </c>
      <c r="Z181" s="124">
        <f t="shared" si="53"/>
        <v>2136739.23</v>
      </c>
      <c r="AA181" s="124">
        <f t="shared" si="53"/>
        <v>2008867.6</v>
      </c>
      <c r="AB181" s="124">
        <f t="shared" si="53"/>
        <v>2387301.02</v>
      </c>
      <c r="AF181" s="133"/>
      <c r="AG181" s="124">
        <f t="shared" si="39"/>
        <v>-36145054.030000001</v>
      </c>
      <c r="AH181" s="124"/>
      <c r="AI181" s="124"/>
      <c r="AJ181" s="124"/>
      <c r="AL181" s="124"/>
    </row>
    <row r="182" spans="1:38">
      <c r="AF182" s="133"/>
      <c r="AG182" s="124">
        <f t="shared" si="39"/>
        <v>0</v>
      </c>
      <c r="AH182" s="124"/>
      <c r="AI182" s="124"/>
      <c r="AJ182" s="124"/>
      <c r="AL182" s="124"/>
    </row>
    <row r="183" spans="1:38">
      <c r="C183" s="109" t="s">
        <v>475</v>
      </c>
      <c r="AF183" s="133"/>
      <c r="AG183" s="124">
        <f t="shared" si="39"/>
        <v>0</v>
      </c>
      <c r="AH183" s="124"/>
      <c r="AI183" s="124"/>
      <c r="AJ183" s="124"/>
      <c r="AL183" s="124"/>
    </row>
    <row r="184" spans="1:38">
      <c r="C184" s="105" t="s">
        <v>175</v>
      </c>
      <c r="D184" s="124">
        <f t="shared" ref="D184:X196" si="55">D57/D$121</f>
        <v>30.810587897173875</v>
      </c>
      <c r="E184" s="124">
        <f t="shared" si="55"/>
        <v>27.549769324090121</v>
      </c>
      <c r="F184" s="124">
        <f t="shared" si="55"/>
        <v>31.727080349568961</v>
      </c>
      <c r="G184" s="124">
        <f t="shared" si="55"/>
        <v>34.880125770602668</v>
      </c>
      <c r="H184" s="124">
        <f t="shared" si="55"/>
        <v>36.253817117686651</v>
      </c>
      <c r="I184" s="124">
        <f t="shared" si="55"/>
        <v>37.322620565599529</v>
      </c>
      <c r="J184" s="124">
        <f t="shared" si="55"/>
        <v>28.028848852420023</v>
      </c>
      <c r="K184" s="124">
        <f t="shared" si="55"/>
        <v>27.141027057329879</v>
      </c>
      <c r="L184" s="124">
        <f t="shared" si="55"/>
        <v>37.162454592631029</v>
      </c>
      <c r="M184" s="124">
        <f t="shared" si="55"/>
        <v>39.672210200000002</v>
      </c>
      <c r="N184" s="124">
        <f t="shared" si="55"/>
        <v>34.177901252488383</v>
      </c>
      <c r="O184" s="124">
        <f t="shared" si="55"/>
        <v>29.955584252255534</v>
      </c>
      <c r="P184" s="129">
        <f t="shared" si="55"/>
        <v>32.49851791947556</v>
      </c>
      <c r="Q184" s="124">
        <f t="shared" si="55"/>
        <v>31.48154059352396</v>
      </c>
      <c r="R184" s="124">
        <f t="shared" si="55"/>
        <v>31.773428716872861</v>
      </c>
      <c r="S184" s="124">
        <f t="shared" si="55"/>
        <v>31.091634254459663</v>
      </c>
      <c r="T184" s="124">
        <f t="shared" si="55"/>
        <v>31.995648876999169</v>
      </c>
      <c r="U184" s="124">
        <f t="shared" si="55"/>
        <v>31.341500261151158</v>
      </c>
      <c r="V184" s="124">
        <f t="shared" si="55"/>
        <v>33.551383260665133</v>
      </c>
      <c r="W184" s="124">
        <f t="shared" si="55"/>
        <v>24.740178429423462</v>
      </c>
      <c r="X184" s="124">
        <f t="shared" si="55"/>
        <v>24.708395877892283</v>
      </c>
      <c r="Y184" s="124">
        <f>Y57/Y$121</f>
        <v>61.289440031658991</v>
      </c>
      <c r="Z184" s="124">
        <f>Z57/Z$121</f>
        <v>53.473430570701566</v>
      </c>
      <c r="AA184" s="124">
        <f>AA57/AA$121</f>
        <v>49.570068915836238</v>
      </c>
      <c r="AB184" s="124">
        <f>AB57/AB$121</f>
        <v>44.249132819194514</v>
      </c>
      <c r="AC184" s="129">
        <f>AC57/AC$121</f>
        <v>35.706856585673535</v>
      </c>
      <c r="AD184" s="124">
        <f>P184-AC184</f>
        <v>-3.2083386661979745</v>
      </c>
      <c r="AF184" s="133">
        <v>40.118185428447688</v>
      </c>
      <c r="AG184" s="124">
        <f t="shared" si="39"/>
        <v>7.6196675089721282</v>
      </c>
      <c r="AH184" s="124"/>
      <c r="AI184" s="124"/>
      <c r="AJ184" s="124"/>
      <c r="AL184" s="124"/>
    </row>
    <row r="185" spans="1:38" hidden="1">
      <c r="C185" s="105" t="s">
        <v>154</v>
      </c>
      <c r="D185" s="124">
        <f t="shared" si="55"/>
        <v>3.4233872439507285E-6</v>
      </c>
      <c r="E185" s="124">
        <f t="shared" si="55"/>
        <v>3.3587170744329783E-6</v>
      </c>
      <c r="F185" s="124">
        <f t="shared" si="55"/>
        <v>5.2794726014701287E-6</v>
      </c>
      <c r="G185" s="124">
        <f t="shared" si="55"/>
        <v>6.1888811633710874E-6</v>
      </c>
      <c r="H185" s="124">
        <f t="shared" si="55"/>
        <v>6.3597910414954428E-6</v>
      </c>
      <c r="I185" s="124">
        <f t="shared" si="55"/>
        <v>7.267712991760435E-6</v>
      </c>
      <c r="J185" s="124">
        <f t="shared" si="55"/>
        <v>3.9903681756876267E-6</v>
      </c>
      <c r="K185" s="124">
        <f t="shared" si="55"/>
        <v>3.7224969873918397E-6</v>
      </c>
      <c r="L185" s="124">
        <f t="shared" si="55"/>
        <v>7.1978566277462585E-6</v>
      </c>
      <c r="M185" s="124">
        <f t="shared" si="55"/>
        <v>5.4539182232792483E-6</v>
      </c>
      <c r="N185" s="124">
        <f t="shared" si="55"/>
        <v>5.5444281892418164E-6</v>
      </c>
      <c r="O185" s="124">
        <f t="shared" si="55"/>
        <v>4.0475831720914935E-6</v>
      </c>
      <c r="P185" s="129">
        <f t="shared" si="55"/>
        <v>4.0622477128471836E-7</v>
      </c>
      <c r="Q185" s="124">
        <f t="shared" si="55"/>
        <v>0</v>
      </c>
      <c r="R185" s="124">
        <f t="shared" si="55"/>
        <v>0</v>
      </c>
      <c r="S185" s="124">
        <f t="shared" si="55"/>
        <v>0</v>
      </c>
      <c r="T185" s="124">
        <f t="shared" si="55"/>
        <v>0</v>
      </c>
      <c r="U185" s="124">
        <f t="shared" si="55"/>
        <v>0</v>
      </c>
      <c r="V185" s="124">
        <f t="shared" si="55"/>
        <v>0</v>
      </c>
      <c r="W185" s="124">
        <f t="shared" si="55"/>
        <v>0</v>
      </c>
      <c r="X185" s="124">
        <f t="shared" si="55"/>
        <v>0</v>
      </c>
      <c r="Y185" s="124">
        <f t="shared" ref="Y185:AC200" si="56">Y58/Y$121</f>
        <v>0</v>
      </c>
      <c r="Z185" s="124">
        <f t="shared" si="56"/>
        <v>0</v>
      </c>
      <c r="AA185" s="124">
        <f t="shared" si="56"/>
        <v>0</v>
      </c>
      <c r="AB185" s="124">
        <f t="shared" si="56"/>
        <v>0</v>
      </c>
      <c r="AC185" s="129">
        <f t="shared" si="56"/>
        <v>4.4080604699630121E-7</v>
      </c>
      <c r="AD185" s="124">
        <f t="shared" ref="AD185:AD228" si="57">P185-AC185</f>
        <v>-3.4581275711582852E-8</v>
      </c>
      <c r="AF185" s="133">
        <v>4.6621287494324836E-7</v>
      </c>
      <c r="AG185" s="124">
        <f t="shared" si="39"/>
        <v>5.9988103658529997E-8</v>
      </c>
      <c r="AH185" s="124"/>
      <c r="AI185" s="124"/>
      <c r="AJ185" s="124"/>
      <c r="AL185" s="124"/>
    </row>
    <row r="186" spans="1:38" hidden="1">
      <c r="D186" s="124">
        <f t="shared" si="55"/>
        <v>0</v>
      </c>
      <c r="E186" s="124">
        <f t="shared" si="55"/>
        <v>0</v>
      </c>
      <c r="F186" s="124">
        <f t="shared" si="55"/>
        <v>0</v>
      </c>
      <c r="G186" s="124">
        <f t="shared" si="55"/>
        <v>0</v>
      </c>
      <c r="H186" s="124">
        <f t="shared" si="55"/>
        <v>0</v>
      </c>
      <c r="I186" s="124">
        <f t="shared" si="55"/>
        <v>0</v>
      </c>
      <c r="J186" s="124">
        <f t="shared" si="55"/>
        <v>0</v>
      </c>
      <c r="K186" s="124">
        <f t="shared" si="55"/>
        <v>0</v>
      </c>
      <c r="L186" s="124">
        <f t="shared" si="55"/>
        <v>0</v>
      </c>
      <c r="M186" s="124">
        <f t="shared" si="55"/>
        <v>0</v>
      </c>
      <c r="N186" s="124">
        <f t="shared" si="55"/>
        <v>0</v>
      </c>
      <c r="O186" s="124">
        <f t="shared" si="55"/>
        <v>0</v>
      </c>
      <c r="P186" s="129">
        <f t="shared" si="55"/>
        <v>0</v>
      </c>
      <c r="Q186" s="124">
        <f t="shared" si="55"/>
        <v>0</v>
      </c>
      <c r="R186" s="124">
        <f t="shared" si="55"/>
        <v>0</v>
      </c>
      <c r="S186" s="124">
        <f t="shared" si="55"/>
        <v>0</v>
      </c>
      <c r="T186" s="124">
        <f t="shared" si="55"/>
        <v>0</v>
      </c>
      <c r="U186" s="124">
        <f t="shared" si="55"/>
        <v>0</v>
      </c>
      <c r="V186" s="124">
        <f t="shared" si="55"/>
        <v>0</v>
      </c>
      <c r="W186" s="124">
        <f t="shared" si="55"/>
        <v>0</v>
      </c>
      <c r="X186" s="124">
        <f t="shared" si="55"/>
        <v>0</v>
      </c>
      <c r="Y186" s="124">
        <f t="shared" si="56"/>
        <v>0</v>
      </c>
      <c r="Z186" s="124">
        <f t="shared" si="56"/>
        <v>0</v>
      </c>
      <c r="AA186" s="124">
        <f t="shared" si="56"/>
        <v>0</v>
      </c>
      <c r="AB186" s="124">
        <f t="shared" si="56"/>
        <v>0</v>
      </c>
      <c r="AC186" s="129">
        <f t="shared" si="56"/>
        <v>0</v>
      </c>
      <c r="AD186" s="124">
        <f t="shared" si="57"/>
        <v>0</v>
      </c>
      <c r="AF186" s="133">
        <v>0</v>
      </c>
      <c r="AG186" s="124">
        <f t="shared" si="39"/>
        <v>0</v>
      </c>
      <c r="AH186" s="124"/>
      <c r="AI186" s="124"/>
      <c r="AJ186" s="124"/>
      <c r="AL186" s="124"/>
    </row>
    <row r="187" spans="1:38">
      <c r="C187" s="105" t="s">
        <v>425</v>
      </c>
      <c r="D187" s="124">
        <f t="shared" si="55"/>
        <v>1.3555803927830112</v>
      </c>
      <c r="E187" s="124">
        <f t="shared" si="55"/>
        <v>1.5753899480069324</v>
      </c>
      <c r="F187" s="124">
        <f t="shared" si="55"/>
        <v>1.240851433193269</v>
      </c>
      <c r="G187" s="124">
        <f t="shared" si="55"/>
        <v>1.3381167398610339</v>
      </c>
      <c r="H187" s="124">
        <f t="shared" si="55"/>
        <v>1.2827048963027918</v>
      </c>
      <c r="I187" s="124">
        <f t="shared" si="55"/>
        <v>1.6371419463545698</v>
      </c>
      <c r="J187" s="124">
        <f t="shared" si="55"/>
        <v>1.5442637989908772</v>
      </c>
      <c r="K187" s="124">
        <f t="shared" si="55"/>
        <v>1.5152764266517174</v>
      </c>
      <c r="L187" s="124">
        <f t="shared" si="55"/>
        <v>1.3740664696193678</v>
      </c>
      <c r="M187" s="124">
        <f t="shared" si="55"/>
        <v>1.5580000000000001</v>
      </c>
      <c r="N187" s="124">
        <f t="shared" si="55"/>
        <v>1.3458029197080292</v>
      </c>
      <c r="O187" s="124">
        <f t="shared" si="55"/>
        <v>1.5292080561377928</v>
      </c>
      <c r="P187" s="129">
        <f t="shared" si="55"/>
        <v>1.4439171336465422</v>
      </c>
      <c r="Q187" s="124">
        <f t="shared" si="55"/>
        <v>1.0798507740147367</v>
      </c>
      <c r="R187" s="124">
        <f t="shared" si="55"/>
        <v>0.84693626014253542</v>
      </c>
      <c r="S187" s="124">
        <f t="shared" si="55"/>
        <v>1.1274037464698101</v>
      </c>
      <c r="T187" s="124">
        <f t="shared" si="55"/>
        <v>1.2783985450066402</v>
      </c>
      <c r="U187" s="124">
        <f t="shared" si="55"/>
        <v>1.2749637522197848</v>
      </c>
      <c r="V187" s="124">
        <f t="shared" si="55"/>
        <v>1.7092342053517995</v>
      </c>
      <c r="W187" s="124">
        <f t="shared" si="55"/>
        <v>1.7541199469847581</v>
      </c>
      <c r="X187" s="124">
        <f t="shared" si="55"/>
        <v>2.031637326313585</v>
      </c>
      <c r="Y187" s="124">
        <f t="shared" si="56"/>
        <v>1.6875371003759505</v>
      </c>
      <c r="Z187" s="124">
        <f t="shared" si="56"/>
        <v>1.7652671755725191</v>
      </c>
      <c r="AA187" s="124">
        <f t="shared" si="56"/>
        <v>1.5536078760955696</v>
      </c>
      <c r="AB187" s="124">
        <f t="shared" si="56"/>
        <v>2.0736932305055698</v>
      </c>
      <c r="AC187" s="129">
        <f t="shared" si="56"/>
        <v>1.4962488233978499</v>
      </c>
      <c r="AD187" s="124">
        <f t="shared" si="57"/>
        <v>-5.2331689751307753E-2</v>
      </c>
      <c r="AF187" s="133">
        <v>1.3449653551411842</v>
      </c>
      <c r="AG187" s="124">
        <f t="shared" si="39"/>
        <v>-9.8951778505357968E-2</v>
      </c>
      <c r="AH187" s="124"/>
      <c r="AI187" s="124"/>
      <c r="AJ187" s="124"/>
      <c r="AL187" s="124"/>
    </row>
    <row r="188" spans="1:38">
      <c r="C188" s="105" t="s">
        <v>426</v>
      </c>
      <c r="D188" s="124">
        <f t="shared" si="55"/>
        <v>0</v>
      </c>
      <c r="E188" s="124">
        <f t="shared" si="55"/>
        <v>0</v>
      </c>
      <c r="F188" s="124">
        <f t="shared" si="55"/>
        <v>0</v>
      </c>
      <c r="G188" s="124">
        <f t="shared" si="55"/>
        <v>0</v>
      </c>
      <c r="H188" s="124">
        <f t="shared" si="55"/>
        <v>0</v>
      </c>
      <c r="I188" s="124">
        <f t="shared" si="55"/>
        <v>0</v>
      </c>
      <c r="J188" s="124">
        <f t="shared" si="55"/>
        <v>0</v>
      </c>
      <c r="K188" s="124">
        <f t="shared" si="55"/>
        <v>0</v>
      </c>
      <c r="L188" s="124">
        <f t="shared" si="55"/>
        <v>0</v>
      </c>
      <c r="M188" s="124">
        <f t="shared" si="55"/>
        <v>0</v>
      </c>
      <c r="N188" s="124">
        <f t="shared" si="55"/>
        <v>0</v>
      </c>
      <c r="O188" s="124">
        <f t="shared" si="55"/>
        <v>0</v>
      </c>
      <c r="P188" s="129">
        <f t="shared" si="55"/>
        <v>0</v>
      </c>
      <c r="Q188" s="124">
        <f t="shared" si="55"/>
        <v>0</v>
      </c>
      <c r="R188" s="124">
        <f t="shared" si="55"/>
        <v>0</v>
      </c>
      <c r="S188" s="124">
        <f t="shared" si="55"/>
        <v>0</v>
      </c>
      <c r="T188" s="124">
        <f t="shared" si="55"/>
        <v>0</v>
      </c>
      <c r="U188" s="124">
        <f t="shared" si="55"/>
        <v>0</v>
      </c>
      <c r="V188" s="124">
        <f t="shared" si="55"/>
        <v>0</v>
      </c>
      <c r="W188" s="124">
        <f t="shared" si="55"/>
        <v>0</v>
      </c>
      <c r="X188" s="124">
        <f t="shared" si="55"/>
        <v>0</v>
      </c>
      <c r="Y188" s="124">
        <f t="shared" si="56"/>
        <v>0</v>
      </c>
      <c r="Z188" s="124">
        <f t="shared" si="56"/>
        <v>0</v>
      </c>
      <c r="AA188" s="124">
        <f t="shared" si="56"/>
        <v>0</v>
      </c>
      <c r="AB188" s="124">
        <f t="shared" si="56"/>
        <v>0</v>
      </c>
      <c r="AC188" s="129">
        <f t="shared" si="56"/>
        <v>0</v>
      </c>
      <c r="AD188" s="124">
        <f t="shared" si="57"/>
        <v>0</v>
      </c>
      <c r="AF188" s="133">
        <v>0</v>
      </c>
      <c r="AG188" s="124">
        <f t="shared" si="39"/>
        <v>0</v>
      </c>
      <c r="AH188" s="124"/>
      <c r="AI188" s="124"/>
      <c r="AJ188" s="124"/>
      <c r="AL188" s="124"/>
    </row>
    <row r="189" spans="1:38">
      <c r="C189" s="105" t="s">
        <v>427</v>
      </c>
      <c r="D189" s="124">
        <f t="shared" si="55"/>
        <v>0</v>
      </c>
      <c r="E189" s="124">
        <f t="shared" si="55"/>
        <v>0</v>
      </c>
      <c r="F189" s="124">
        <f t="shared" si="55"/>
        <v>0</v>
      </c>
      <c r="G189" s="124">
        <f t="shared" si="55"/>
        <v>0</v>
      </c>
      <c r="H189" s="124">
        <f t="shared" si="55"/>
        <v>0</v>
      </c>
      <c r="I189" s="124">
        <f t="shared" si="55"/>
        <v>0</v>
      </c>
      <c r="J189" s="124">
        <f t="shared" si="55"/>
        <v>0</v>
      </c>
      <c r="K189" s="124">
        <f t="shared" si="55"/>
        <v>0</v>
      </c>
      <c r="L189" s="124">
        <f t="shared" si="55"/>
        <v>0</v>
      </c>
      <c r="M189" s="124">
        <f t="shared" si="55"/>
        <v>0</v>
      </c>
      <c r="N189" s="124">
        <f t="shared" si="55"/>
        <v>0</v>
      </c>
      <c r="O189" s="124">
        <f t="shared" si="55"/>
        <v>0</v>
      </c>
      <c r="P189" s="129">
        <f t="shared" si="55"/>
        <v>0</v>
      </c>
      <c r="Q189" s="124">
        <f t="shared" si="55"/>
        <v>0</v>
      </c>
      <c r="R189" s="124">
        <f t="shared" si="55"/>
        <v>0</v>
      </c>
      <c r="S189" s="124">
        <f t="shared" si="55"/>
        <v>0</v>
      </c>
      <c r="T189" s="124">
        <f t="shared" si="55"/>
        <v>0</v>
      </c>
      <c r="U189" s="124">
        <f t="shared" si="55"/>
        <v>0</v>
      </c>
      <c r="V189" s="124">
        <f t="shared" si="55"/>
        <v>0</v>
      </c>
      <c r="W189" s="124">
        <f t="shared" si="55"/>
        <v>0</v>
      </c>
      <c r="X189" s="124">
        <f t="shared" si="55"/>
        <v>0</v>
      </c>
      <c r="Y189" s="124">
        <f t="shared" si="56"/>
        <v>0</v>
      </c>
      <c r="Z189" s="124">
        <f t="shared" si="56"/>
        <v>0</v>
      </c>
      <c r="AA189" s="124">
        <f t="shared" si="56"/>
        <v>0</v>
      </c>
      <c r="AB189" s="124">
        <f t="shared" si="56"/>
        <v>0</v>
      </c>
      <c r="AC189" s="129">
        <f t="shared" si="56"/>
        <v>0</v>
      </c>
      <c r="AD189" s="124">
        <f t="shared" si="57"/>
        <v>0</v>
      </c>
      <c r="AF189" s="133">
        <v>0</v>
      </c>
      <c r="AG189" s="124">
        <f t="shared" si="39"/>
        <v>0</v>
      </c>
      <c r="AH189" s="124"/>
      <c r="AI189" s="124"/>
      <c r="AJ189" s="124"/>
      <c r="AL189" s="124"/>
    </row>
    <row r="190" spans="1:38">
      <c r="C190" s="105" t="s">
        <v>428</v>
      </c>
      <c r="D190" s="124">
        <f t="shared" si="55"/>
        <v>0</v>
      </c>
      <c r="E190" s="124">
        <f t="shared" si="55"/>
        <v>0</v>
      </c>
      <c r="F190" s="124">
        <f t="shared" si="55"/>
        <v>0</v>
      </c>
      <c r="G190" s="124">
        <f t="shared" si="55"/>
        <v>0</v>
      </c>
      <c r="H190" s="124">
        <f t="shared" si="55"/>
        <v>0</v>
      </c>
      <c r="I190" s="124">
        <f t="shared" si="55"/>
        <v>0</v>
      </c>
      <c r="J190" s="124">
        <f t="shared" si="55"/>
        <v>0</v>
      </c>
      <c r="K190" s="124">
        <f t="shared" si="55"/>
        <v>4.9464954080034297E-2</v>
      </c>
      <c r="L190" s="124">
        <f t="shared" si="55"/>
        <v>0</v>
      </c>
      <c r="M190" s="124">
        <f t="shared" si="55"/>
        <v>0</v>
      </c>
      <c r="N190" s="124">
        <f t="shared" si="55"/>
        <v>6.220968812209688E-2</v>
      </c>
      <c r="O190" s="124">
        <f t="shared" si="55"/>
        <v>5.4679668276679125E-2</v>
      </c>
      <c r="P190" s="129">
        <f t="shared" si="55"/>
        <v>1.4299355416834154E-2</v>
      </c>
      <c r="Q190" s="124">
        <f t="shared" si="55"/>
        <v>0</v>
      </c>
      <c r="R190" s="124">
        <f t="shared" si="55"/>
        <v>0</v>
      </c>
      <c r="S190" s="124">
        <f t="shared" si="55"/>
        <v>0</v>
      </c>
      <c r="T190" s="124">
        <f t="shared" si="55"/>
        <v>0</v>
      </c>
      <c r="U190" s="124">
        <f t="shared" si="55"/>
        <v>0</v>
      </c>
      <c r="V190" s="124">
        <f t="shared" si="55"/>
        <v>0</v>
      </c>
      <c r="W190" s="124">
        <f t="shared" si="55"/>
        <v>0</v>
      </c>
      <c r="X190" s="124">
        <f t="shared" si="55"/>
        <v>0</v>
      </c>
      <c r="Y190" s="124">
        <f t="shared" si="56"/>
        <v>0</v>
      </c>
      <c r="Z190" s="124">
        <f t="shared" si="56"/>
        <v>0</v>
      </c>
      <c r="AA190" s="124">
        <f t="shared" si="56"/>
        <v>7.2037459478929047E-2</v>
      </c>
      <c r="AB190" s="124">
        <f t="shared" si="56"/>
        <v>6.4267352185089971E-2</v>
      </c>
      <c r="AC190" s="129">
        <f t="shared" si="56"/>
        <v>9.6541714870481236E-3</v>
      </c>
      <c r="AD190" s="124">
        <f t="shared" si="57"/>
        <v>4.6451839297860301E-3</v>
      </c>
      <c r="AF190" s="133">
        <v>0</v>
      </c>
      <c r="AG190" s="124">
        <f t="shared" si="39"/>
        <v>-1.4299355416834154E-2</v>
      </c>
      <c r="AH190" s="124"/>
      <c r="AI190" s="124"/>
      <c r="AJ190" s="124"/>
      <c r="AL190" s="124"/>
    </row>
    <row r="191" spans="1:38">
      <c r="C191" s="105" t="s">
        <v>143</v>
      </c>
      <c r="D191" s="124">
        <f t="shared" si="55"/>
        <v>0</v>
      </c>
      <c r="E191" s="124">
        <f t="shared" si="55"/>
        <v>0</v>
      </c>
      <c r="F191" s="124">
        <f t="shared" si="55"/>
        <v>0</v>
      </c>
      <c r="G191" s="124">
        <f t="shared" si="55"/>
        <v>0</v>
      </c>
      <c r="H191" s="124">
        <f t="shared" si="55"/>
        <v>0</v>
      </c>
      <c r="I191" s="124">
        <f t="shared" si="55"/>
        <v>0</v>
      </c>
      <c r="J191" s="124">
        <f t="shared" si="55"/>
        <v>0</v>
      </c>
      <c r="K191" s="124">
        <f t="shared" si="55"/>
        <v>0</v>
      </c>
      <c r="L191" s="124">
        <f t="shared" si="55"/>
        <v>0</v>
      </c>
      <c r="M191" s="124">
        <f t="shared" si="55"/>
        <v>0</v>
      </c>
      <c r="N191" s="124">
        <f t="shared" si="55"/>
        <v>0</v>
      </c>
      <c r="O191" s="124">
        <f t="shared" si="55"/>
        <v>0</v>
      </c>
      <c r="P191" s="129">
        <f t="shared" si="55"/>
        <v>0</v>
      </c>
      <c r="Q191" s="124">
        <f t="shared" si="55"/>
        <v>0</v>
      </c>
      <c r="R191" s="124">
        <f t="shared" si="55"/>
        <v>0</v>
      </c>
      <c r="S191" s="124">
        <f t="shared" si="55"/>
        <v>0</v>
      </c>
      <c r="T191" s="124">
        <f t="shared" si="55"/>
        <v>0</v>
      </c>
      <c r="U191" s="124">
        <f t="shared" si="55"/>
        <v>0</v>
      </c>
      <c r="V191" s="124">
        <f t="shared" si="55"/>
        <v>0</v>
      </c>
      <c r="W191" s="124">
        <f t="shared" si="55"/>
        <v>0</v>
      </c>
      <c r="X191" s="124">
        <f t="shared" si="55"/>
        <v>0</v>
      </c>
      <c r="Y191" s="124">
        <f t="shared" si="56"/>
        <v>0</v>
      </c>
      <c r="Z191" s="124">
        <f t="shared" si="56"/>
        <v>0</v>
      </c>
      <c r="AA191" s="124">
        <f t="shared" si="56"/>
        <v>0</v>
      </c>
      <c r="AB191" s="124">
        <f t="shared" si="56"/>
        <v>0</v>
      </c>
      <c r="AC191" s="129">
        <f t="shared" si="56"/>
        <v>0</v>
      </c>
      <c r="AD191" s="124">
        <f t="shared" si="57"/>
        <v>0</v>
      </c>
      <c r="AF191" s="133">
        <v>1.1142621021646759</v>
      </c>
      <c r="AG191" s="124">
        <f t="shared" si="39"/>
        <v>1.1142621021646759</v>
      </c>
      <c r="AH191" s="124"/>
      <c r="AI191" s="124"/>
      <c r="AJ191" s="124"/>
      <c r="AL191" s="124"/>
    </row>
    <row r="192" spans="1:38">
      <c r="C192" s="105" t="s">
        <v>144</v>
      </c>
      <c r="D192" s="124">
        <f t="shared" si="55"/>
        <v>10.413494491457769</v>
      </c>
      <c r="E192" s="124">
        <f t="shared" si="55"/>
        <v>9.1757195840554591</v>
      </c>
      <c r="F192" s="124">
        <f t="shared" si="55"/>
        <v>10.515585015091437</v>
      </c>
      <c r="G192" s="124">
        <f t="shared" si="55"/>
        <v>11.619460629677739</v>
      </c>
      <c r="H192" s="124">
        <f t="shared" si="55"/>
        <v>12.220532047229645</v>
      </c>
      <c r="I192" s="124">
        <f t="shared" si="55"/>
        <v>12.449325788970354</v>
      </c>
      <c r="J192" s="124">
        <f t="shared" si="55"/>
        <v>9.3108375380119952</v>
      </c>
      <c r="K192" s="124">
        <f t="shared" si="55"/>
        <v>9.0301751059374453</v>
      </c>
      <c r="L192" s="124">
        <f t="shared" si="55"/>
        <v>12.369916969382462</v>
      </c>
      <c r="M192" s="124">
        <f t="shared" si="55"/>
        <v>13.313184400000003</v>
      </c>
      <c r="N192" s="124">
        <f t="shared" si="55"/>
        <v>11.334663860318516</v>
      </c>
      <c r="O192" s="124">
        <f t="shared" si="55"/>
        <v>9.936135787842888</v>
      </c>
      <c r="P192" s="129">
        <f t="shared" si="55"/>
        <v>10.844686804395938</v>
      </c>
      <c r="Q192" s="124">
        <f t="shared" si="55"/>
        <v>12.81533275873724</v>
      </c>
      <c r="R192" s="124">
        <f t="shared" si="55"/>
        <v>16.140224755499336</v>
      </c>
      <c r="S192" s="124">
        <f t="shared" si="55"/>
        <v>12.467471311621919</v>
      </c>
      <c r="T192" s="124">
        <f t="shared" si="55"/>
        <v>12.899830250774651</v>
      </c>
      <c r="U192" s="124">
        <f t="shared" si="55"/>
        <v>13.573615167659041</v>
      </c>
      <c r="V192" s="124">
        <f t="shared" si="55"/>
        <v>12.784086945370607</v>
      </c>
      <c r="W192" s="124">
        <f t="shared" si="55"/>
        <v>9.8958523856858829</v>
      </c>
      <c r="X192" s="124">
        <f t="shared" si="55"/>
        <v>9.149820368237636</v>
      </c>
      <c r="Y192" s="124">
        <f t="shared" si="56"/>
        <v>4.4559171212934956</v>
      </c>
      <c r="Z192" s="124">
        <f t="shared" si="56"/>
        <v>2.8340598873137037</v>
      </c>
      <c r="AA192" s="124">
        <f t="shared" si="56"/>
        <v>2.0830827230159676</v>
      </c>
      <c r="AB192" s="124">
        <f t="shared" si="56"/>
        <v>2.0727287917737787</v>
      </c>
      <c r="AC192" s="129">
        <f t="shared" si="56"/>
        <v>9.8073073550305487</v>
      </c>
      <c r="AD192" s="124">
        <f t="shared" si="57"/>
        <v>1.037379449365389</v>
      </c>
      <c r="AF192" s="133">
        <v>0.73991486276995688</v>
      </c>
      <c r="AG192" s="124">
        <f t="shared" si="39"/>
        <v>-10.10477194162598</v>
      </c>
      <c r="AH192" s="124"/>
      <c r="AI192" s="124"/>
      <c r="AJ192" s="124"/>
      <c r="AL192" s="124"/>
    </row>
    <row r="193" spans="3:38">
      <c r="C193" s="105" t="s">
        <v>182</v>
      </c>
      <c r="D193" s="124">
        <f t="shared" si="55"/>
        <v>4.8698706690084623E-2</v>
      </c>
      <c r="E193" s="124">
        <f t="shared" si="55"/>
        <v>3.4662045060658578E-2</v>
      </c>
      <c r="F193" s="124">
        <f t="shared" si="55"/>
        <v>3.9454735554634947E-2</v>
      </c>
      <c r="G193" s="124">
        <f t="shared" si="55"/>
        <v>4.1236263169831547E-2</v>
      </c>
      <c r="H193" s="124">
        <f t="shared" si="55"/>
        <v>4.0785529294206417E-2</v>
      </c>
      <c r="I193" s="124">
        <f t="shared" si="55"/>
        <v>4.5539414363131289E-2</v>
      </c>
      <c r="J193" s="124">
        <f t="shared" si="55"/>
        <v>3.397720129792909E-2</v>
      </c>
      <c r="K193" s="124">
        <f t="shared" si="55"/>
        <v>3.2976636053356198E-2</v>
      </c>
      <c r="L193" s="124">
        <f t="shared" si="55"/>
        <v>4.5125335619683668E-2</v>
      </c>
      <c r="M193" s="124">
        <f t="shared" si="55"/>
        <v>0.04</v>
      </c>
      <c r="N193" s="124">
        <f t="shared" si="55"/>
        <v>4.1473125414731256E-2</v>
      </c>
      <c r="O193" s="124">
        <f t="shared" si="55"/>
        <v>0.2187186731067165</v>
      </c>
      <c r="P193" s="129">
        <f t="shared" si="55"/>
        <v>5.5688045262226343E-2</v>
      </c>
      <c r="Q193" s="124">
        <f t="shared" si="55"/>
        <v>0.1075344757655648</v>
      </c>
      <c r="R193" s="124">
        <f t="shared" si="55"/>
        <v>0</v>
      </c>
      <c r="S193" s="124">
        <f t="shared" si="55"/>
        <v>0</v>
      </c>
      <c r="T193" s="124">
        <f t="shared" si="55"/>
        <v>0</v>
      </c>
      <c r="U193" s="124">
        <f t="shared" si="55"/>
        <v>0.19733792959364879</v>
      </c>
      <c r="V193" s="124">
        <f t="shared" si="55"/>
        <v>0</v>
      </c>
      <c r="W193" s="124">
        <f t="shared" si="55"/>
        <v>0</v>
      </c>
      <c r="X193" s="124">
        <f t="shared" si="55"/>
        <v>6.9654197639809151E-2</v>
      </c>
      <c r="Y193" s="124">
        <f t="shared" si="56"/>
        <v>0</v>
      </c>
      <c r="Z193" s="124">
        <f t="shared" si="56"/>
        <v>0</v>
      </c>
      <c r="AA193" s="124">
        <f t="shared" si="56"/>
        <v>0</v>
      </c>
      <c r="AB193" s="124">
        <f t="shared" si="56"/>
        <v>0.42844901456726647</v>
      </c>
      <c r="AC193" s="129">
        <f t="shared" si="56"/>
        <v>6.5110339134954065E-2</v>
      </c>
      <c r="AD193" s="124">
        <f t="shared" si="57"/>
        <v>-9.4222938727277217E-3</v>
      </c>
      <c r="AF193" s="133">
        <v>1.2363962442964645E-2</v>
      </c>
      <c r="AG193" s="124">
        <f t="shared" si="39"/>
        <v>-4.33240828192617E-2</v>
      </c>
      <c r="AH193" s="124"/>
      <c r="AI193" s="124"/>
      <c r="AJ193" s="124"/>
      <c r="AL193" s="124"/>
    </row>
    <row r="194" spans="3:38">
      <c r="C194" s="105" t="s">
        <v>431</v>
      </c>
      <c r="D194" s="124">
        <f t="shared" si="55"/>
        <v>0</v>
      </c>
      <c r="E194" s="124">
        <f t="shared" si="55"/>
        <v>0</v>
      </c>
      <c r="F194" s="124">
        <f t="shared" si="55"/>
        <v>0</v>
      </c>
      <c r="G194" s="124">
        <f t="shared" si="55"/>
        <v>0</v>
      </c>
      <c r="H194" s="124">
        <f t="shared" si="55"/>
        <v>0</v>
      </c>
      <c r="I194" s="124">
        <f t="shared" si="55"/>
        <v>0</v>
      </c>
      <c r="J194" s="124">
        <f t="shared" si="55"/>
        <v>0</v>
      </c>
      <c r="K194" s="124">
        <f t="shared" si="55"/>
        <v>0</v>
      </c>
      <c r="L194" s="124">
        <f t="shared" si="55"/>
        <v>0</v>
      </c>
      <c r="M194" s="124">
        <f t="shared" si="55"/>
        <v>0</v>
      </c>
      <c r="N194" s="124">
        <f t="shared" si="55"/>
        <v>0</v>
      </c>
      <c r="O194" s="124">
        <f t="shared" si="55"/>
        <v>0</v>
      </c>
      <c r="P194" s="129">
        <f t="shared" si="55"/>
        <v>0</v>
      </c>
      <c r="Q194" s="124">
        <f t="shared" si="55"/>
        <v>0</v>
      </c>
      <c r="R194" s="124">
        <f t="shared" si="55"/>
        <v>0</v>
      </c>
      <c r="S194" s="124">
        <f t="shared" si="55"/>
        <v>0</v>
      </c>
      <c r="T194" s="124">
        <f t="shared" si="55"/>
        <v>0</v>
      </c>
      <c r="U194" s="124">
        <f t="shared" si="55"/>
        <v>0</v>
      </c>
      <c r="V194" s="124">
        <f t="shared" si="55"/>
        <v>0</v>
      </c>
      <c r="W194" s="124">
        <f t="shared" si="55"/>
        <v>0</v>
      </c>
      <c r="X194" s="124">
        <f t="shared" si="55"/>
        <v>0</v>
      </c>
      <c r="Y194" s="124">
        <f t="shared" si="56"/>
        <v>0</v>
      </c>
      <c r="Z194" s="124">
        <f t="shared" si="56"/>
        <v>0</v>
      </c>
      <c r="AA194" s="124">
        <f t="shared" si="56"/>
        <v>0</v>
      </c>
      <c r="AB194" s="124">
        <f t="shared" si="56"/>
        <v>0</v>
      </c>
      <c r="AC194" s="129">
        <f t="shared" si="56"/>
        <v>0</v>
      </c>
      <c r="AD194" s="124">
        <f t="shared" si="57"/>
        <v>0</v>
      </c>
      <c r="AF194" s="133">
        <v>0</v>
      </c>
      <c r="AG194" s="124">
        <f t="shared" si="39"/>
        <v>0</v>
      </c>
      <c r="AH194" s="124"/>
      <c r="AI194" s="124"/>
      <c r="AJ194" s="124"/>
      <c r="AL194" s="124"/>
    </row>
    <row r="195" spans="3:38">
      <c r="C195" s="105" t="s">
        <v>184</v>
      </c>
      <c r="D195" s="124">
        <f t="shared" si="55"/>
        <v>4.7900367236148808E-3</v>
      </c>
      <c r="E195" s="124">
        <f t="shared" si="55"/>
        <v>5.1993067590987872E-3</v>
      </c>
      <c r="F195" s="124">
        <f t="shared" si="55"/>
        <v>5.9182103331952415E-3</v>
      </c>
      <c r="G195" s="124">
        <f t="shared" si="55"/>
        <v>6.1854394754747325E-3</v>
      </c>
      <c r="H195" s="124">
        <f t="shared" si="55"/>
        <v>6.1178293941309622E-3</v>
      </c>
      <c r="I195" s="124">
        <f t="shared" si="55"/>
        <v>0</v>
      </c>
      <c r="J195" s="124">
        <f t="shared" si="55"/>
        <v>5.0965801946893634E-3</v>
      </c>
      <c r="K195" s="124">
        <f t="shared" si="55"/>
        <v>4.9464954080034292E-3</v>
      </c>
      <c r="L195" s="124">
        <f t="shared" si="55"/>
        <v>0</v>
      </c>
      <c r="M195" s="124">
        <f t="shared" si="55"/>
        <v>6.0000000000000001E-3</v>
      </c>
      <c r="N195" s="124">
        <f t="shared" si="55"/>
        <v>6.2209688122096879E-3</v>
      </c>
      <c r="O195" s="124">
        <f t="shared" si="55"/>
        <v>3.6453112184452749E-3</v>
      </c>
      <c r="P195" s="129">
        <f t="shared" si="55"/>
        <v>4.6075700787576723E-3</v>
      </c>
      <c r="Q195" s="124">
        <f t="shared" si="55"/>
        <v>0</v>
      </c>
      <c r="R195" s="124">
        <f t="shared" si="55"/>
        <v>0</v>
      </c>
      <c r="S195" s="124">
        <f t="shared" si="55"/>
        <v>6.7318485682622527E-3</v>
      </c>
      <c r="T195" s="124">
        <f t="shared" si="55"/>
        <v>2.5575934871725783E-3</v>
      </c>
      <c r="U195" s="124">
        <f t="shared" si="55"/>
        <v>2.3027264180507678E-3</v>
      </c>
      <c r="V195" s="124">
        <f t="shared" si="55"/>
        <v>6.4255792083440198E-3</v>
      </c>
      <c r="W195" s="124">
        <f t="shared" si="55"/>
        <v>0</v>
      </c>
      <c r="X195" s="124">
        <f t="shared" si="55"/>
        <v>0</v>
      </c>
      <c r="Y195" s="124">
        <f t="shared" si="56"/>
        <v>0</v>
      </c>
      <c r="Z195" s="124">
        <f t="shared" si="56"/>
        <v>0</v>
      </c>
      <c r="AA195" s="124">
        <f t="shared" si="56"/>
        <v>0</v>
      </c>
      <c r="AB195" s="124">
        <f t="shared" si="56"/>
        <v>4.2844901456726647E-2</v>
      </c>
      <c r="AC195" s="129">
        <f t="shared" si="56"/>
        <v>4.6989587976051213E-3</v>
      </c>
      <c r="AD195" s="124">
        <f t="shared" si="57"/>
        <v>-9.1388718847448987E-5</v>
      </c>
      <c r="AF195" s="133">
        <v>1.4773819909496581E-2</v>
      </c>
      <c r="AG195" s="124">
        <f t="shared" si="39"/>
        <v>1.0166249830738909E-2</v>
      </c>
      <c r="AH195" s="124"/>
      <c r="AI195" s="124"/>
      <c r="AJ195" s="124"/>
      <c r="AL195" s="124"/>
    </row>
    <row r="196" spans="3:38">
      <c r="C196" s="105" t="s">
        <v>432</v>
      </c>
      <c r="D196" s="124">
        <f t="shared" si="55"/>
        <v>0</v>
      </c>
      <c r="E196" s="124">
        <f t="shared" si="55"/>
        <v>0</v>
      </c>
      <c r="F196" s="124">
        <f t="shared" si="55"/>
        <v>0</v>
      </c>
      <c r="G196" s="124">
        <f t="shared" ref="G196:X211" si="58">G69/G$121</f>
        <v>0</v>
      </c>
      <c r="H196" s="124">
        <f t="shared" si="58"/>
        <v>0</v>
      </c>
      <c r="I196" s="124">
        <f t="shared" si="58"/>
        <v>0</v>
      </c>
      <c r="J196" s="124">
        <f t="shared" si="58"/>
        <v>0</v>
      </c>
      <c r="K196" s="124">
        <f t="shared" si="58"/>
        <v>0</v>
      </c>
      <c r="L196" s="124">
        <f t="shared" si="58"/>
        <v>0</v>
      </c>
      <c r="M196" s="124">
        <f t="shared" si="58"/>
        <v>0</v>
      </c>
      <c r="N196" s="124">
        <f t="shared" si="58"/>
        <v>0</v>
      </c>
      <c r="O196" s="124">
        <f t="shared" si="58"/>
        <v>0</v>
      </c>
      <c r="P196" s="129">
        <f t="shared" si="58"/>
        <v>0</v>
      </c>
      <c r="Q196" s="124">
        <f t="shared" si="58"/>
        <v>0</v>
      </c>
      <c r="R196" s="124">
        <f t="shared" si="58"/>
        <v>0</v>
      </c>
      <c r="S196" s="124">
        <f t="shared" si="58"/>
        <v>0</v>
      </c>
      <c r="T196" s="124">
        <f t="shared" si="58"/>
        <v>0</v>
      </c>
      <c r="U196" s="124">
        <f t="shared" si="58"/>
        <v>0</v>
      </c>
      <c r="V196" s="124">
        <f t="shared" si="58"/>
        <v>0</v>
      </c>
      <c r="W196" s="124">
        <f t="shared" si="58"/>
        <v>0</v>
      </c>
      <c r="X196" s="124">
        <f t="shared" si="58"/>
        <v>0</v>
      </c>
      <c r="Y196" s="124">
        <f t="shared" si="56"/>
        <v>0</v>
      </c>
      <c r="Z196" s="124">
        <f t="shared" si="56"/>
        <v>0</v>
      </c>
      <c r="AA196" s="124">
        <f t="shared" si="56"/>
        <v>0</v>
      </c>
      <c r="AB196" s="124">
        <f t="shared" si="56"/>
        <v>0</v>
      </c>
      <c r="AC196" s="129">
        <f t="shared" si="56"/>
        <v>0</v>
      </c>
      <c r="AD196" s="124">
        <f t="shared" si="57"/>
        <v>0</v>
      </c>
      <c r="AF196" s="133">
        <v>0</v>
      </c>
      <c r="AG196" s="124">
        <f t="shared" si="39"/>
        <v>0</v>
      </c>
      <c r="AH196" s="124"/>
      <c r="AI196" s="124"/>
      <c r="AJ196" s="124"/>
      <c r="AL196" s="124"/>
    </row>
    <row r="197" spans="3:38">
      <c r="C197" s="105" t="s">
        <v>186</v>
      </c>
      <c r="D197" s="124">
        <f t="shared" ref="D197:S212" si="59">D70/D$121</f>
        <v>2.4173718665176432E-2</v>
      </c>
      <c r="E197" s="124">
        <f t="shared" si="59"/>
        <v>2.6239168110918545E-2</v>
      </c>
      <c r="F197" s="124">
        <f t="shared" si="59"/>
        <v>2.9867234814858652E-2</v>
      </c>
      <c r="G197" s="124">
        <f t="shared" si="59"/>
        <v>3.1215851219562482E-2</v>
      </c>
      <c r="H197" s="124">
        <f t="shared" si="59"/>
        <v>3.0874645675714258E-2</v>
      </c>
      <c r="I197" s="124">
        <f t="shared" si="59"/>
        <v>3.4473336672890389E-2</v>
      </c>
      <c r="J197" s="124">
        <f t="shared" si="59"/>
        <v>2.572074138253232E-2</v>
      </c>
      <c r="K197" s="124">
        <f t="shared" si="59"/>
        <v>2.496331349239064E-2</v>
      </c>
      <c r="L197" s="124">
        <f t="shared" si="59"/>
        <v>3.4159879064100541E-2</v>
      </c>
      <c r="M197" s="124">
        <f t="shared" si="59"/>
        <v>3.0280000000000001E-2</v>
      </c>
      <c r="N197" s="124">
        <f t="shared" si="59"/>
        <v>3.1395155938951556E-2</v>
      </c>
      <c r="O197" s="124">
        <f t="shared" si="59"/>
        <v>2.759500592363073E-2</v>
      </c>
      <c r="P197" s="129">
        <f t="shared" si="59"/>
        <v>2.8865632134782545E-2</v>
      </c>
      <c r="Q197" s="124">
        <f t="shared" si="58"/>
        <v>0</v>
      </c>
      <c r="R197" s="124">
        <f t="shared" si="58"/>
        <v>5.1747447012001346E-2</v>
      </c>
      <c r="S197" s="124">
        <f t="shared" si="58"/>
        <v>2.9980516927036779E-2</v>
      </c>
      <c r="T197" s="124">
        <f t="shared" si="58"/>
        <v>3.2281029273080693E-2</v>
      </c>
      <c r="U197" s="124">
        <f t="shared" si="58"/>
        <v>3.504209756607124E-2</v>
      </c>
      <c r="V197" s="124">
        <f t="shared" si="58"/>
        <v>3.5848721894502861E-2</v>
      </c>
      <c r="W197" s="124">
        <f t="shared" si="58"/>
        <v>2.7788104705102713E-2</v>
      </c>
      <c r="X197" s="124">
        <f t="shared" si="58"/>
        <v>2.508697407977983E-2</v>
      </c>
      <c r="Y197" s="124">
        <f t="shared" si="56"/>
        <v>3.9488933487859347E-2</v>
      </c>
      <c r="Z197" s="124">
        <f t="shared" si="56"/>
        <v>3.1738458742275537E-2</v>
      </c>
      <c r="AA197" s="124">
        <f t="shared" si="56"/>
        <v>3.3545443630687954E-2</v>
      </c>
      <c r="AB197" s="124">
        <f t="shared" si="56"/>
        <v>2.9927163667523564E-2</v>
      </c>
      <c r="AC197" s="129">
        <f t="shared" si="56"/>
        <v>3.0581712102952078E-2</v>
      </c>
      <c r="AD197" s="124">
        <f t="shared" si="57"/>
        <v>-1.716079968169533E-3</v>
      </c>
      <c r="AF197" s="133">
        <v>3.2008836949495079E-2</v>
      </c>
      <c r="AG197" s="124">
        <f t="shared" si="39"/>
        <v>3.1432048147125337E-3</v>
      </c>
      <c r="AH197" s="124"/>
      <c r="AI197" s="124"/>
      <c r="AJ197" s="124"/>
      <c r="AL197" s="124"/>
    </row>
    <row r="198" spans="3:38">
      <c r="C198" s="105" t="s">
        <v>188</v>
      </c>
      <c r="D198" s="124">
        <f t="shared" si="59"/>
        <v>0.41513651604662305</v>
      </c>
      <c r="E198" s="124">
        <f t="shared" si="59"/>
        <v>0.5719237435008665</v>
      </c>
      <c r="F198" s="124">
        <f t="shared" si="59"/>
        <v>0.44386577498964314</v>
      </c>
      <c r="G198" s="124">
        <f t="shared" si="59"/>
        <v>0.47421702645306285</v>
      </c>
      <c r="H198" s="124">
        <f t="shared" si="59"/>
        <v>0.45883720455982219</v>
      </c>
      <c r="I198" s="124">
        <f t="shared" si="59"/>
        <v>0.39846987567739878</v>
      </c>
      <c r="J198" s="124">
        <f t="shared" si="59"/>
        <v>0.4332093165485959</v>
      </c>
      <c r="K198" s="124">
        <f t="shared" si="59"/>
        <v>0.42045210968029151</v>
      </c>
      <c r="L198" s="124">
        <f t="shared" si="59"/>
        <v>0.41740935448207395</v>
      </c>
      <c r="M198" s="124">
        <f t="shared" si="59"/>
        <v>0.45</v>
      </c>
      <c r="N198" s="124">
        <f t="shared" si="59"/>
        <v>0.52670869276708687</v>
      </c>
      <c r="O198" s="124">
        <f t="shared" si="59"/>
        <v>0.51034357058233848</v>
      </c>
      <c r="P198" s="129">
        <f t="shared" si="59"/>
        <v>0.46059812614891349</v>
      </c>
      <c r="Q198" s="124">
        <f t="shared" si="58"/>
        <v>0.52686017035084165</v>
      </c>
      <c r="R198" s="124">
        <f t="shared" si="58"/>
        <v>0.55203637429426466</v>
      </c>
      <c r="S198" s="124">
        <f t="shared" si="58"/>
        <v>0.50995156043327483</v>
      </c>
      <c r="T198" s="124">
        <f t="shared" si="58"/>
        <v>0.44842568178756326</v>
      </c>
      <c r="U198" s="124">
        <f t="shared" si="58"/>
        <v>0.45331515721299487</v>
      </c>
      <c r="V198" s="124">
        <f t="shared" si="58"/>
        <v>0.46682846028896302</v>
      </c>
      <c r="W198" s="124">
        <f t="shared" si="58"/>
        <v>0.41614165009940363</v>
      </c>
      <c r="X198" s="124">
        <f t="shared" si="58"/>
        <v>0.45012668451517379</v>
      </c>
      <c r="Y198" s="124">
        <f t="shared" si="56"/>
        <v>0.45470220764903752</v>
      </c>
      <c r="Z198" s="124">
        <f t="shared" si="56"/>
        <v>0.45603871319520173</v>
      </c>
      <c r="AA198" s="124">
        <f t="shared" si="56"/>
        <v>0.50623124024492738</v>
      </c>
      <c r="AB198" s="124">
        <f t="shared" si="56"/>
        <v>0.51032562125107117</v>
      </c>
      <c r="AC198" s="129">
        <f t="shared" si="56"/>
        <v>0.48046785724054814</v>
      </c>
      <c r="AD198" s="124">
        <f t="shared" si="57"/>
        <v>-1.9869731091634646E-2</v>
      </c>
      <c r="AF198" s="133">
        <v>0.21896994307448014</v>
      </c>
      <c r="AG198" s="124">
        <f t="shared" si="39"/>
        <v>-0.24162818307443334</v>
      </c>
      <c r="AH198" s="124"/>
      <c r="AI198" s="124"/>
      <c r="AJ198" s="124"/>
      <c r="AL198" s="124"/>
    </row>
    <row r="199" spans="3:38">
      <c r="C199" s="105" t="s">
        <v>196</v>
      </c>
      <c r="D199" s="124">
        <f t="shared" si="59"/>
        <v>0.3353025706530417</v>
      </c>
      <c r="E199" s="124">
        <f t="shared" si="59"/>
        <v>0.71057192374350087</v>
      </c>
      <c r="F199" s="124">
        <f t="shared" si="59"/>
        <v>0.41427472332366694</v>
      </c>
      <c r="G199" s="124">
        <f t="shared" si="59"/>
        <v>2.0618131584915773E-2</v>
      </c>
      <c r="H199" s="124">
        <f t="shared" si="59"/>
        <v>2.0392764647103209E-2</v>
      </c>
      <c r="I199" s="124">
        <f t="shared" si="59"/>
        <v>0</v>
      </c>
      <c r="J199" s="124">
        <f t="shared" si="59"/>
        <v>1.6988600648964545E-2</v>
      </c>
      <c r="K199" s="124">
        <f t="shared" si="59"/>
        <v>1.6488318026678099E-2</v>
      </c>
      <c r="L199" s="124">
        <f t="shared" si="59"/>
        <v>0</v>
      </c>
      <c r="M199" s="124">
        <f t="shared" si="59"/>
        <v>0.02</v>
      </c>
      <c r="N199" s="124">
        <f t="shared" si="59"/>
        <v>2.0736562707365628E-2</v>
      </c>
      <c r="O199" s="124">
        <f t="shared" si="59"/>
        <v>1.8226556092226374E-2</v>
      </c>
      <c r="P199" s="129">
        <f t="shared" si="59"/>
        <v>0.14299355416834156</v>
      </c>
      <c r="Q199" s="124">
        <f t="shared" si="58"/>
        <v>0.40559724193875479</v>
      </c>
      <c r="R199" s="124">
        <f t="shared" si="58"/>
        <v>0.66331410236633448</v>
      </c>
      <c r="S199" s="124">
        <f t="shared" si="58"/>
        <v>0.41111071390269188</v>
      </c>
      <c r="T199" s="124">
        <f t="shared" si="58"/>
        <v>0</v>
      </c>
      <c r="U199" s="124">
        <f t="shared" si="58"/>
        <v>0</v>
      </c>
      <c r="V199" s="124">
        <f t="shared" si="58"/>
        <v>0</v>
      </c>
      <c r="W199" s="124">
        <f t="shared" si="58"/>
        <v>0</v>
      </c>
      <c r="X199" s="124">
        <f t="shared" si="58"/>
        <v>0</v>
      </c>
      <c r="Y199" s="124">
        <f t="shared" si="56"/>
        <v>0</v>
      </c>
      <c r="Z199" s="124">
        <f t="shared" si="56"/>
        <v>0</v>
      </c>
      <c r="AA199" s="124">
        <f t="shared" si="56"/>
        <v>0</v>
      </c>
      <c r="AB199" s="124">
        <f t="shared" si="56"/>
        <v>0</v>
      </c>
      <c r="AC199" s="129">
        <f t="shared" si="56"/>
        <v>0.14481257230572187</v>
      </c>
      <c r="AD199" s="124">
        <f t="shared" si="57"/>
        <v>-1.8190181373803072E-3</v>
      </c>
      <c r="AF199" s="133">
        <v>0.17889530286008373</v>
      </c>
      <c r="AG199" s="124">
        <f t="shared" si="39"/>
        <v>3.5901748691742175E-2</v>
      </c>
      <c r="AH199" s="124"/>
      <c r="AI199" s="124"/>
      <c r="AJ199" s="124"/>
      <c r="AL199" s="124"/>
    </row>
    <row r="200" spans="3:38">
      <c r="C200" s="105" t="s">
        <v>305</v>
      </c>
      <c r="D200" s="124">
        <f t="shared" si="59"/>
        <v>1.0346479323008142</v>
      </c>
      <c r="E200" s="124">
        <f t="shared" si="59"/>
        <v>1.3223570190641247</v>
      </c>
      <c r="F200" s="124">
        <f t="shared" si="59"/>
        <v>1.2487423803041959</v>
      </c>
      <c r="G200" s="124">
        <f t="shared" si="59"/>
        <v>1.0989464134760107</v>
      </c>
      <c r="H200" s="124">
        <f t="shared" si="59"/>
        <v>1.2500764728674267</v>
      </c>
      <c r="I200" s="124">
        <f t="shared" si="59"/>
        <v>1.045129559633863</v>
      </c>
      <c r="J200" s="124">
        <f t="shared" si="59"/>
        <v>1.0634864006251805</v>
      </c>
      <c r="K200" s="124">
        <f t="shared" si="59"/>
        <v>1.0404128674833881</v>
      </c>
      <c r="L200" s="124">
        <f t="shared" si="59"/>
        <v>1.0378827192527245</v>
      </c>
      <c r="M200" s="124">
        <f t="shared" si="59"/>
        <v>1.04</v>
      </c>
      <c r="N200" s="124">
        <f t="shared" si="59"/>
        <v>1.0886695421366954</v>
      </c>
      <c r="O200" s="124">
        <f t="shared" si="59"/>
        <v>0.94778091679577148</v>
      </c>
      <c r="P200" s="129">
        <f t="shared" si="59"/>
        <v>1.1012092488230836</v>
      </c>
      <c r="Q200" s="124">
        <f t="shared" si="58"/>
        <v>0.83018877171635219</v>
      </c>
      <c r="R200" s="124">
        <f t="shared" si="58"/>
        <v>1.0859221608613829</v>
      </c>
      <c r="S200" s="124">
        <f t="shared" si="58"/>
        <v>1.4558204339899186</v>
      </c>
      <c r="T200" s="124">
        <f t="shared" si="58"/>
        <v>1.1452843588213784</v>
      </c>
      <c r="U200" s="124">
        <f t="shared" si="58"/>
        <v>-0.62959448448762145</v>
      </c>
      <c r="V200" s="124">
        <f t="shared" si="58"/>
        <v>1.4008376079336582</v>
      </c>
      <c r="W200" s="124">
        <f t="shared" si="58"/>
        <v>1.4312909211398277</v>
      </c>
      <c r="X200" s="124">
        <f t="shared" si="58"/>
        <v>0.8954985865777233</v>
      </c>
      <c r="Y200" s="124">
        <f t="shared" si="56"/>
        <v>1.7346753540435877</v>
      </c>
      <c r="Z200" s="124">
        <f t="shared" si="56"/>
        <v>1.3872659941839331</v>
      </c>
      <c r="AA200" s="124">
        <f t="shared" si="56"/>
        <v>1.4359051506783529</v>
      </c>
      <c r="AB200" s="124">
        <f t="shared" si="56"/>
        <v>1.1071484575835475</v>
      </c>
      <c r="AC200" s="129">
        <f t="shared" si="56"/>
        <v>1.0877938448220656</v>
      </c>
      <c r="AD200" s="124">
        <f t="shared" si="57"/>
        <v>1.3415404001017928E-2</v>
      </c>
      <c r="AF200" s="133">
        <v>0.63902856317979562</v>
      </c>
      <c r="AG200" s="124">
        <f t="shared" si="39"/>
        <v>-0.46218068564328796</v>
      </c>
      <c r="AH200" s="124"/>
      <c r="AI200" s="124"/>
      <c r="AJ200" s="124"/>
      <c r="AL200" s="124"/>
    </row>
    <row r="201" spans="3:38">
      <c r="C201" s="105" t="s">
        <v>435</v>
      </c>
      <c r="D201" s="124">
        <f t="shared" si="59"/>
        <v>0.1596678907871627</v>
      </c>
      <c r="E201" s="124">
        <f t="shared" si="59"/>
        <v>0.60658578856152512</v>
      </c>
      <c r="F201" s="124">
        <f t="shared" si="59"/>
        <v>0</v>
      </c>
      <c r="G201" s="124">
        <f t="shared" si="59"/>
        <v>0</v>
      </c>
      <c r="H201" s="124">
        <f t="shared" si="59"/>
        <v>0</v>
      </c>
      <c r="I201" s="124">
        <f t="shared" si="59"/>
        <v>0</v>
      </c>
      <c r="J201" s="124">
        <f t="shared" si="59"/>
        <v>0.33977201297929088</v>
      </c>
      <c r="K201" s="124">
        <f t="shared" si="59"/>
        <v>0.32976636053356195</v>
      </c>
      <c r="L201" s="124">
        <f t="shared" si="59"/>
        <v>0</v>
      </c>
      <c r="M201" s="124">
        <f t="shared" si="59"/>
        <v>0</v>
      </c>
      <c r="N201" s="124">
        <f t="shared" si="59"/>
        <v>0</v>
      </c>
      <c r="O201" s="124">
        <f t="shared" si="59"/>
        <v>0</v>
      </c>
      <c r="P201" s="129">
        <f t="shared" si="59"/>
        <v>0.13504946782565591</v>
      </c>
      <c r="Q201" s="124">
        <f t="shared" si="58"/>
        <v>0</v>
      </c>
      <c r="R201" s="124">
        <f t="shared" si="58"/>
        <v>1.3112022953753124</v>
      </c>
      <c r="S201" s="124">
        <f t="shared" si="58"/>
        <v>0</v>
      </c>
      <c r="T201" s="124">
        <f t="shared" si="58"/>
        <v>0</v>
      </c>
      <c r="U201" s="124">
        <f t="shared" si="58"/>
        <v>0</v>
      </c>
      <c r="V201" s="124">
        <f t="shared" si="58"/>
        <v>0</v>
      </c>
      <c r="W201" s="124">
        <f t="shared" si="58"/>
        <v>0</v>
      </c>
      <c r="X201" s="124">
        <f t="shared" si="58"/>
        <v>0</v>
      </c>
      <c r="Y201" s="124">
        <f t="shared" ref="Y201:AC216" si="60">Y74/Y$121</f>
        <v>0</v>
      </c>
      <c r="Z201" s="124">
        <f t="shared" si="60"/>
        <v>0</v>
      </c>
      <c r="AA201" s="124">
        <f t="shared" si="60"/>
        <v>0</v>
      </c>
      <c r="AB201" s="124">
        <f t="shared" si="60"/>
        <v>0</v>
      </c>
      <c r="AC201" s="129">
        <f t="shared" si="60"/>
        <v>0.13676742939984843</v>
      </c>
      <c r="AD201" s="124">
        <f t="shared" si="57"/>
        <v>-1.7179615741925169E-3</v>
      </c>
      <c r="AF201" s="133">
        <v>1.296660725157063E-2</v>
      </c>
      <c r="AG201" s="124">
        <f t="shared" si="39"/>
        <v>-0.12208286057408528</v>
      </c>
      <c r="AH201" s="124"/>
      <c r="AI201" s="124"/>
      <c r="AJ201" s="124"/>
      <c r="AL201" s="124"/>
    </row>
    <row r="202" spans="3:38">
      <c r="C202" s="105" t="s">
        <v>437</v>
      </c>
      <c r="D202" s="124">
        <f t="shared" si="59"/>
        <v>3.9916972696790676E-2</v>
      </c>
      <c r="E202" s="124">
        <f t="shared" si="59"/>
        <v>6.9324090121317156E-2</v>
      </c>
      <c r="F202" s="124">
        <f t="shared" si="59"/>
        <v>4.9318419443293682E-2</v>
      </c>
      <c r="G202" s="124">
        <f t="shared" si="59"/>
        <v>2.0618131584915773E-2</v>
      </c>
      <c r="H202" s="124">
        <f t="shared" si="59"/>
        <v>2.0392764647103209E-2</v>
      </c>
      <c r="I202" s="124">
        <f t="shared" si="59"/>
        <v>1.1384853590782822E-2</v>
      </c>
      <c r="J202" s="124">
        <f t="shared" si="59"/>
        <v>5.0965801946893631E-2</v>
      </c>
      <c r="K202" s="124">
        <f t="shared" si="59"/>
        <v>4.9464954080034297E-2</v>
      </c>
      <c r="L202" s="124">
        <f t="shared" si="59"/>
        <v>1.1281333904920917E-2</v>
      </c>
      <c r="M202" s="124">
        <f t="shared" si="59"/>
        <v>0.02</v>
      </c>
      <c r="N202" s="124">
        <f t="shared" si="59"/>
        <v>2.0736562707365628E-2</v>
      </c>
      <c r="O202" s="124">
        <f t="shared" si="59"/>
        <v>4.5566390230565933E-2</v>
      </c>
      <c r="P202" s="129">
        <f t="shared" si="59"/>
        <v>3.5748388542085389E-2</v>
      </c>
      <c r="Q202" s="124">
        <f t="shared" si="58"/>
        <v>0.17744879334820524</v>
      </c>
      <c r="R202" s="124">
        <f t="shared" si="58"/>
        <v>0.34708296054052384</v>
      </c>
      <c r="S202" s="124">
        <f t="shared" si="58"/>
        <v>0.16980659922067709</v>
      </c>
      <c r="T202" s="124">
        <f t="shared" si="58"/>
        <v>0</v>
      </c>
      <c r="U202" s="124">
        <f t="shared" si="58"/>
        <v>0</v>
      </c>
      <c r="V202" s="124">
        <f t="shared" si="58"/>
        <v>0</v>
      </c>
      <c r="W202" s="124">
        <f t="shared" si="58"/>
        <v>0</v>
      </c>
      <c r="X202" s="124">
        <f t="shared" si="58"/>
        <v>0</v>
      </c>
      <c r="Y202" s="124">
        <f t="shared" si="60"/>
        <v>0</v>
      </c>
      <c r="Z202" s="124">
        <f t="shared" si="60"/>
        <v>0</v>
      </c>
      <c r="AA202" s="124">
        <f t="shared" si="60"/>
        <v>0</v>
      </c>
      <c r="AB202" s="124">
        <f t="shared" si="60"/>
        <v>0</v>
      </c>
      <c r="AC202" s="129">
        <f t="shared" si="60"/>
        <v>6.8383714699924214E-2</v>
      </c>
      <c r="AD202" s="124">
        <f t="shared" si="57"/>
        <v>-3.2635326157838825E-2</v>
      </c>
      <c r="AF202" s="133">
        <v>7.3413208980047822E-4</v>
      </c>
      <c r="AG202" s="124">
        <f t="shared" si="39"/>
        <v>-3.5014256452284911E-2</v>
      </c>
      <c r="AH202" s="124"/>
      <c r="AI202" s="124"/>
      <c r="AJ202" s="124"/>
      <c r="AL202" s="124"/>
    </row>
    <row r="203" spans="3:38">
      <c r="C203" s="105" t="s">
        <v>200</v>
      </c>
      <c r="D203" s="124">
        <f t="shared" si="59"/>
        <v>3.8320293788919046E-2</v>
      </c>
      <c r="E203" s="124">
        <f t="shared" si="59"/>
        <v>6.7590987868284227E-2</v>
      </c>
      <c r="F203" s="124">
        <f t="shared" si="59"/>
        <v>4.7345682665561932E-2</v>
      </c>
      <c r="G203" s="124">
        <f t="shared" si="59"/>
        <v>2.0618131584915773E-2</v>
      </c>
      <c r="H203" s="124">
        <f t="shared" si="59"/>
        <v>2.0392764647103209E-2</v>
      </c>
      <c r="I203" s="124">
        <f t="shared" si="59"/>
        <v>0</v>
      </c>
      <c r="J203" s="124">
        <f t="shared" si="59"/>
        <v>3.397720129792909E-2</v>
      </c>
      <c r="K203" s="124">
        <f t="shared" si="59"/>
        <v>3.2976636053356198E-2</v>
      </c>
      <c r="L203" s="124">
        <f t="shared" si="59"/>
        <v>0</v>
      </c>
      <c r="M203" s="124">
        <f t="shared" si="59"/>
        <v>0.02</v>
      </c>
      <c r="N203" s="124">
        <f t="shared" si="59"/>
        <v>2.0736562707365628E-2</v>
      </c>
      <c r="O203" s="124">
        <f t="shared" si="59"/>
        <v>3.6453112184452748E-2</v>
      </c>
      <c r="P203" s="129">
        <f t="shared" si="59"/>
        <v>2.97108829216443E-2</v>
      </c>
      <c r="Q203" s="124">
        <f t="shared" si="58"/>
        <v>0.18251875887243968</v>
      </c>
      <c r="R203" s="124">
        <f t="shared" si="58"/>
        <v>0.37330700644803011</v>
      </c>
      <c r="S203" s="124">
        <f t="shared" si="58"/>
        <v>0.18589354019947807</v>
      </c>
      <c r="T203" s="124">
        <f t="shared" si="58"/>
        <v>0</v>
      </c>
      <c r="U203" s="124">
        <f t="shared" si="58"/>
        <v>0</v>
      </c>
      <c r="V203" s="124">
        <f t="shared" si="58"/>
        <v>0</v>
      </c>
      <c r="W203" s="124">
        <f t="shared" si="58"/>
        <v>0</v>
      </c>
      <c r="X203" s="124">
        <f t="shared" si="58"/>
        <v>0</v>
      </c>
      <c r="Y203" s="124">
        <f t="shared" si="60"/>
        <v>0</v>
      </c>
      <c r="Z203" s="124">
        <f t="shared" si="60"/>
        <v>0</v>
      </c>
      <c r="AA203" s="124">
        <f t="shared" si="60"/>
        <v>0</v>
      </c>
      <c r="AB203" s="124">
        <f t="shared" si="60"/>
        <v>0</v>
      </c>
      <c r="AC203" s="129">
        <f t="shared" si="60"/>
        <v>7.3049897585330814E-2</v>
      </c>
      <c r="AD203" s="124">
        <f t="shared" si="57"/>
        <v>-4.3339014663686518E-2</v>
      </c>
      <c r="AF203" s="133">
        <v>0.21164588184345795</v>
      </c>
      <c r="AG203" s="124">
        <f t="shared" si="39"/>
        <v>0.18193499892181364</v>
      </c>
      <c r="AH203" s="124"/>
      <c r="AI203" s="124"/>
      <c r="AJ203" s="124"/>
      <c r="AL203" s="124"/>
    </row>
    <row r="204" spans="3:38">
      <c r="C204" s="105" t="s">
        <v>439</v>
      </c>
      <c r="D204" s="124">
        <f t="shared" si="59"/>
        <v>7.9833945393581358E-3</v>
      </c>
      <c r="E204" s="124">
        <f t="shared" si="59"/>
        <v>8.6655112651646445E-3</v>
      </c>
      <c r="F204" s="124">
        <f t="shared" si="59"/>
        <v>9.8636838886587367E-3</v>
      </c>
      <c r="G204" s="124">
        <f t="shared" si="59"/>
        <v>1.0309065792457887E-2</v>
      </c>
      <c r="H204" s="124">
        <f t="shared" si="59"/>
        <v>1.0196382323551604E-2</v>
      </c>
      <c r="I204" s="124">
        <f t="shared" si="59"/>
        <v>0</v>
      </c>
      <c r="J204" s="124">
        <f t="shared" si="59"/>
        <v>8.4943003244822724E-3</v>
      </c>
      <c r="K204" s="124">
        <f t="shared" si="59"/>
        <v>8.2441590133390495E-3</v>
      </c>
      <c r="L204" s="124">
        <f t="shared" si="59"/>
        <v>0</v>
      </c>
      <c r="M204" s="124">
        <f t="shared" si="59"/>
        <v>0.15</v>
      </c>
      <c r="N204" s="124">
        <f t="shared" si="59"/>
        <v>1.0368281353682814E-2</v>
      </c>
      <c r="O204" s="124">
        <f t="shared" si="59"/>
        <v>9.1132780461131869E-3</v>
      </c>
      <c r="P204" s="129">
        <f t="shared" si="59"/>
        <v>1.9065807222445538E-2</v>
      </c>
      <c r="Q204" s="124">
        <f t="shared" si="58"/>
        <v>6.7599540323125804E-2</v>
      </c>
      <c r="R204" s="124">
        <f t="shared" si="58"/>
        <v>6.1703637429426465E-2</v>
      </c>
      <c r="S204" s="124">
        <f t="shared" si="58"/>
        <v>7.1497515461337716E-2</v>
      </c>
      <c r="T204" s="124">
        <f t="shared" si="58"/>
        <v>0</v>
      </c>
      <c r="U204" s="124">
        <f t="shared" si="58"/>
        <v>0</v>
      </c>
      <c r="V204" s="124">
        <f t="shared" si="58"/>
        <v>0</v>
      </c>
      <c r="W204" s="124">
        <f t="shared" si="58"/>
        <v>0</v>
      </c>
      <c r="X204" s="124">
        <f t="shared" si="58"/>
        <v>0</v>
      </c>
      <c r="Y204" s="124">
        <f t="shared" si="60"/>
        <v>0</v>
      </c>
      <c r="Z204" s="124">
        <f t="shared" si="60"/>
        <v>0</v>
      </c>
      <c r="AA204" s="124">
        <f t="shared" si="60"/>
        <v>0</v>
      </c>
      <c r="AB204" s="124">
        <f t="shared" si="60"/>
        <v>0</v>
      </c>
      <c r="AC204" s="129">
        <f t="shared" si="60"/>
        <v>1.9308342974096247E-2</v>
      </c>
      <c r="AD204" s="124">
        <f t="shared" si="57"/>
        <v>-2.4253575165070901E-4</v>
      </c>
      <c r="AF204" s="133">
        <v>0</v>
      </c>
      <c r="AG204" s="124">
        <f t="shared" si="39"/>
        <v>-1.9065807222445538E-2</v>
      </c>
      <c r="AH204" s="124"/>
      <c r="AI204" s="124"/>
      <c r="AJ204" s="124"/>
      <c r="AL204" s="124"/>
    </row>
    <row r="205" spans="3:38">
      <c r="C205" s="105" t="s">
        <v>202</v>
      </c>
      <c r="D205" s="124">
        <f t="shared" si="59"/>
        <v>0.71850550854223216</v>
      </c>
      <c r="E205" s="124">
        <f t="shared" si="59"/>
        <v>1.3691507798960139</v>
      </c>
      <c r="F205" s="124">
        <f t="shared" si="59"/>
        <v>0.37481998776903197</v>
      </c>
      <c r="G205" s="124">
        <f t="shared" si="59"/>
        <v>0.18556318426424198</v>
      </c>
      <c r="H205" s="124">
        <f t="shared" si="59"/>
        <v>0.38746252829496097</v>
      </c>
      <c r="I205" s="124">
        <f t="shared" si="59"/>
        <v>3.415456077234847E-2</v>
      </c>
      <c r="J205" s="124">
        <f t="shared" si="59"/>
        <v>0.6625554253096172</v>
      </c>
      <c r="K205" s="124">
        <f t="shared" si="59"/>
        <v>0.64304440304044586</v>
      </c>
      <c r="L205" s="124">
        <f t="shared" si="59"/>
        <v>3.3844001714762754E-2</v>
      </c>
      <c r="M205" s="124">
        <f t="shared" si="59"/>
        <v>0.3</v>
      </c>
      <c r="N205" s="124">
        <f t="shared" si="59"/>
        <v>0.24883875248838752</v>
      </c>
      <c r="O205" s="124">
        <f t="shared" si="59"/>
        <v>0.52857012667456482</v>
      </c>
      <c r="P205" s="129">
        <f t="shared" si="59"/>
        <v>0.48935571870943551</v>
      </c>
      <c r="Q205" s="124">
        <f t="shared" si="58"/>
        <v>7.977641452038127E-2</v>
      </c>
      <c r="R205" s="124">
        <f t="shared" si="58"/>
        <v>1.3846720451670627</v>
      </c>
      <c r="S205" s="124">
        <f t="shared" si="58"/>
        <v>0.71846101597969481</v>
      </c>
      <c r="T205" s="124">
        <f t="shared" si="58"/>
        <v>0.16443619007294213</v>
      </c>
      <c r="U205" s="124">
        <f t="shared" si="58"/>
        <v>0.38099007625613707</v>
      </c>
      <c r="V205" s="124">
        <f t="shared" si="58"/>
        <v>0.33724459263058904</v>
      </c>
      <c r="W205" s="124">
        <f t="shared" si="58"/>
        <v>0.18038601722995362</v>
      </c>
      <c r="X205" s="124">
        <f t="shared" si="58"/>
        <v>0.64289624433509329</v>
      </c>
      <c r="Y205" s="124">
        <f t="shared" si="60"/>
        <v>0.70102043700709504</v>
      </c>
      <c r="Z205" s="124">
        <f t="shared" si="60"/>
        <v>0.48845874227553615</v>
      </c>
      <c r="AA205" s="124">
        <f t="shared" si="60"/>
        <v>0.6123184055708969</v>
      </c>
      <c r="AB205" s="124">
        <f t="shared" si="60"/>
        <v>0.59571550985432731</v>
      </c>
      <c r="AC205" s="129">
        <f t="shared" si="60"/>
        <v>0.5321328317454902</v>
      </c>
      <c r="AD205" s="124">
        <f t="shared" si="57"/>
        <v>-4.2777113036054693E-2</v>
      </c>
      <c r="AF205" s="133">
        <v>0.2787497097237826</v>
      </c>
      <c r="AG205" s="124">
        <f t="shared" si="39"/>
        <v>-0.2106060089856529</v>
      </c>
      <c r="AH205" s="124"/>
      <c r="AI205" s="124"/>
      <c r="AJ205" s="124"/>
      <c r="AL205" s="124"/>
    </row>
    <row r="206" spans="3:38">
      <c r="C206" s="105" t="s">
        <v>441</v>
      </c>
      <c r="D206" s="124">
        <f t="shared" si="59"/>
        <v>0.1596678907871627</v>
      </c>
      <c r="E206" s="124">
        <f t="shared" si="59"/>
        <v>0.51993067590987874</v>
      </c>
      <c r="F206" s="124">
        <f t="shared" si="59"/>
        <v>0.19727367777317473</v>
      </c>
      <c r="G206" s="124">
        <f t="shared" si="59"/>
        <v>0.20618131584915775</v>
      </c>
      <c r="H206" s="124">
        <f t="shared" si="59"/>
        <v>0.61178293941309625</v>
      </c>
      <c r="I206" s="124">
        <f t="shared" si="59"/>
        <v>0.22769707181565646</v>
      </c>
      <c r="J206" s="124">
        <f t="shared" si="59"/>
        <v>0.16988600648964544</v>
      </c>
      <c r="K206" s="124">
        <f t="shared" si="59"/>
        <v>0.16488318026678098</v>
      </c>
      <c r="L206" s="124">
        <f t="shared" si="59"/>
        <v>0.22562667809841835</v>
      </c>
      <c r="M206" s="124">
        <f t="shared" si="59"/>
        <v>0.2</v>
      </c>
      <c r="N206" s="124">
        <f t="shared" si="59"/>
        <v>0.20736562707365627</v>
      </c>
      <c r="O206" s="124">
        <f t="shared" si="59"/>
        <v>0.18226556092226373</v>
      </c>
      <c r="P206" s="129">
        <f t="shared" si="59"/>
        <v>0.25421076296594053</v>
      </c>
      <c r="Q206" s="124">
        <f t="shared" si="58"/>
        <v>2.1216115730413034</v>
      </c>
      <c r="R206" s="124">
        <f t="shared" si="58"/>
        <v>2.0053683707154537</v>
      </c>
      <c r="S206" s="124">
        <f t="shared" si="58"/>
        <v>1.1975835627211953</v>
      </c>
      <c r="T206" s="124">
        <f t="shared" si="58"/>
        <v>-1.039280971535249E-2</v>
      </c>
      <c r="U206" s="124">
        <f t="shared" si="58"/>
        <v>0</v>
      </c>
      <c r="V206" s="124">
        <f t="shared" si="58"/>
        <v>0</v>
      </c>
      <c r="W206" s="124">
        <f t="shared" si="58"/>
        <v>0</v>
      </c>
      <c r="X206" s="124">
        <f t="shared" si="58"/>
        <v>0</v>
      </c>
      <c r="Y206" s="124">
        <f t="shared" si="60"/>
        <v>0</v>
      </c>
      <c r="Z206" s="124">
        <f t="shared" si="60"/>
        <v>0</v>
      </c>
      <c r="AA206" s="124">
        <f t="shared" si="60"/>
        <v>0</v>
      </c>
      <c r="AB206" s="124">
        <f t="shared" si="60"/>
        <v>0</v>
      </c>
      <c r="AC206" s="129">
        <f t="shared" si="60"/>
        <v>0.51810723531882097</v>
      </c>
      <c r="AD206" s="124">
        <f t="shared" si="57"/>
        <v>-0.26389647235288044</v>
      </c>
      <c r="AF206" s="133">
        <v>0.13489175050680657</v>
      </c>
      <c r="AG206" s="124">
        <f t="shared" si="39"/>
        <v>-0.11931901245913396</v>
      </c>
      <c r="AH206" s="124"/>
      <c r="AI206" s="124"/>
      <c r="AJ206" s="124"/>
      <c r="AL206" s="124"/>
    </row>
    <row r="207" spans="3:38">
      <c r="C207" s="105" t="s">
        <v>443</v>
      </c>
      <c r="D207" s="124">
        <f t="shared" si="59"/>
        <v>0.18361807440523711</v>
      </c>
      <c r="E207" s="124">
        <f t="shared" si="59"/>
        <v>0.37261698440207974</v>
      </c>
      <c r="F207" s="124">
        <f t="shared" si="59"/>
        <v>0.22686472943915093</v>
      </c>
      <c r="G207" s="124">
        <f t="shared" si="59"/>
        <v>0.1752541184717841</v>
      </c>
      <c r="H207" s="124">
        <f t="shared" si="59"/>
        <v>0.15294573485327406</v>
      </c>
      <c r="I207" s="124">
        <f t="shared" si="59"/>
        <v>0.17077280386174234</v>
      </c>
      <c r="J207" s="124">
        <f t="shared" si="59"/>
        <v>0.19536890746309227</v>
      </c>
      <c r="K207" s="124">
        <f t="shared" si="59"/>
        <v>0.18961565730679814</v>
      </c>
      <c r="L207" s="124">
        <f t="shared" si="59"/>
        <v>0.16922000857381378</v>
      </c>
      <c r="M207" s="124">
        <f t="shared" si="59"/>
        <v>0.23</v>
      </c>
      <c r="N207" s="124">
        <f t="shared" si="59"/>
        <v>0.15552422030524221</v>
      </c>
      <c r="O207" s="124">
        <f t="shared" si="59"/>
        <v>0.13669917069169779</v>
      </c>
      <c r="P207" s="129">
        <f t="shared" si="59"/>
        <v>0.19860215856714103</v>
      </c>
      <c r="Q207" s="124">
        <f t="shared" si="58"/>
        <v>0.17380095315351857</v>
      </c>
      <c r="R207" s="124">
        <f t="shared" si="58"/>
        <v>0.24363434424459321</v>
      </c>
      <c r="S207" s="124">
        <f t="shared" si="58"/>
        <v>0.14495370535873878</v>
      </c>
      <c r="T207" s="124">
        <f t="shared" si="58"/>
        <v>0.1104488154121519</v>
      </c>
      <c r="U207" s="124">
        <f t="shared" si="58"/>
        <v>6.1687454298548001E-2</v>
      </c>
      <c r="V207" s="124">
        <f t="shared" si="58"/>
        <v>0.12605326152004787</v>
      </c>
      <c r="W207" s="124">
        <f t="shared" si="58"/>
        <v>0.13906809145129223</v>
      </c>
      <c r="X207" s="124">
        <f t="shared" si="58"/>
        <v>0.10412764175354104</v>
      </c>
      <c r="Y207" s="124">
        <f t="shared" si="60"/>
        <v>0.60773949176018316</v>
      </c>
      <c r="Z207" s="124">
        <f t="shared" si="60"/>
        <v>0.48845874227553615</v>
      </c>
      <c r="AA207" s="124">
        <f t="shared" si="60"/>
        <v>0.18009364869732261</v>
      </c>
      <c r="AB207" s="124">
        <f t="shared" si="60"/>
        <v>0.16066838046272494</v>
      </c>
      <c r="AC207" s="129">
        <f t="shared" si="60"/>
        <v>0.19651524635032094</v>
      </c>
      <c r="AD207" s="124">
        <f t="shared" si="57"/>
        <v>2.086912216820086E-3</v>
      </c>
      <c r="AF207" s="133">
        <v>0.18953885307943841</v>
      </c>
      <c r="AG207" s="124">
        <f t="shared" si="39"/>
        <v>-9.063305487702622E-3</v>
      </c>
      <c r="AH207" s="124"/>
      <c r="AI207" s="124"/>
      <c r="AJ207" s="124"/>
      <c r="AL207" s="124"/>
    </row>
    <row r="208" spans="3:38">
      <c r="C208" s="105" t="s">
        <v>204</v>
      </c>
      <c r="D208" s="124">
        <f t="shared" si="59"/>
        <v>0.16940763212517962</v>
      </c>
      <c r="E208" s="124">
        <f t="shared" si="59"/>
        <v>0.18388214904679376</v>
      </c>
      <c r="F208" s="124">
        <f t="shared" si="59"/>
        <v>0.20930737211733838</v>
      </c>
      <c r="G208" s="124">
        <f t="shared" si="59"/>
        <v>0.21875837611595636</v>
      </c>
      <c r="H208" s="124">
        <f t="shared" si="59"/>
        <v>0.21636723290576504</v>
      </c>
      <c r="I208" s="124">
        <f t="shared" si="59"/>
        <v>0.24158659319641149</v>
      </c>
      <c r="J208" s="124">
        <f t="shared" si="59"/>
        <v>0.18024905288551382</v>
      </c>
      <c r="K208" s="124">
        <f t="shared" si="59"/>
        <v>0.17494105426305462</v>
      </c>
      <c r="L208" s="124">
        <f t="shared" si="59"/>
        <v>0.23938990546242186</v>
      </c>
      <c r="M208" s="124">
        <f t="shared" si="59"/>
        <v>0.2122</v>
      </c>
      <c r="N208" s="124">
        <f t="shared" si="59"/>
        <v>0.22001493032514929</v>
      </c>
      <c r="O208" s="124">
        <f t="shared" si="59"/>
        <v>0.19338376013852182</v>
      </c>
      <c r="P208" s="129">
        <f t="shared" si="59"/>
        <v>0.20228821463014718</v>
      </c>
      <c r="Q208" s="124">
        <f t="shared" si="58"/>
        <v>0.38623876157642129</v>
      </c>
      <c r="R208" s="124">
        <f t="shared" si="58"/>
        <v>0.35417070311294852</v>
      </c>
      <c r="S208" s="124">
        <f t="shared" si="58"/>
        <v>0.41230829728666929</v>
      </c>
      <c r="T208" s="124">
        <f t="shared" si="58"/>
        <v>-9.1976365980869529E-4</v>
      </c>
      <c r="U208" s="124">
        <f t="shared" si="58"/>
        <v>-2.1393502559281315E-3</v>
      </c>
      <c r="V208" s="124">
        <f t="shared" si="58"/>
        <v>-4.8565871591006241E-3</v>
      </c>
      <c r="W208" s="124">
        <f t="shared" si="58"/>
        <v>-3.1669980119284295E-3</v>
      </c>
      <c r="X208" s="124">
        <f t="shared" si="58"/>
        <v>-5.1307976487832601E-3</v>
      </c>
      <c r="Y208" s="124">
        <f t="shared" si="60"/>
        <v>0</v>
      </c>
      <c r="Z208" s="124">
        <f t="shared" si="60"/>
        <v>0</v>
      </c>
      <c r="AA208" s="124">
        <f t="shared" si="60"/>
        <v>0</v>
      </c>
      <c r="AB208" s="124">
        <f t="shared" si="60"/>
        <v>0</v>
      </c>
      <c r="AC208" s="129">
        <f t="shared" si="60"/>
        <v>0.1093646589744374</v>
      </c>
      <c r="AD208" s="124">
        <f t="shared" si="57"/>
        <v>9.2923555655709783E-2</v>
      </c>
      <c r="AF208" s="133">
        <v>0.26710608732763869</v>
      </c>
      <c r="AG208" s="124">
        <f t="shared" si="39"/>
        <v>6.4817872697491508E-2</v>
      </c>
      <c r="AH208" s="124"/>
      <c r="AI208" s="124"/>
      <c r="AJ208" s="124"/>
      <c r="AL208" s="124"/>
    </row>
    <row r="209" spans="3:38">
      <c r="C209" s="105" t="s">
        <v>445</v>
      </c>
      <c r="D209" s="124">
        <f t="shared" si="59"/>
        <v>0.1596678907871627</v>
      </c>
      <c r="E209" s="124">
        <f t="shared" si="59"/>
        <v>0.15597920277296359</v>
      </c>
      <c r="F209" s="124">
        <f t="shared" si="59"/>
        <v>0.12515042117930206</v>
      </c>
      <c r="G209" s="124">
        <f t="shared" si="59"/>
        <v>0</v>
      </c>
      <c r="H209" s="124">
        <f t="shared" si="59"/>
        <v>4.7922996920692539E-2</v>
      </c>
      <c r="I209" s="124">
        <f t="shared" si="59"/>
        <v>0</v>
      </c>
      <c r="J209" s="124">
        <f t="shared" si="59"/>
        <v>0.10193160389378726</v>
      </c>
      <c r="K209" s="124">
        <f t="shared" si="59"/>
        <v>3.2976636053356198E-2</v>
      </c>
      <c r="L209" s="124">
        <f t="shared" si="59"/>
        <v>0</v>
      </c>
      <c r="M209" s="124">
        <f t="shared" si="59"/>
        <v>0.06</v>
      </c>
      <c r="N209" s="124">
        <f t="shared" si="59"/>
        <v>0</v>
      </c>
      <c r="O209" s="124">
        <f t="shared" si="59"/>
        <v>6.9260913150460221E-2</v>
      </c>
      <c r="P209" s="129">
        <f t="shared" si="59"/>
        <v>6.7515201009216735E-2</v>
      </c>
      <c r="Q209" s="124">
        <f t="shared" si="58"/>
        <v>0.15480294733995809</v>
      </c>
      <c r="R209" s="124">
        <f t="shared" si="58"/>
        <v>7.1414401628976026E-2</v>
      </c>
      <c r="S209" s="124">
        <f t="shared" si="58"/>
        <v>7.0782540306724345E-2</v>
      </c>
      <c r="T209" s="124">
        <f t="shared" si="58"/>
        <v>0.11691987913547219</v>
      </c>
      <c r="U209" s="124">
        <f t="shared" si="58"/>
        <v>3.4043873393920399E-2</v>
      </c>
      <c r="V209" s="124">
        <f t="shared" si="58"/>
        <v>0</v>
      </c>
      <c r="W209" s="124">
        <f t="shared" si="58"/>
        <v>9.8409542743538761E-2</v>
      </c>
      <c r="X209" s="124">
        <f t="shared" si="58"/>
        <v>0</v>
      </c>
      <c r="Y209" s="124">
        <f t="shared" si="60"/>
        <v>9.893433586793679E-2</v>
      </c>
      <c r="Z209" s="124">
        <f t="shared" si="60"/>
        <v>6.8157033805888764E-2</v>
      </c>
      <c r="AA209" s="124">
        <f t="shared" si="60"/>
        <v>0</v>
      </c>
      <c r="AB209" s="124">
        <f t="shared" si="60"/>
        <v>8.1405312767780638E-2</v>
      </c>
      <c r="AC209" s="129">
        <f t="shared" si="60"/>
        <v>6.7086934205212279E-2</v>
      </c>
      <c r="AD209" s="124">
        <f t="shared" si="57"/>
        <v>4.2826680400445682E-4</v>
      </c>
      <c r="AF209" s="133">
        <v>5.3457017152970861E-2</v>
      </c>
      <c r="AG209" s="124">
        <f t="shared" ref="AG209:AG228" si="61">AF209-P209</f>
        <v>-1.4058183856245875E-2</v>
      </c>
      <c r="AH209" s="124"/>
      <c r="AI209" s="124"/>
      <c r="AJ209" s="124"/>
      <c r="AL209" s="124"/>
    </row>
    <row r="210" spans="3:38">
      <c r="C210" s="105" t="s">
        <v>447</v>
      </c>
      <c r="D210" s="124">
        <f t="shared" si="59"/>
        <v>0.36883282771834586</v>
      </c>
      <c r="E210" s="124">
        <f t="shared" si="59"/>
        <v>5.3726169844020795E-2</v>
      </c>
      <c r="F210" s="124">
        <f t="shared" si="59"/>
        <v>6.1154840109684167E-2</v>
      </c>
      <c r="G210" s="124">
        <f t="shared" si="59"/>
        <v>6.3916207913238904E-2</v>
      </c>
      <c r="H210" s="124">
        <f t="shared" si="59"/>
        <v>0.26714521687705201</v>
      </c>
      <c r="I210" s="124">
        <f t="shared" si="59"/>
        <v>7.0586092262853506E-2</v>
      </c>
      <c r="J210" s="124">
        <f t="shared" si="59"/>
        <v>0.1376076652566128</v>
      </c>
      <c r="K210" s="124">
        <f t="shared" si="59"/>
        <v>0.21599696614948311</v>
      </c>
      <c r="L210" s="124">
        <f t="shared" si="59"/>
        <v>6.9944270210509696E-2</v>
      </c>
      <c r="M210" s="124">
        <f t="shared" si="59"/>
        <v>0.46200000000000002</v>
      </c>
      <c r="N210" s="124">
        <f t="shared" si="59"/>
        <v>6.4283344392833439E-2</v>
      </c>
      <c r="O210" s="124">
        <f t="shared" si="59"/>
        <v>0.78556456757495674</v>
      </c>
      <c r="P210" s="129">
        <f t="shared" si="59"/>
        <v>0.22592981558597963</v>
      </c>
      <c r="Q210" s="124">
        <f t="shared" si="58"/>
        <v>2.0776380720611103E-2</v>
      </c>
      <c r="R210" s="124">
        <f t="shared" si="58"/>
        <v>3.4761978218615985E-2</v>
      </c>
      <c r="S210" s="124">
        <f t="shared" si="58"/>
        <v>5.5659385836342189E-2</v>
      </c>
      <c r="T210" s="124">
        <f t="shared" si="58"/>
        <v>5.3925017802498122E-2</v>
      </c>
      <c r="U210" s="124">
        <f t="shared" si="58"/>
        <v>5.8537344615063193E-2</v>
      </c>
      <c r="V210" s="124">
        <f t="shared" si="58"/>
        <v>5.9884799521244758E-2</v>
      </c>
      <c r="W210" s="124">
        <f t="shared" si="58"/>
        <v>7.3239893969516245E-2</v>
      </c>
      <c r="X210" s="124">
        <f t="shared" si="58"/>
        <v>9.6473025321946168E-2</v>
      </c>
      <c r="Y210" s="124">
        <f t="shared" si="60"/>
        <v>0.10176103117844927</v>
      </c>
      <c r="Z210" s="124">
        <f t="shared" si="60"/>
        <v>0.69974554707379133</v>
      </c>
      <c r="AA210" s="124">
        <f t="shared" si="60"/>
        <v>2.6413735142273981E-2</v>
      </c>
      <c r="AB210" s="124">
        <f t="shared" si="60"/>
        <v>1.4203084832904884</v>
      </c>
      <c r="AC210" s="129">
        <f t="shared" si="60"/>
        <v>0.20542998875289023</v>
      </c>
      <c r="AD210" s="124">
        <f t="shared" si="57"/>
        <v>2.0499826833089402E-2</v>
      </c>
      <c r="AF210" s="133">
        <v>0.16400436826480722</v>
      </c>
      <c r="AG210" s="124">
        <f t="shared" si="61"/>
        <v>-6.1925447321172417E-2</v>
      </c>
      <c r="AH210" s="124"/>
      <c r="AI210" s="124"/>
      <c r="AJ210" s="124"/>
      <c r="AL210" s="124"/>
    </row>
    <row r="211" spans="3:38">
      <c r="C211" s="105" t="s">
        <v>448</v>
      </c>
      <c r="D211" s="124">
        <f t="shared" si="59"/>
        <v>0</v>
      </c>
      <c r="E211" s="124">
        <f t="shared" si="59"/>
        <v>0</v>
      </c>
      <c r="F211" s="124">
        <f t="shared" si="59"/>
        <v>0</v>
      </c>
      <c r="G211" s="124">
        <f t="shared" si="59"/>
        <v>0</v>
      </c>
      <c r="H211" s="124">
        <f t="shared" si="59"/>
        <v>0</v>
      </c>
      <c r="I211" s="124">
        <f t="shared" si="59"/>
        <v>0</v>
      </c>
      <c r="J211" s="124">
        <f t="shared" si="59"/>
        <v>0</v>
      </c>
      <c r="K211" s="124">
        <f t="shared" si="59"/>
        <v>0</v>
      </c>
      <c r="L211" s="124">
        <f t="shared" si="59"/>
        <v>0</v>
      </c>
      <c r="M211" s="124">
        <f t="shared" si="59"/>
        <v>0</v>
      </c>
      <c r="N211" s="124">
        <f t="shared" si="59"/>
        <v>0</v>
      </c>
      <c r="O211" s="124">
        <f t="shared" si="59"/>
        <v>0</v>
      </c>
      <c r="P211" s="129">
        <f t="shared" si="59"/>
        <v>0</v>
      </c>
      <c r="Q211" s="124">
        <f t="shared" si="58"/>
        <v>0</v>
      </c>
      <c r="R211" s="124">
        <f t="shared" si="58"/>
        <v>0</v>
      </c>
      <c r="S211" s="124">
        <f t="shared" si="58"/>
        <v>0</v>
      </c>
      <c r="T211" s="124">
        <f t="shared" si="58"/>
        <v>0</v>
      </c>
      <c r="U211" s="124">
        <f t="shared" si="58"/>
        <v>0</v>
      </c>
      <c r="V211" s="124">
        <f t="shared" si="58"/>
        <v>0</v>
      </c>
      <c r="W211" s="124">
        <f t="shared" si="58"/>
        <v>0</v>
      </c>
      <c r="X211" s="124">
        <f t="shared" si="58"/>
        <v>0</v>
      </c>
      <c r="Y211" s="124">
        <f t="shared" si="60"/>
        <v>0</v>
      </c>
      <c r="Z211" s="124">
        <f t="shared" si="60"/>
        <v>0</v>
      </c>
      <c r="AA211" s="124">
        <f t="shared" si="60"/>
        <v>0</v>
      </c>
      <c r="AB211" s="124">
        <f t="shared" si="60"/>
        <v>0</v>
      </c>
      <c r="AC211" s="129">
        <f t="shared" si="60"/>
        <v>0</v>
      </c>
      <c r="AD211" s="124">
        <f t="shared" si="57"/>
        <v>0</v>
      </c>
      <c r="AF211" s="133">
        <v>0</v>
      </c>
      <c r="AG211" s="124">
        <f t="shared" si="61"/>
        <v>0</v>
      </c>
      <c r="AH211" s="124"/>
      <c r="AI211" s="124"/>
      <c r="AJ211" s="124"/>
      <c r="AL211" s="124"/>
    </row>
    <row r="212" spans="3:38">
      <c r="C212" s="105" t="s">
        <v>208</v>
      </c>
      <c r="D212" s="124">
        <f t="shared" si="59"/>
        <v>0.26345201979881844</v>
      </c>
      <c r="E212" s="124">
        <f t="shared" si="59"/>
        <v>0.32062391681109187</v>
      </c>
      <c r="F212" s="124">
        <f t="shared" si="59"/>
        <v>0.25645578110512712</v>
      </c>
      <c r="G212" s="124">
        <f t="shared" si="59"/>
        <v>0.28865384218882084</v>
      </c>
      <c r="H212" s="124">
        <f t="shared" si="59"/>
        <v>0.3160878520300997</v>
      </c>
      <c r="I212" s="124">
        <f t="shared" si="59"/>
        <v>0.25046677899722208</v>
      </c>
      <c r="J212" s="124">
        <f t="shared" si="59"/>
        <v>0.24633470940998589</v>
      </c>
      <c r="K212" s="124">
        <f t="shared" si="59"/>
        <v>0.2555689294135105</v>
      </c>
      <c r="L212" s="124">
        <f t="shared" si="59"/>
        <v>0.25270187947022854</v>
      </c>
      <c r="M212" s="124">
        <f t="shared" si="59"/>
        <v>0.28399999999999997</v>
      </c>
      <c r="N212" s="124">
        <f t="shared" si="59"/>
        <v>0.2944591904445919</v>
      </c>
      <c r="O212" s="124">
        <f t="shared" si="59"/>
        <v>0.29162489747562198</v>
      </c>
      <c r="P212" s="129">
        <f t="shared" si="59"/>
        <v>0.27661308645231403</v>
      </c>
      <c r="Q212" s="124">
        <f t="shared" si="59"/>
        <v>0.22781856283377272</v>
      </c>
      <c r="R212" s="124">
        <f t="shared" si="59"/>
        <v>0.31306682503933603</v>
      </c>
      <c r="S212" s="124">
        <f t="shared" si="59"/>
        <v>0.2453560576269975</v>
      </c>
      <c r="T212" s="124">
        <f t="shared" ref="T212:AA212" si="62">T85/T$121</f>
        <v>0.30298158163167116</v>
      </c>
      <c r="U212" s="124">
        <f t="shared" si="62"/>
        <v>0.31369017027055263</v>
      </c>
      <c r="V212" s="124">
        <f t="shared" si="62"/>
        <v>0.20334060015388561</v>
      </c>
      <c r="W212" s="124">
        <f t="shared" si="62"/>
        <v>0.18900513585155729</v>
      </c>
      <c r="X212" s="124">
        <f t="shared" si="62"/>
        <v>0.18792114748949282</v>
      </c>
      <c r="Y212" s="124">
        <f t="shared" si="60"/>
        <v>0.3392034372614976</v>
      </c>
      <c r="Z212" s="124">
        <f t="shared" si="60"/>
        <v>0.32260996001454018</v>
      </c>
      <c r="AA212" s="124">
        <f t="shared" si="60"/>
        <v>0.36018729739464522</v>
      </c>
      <c r="AB212" s="124">
        <f t="shared" si="60"/>
        <v>0.40702656383890318</v>
      </c>
      <c r="AC212" s="129">
        <f t="shared" si="60"/>
        <v>0.27666588360609051</v>
      </c>
      <c r="AD212" s="124">
        <f t="shared" si="57"/>
        <v>-5.2797153776484862E-5</v>
      </c>
      <c r="AF212" s="133">
        <v>0.34830404943168625</v>
      </c>
      <c r="AG212" s="124">
        <f t="shared" si="61"/>
        <v>7.1690962979372219E-2</v>
      </c>
      <c r="AH212" s="124"/>
      <c r="AI212" s="124"/>
      <c r="AJ212" s="124"/>
      <c r="AL212" s="124"/>
    </row>
    <row r="213" spans="3:38">
      <c r="C213" s="105" t="s">
        <v>450</v>
      </c>
      <c r="D213" s="124">
        <f t="shared" ref="D213:X225" si="63">D86/D$121</f>
        <v>0.62142743094363728</v>
      </c>
      <c r="E213" s="124">
        <f t="shared" si="63"/>
        <v>0.75920277296360483</v>
      </c>
      <c r="F213" s="124">
        <f t="shared" si="63"/>
        <v>0.76778915389319602</v>
      </c>
      <c r="G213" s="124">
        <f t="shared" si="63"/>
        <v>0.80245768128492201</v>
      </c>
      <c r="H213" s="124">
        <f t="shared" si="63"/>
        <v>0.89332544813100312</v>
      </c>
      <c r="I213" s="124">
        <f t="shared" si="63"/>
        <v>0.88209845621385308</v>
      </c>
      <c r="J213" s="124">
        <f t="shared" si="63"/>
        <v>0.65813838914088651</v>
      </c>
      <c r="K213" s="124">
        <f t="shared" si="63"/>
        <v>0.72408448614156873</v>
      </c>
      <c r="L213" s="124">
        <f t="shared" si="63"/>
        <v>0.88059836195031704</v>
      </c>
      <c r="M213" s="124">
        <f t="shared" si="63"/>
        <v>0.87829999999999997</v>
      </c>
      <c r="N213" s="124">
        <f t="shared" si="63"/>
        <v>0.80932730590577306</v>
      </c>
      <c r="O213" s="124">
        <f t="shared" si="63"/>
        <v>0.78219265469789478</v>
      </c>
      <c r="P213" s="129">
        <f t="shared" si="63"/>
        <v>0.77956113689408468</v>
      </c>
      <c r="Q213" s="124">
        <f t="shared" si="63"/>
        <v>0.64111319543027101</v>
      </c>
      <c r="R213" s="124">
        <f t="shared" si="63"/>
        <v>0.63761469163607198</v>
      </c>
      <c r="S213" s="124">
        <f t="shared" si="63"/>
        <v>0.75328888571122143</v>
      </c>
      <c r="T213" s="124">
        <f t="shared" si="63"/>
        <v>0.81109143747955104</v>
      </c>
      <c r="U213" s="124">
        <f t="shared" si="63"/>
        <v>0.88046589365924988</v>
      </c>
      <c r="V213" s="124">
        <f t="shared" si="63"/>
        <v>0.88672843464136109</v>
      </c>
      <c r="W213" s="124">
        <f t="shared" si="63"/>
        <v>0.68734675281643476</v>
      </c>
      <c r="X213" s="124">
        <f t="shared" si="63"/>
        <v>0.62053351082128061</v>
      </c>
      <c r="Y213" s="124">
        <f t="shared" si="60"/>
        <v>1.184147892698646</v>
      </c>
      <c r="Z213" s="124">
        <f t="shared" si="60"/>
        <v>0.89888563249727371</v>
      </c>
      <c r="AA213" s="124">
        <f t="shared" si="60"/>
        <v>0.95006243246488176</v>
      </c>
      <c r="AB213" s="124">
        <f t="shared" si="60"/>
        <v>0.84758676092544982</v>
      </c>
      <c r="AC213" s="129">
        <f t="shared" si="60"/>
        <v>0.78963537803321981</v>
      </c>
      <c r="AD213" s="124">
        <f t="shared" si="57"/>
        <v>-1.0074241139135132E-2</v>
      </c>
      <c r="AF213" s="133">
        <v>0.76427228536819591</v>
      </c>
      <c r="AG213" s="124">
        <f t="shared" si="61"/>
        <v>-1.5288851525888769E-2</v>
      </c>
      <c r="AH213" s="124"/>
      <c r="AI213" s="124"/>
      <c r="AJ213" s="124"/>
      <c r="AL213" s="124"/>
    </row>
    <row r="214" spans="3:38">
      <c r="C214" s="105" t="s">
        <v>451</v>
      </c>
      <c r="D214" s="124">
        <f t="shared" si="63"/>
        <v>0</v>
      </c>
      <c r="E214" s="124">
        <f t="shared" si="63"/>
        <v>0</v>
      </c>
      <c r="F214" s="124">
        <f t="shared" si="63"/>
        <v>0</v>
      </c>
      <c r="G214" s="124">
        <f t="shared" si="63"/>
        <v>0</v>
      </c>
      <c r="H214" s="124">
        <f t="shared" si="63"/>
        <v>0</v>
      </c>
      <c r="I214" s="124">
        <f t="shared" si="63"/>
        <v>0</v>
      </c>
      <c r="J214" s="124">
        <f t="shared" si="63"/>
        <v>0</v>
      </c>
      <c r="K214" s="124">
        <f t="shared" si="63"/>
        <v>0</v>
      </c>
      <c r="L214" s="124">
        <f t="shared" si="63"/>
        <v>0</v>
      </c>
      <c r="M214" s="124">
        <f t="shared" si="63"/>
        <v>0</v>
      </c>
      <c r="N214" s="124">
        <f t="shared" si="63"/>
        <v>0</v>
      </c>
      <c r="O214" s="124">
        <f t="shared" si="63"/>
        <v>0</v>
      </c>
      <c r="P214" s="129">
        <f t="shared" si="63"/>
        <v>0</v>
      </c>
      <c r="Q214" s="124">
        <f t="shared" si="63"/>
        <v>0</v>
      </c>
      <c r="R214" s="124">
        <f t="shared" si="63"/>
        <v>0</v>
      </c>
      <c r="S214" s="124">
        <f t="shared" si="63"/>
        <v>0</v>
      </c>
      <c r="T214" s="124">
        <f t="shared" si="63"/>
        <v>0</v>
      </c>
      <c r="U214" s="124">
        <f t="shared" si="63"/>
        <v>0</v>
      </c>
      <c r="V214" s="124">
        <f t="shared" si="63"/>
        <v>0</v>
      </c>
      <c r="W214" s="124">
        <f t="shared" si="63"/>
        <v>0</v>
      </c>
      <c r="X214" s="124">
        <f t="shared" si="63"/>
        <v>0</v>
      </c>
      <c r="Y214" s="124">
        <f t="shared" si="60"/>
        <v>0</v>
      </c>
      <c r="Z214" s="124">
        <f t="shared" si="60"/>
        <v>0</v>
      </c>
      <c r="AA214" s="124">
        <f t="shared" si="60"/>
        <v>0</v>
      </c>
      <c r="AB214" s="124">
        <f t="shared" si="60"/>
        <v>0</v>
      </c>
      <c r="AC214" s="129">
        <f t="shared" si="60"/>
        <v>0</v>
      </c>
      <c r="AD214" s="124">
        <f t="shared" si="57"/>
        <v>0</v>
      </c>
      <c r="AF214" s="133">
        <v>0</v>
      </c>
      <c r="AG214" s="124">
        <f t="shared" si="61"/>
        <v>0</v>
      </c>
      <c r="AH214" s="124"/>
      <c r="AI214" s="124"/>
      <c r="AJ214" s="124"/>
      <c r="AL214" s="124"/>
    </row>
    <row r="215" spans="3:38">
      <c r="C215" s="105" t="s">
        <v>453</v>
      </c>
      <c r="D215" s="124">
        <f t="shared" si="63"/>
        <v>0</v>
      </c>
      <c r="E215" s="124">
        <f t="shared" si="63"/>
        <v>0</v>
      </c>
      <c r="F215" s="124">
        <f t="shared" si="63"/>
        <v>0</v>
      </c>
      <c r="G215" s="124">
        <f t="shared" si="63"/>
        <v>0</v>
      </c>
      <c r="H215" s="124">
        <f t="shared" si="63"/>
        <v>0</v>
      </c>
      <c r="I215" s="124">
        <f t="shared" si="63"/>
        <v>0</v>
      </c>
      <c r="J215" s="124">
        <f t="shared" si="63"/>
        <v>0</v>
      </c>
      <c r="K215" s="124">
        <f t="shared" si="63"/>
        <v>0</v>
      </c>
      <c r="L215" s="124">
        <f t="shared" si="63"/>
        <v>0</v>
      </c>
      <c r="M215" s="124">
        <f t="shared" si="63"/>
        <v>0</v>
      </c>
      <c r="N215" s="124">
        <f t="shared" si="63"/>
        <v>0</v>
      </c>
      <c r="O215" s="124">
        <f t="shared" si="63"/>
        <v>0</v>
      </c>
      <c r="P215" s="129">
        <f t="shared" si="63"/>
        <v>0</v>
      </c>
      <c r="Q215" s="124">
        <f t="shared" si="63"/>
        <v>0</v>
      </c>
      <c r="R215" s="124">
        <f t="shared" si="63"/>
        <v>0</v>
      </c>
      <c r="S215" s="124">
        <f t="shared" si="63"/>
        <v>0</v>
      </c>
      <c r="T215" s="124">
        <f t="shared" si="63"/>
        <v>0</v>
      </c>
      <c r="U215" s="124">
        <f t="shared" si="63"/>
        <v>0</v>
      </c>
      <c r="V215" s="124">
        <f t="shared" si="63"/>
        <v>0</v>
      </c>
      <c r="W215" s="124">
        <f t="shared" si="63"/>
        <v>0</v>
      </c>
      <c r="X215" s="124">
        <f t="shared" si="63"/>
        <v>0</v>
      </c>
      <c r="Y215" s="124">
        <f t="shared" si="60"/>
        <v>0</v>
      </c>
      <c r="Z215" s="124">
        <f t="shared" si="60"/>
        <v>0</v>
      </c>
      <c r="AA215" s="124">
        <f t="shared" si="60"/>
        <v>0</v>
      </c>
      <c r="AB215" s="124">
        <f t="shared" si="60"/>
        <v>0</v>
      </c>
      <c r="AC215" s="129">
        <f t="shared" si="60"/>
        <v>0</v>
      </c>
      <c r="AD215" s="124">
        <f t="shared" si="57"/>
        <v>0</v>
      </c>
      <c r="AF215" s="133">
        <v>0</v>
      </c>
      <c r="AG215" s="124">
        <f t="shared" si="61"/>
        <v>0</v>
      </c>
      <c r="AH215" s="124"/>
      <c r="AI215" s="124"/>
      <c r="AJ215" s="124"/>
      <c r="AL215" s="124"/>
    </row>
    <row r="216" spans="3:38">
      <c r="C216" s="105" t="s">
        <v>455</v>
      </c>
      <c r="D216" s="124">
        <f t="shared" si="63"/>
        <v>0.22034168928628453</v>
      </c>
      <c r="E216" s="124">
        <f t="shared" si="63"/>
        <v>0.2391681109185442</v>
      </c>
      <c r="F216" s="124">
        <f t="shared" si="63"/>
        <v>0.27223767532698112</v>
      </c>
      <c r="G216" s="124">
        <f t="shared" si="63"/>
        <v>0.28453021587183769</v>
      </c>
      <c r="H216" s="124">
        <f t="shared" si="63"/>
        <v>0.28142015213002425</v>
      </c>
      <c r="I216" s="124">
        <f t="shared" si="63"/>
        <v>0.29145225192404028</v>
      </c>
      <c r="J216" s="124">
        <f t="shared" si="63"/>
        <v>0.23444268895571072</v>
      </c>
      <c r="K216" s="124">
        <f t="shared" si="63"/>
        <v>0.22753878876815775</v>
      </c>
      <c r="L216" s="124">
        <f t="shared" si="63"/>
        <v>0.26623948015613363</v>
      </c>
      <c r="M216" s="124">
        <f t="shared" si="63"/>
        <v>0.27600000000000002</v>
      </c>
      <c r="N216" s="124">
        <f t="shared" si="63"/>
        <v>0.28616456536164564</v>
      </c>
      <c r="O216" s="124">
        <f t="shared" si="63"/>
        <v>0.25152647407272394</v>
      </c>
      <c r="P216" s="129">
        <f t="shared" si="63"/>
        <v>0.25834168786413708</v>
      </c>
      <c r="Q216" s="124">
        <f t="shared" si="63"/>
        <v>0.19908064625160549</v>
      </c>
      <c r="R216" s="124">
        <f t="shared" si="63"/>
        <v>0.19683460339987041</v>
      </c>
      <c r="S216" s="124">
        <f t="shared" si="63"/>
        <v>0.21056018303363958</v>
      </c>
      <c r="T216" s="124">
        <f t="shared" si="63"/>
        <v>0.21940376065744144</v>
      </c>
      <c r="U216" s="124">
        <f t="shared" si="63"/>
        <v>0.28496813955917683</v>
      </c>
      <c r="V216" s="124">
        <f t="shared" si="63"/>
        <v>0.28212362144139524</v>
      </c>
      <c r="W216" s="124">
        <f t="shared" si="63"/>
        <v>0.22150430748840291</v>
      </c>
      <c r="X216" s="124">
        <f t="shared" si="63"/>
        <v>0.1999730776709194</v>
      </c>
      <c r="Y216" s="124">
        <f t="shared" si="60"/>
        <v>0.35333691381405996</v>
      </c>
      <c r="Z216" s="124">
        <f t="shared" si="60"/>
        <v>0.28398764085786987</v>
      </c>
      <c r="AA216" s="124">
        <f t="shared" si="60"/>
        <v>0.30015608116220432</v>
      </c>
      <c r="AB216" s="124">
        <f t="shared" si="60"/>
        <v>0.26778063410454156</v>
      </c>
      <c r="AC216" s="129">
        <f t="shared" si="60"/>
        <v>0.24344602433173021</v>
      </c>
      <c r="AD216" s="124">
        <f t="shared" si="57"/>
        <v>1.4895663532406872E-2</v>
      </c>
      <c r="AF216" s="133">
        <v>0.12786275112815459</v>
      </c>
      <c r="AG216" s="124">
        <f t="shared" si="61"/>
        <v>-0.13047893673598249</v>
      </c>
      <c r="AH216" s="124"/>
      <c r="AI216" s="124"/>
      <c r="AJ216" s="124"/>
      <c r="AL216" s="124"/>
    </row>
    <row r="217" spans="3:38">
      <c r="C217" s="105" t="s">
        <v>457</v>
      </c>
      <c r="D217" s="124">
        <f t="shared" si="63"/>
        <v>0</v>
      </c>
      <c r="E217" s="124">
        <f t="shared" si="63"/>
        <v>0</v>
      </c>
      <c r="F217" s="124">
        <f t="shared" si="63"/>
        <v>0</v>
      </c>
      <c r="G217" s="124">
        <f t="shared" si="63"/>
        <v>0</v>
      </c>
      <c r="H217" s="124">
        <f t="shared" si="63"/>
        <v>0</v>
      </c>
      <c r="I217" s="124">
        <f t="shared" si="63"/>
        <v>0</v>
      </c>
      <c r="J217" s="124">
        <f t="shared" si="63"/>
        <v>0</v>
      </c>
      <c r="K217" s="124">
        <f t="shared" si="63"/>
        <v>0</v>
      </c>
      <c r="L217" s="124">
        <f t="shared" si="63"/>
        <v>0</v>
      </c>
      <c r="M217" s="124">
        <f t="shared" si="63"/>
        <v>0</v>
      </c>
      <c r="N217" s="124">
        <f t="shared" si="63"/>
        <v>0</v>
      </c>
      <c r="O217" s="124">
        <f t="shared" si="63"/>
        <v>0</v>
      </c>
      <c r="P217" s="129">
        <f t="shared" si="63"/>
        <v>0</v>
      </c>
      <c r="Q217" s="124">
        <f t="shared" si="63"/>
        <v>0</v>
      </c>
      <c r="R217" s="124">
        <f t="shared" si="63"/>
        <v>0</v>
      </c>
      <c r="S217" s="124">
        <f t="shared" si="63"/>
        <v>0</v>
      </c>
      <c r="T217" s="124">
        <f t="shared" si="63"/>
        <v>0</v>
      </c>
      <c r="U217" s="124">
        <f t="shared" si="63"/>
        <v>0</v>
      </c>
      <c r="V217" s="124">
        <f t="shared" si="63"/>
        <v>0</v>
      </c>
      <c r="W217" s="124">
        <f t="shared" si="63"/>
        <v>0</v>
      </c>
      <c r="X217" s="124">
        <f t="shared" si="63"/>
        <v>0</v>
      </c>
      <c r="Y217" s="124">
        <f t="shared" ref="Y217:AC228" si="64">Y90/Y$121</f>
        <v>0</v>
      </c>
      <c r="Z217" s="124">
        <f t="shared" si="64"/>
        <v>0</v>
      </c>
      <c r="AA217" s="124">
        <f t="shared" si="64"/>
        <v>0</v>
      </c>
      <c r="AB217" s="124">
        <f t="shared" si="64"/>
        <v>0</v>
      </c>
      <c r="AC217" s="129">
        <f t="shared" si="64"/>
        <v>0</v>
      </c>
      <c r="AD217" s="124">
        <f t="shared" si="57"/>
        <v>0</v>
      </c>
      <c r="AF217" s="133">
        <v>0</v>
      </c>
      <c r="AG217" s="124">
        <f t="shared" si="61"/>
        <v>0</v>
      </c>
      <c r="AH217" s="124"/>
      <c r="AI217" s="124"/>
      <c r="AJ217" s="124"/>
      <c r="AL217" s="124"/>
    </row>
    <row r="218" spans="3:38">
      <c r="C218" s="105" t="s">
        <v>458</v>
      </c>
      <c r="D218" s="124">
        <f t="shared" si="63"/>
        <v>0</v>
      </c>
      <c r="E218" s="124">
        <f t="shared" si="63"/>
        <v>0</v>
      </c>
      <c r="F218" s="124">
        <f t="shared" si="63"/>
        <v>0</v>
      </c>
      <c r="G218" s="124">
        <f t="shared" si="63"/>
        <v>0</v>
      </c>
      <c r="H218" s="124">
        <f t="shared" si="63"/>
        <v>0</v>
      </c>
      <c r="I218" s="124">
        <f t="shared" si="63"/>
        <v>0</v>
      </c>
      <c r="J218" s="124">
        <f t="shared" si="63"/>
        <v>0</v>
      </c>
      <c r="K218" s="124">
        <f t="shared" si="63"/>
        <v>0</v>
      </c>
      <c r="L218" s="124">
        <f t="shared" si="63"/>
        <v>0</v>
      </c>
      <c r="M218" s="124">
        <f t="shared" si="63"/>
        <v>0</v>
      </c>
      <c r="N218" s="124">
        <f t="shared" si="63"/>
        <v>0</v>
      </c>
      <c r="O218" s="124">
        <f t="shared" si="63"/>
        <v>0</v>
      </c>
      <c r="P218" s="129">
        <f t="shared" si="63"/>
        <v>0</v>
      </c>
      <c r="Q218" s="124">
        <f t="shared" si="63"/>
        <v>0</v>
      </c>
      <c r="R218" s="124">
        <f t="shared" si="63"/>
        <v>0</v>
      </c>
      <c r="S218" s="124">
        <f t="shared" si="63"/>
        <v>0</v>
      </c>
      <c r="T218" s="124">
        <f t="shared" si="63"/>
        <v>0</v>
      </c>
      <c r="U218" s="124">
        <f t="shared" si="63"/>
        <v>0</v>
      </c>
      <c r="V218" s="124">
        <f t="shared" si="63"/>
        <v>0</v>
      </c>
      <c r="W218" s="124">
        <f t="shared" si="63"/>
        <v>0</v>
      </c>
      <c r="X218" s="124">
        <f t="shared" si="63"/>
        <v>0</v>
      </c>
      <c r="Y218" s="124">
        <f t="shared" si="64"/>
        <v>0</v>
      </c>
      <c r="Z218" s="124">
        <f t="shared" si="64"/>
        <v>0</v>
      </c>
      <c r="AA218" s="124">
        <f t="shared" si="64"/>
        <v>0</v>
      </c>
      <c r="AB218" s="124">
        <f t="shared" si="64"/>
        <v>0</v>
      </c>
      <c r="AC218" s="129">
        <f t="shared" si="64"/>
        <v>0</v>
      </c>
      <c r="AD218" s="124">
        <f t="shared" si="57"/>
        <v>0</v>
      </c>
      <c r="AF218" s="133">
        <v>0</v>
      </c>
      <c r="AG218" s="124">
        <f t="shared" si="61"/>
        <v>0</v>
      </c>
      <c r="AH218" s="124"/>
      <c r="AI218" s="124"/>
      <c r="AJ218" s="124"/>
      <c r="AL218" s="124"/>
    </row>
    <row r="219" spans="3:38">
      <c r="C219" s="105" t="s">
        <v>210</v>
      </c>
      <c r="D219" s="124">
        <f t="shared" si="63"/>
        <v>3.1933578157432542E-3</v>
      </c>
      <c r="E219" s="124">
        <f t="shared" si="63"/>
        <v>3.4662045060658577E-3</v>
      </c>
      <c r="F219" s="124">
        <f t="shared" si="63"/>
        <v>3.9454735554634943E-3</v>
      </c>
      <c r="G219" s="124">
        <f t="shared" si="63"/>
        <v>4.123626316983155E-3</v>
      </c>
      <c r="H219" s="124">
        <f t="shared" si="63"/>
        <v>4.0785529294206412E-3</v>
      </c>
      <c r="I219" s="124">
        <f t="shared" si="63"/>
        <v>4.5539414363131294E-3</v>
      </c>
      <c r="J219" s="124">
        <f t="shared" si="63"/>
        <v>3.397720129792909E-3</v>
      </c>
      <c r="K219" s="124">
        <f t="shared" si="63"/>
        <v>3.2976636053356199E-3</v>
      </c>
      <c r="L219" s="124">
        <f t="shared" si="63"/>
        <v>4.5125335619683668E-3</v>
      </c>
      <c r="M219" s="124">
        <f t="shared" si="63"/>
        <v>0.96399999999999997</v>
      </c>
      <c r="N219" s="124">
        <f t="shared" si="63"/>
        <v>4.1473125414731252E-3</v>
      </c>
      <c r="O219" s="124">
        <f t="shared" si="63"/>
        <v>3.6453112184452749E-3</v>
      </c>
      <c r="P219" s="129">
        <f t="shared" si="63"/>
        <v>8.0076390334271261E-2</v>
      </c>
      <c r="Q219" s="124">
        <f t="shared" si="63"/>
        <v>0</v>
      </c>
      <c r="R219" s="124">
        <f t="shared" si="63"/>
        <v>0</v>
      </c>
      <c r="S219" s="124">
        <f t="shared" si="63"/>
        <v>1.4501483573445822E-3</v>
      </c>
      <c r="T219" s="124">
        <f t="shared" si="63"/>
        <v>1.1168421255220462E-3</v>
      </c>
      <c r="U219" s="124">
        <f t="shared" si="63"/>
        <v>0</v>
      </c>
      <c r="V219" s="124">
        <f t="shared" si="63"/>
        <v>6.0485594596905196E-4</v>
      </c>
      <c r="W219" s="124">
        <f t="shared" si="63"/>
        <v>0</v>
      </c>
      <c r="X219" s="124">
        <f t="shared" si="63"/>
        <v>0</v>
      </c>
      <c r="Y219" s="124">
        <f t="shared" si="64"/>
        <v>1.4190010458772648</v>
      </c>
      <c r="Z219" s="124">
        <f t="shared" si="64"/>
        <v>4.5438022537259174E-3</v>
      </c>
      <c r="AA219" s="124">
        <f t="shared" si="64"/>
        <v>4.8024972985952694E-3</v>
      </c>
      <c r="AB219" s="124">
        <f t="shared" si="64"/>
        <v>4.2844901456726651E-3</v>
      </c>
      <c r="AC219" s="129">
        <f t="shared" si="64"/>
        <v>8.2008099849877628E-2</v>
      </c>
      <c r="AD219" s="124">
        <f t="shared" si="57"/>
        <v>-1.9317095156063668E-3</v>
      </c>
      <c r="AF219" s="133">
        <v>8.55875504452994E-4</v>
      </c>
      <c r="AG219" s="124">
        <f t="shared" si="61"/>
        <v>-7.9220514829818262E-2</v>
      </c>
      <c r="AH219" s="124"/>
      <c r="AI219" s="124"/>
      <c r="AJ219" s="124"/>
      <c r="AL219" s="124"/>
    </row>
    <row r="220" spans="3:38">
      <c r="C220" s="105" t="s">
        <v>212</v>
      </c>
      <c r="D220" s="124">
        <f t="shared" si="63"/>
        <v>0.18542232157113203</v>
      </c>
      <c r="E220" s="124">
        <f t="shared" si="63"/>
        <v>0.20126516464471403</v>
      </c>
      <c r="F220" s="124">
        <f t="shared" si="63"/>
        <v>0.2113392909984021</v>
      </c>
      <c r="G220" s="124">
        <f t="shared" si="63"/>
        <v>0.22088204366920269</v>
      </c>
      <c r="H220" s="124">
        <f t="shared" si="63"/>
        <v>0.21846768766441665</v>
      </c>
      <c r="I220" s="124">
        <f t="shared" si="63"/>
        <v>0.19839245867298147</v>
      </c>
      <c r="J220" s="124">
        <f t="shared" si="63"/>
        <v>0.18709545894704654</v>
      </c>
      <c r="K220" s="124">
        <f t="shared" si="63"/>
        <v>0.1815858464278059</v>
      </c>
      <c r="L220" s="124">
        <f t="shared" si="63"/>
        <v>0.19658852462715193</v>
      </c>
      <c r="M220" s="124">
        <f t="shared" si="63"/>
        <v>0.22625999999999999</v>
      </c>
      <c r="N220" s="124">
        <f t="shared" si="63"/>
        <v>0.22215079628400797</v>
      </c>
      <c r="O220" s="124">
        <f t="shared" si="63"/>
        <v>0.20619702907135698</v>
      </c>
      <c r="P220" s="129">
        <f t="shared" si="63"/>
        <v>0.20361646586664423</v>
      </c>
      <c r="Q220" s="124">
        <f t="shared" si="63"/>
        <v>0.22301764348002429</v>
      </c>
      <c r="R220" s="124">
        <f t="shared" si="63"/>
        <v>0.325546231450344</v>
      </c>
      <c r="S220" s="124">
        <f t="shared" si="63"/>
        <v>0.37159618203267436</v>
      </c>
      <c r="T220" s="124">
        <f t="shared" si="63"/>
        <v>0.21491156488769991</v>
      </c>
      <c r="U220" s="124">
        <f t="shared" si="63"/>
        <v>0.22245294056199727</v>
      </c>
      <c r="V220" s="124">
        <f t="shared" si="63"/>
        <v>0.20360925878430366</v>
      </c>
      <c r="W220" s="124">
        <f t="shared" si="63"/>
        <v>0.17759145129224652</v>
      </c>
      <c r="X220" s="124">
        <f t="shared" si="63"/>
        <v>0.10787762305747918</v>
      </c>
      <c r="Y220" s="124">
        <f t="shared" si="64"/>
        <v>0.2091754529779235</v>
      </c>
      <c r="Z220" s="124">
        <f t="shared" si="64"/>
        <v>0.12268266085059978</v>
      </c>
      <c r="AA220" s="124">
        <f t="shared" si="64"/>
        <v>0.11525993516628646</v>
      </c>
      <c r="AB220" s="124">
        <f t="shared" si="64"/>
        <v>0.11568123393316196</v>
      </c>
      <c r="AC220" s="129">
        <f t="shared" si="64"/>
        <v>0.20492967740585977</v>
      </c>
      <c r="AD220" s="124">
        <f t="shared" si="57"/>
        <v>-1.3132115392155419E-3</v>
      </c>
      <c r="AF220" s="133">
        <v>0.14734213680953487</v>
      </c>
      <c r="AG220" s="124">
        <f t="shared" si="61"/>
        <v>-5.6274329057109357E-2</v>
      </c>
      <c r="AH220" s="124"/>
      <c r="AI220" s="124"/>
      <c r="AJ220" s="124"/>
      <c r="AL220" s="124"/>
    </row>
    <row r="221" spans="3:38">
      <c r="C221" s="105" t="s">
        <v>214</v>
      </c>
      <c r="D221" s="124">
        <f t="shared" si="63"/>
        <v>0.45257863643621266</v>
      </c>
      <c r="E221" s="124">
        <f t="shared" si="63"/>
        <v>0.44783362218370881</v>
      </c>
      <c r="F221" s="124">
        <f t="shared" si="63"/>
        <v>0.51557475686019216</v>
      </c>
      <c r="G221" s="124">
        <f t="shared" si="63"/>
        <v>0.55372054184449804</v>
      </c>
      <c r="H221" s="124">
        <f t="shared" si="63"/>
        <v>0.56306462467116669</v>
      </c>
      <c r="I221" s="124">
        <f t="shared" si="63"/>
        <v>0.60075595427842798</v>
      </c>
      <c r="J221" s="124">
        <f t="shared" si="63"/>
        <v>0.47794030205731952</v>
      </c>
      <c r="K221" s="124">
        <f t="shared" si="63"/>
        <v>0.46163992811093341</v>
      </c>
      <c r="L221" s="124">
        <f t="shared" si="63"/>
        <v>0.6097560975609756</v>
      </c>
      <c r="M221" s="124">
        <f t="shared" si="63"/>
        <v>0.61499999999999999</v>
      </c>
      <c r="N221" s="124">
        <f t="shared" si="63"/>
        <v>0.56322577969475784</v>
      </c>
      <c r="O221" s="124">
        <f t="shared" si="63"/>
        <v>0.49264558461678665</v>
      </c>
      <c r="P221" s="129">
        <f t="shared" si="63"/>
        <v>0.52314509555941457</v>
      </c>
      <c r="Q221" s="124">
        <f t="shared" si="63"/>
        <v>0.6249660312309876</v>
      </c>
      <c r="R221" s="124">
        <f t="shared" si="63"/>
        <v>0.73620183259803162</v>
      </c>
      <c r="S221" s="124">
        <f t="shared" si="63"/>
        <v>0.50139295034497555</v>
      </c>
      <c r="T221" s="124">
        <f t="shared" si="63"/>
        <v>0.50605843068573297</v>
      </c>
      <c r="U221" s="124">
        <f t="shared" si="63"/>
        <v>0.18695936488039275</v>
      </c>
      <c r="V221" s="124">
        <f t="shared" si="63"/>
        <v>0.55590685645892113</v>
      </c>
      <c r="W221" s="124">
        <f t="shared" si="63"/>
        <v>0.47394698475811792</v>
      </c>
      <c r="X221" s="124">
        <f t="shared" si="63"/>
        <v>0.37182862441855247</v>
      </c>
      <c r="Y221" s="124">
        <f t="shared" si="64"/>
        <v>0.73570398846708318</v>
      </c>
      <c r="Z221" s="124">
        <f t="shared" si="64"/>
        <v>0.66144129407488184</v>
      </c>
      <c r="AA221" s="124">
        <f t="shared" si="64"/>
        <v>0.58744146956417342</v>
      </c>
      <c r="AB221" s="124">
        <f t="shared" si="64"/>
        <v>0.53586118251928017</v>
      </c>
      <c r="AC221" s="129">
        <f t="shared" si="64"/>
        <v>0.53435169824921591</v>
      </c>
      <c r="AD221" s="124">
        <f t="shared" si="57"/>
        <v>-1.1206602689801337E-2</v>
      </c>
      <c r="AF221" s="133">
        <v>0.37678375520143603</v>
      </c>
      <c r="AG221" s="124">
        <f t="shared" si="61"/>
        <v>-0.14636134035797854</v>
      </c>
      <c r="AH221" s="124"/>
      <c r="AI221" s="124"/>
      <c r="AJ221" s="124"/>
      <c r="AL221" s="124"/>
    </row>
    <row r="222" spans="3:38">
      <c r="C222" s="105" t="s">
        <v>206</v>
      </c>
      <c r="D222" s="124">
        <f t="shared" si="63"/>
        <v>0</v>
      </c>
      <c r="E222" s="124">
        <f t="shared" si="63"/>
        <v>0</v>
      </c>
      <c r="F222" s="124">
        <f t="shared" si="63"/>
        <v>0</v>
      </c>
      <c r="G222" s="124">
        <f t="shared" si="63"/>
        <v>0</v>
      </c>
      <c r="H222" s="124">
        <f t="shared" si="63"/>
        <v>0</v>
      </c>
      <c r="I222" s="124">
        <f t="shared" si="63"/>
        <v>0</v>
      </c>
      <c r="J222" s="124">
        <f t="shared" si="63"/>
        <v>0</v>
      </c>
      <c r="K222" s="124">
        <f t="shared" si="63"/>
        <v>0</v>
      </c>
      <c r="L222" s="124">
        <f t="shared" si="63"/>
        <v>0</v>
      </c>
      <c r="M222" s="124">
        <f t="shared" si="63"/>
        <v>0</v>
      </c>
      <c r="N222" s="124">
        <f t="shared" si="63"/>
        <v>0.62209688122096884</v>
      </c>
      <c r="O222" s="124">
        <f t="shared" si="63"/>
        <v>0</v>
      </c>
      <c r="P222" s="129">
        <f t="shared" si="63"/>
        <v>4.7664518056113846E-2</v>
      </c>
      <c r="Q222" s="124">
        <f t="shared" si="63"/>
        <v>0</v>
      </c>
      <c r="R222" s="124">
        <f t="shared" si="63"/>
        <v>0</v>
      </c>
      <c r="S222" s="124">
        <f t="shared" si="63"/>
        <v>0</v>
      </c>
      <c r="T222" s="124">
        <f t="shared" si="63"/>
        <v>0</v>
      </c>
      <c r="U222" s="124">
        <f t="shared" si="63"/>
        <v>0</v>
      </c>
      <c r="V222" s="124">
        <f t="shared" si="63"/>
        <v>0</v>
      </c>
      <c r="W222" s="124">
        <f t="shared" si="63"/>
        <v>0</v>
      </c>
      <c r="X222" s="124">
        <f t="shared" si="63"/>
        <v>0</v>
      </c>
      <c r="Y222" s="124">
        <f t="shared" si="64"/>
        <v>0</v>
      </c>
      <c r="Z222" s="124">
        <f t="shared" si="64"/>
        <v>0</v>
      </c>
      <c r="AA222" s="124">
        <f t="shared" si="64"/>
        <v>0.72037459478929045</v>
      </c>
      <c r="AB222" s="124">
        <f t="shared" si="64"/>
        <v>0</v>
      </c>
      <c r="AC222" s="129">
        <f t="shared" si="64"/>
        <v>4.8270857435240622E-2</v>
      </c>
      <c r="AD222" s="124">
        <f t="shared" si="57"/>
        <v>-6.0633937912677599E-4</v>
      </c>
      <c r="AF222" s="133">
        <v>5.9730686432646497E-3</v>
      </c>
      <c r="AG222" s="124">
        <f t="shared" si="61"/>
        <v>-4.1691449412849198E-2</v>
      </c>
      <c r="AH222" s="124"/>
      <c r="AI222" s="124"/>
      <c r="AJ222" s="124"/>
      <c r="AL222" s="124"/>
    </row>
    <row r="223" spans="3:38">
      <c r="C223" s="105" t="s">
        <v>216</v>
      </c>
      <c r="D223" s="124">
        <f t="shared" si="63"/>
        <v>2.704774069934536E-2</v>
      </c>
      <c r="E223" s="124">
        <f t="shared" si="63"/>
        <v>2.9341421143847485E-2</v>
      </c>
      <c r="F223" s="124">
        <f t="shared" si="63"/>
        <v>3.34181610147758E-2</v>
      </c>
      <c r="G223" s="124">
        <f t="shared" si="63"/>
        <v>3.4927114904847324E-2</v>
      </c>
      <c r="H223" s="124">
        <f t="shared" si="63"/>
        <v>3.4545343312192833E-2</v>
      </c>
      <c r="I223" s="124">
        <f t="shared" si="63"/>
        <v>3.85718839655722E-2</v>
      </c>
      <c r="J223" s="124">
        <f t="shared" si="63"/>
        <v>2.8778689499345939E-2</v>
      </c>
      <c r="K223" s="124">
        <f t="shared" si="63"/>
        <v>2.7832280829032632E-2</v>
      </c>
      <c r="L223" s="124">
        <f t="shared" si="63"/>
        <v>3.8085783263013019E-2</v>
      </c>
      <c r="M223" s="124">
        <f t="shared" si="63"/>
        <v>3.3759999999999998E-2</v>
      </c>
      <c r="N223" s="124">
        <f t="shared" si="63"/>
        <v>3.5003317850033182E-2</v>
      </c>
      <c r="O223" s="124">
        <f t="shared" si="63"/>
        <v>3.0766426683678121E-2</v>
      </c>
      <c r="P223" s="129">
        <f t="shared" si="63"/>
        <v>3.2248224099498089E-2</v>
      </c>
      <c r="Q223" s="124">
        <f t="shared" si="63"/>
        <v>4.7338944095180156E-2</v>
      </c>
      <c r="R223" s="124">
        <f t="shared" si="63"/>
        <v>3.8405578008823625E-2</v>
      </c>
      <c r="S223" s="124">
        <f t="shared" si="63"/>
        <v>5.4815178922532445E-2</v>
      </c>
      <c r="T223" s="124">
        <f t="shared" si="63"/>
        <v>3.9542331453646141E-2</v>
      </c>
      <c r="U223" s="124">
        <f t="shared" si="63"/>
        <v>5.4114070824193047E-2</v>
      </c>
      <c r="V223" s="124">
        <f t="shared" si="63"/>
        <v>5.1895785244079687E-2</v>
      </c>
      <c r="W223" s="124">
        <f t="shared" si="63"/>
        <v>3.5630384360503642E-2</v>
      </c>
      <c r="X223" s="124">
        <f t="shared" si="63"/>
        <v>3.6291748306136802E-2</v>
      </c>
      <c r="Y223" s="124">
        <f t="shared" si="64"/>
        <v>8.1126155411708173E-2</v>
      </c>
      <c r="Z223" s="124">
        <f t="shared" si="64"/>
        <v>6.5203562340966928E-2</v>
      </c>
      <c r="AA223" s="124">
        <f t="shared" si="64"/>
        <v>6.8915836234842112E-2</v>
      </c>
      <c r="AB223" s="124">
        <f t="shared" si="64"/>
        <v>6.1482433590402744E-2</v>
      </c>
      <c r="AC223" s="129">
        <f t="shared" si="64"/>
        <v>5.0664190908023106E-2</v>
      </c>
      <c r="AD223" s="124">
        <f t="shared" si="57"/>
        <v>-1.8415966808525017E-2</v>
      </c>
      <c r="AF223" s="133">
        <v>5.0585243926166285E-2</v>
      </c>
      <c r="AG223" s="124">
        <f t="shared" si="61"/>
        <v>1.8337019826668195E-2</v>
      </c>
      <c r="AH223" s="124"/>
      <c r="AI223" s="124"/>
      <c r="AJ223" s="124"/>
      <c r="AL223" s="124"/>
    </row>
    <row r="224" spans="3:38">
      <c r="C224" s="105" t="s">
        <v>218</v>
      </c>
      <c r="D224" s="124">
        <f t="shared" si="63"/>
        <v>6.3867156314865087E-2</v>
      </c>
      <c r="E224" s="124">
        <f t="shared" si="63"/>
        <v>7.2790294627383012E-2</v>
      </c>
      <c r="F224" s="124">
        <f t="shared" si="63"/>
        <v>7.8909471109269894E-2</v>
      </c>
      <c r="G224" s="124">
        <f t="shared" si="63"/>
        <v>8.2472526339663094E-2</v>
      </c>
      <c r="H224" s="124">
        <f t="shared" si="63"/>
        <v>8.1571058588412834E-2</v>
      </c>
      <c r="I224" s="124">
        <f t="shared" si="63"/>
        <v>9.1078828726262578E-2</v>
      </c>
      <c r="J224" s="124">
        <f t="shared" si="63"/>
        <v>6.7954402595858179E-2</v>
      </c>
      <c r="K224" s="124">
        <f t="shared" si="63"/>
        <v>6.7602103909380207E-2</v>
      </c>
      <c r="L224" s="124">
        <f t="shared" si="63"/>
        <v>9.7019471582319897E-2</v>
      </c>
      <c r="M224" s="124">
        <f t="shared" si="63"/>
        <v>8.7999999999999995E-2</v>
      </c>
      <c r="N224" s="124">
        <f t="shared" si="63"/>
        <v>9.1240875912408759E-2</v>
      </c>
      <c r="O224" s="124">
        <f t="shared" si="63"/>
        <v>8.5664813633463954E-2</v>
      </c>
      <c r="P224" s="129">
        <f t="shared" si="63"/>
        <v>7.9599745153710127E-2</v>
      </c>
      <c r="Q224" s="124">
        <f t="shared" si="63"/>
        <v>0.12483776110322449</v>
      </c>
      <c r="R224" s="124">
        <f t="shared" si="63"/>
        <v>0.12183491191805756</v>
      </c>
      <c r="S224" s="124">
        <f t="shared" si="63"/>
        <v>5.8196296428699112E-2</v>
      </c>
      <c r="T224" s="124">
        <f t="shared" si="63"/>
        <v>0.16102484651359728</v>
      </c>
      <c r="U224" s="124">
        <f t="shared" si="63"/>
        <v>0.15977478324454195</v>
      </c>
      <c r="V224" s="124">
        <f t="shared" si="63"/>
        <v>0.18993972813541932</v>
      </c>
      <c r="W224" s="124">
        <f t="shared" si="63"/>
        <v>0.14911713055003312</v>
      </c>
      <c r="X224" s="124">
        <f t="shared" si="63"/>
        <v>0.11884099373308006</v>
      </c>
      <c r="Y224" s="124">
        <f t="shared" si="64"/>
        <v>0.25101054357350822</v>
      </c>
      <c r="Z224" s="124">
        <f t="shared" si="64"/>
        <v>0.11314067611777535</v>
      </c>
      <c r="AA224" s="124">
        <f t="shared" si="64"/>
        <v>0.12078280705967102</v>
      </c>
      <c r="AB224" s="124">
        <f t="shared" si="64"/>
        <v>0.11525278491859468</v>
      </c>
      <c r="AC224" s="129">
        <f t="shared" si="64"/>
        <v>0.13621767260451847</v>
      </c>
      <c r="AD224" s="124">
        <f t="shared" si="57"/>
        <v>-5.6617927450808347E-2</v>
      </c>
      <c r="AF224" s="133">
        <v>5.3427534503643362E-2</v>
      </c>
      <c r="AG224" s="124">
        <f t="shared" si="61"/>
        <v>-2.6172210650066766E-2</v>
      </c>
      <c r="AH224" s="124"/>
      <c r="AI224" s="124"/>
      <c r="AJ224" s="124"/>
      <c r="AL224" s="124"/>
    </row>
    <row r="225" spans="3:38">
      <c r="C225" s="105" t="s">
        <v>220</v>
      </c>
      <c r="D225" s="124">
        <f t="shared" si="63"/>
        <v>0</v>
      </c>
      <c r="E225" s="124">
        <f t="shared" si="63"/>
        <v>0</v>
      </c>
      <c r="F225" s="124">
        <f t="shared" si="63"/>
        <v>0.19727367777317473</v>
      </c>
      <c r="G225" s="124">
        <f t="shared" ref="E225:Z228" si="65">G98/G$121</f>
        <v>0.20618131584915775</v>
      </c>
      <c r="H225" s="124">
        <f t="shared" si="65"/>
        <v>0</v>
      </c>
      <c r="I225" s="124">
        <f t="shared" si="65"/>
        <v>0</v>
      </c>
      <c r="J225" s="124">
        <f t="shared" si="65"/>
        <v>6.7954402595858179E-2</v>
      </c>
      <c r="K225" s="124">
        <f t="shared" si="65"/>
        <v>0</v>
      </c>
      <c r="L225" s="124">
        <f t="shared" si="65"/>
        <v>0</v>
      </c>
      <c r="M225" s="124">
        <f t="shared" si="65"/>
        <v>0.4</v>
      </c>
      <c r="N225" s="124">
        <f t="shared" si="65"/>
        <v>0</v>
      </c>
      <c r="O225" s="124">
        <f t="shared" si="65"/>
        <v>0</v>
      </c>
      <c r="P225" s="129">
        <f t="shared" si="65"/>
        <v>6.990795981563365E-2</v>
      </c>
      <c r="Q225" s="124">
        <f t="shared" si="65"/>
        <v>0</v>
      </c>
      <c r="R225" s="124">
        <f t="shared" si="65"/>
        <v>0</v>
      </c>
      <c r="S225" s="124">
        <f t="shared" si="65"/>
        <v>0.63459407285596825</v>
      </c>
      <c r="T225" s="124">
        <f t="shared" si="65"/>
        <v>0.35493369772320482</v>
      </c>
      <c r="U225" s="124">
        <f t="shared" si="65"/>
        <v>-0.19171795675336886</v>
      </c>
      <c r="V225" s="124">
        <f t="shared" si="65"/>
        <v>0</v>
      </c>
      <c r="W225" s="124">
        <f t="shared" si="65"/>
        <v>0</v>
      </c>
      <c r="X225" s="124">
        <f t="shared" si="65"/>
        <v>0</v>
      </c>
      <c r="Y225" s="124">
        <f t="shared" si="64"/>
        <v>0</v>
      </c>
      <c r="Z225" s="124">
        <f t="shared" si="64"/>
        <v>0</v>
      </c>
      <c r="AA225" s="124">
        <f t="shared" si="64"/>
        <v>0</v>
      </c>
      <c r="AB225" s="124">
        <f t="shared" si="64"/>
        <v>0</v>
      </c>
      <c r="AC225" s="129">
        <f t="shared" si="64"/>
        <v>7.203366731403249E-2</v>
      </c>
      <c r="AD225" s="124">
        <f t="shared" si="57"/>
        <v>-2.1257074983988405E-3</v>
      </c>
      <c r="AF225" s="133">
        <v>4.0859704012401854E-2</v>
      </c>
      <c r="AG225" s="124">
        <f t="shared" si="61"/>
        <v>-2.9048255803231796E-2</v>
      </c>
      <c r="AH225" s="124"/>
      <c r="AI225" s="124"/>
      <c r="AJ225" s="124"/>
      <c r="AL225" s="124"/>
    </row>
    <row r="226" spans="3:38">
      <c r="C226" s="105" t="s">
        <v>459</v>
      </c>
      <c r="D226" s="124">
        <f t="shared" ref="D226:D228" si="66">D99/D$121</f>
        <v>0</v>
      </c>
      <c r="E226" s="124">
        <f t="shared" si="65"/>
        <v>0</v>
      </c>
      <c r="F226" s="124">
        <f t="shared" si="65"/>
        <v>0</v>
      </c>
      <c r="G226" s="124">
        <f t="shared" si="65"/>
        <v>0</v>
      </c>
      <c r="H226" s="124">
        <f t="shared" si="65"/>
        <v>0</v>
      </c>
      <c r="I226" s="124">
        <f t="shared" si="65"/>
        <v>0</v>
      </c>
      <c r="J226" s="124">
        <f t="shared" si="65"/>
        <v>0</v>
      </c>
      <c r="K226" s="124">
        <f t="shared" si="65"/>
        <v>0</v>
      </c>
      <c r="L226" s="124">
        <f t="shared" si="65"/>
        <v>0</v>
      </c>
      <c r="M226" s="124">
        <f t="shared" si="65"/>
        <v>0</v>
      </c>
      <c r="N226" s="124">
        <f t="shared" si="65"/>
        <v>0</v>
      </c>
      <c r="O226" s="124">
        <f t="shared" si="65"/>
        <v>0</v>
      </c>
      <c r="P226" s="129">
        <f t="shared" si="65"/>
        <v>0</v>
      </c>
      <c r="Q226" s="124">
        <f t="shared" si="65"/>
        <v>0</v>
      </c>
      <c r="R226" s="124">
        <f t="shared" si="65"/>
        <v>0</v>
      </c>
      <c r="S226" s="124">
        <f t="shared" si="65"/>
        <v>0</v>
      </c>
      <c r="T226" s="124">
        <f t="shared" si="65"/>
        <v>0</v>
      </c>
      <c r="U226" s="124">
        <f t="shared" si="65"/>
        <v>0</v>
      </c>
      <c r="V226" s="124">
        <f t="shared" si="65"/>
        <v>0</v>
      </c>
      <c r="W226" s="124">
        <f t="shared" si="65"/>
        <v>0</v>
      </c>
      <c r="X226" s="124">
        <f t="shared" si="65"/>
        <v>0</v>
      </c>
      <c r="Y226" s="124">
        <f t="shared" si="64"/>
        <v>0</v>
      </c>
      <c r="Z226" s="124">
        <f t="shared" si="64"/>
        <v>0</v>
      </c>
      <c r="AA226" s="124">
        <f t="shared" si="64"/>
        <v>0</v>
      </c>
      <c r="AB226" s="124">
        <f t="shared" si="64"/>
        <v>0</v>
      </c>
      <c r="AC226" s="129">
        <f t="shared" si="64"/>
        <v>0</v>
      </c>
      <c r="AD226" s="124">
        <f t="shared" si="57"/>
        <v>0</v>
      </c>
      <c r="AF226" s="133">
        <v>0</v>
      </c>
      <c r="AG226" s="124">
        <f t="shared" si="61"/>
        <v>0</v>
      </c>
      <c r="AH226" s="124"/>
      <c r="AI226" s="124"/>
      <c r="AJ226" s="124"/>
      <c r="AL226" s="124"/>
    </row>
    <row r="227" spans="3:38">
      <c r="C227" s="105" t="s">
        <v>222</v>
      </c>
      <c r="D227" s="124">
        <f t="shared" si="66"/>
        <v>1.3332268880728086</v>
      </c>
      <c r="E227" s="124">
        <f t="shared" si="65"/>
        <v>1.4471403812824957</v>
      </c>
      <c r="F227" s="124">
        <f t="shared" si="65"/>
        <v>1.647235209406009</v>
      </c>
      <c r="G227" s="124">
        <f t="shared" si="65"/>
        <v>1.7216139873404672</v>
      </c>
      <c r="H227" s="124">
        <f t="shared" si="65"/>
        <v>1.7027958480331178</v>
      </c>
      <c r="I227" s="124">
        <f t="shared" si="65"/>
        <v>1.8056377794981557</v>
      </c>
      <c r="J227" s="124">
        <f t="shared" si="65"/>
        <v>1.4185481541885394</v>
      </c>
      <c r="K227" s="124">
        <f t="shared" si="65"/>
        <v>1.3767745552276212</v>
      </c>
      <c r="L227" s="124">
        <f t="shared" si="65"/>
        <v>1.6809187518332167</v>
      </c>
      <c r="M227" s="124">
        <f t="shared" si="65"/>
        <v>1.67</v>
      </c>
      <c r="N227" s="124">
        <f t="shared" si="65"/>
        <v>1.7315029860650299</v>
      </c>
      <c r="O227" s="124">
        <f t="shared" si="65"/>
        <v>1.5219174337009023</v>
      </c>
      <c r="P227" s="129">
        <f t="shared" si="65"/>
        <v>1.5710225151295125</v>
      </c>
      <c r="Q227" s="124">
        <f t="shared" si="65"/>
        <v>0.77218667613060232</v>
      </c>
      <c r="R227" s="124">
        <f t="shared" si="65"/>
        <v>2.294720328263351</v>
      </c>
      <c r="S227" s="124">
        <f t="shared" si="65"/>
        <v>1.4756111250134059</v>
      </c>
      <c r="T227" s="124">
        <f t="shared" si="65"/>
        <v>0.65581342981966562</v>
      </c>
      <c r="U227" s="124">
        <f t="shared" si="65"/>
        <v>1.7476736655176017</v>
      </c>
      <c r="V227" s="124">
        <f t="shared" si="65"/>
        <v>1.135322946054544</v>
      </c>
      <c r="W227" s="124">
        <f t="shared" si="65"/>
        <v>2.3140273359840955</v>
      </c>
      <c r="X227" s="124">
        <f t="shared" si="65"/>
        <v>2.0027282789153293</v>
      </c>
      <c r="Y227" s="124">
        <f t="shared" si="64"/>
        <v>2.0146988156146648</v>
      </c>
      <c r="Z227" s="124">
        <f t="shared" si="64"/>
        <v>1.2123318793166122</v>
      </c>
      <c r="AA227" s="124">
        <f t="shared" si="64"/>
        <v>1.1520710769600193</v>
      </c>
      <c r="AB227" s="124">
        <f t="shared" si="64"/>
        <v>1.4291131105398458</v>
      </c>
      <c r="AC227" s="129">
        <f t="shared" si="64"/>
        <v>1.5458763171910226</v>
      </c>
      <c r="AD227" s="124">
        <f t="shared" si="57"/>
        <v>2.5146197938489934E-2</v>
      </c>
      <c r="AF227" s="133">
        <v>0.97703998280309545</v>
      </c>
      <c r="AG227" s="124">
        <f t="shared" si="61"/>
        <v>-0.59398253232641707</v>
      </c>
      <c r="AH227" s="124"/>
      <c r="AI227" s="124"/>
      <c r="AJ227" s="124"/>
      <c r="AL227" s="124"/>
    </row>
    <row r="228" spans="3:38">
      <c r="C228" s="105" t="s">
        <v>223</v>
      </c>
      <c r="D228" s="124">
        <f t="shared" si="66"/>
        <v>18.807969982436536</v>
      </c>
      <c r="E228" s="124">
        <f t="shared" si="65"/>
        <v>20.350346967071058</v>
      </c>
      <c r="F228" s="124">
        <f t="shared" si="65"/>
        <v>19.223836973032689</v>
      </c>
      <c r="G228" s="124">
        <f t="shared" si="65"/>
        <v>19.7307779221047</v>
      </c>
      <c r="H228" s="124">
        <f t="shared" si="65"/>
        <v>21.140286518343295</v>
      </c>
      <c r="I228" s="124">
        <f t="shared" si="65"/>
        <v>20.52927023088483</v>
      </c>
      <c r="J228" s="124">
        <f t="shared" si="65"/>
        <v>17.704973073067972</v>
      </c>
      <c r="K228" s="124">
        <f t="shared" si="65"/>
        <v>17.302990816006862</v>
      </c>
      <c r="L228" s="124">
        <f t="shared" si="65"/>
        <v>20.054287809390583</v>
      </c>
      <c r="M228" s="124">
        <f t="shared" si="65"/>
        <v>23.546984400000003</v>
      </c>
      <c r="N228" s="124">
        <f t="shared" si="65"/>
        <v>20.065067808560055</v>
      </c>
      <c r="O228" s="124">
        <f t="shared" si="65"/>
        <v>18.899391050760961</v>
      </c>
      <c r="P228" s="129">
        <f t="shared" si="65"/>
        <v>19.676138713280444</v>
      </c>
      <c r="Q228" s="124">
        <f t="shared" si="65"/>
        <v>21.990297775975119</v>
      </c>
      <c r="R228" s="124">
        <f t="shared" si="65"/>
        <v>30.191723845370692</v>
      </c>
      <c r="S228" s="124">
        <f t="shared" si="65"/>
        <v>23.342277374611228</v>
      </c>
      <c r="T228" s="124">
        <f t="shared" si="65"/>
        <v>19.508072711176123</v>
      </c>
      <c r="U228" s="124">
        <f t="shared" si="65"/>
        <v>19.098482816254052</v>
      </c>
      <c r="V228" s="124">
        <f t="shared" si="65"/>
        <v>20.431059673420538</v>
      </c>
      <c r="W228" s="124">
        <f t="shared" si="65"/>
        <v>18.261299039098741</v>
      </c>
      <c r="X228" s="124">
        <f t="shared" si="65"/>
        <v>17.106185255537774</v>
      </c>
      <c r="Y228" s="124">
        <f t="shared" si="64"/>
        <v>16.469180258359948</v>
      </c>
      <c r="Z228" s="124">
        <f t="shared" si="64"/>
        <v>11.904017402762632</v>
      </c>
      <c r="AA228" s="124">
        <f t="shared" si="64"/>
        <v>10.883289710649537</v>
      </c>
      <c r="AB228" s="124">
        <f t="shared" si="64"/>
        <v>12.371551413881749</v>
      </c>
      <c r="AC228" s="129">
        <f t="shared" si="64"/>
        <v>19.036921381254498</v>
      </c>
      <c r="AD228" s="124">
        <f t="shared" si="57"/>
        <v>0.63921733202594666</v>
      </c>
      <c r="AF228" s="133">
        <v>8.5015835430644398</v>
      </c>
      <c r="AG228" s="124">
        <f t="shared" si="61"/>
        <v>-11.174555170216005</v>
      </c>
      <c r="AH228" s="124"/>
      <c r="AI228" s="124"/>
      <c r="AJ228" s="124"/>
      <c r="AL228" s="124"/>
    </row>
    <row r="229" spans="3:38">
      <c r="AI229" s="124"/>
      <c r="AJ229" s="124"/>
      <c r="AL229" s="124"/>
    </row>
    <row r="230" spans="3:38">
      <c r="AI230" s="124"/>
      <c r="AJ230" s="124"/>
      <c r="AL230" s="124"/>
    </row>
    <row r="231" spans="3:38">
      <c r="AI231" s="124"/>
      <c r="AJ231" s="124"/>
      <c r="AL231" s="124"/>
    </row>
    <row r="232" spans="3:38">
      <c r="C232" s="151" t="s">
        <v>292</v>
      </c>
      <c r="D232" s="124">
        <f>SUM('Hai Tang:Main Kichen'!D138)</f>
        <v>128168</v>
      </c>
      <c r="E232" s="124">
        <f>SUM('Hai Tang:Main Kichen'!E138)</f>
        <v>128168</v>
      </c>
      <c r="F232" s="124">
        <f>SUM('Hai Tang:Main Kichen'!F138)</f>
        <v>128168</v>
      </c>
      <c r="G232" s="124">
        <f>SUM('Hai Tang:Main Kichen'!G138)</f>
        <v>128168</v>
      </c>
      <c r="H232" s="124">
        <f>SUM('Hai Tang:Main Kichen'!H138)</f>
        <v>128168</v>
      </c>
      <c r="I232" s="124">
        <f>SUM('Hai Tang:Main Kichen'!I138)</f>
        <v>128168</v>
      </c>
      <c r="J232" s="124">
        <f>SUM('Hai Tang:Main Kichen'!J138)</f>
        <v>128168</v>
      </c>
      <c r="K232" s="124">
        <f>SUM('Hai Tang:Main Kichen'!K138)</f>
        <v>128168</v>
      </c>
      <c r="L232" s="124">
        <f>SUM('Hai Tang:Main Kichen'!L138)</f>
        <v>128168</v>
      </c>
      <c r="M232" s="124">
        <f>SUM('Hai Tang:Main Kichen'!M138)</f>
        <v>128168</v>
      </c>
      <c r="N232" s="124">
        <f>SUM('Hai Tang:Main Kichen'!N138)</f>
        <v>128168</v>
      </c>
      <c r="O232" s="124">
        <f>SUM('Hai Tang:Main Kichen'!O138)</f>
        <v>128168</v>
      </c>
      <c r="P232" s="133">
        <f t="shared" ref="P232:P233" si="67">SUM(D232:O232)</f>
        <v>1538016</v>
      </c>
      <c r="AH232" s="124"/>
      <c r="AI232" s="124"/>
      <c r="AJ232" s="124"/>
      <c r="AL232" s="124"/>
    </row>
    <row r="233" spans="3:38">
      <c r="C233" s="152" t="s">
        <v>366</v>
      </c>
      <c r="D233" s="124">
        <f>SUM('Hai Tang:Main Kichen'!D139)</f>
        <v>169969.13</v>
      </c>
      <c r="E233" s="124">
        <f>SUM('Hai Tang:Main Kichen'!E139)</f>
        <v>134303.17000000001</v>
      </c>
      <c r="F233" s="124">
        <f>SUM('Hai Tang:Main Kichen'!F139)</f>
        <v>136969.34</v>
      </c>
      <c r="G233" s="124">
        <f>SUM('Hai Tang:Main Kichen'!G139)</f>
        <v>142180.46999999997</v>
      </c>
      <c r="H233" s="124">
        <f>SUM('Hai Tang:Main Kichen'!H139)</f>
        <v>152678.50999999998</v>
      </c>
      <c r="I233" s="124">
        <f>SUM('Hai Tang:Main Kichen'!I139)</f>
        <v>137657.32</v>
      </c>
      <c r="J233" s="124">
        <f>SUM('Hai Tang:Main Kichen'!J139)</f>
        <v>139219.68</v>
      </c>
      <c r="K233" s="124">
        <f>SUM('Hai Tang:Main Kichen'!K139)</f>
        <v>138046.69999999998</v>
      </c>
      <c r="L233" s="124">
        <f>SUM('Hai Tang:Main Kichen'!L139)</f>
        <v>138160.72999999998</v>
      </c>
      <c r="M233" s="124">
        <f>SUM('Hai Tang:Main Kichen'!M139)</f>
        <v>173264.21000000002</v>
      </c>
      <c r="N233" s="124">
        <f>SUM('Hai Tang:Main Kichen'!N139)</f>
        <v>139100.75</v>
      </c>
      <c r="O233" s="124">
        <f>SUM('Hai Tang:Main Kichen'!O139)</f>
        <v>137800.85</v>
      </c>
      <c r="P233" s="133">
        <f t="shared" si="67"/>
        <v>1739350.8599999999</v>
      </c>
      <c r="AH233" s="124"/>
      <c r="AI233" s="124"/>
      <c r="AJ233" s="124"/>
      <c r="AL233" s="124"/>
    </row>
    <row r="234" spans="3:38">
      <c r="C234" s="151" t="s">
        <v>367</v>
      </c>
      <c r="D234" s="124">
        <f>SUM('Hai Tang:Main Kichen'!D140)</f>
        <v>354060.03000000009</v>
      </c>
      <c r="E234" s="124">
        <f>SUM('Hai Tang:Main Kichen'!E140)</f>
        <v>266967.85000000003</v>
      </c>
      <c r="F234" s="124">
        <f>SUM('Hai Tang:Main Kichen'!F140)</f>
        <v>267908.18000000005</v>
      </c>
      <c r="G234" s="124">
        <f>SUM('Hai Tang:Main Kichen'!G140)</f>
        <v>293206.99000000005</v>
      </c>
      <c r="H234" s="124">
        <f>SUM('Hai Tang:Main Kichen'!H140)</f>
        <v>318411.71999999997</v>
      </c>
      <c r="I234" s="124">
        <f>SUM('Hai Tang:Main Kichen'!I140)</f>
        <v>280924.17000000004</v>
      </c>
      <c r="J234" s="124">
        <f>SUM('Hai Tang:Main Kichen'!J140)</f>
        <v>280676.15000000002</v>
      </c>
      <c r="K234" s="124">
        <f>SUM('Hai Tang:Main Kichen'!K140)</f>
        <v>281456.39</v>
      </c>
      <c r="L234" s="124">
        <f>SUM('Hai Tang:Main Kichen'!L140)</f>
        <v>281918.36000000004</v>
      </c>
      <c r="M234" s="124">
        <f>SUM('Hai Tang:Main Kichen'!M140)</f>
        <v>364227.01</v>
      </c>
      <c r="N234" s="124">
        <f>SUM('Hai Tang:Main Kichen'!N140)</f>
        <v>279334.08</v>
      </c>
      <c r="O234" s="124">
        <f>SUM('Hai Tang:Main Kichen'!O140)</f>
        <v>279177.24</v>
      </c>
      <c r="P234" s="133">
        <f t="shared" ref="P234" si="68">SUM(D234:O234)</f>
        <v>3548268.1700000009</v>
      </c>
      <c r="AH234" s="124"/>
      <c r="AI234" s="124"/>
      <c r="AJ234" s="124"/>
      <c r="AL234" s="124"/>
    </row>
    <row r="235" spans="3:38">
      <c r="C235" s="109" t="s">
        <v>476</v>
      </c>
      <c r="D235" s="117">
        <f>SUM(D232:D234)</f>
        <v>652197.16000000015</v>
      </c>
      <c r="E235" s="117">
        <f t="shared" ref="E235:P235" si="69">SUM(E232:E234)</f>
        <v>529439.02</v>
      </c>
      <c r="F235" s="117">
        <f t="shared" si="69"/>
        <v>533045.52</v>
      </c>
      <c r="G235" s="117">
        <f t="shared" si="69"/>
        <v>563555.46</v>
      </c>
      <c r="H235" s="117">
        <f t="shared" si="69"/>
        <v>599258.23</v>
      </c>
      <c r="I235" s="117">
        <f t="shared" si="69"/>
        <v>546749.49</v>
      </c>
      <c r="J235" s="117">
        <f t="shared" si="69"/>
        <v>548063.83000000007</v>
      </c>
      <c r="K235" s="117">
        <f t="shared" si="69"/>
        <v>547671.09</v>
      </c>
      <c r="L235" s="117">
        <f t="shared" si="69"/>
        <v>548247.09000000008</v>
      </c>
      <c r="M235" s="117">
        <f t="shared" si="69"/>
        <v>665659.22</v>
      </c>
      <c r="N235" s="117">
        <f t="shared" si="69"/>
        <v>546602.83000000007</v>
      </c>
      <c r="O235" s="117">
        <f t="shared" si="69"/>
        <v>545146.09</v>
      </c>
      <c r="P235" s="117">
        <f t="shared" si="69"/>
        <v>6825635.0300000012</v>
      </c>
    </row>
  </sheetData>
  <phoneticPr fontId="7" type="noConversion"/>
  <dataValidations count="96"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274_x000d__x000a_" sqref="Q179:AB179">
      <formula1>0</formula1>
      <formula2>300</formula2>
    </dataValidation>
    <dataValidation type="textLength" errorStyle="information" allowBlank="1" showInputMessage="1" showErrorMessage="1" error="XLBVal:6=373961_x000d__x000a_" sqref="Z173:AB173">
      <formula1>0</formula1>
      <formula2>300</formula2>
    </dataValidation>
    <dataValidation type="textLength" errorStyle="information" allowBlank="1" showInputMessage="1" showErrorMessage="1" error="XLBVal:6=355899_x000d__x000a_" sqref="Q173:Y173">
      <formula1>0</formula1>
      <formula2>300</formula2>
    </dataValidation>
    <dataValidation type="textLength" errorStyle="information" allowBlank="1" showInputMessage="1" showErrorMessage="1" error="XLBVal:6=122490_x000d__x000a_" sqref="Z172:AB172">
      <formula1>0</formula1>
      <formula2>300</formula2>
    </dataValidation>
    <dataValidation type="textLength" errorStyle="information" allowBlank="1" showInputMessage="1" showErrorMessage="1" error="XLBVal:6=121823_x000d__x000a_" sqref="Q172:Y172">
      <formula1>0</formula1>
      <formula2>300</formula2>
    </dataValidation>
    <dataValidation type="textLength" errorStyle="information" allowBlank="1" showInputMessage="1" showErrorMessage="1" error="XLBVal:6=12045_x000d__x000a_" sqref="Q171:AB171">
      <formula1>0</formula1>
      <formula2>300</formula2>
    </dataValidation>
    <dataValidation type="textLength" errorStyle="information" allowBlank="1" showInputMessage="1" showErrorMessage="1" error="XLBVal:6=6030_x000d__x000a_" sqref="Q170:AB170">
      <formula1>0</formula1>
      <formula2>300</formula2>
    </dataValidation>
    <dataValidation type="textLength" errorStyle="information" allowBlank="1" showInputMessage="1" showErrorMessage="1" error="XLBVal:6=24559_x000d__x000a_" sqref="Q163:AB163">
      <formula1>0</formula1>
      <formula2>300</formula2>
    </dataValidation>
    <dataValidation type="textLength" errorStyle="information" allowBlank="1" showInputMessage="1" showErrorMessage="1" error="XLBVal:6=41435_x000d__x000a_" sqref="Q162:AB162">
      <formula1>0</formula1>
      <formula2>300</formula2>
    </dataValidation>
    <dataValidation type="textLength" errorStyle="information" allowBlank="1" showInputMessage="1" showErrorMessage="1" error="XLBVal:6=4755_x000d__x000a_" sqref="Q161:AB161">
      <formula1>0</formula1>
      <formula2>300</formula2>
    </dataValidation>
    <dataValidation type="textLength" errorStyle="information" allowBlank="1" showInputMessage="1" showErrorMessage="1" error="XLBVal:6=1898_x000d__x000a_" sqref="Q160:AB160">
      <formula1>0</formula1>
      <formula2>300</formula2>
    </dataValidation>
    <dataValidation type="textLength" errorStyle="information" allowBlank="1" showInputMessage="1" showErrorMessage="1" error="XLBVal:6=3884_x000d__x000a_" sqref="Q159:AB159">
      <formula1>0</formula1>
      <formula2>300</formula2>
    </dataValidation>
    <dataValidation type="textLength" errorStyle="information" allowBlank="1" showInputMessage="1" showErrorMessage="1" error="XLBVal:6=71162_x000d__x000a_" sqref="Q158:AB158">
      <formula1>0</formula1>
      <formula2>300</formula2>
    </dataValidation>
    <dataValidation type="textLength" errorStyle="information" allowBlank="1" showInputMessage="1" showErrorMessage="1" error="XLBVal:6=169879_x000d__x000a_" sqref="Q157:AB157">
      <formula1>0</formula1>
      <formula2>300</formula2>
    </dataValidation>
    <dataValidation type="textLength" errorStyle="information" allowBlank="1" showInputMessage="1" showErrorMessage="1" error="XLBVal:6=38661_x000d__x000a_" sqref="Q154:AB154">
      <formula1>0</formula1>
      <formula2>300</formula2>
    </dataValidation>
    <dataValidation type="textLength" errorStyle="information" allowBlank="1" showInputMessage="1" showErrorMessage="1" error="XLBVal:6=45712_x000d__x000a_" sqref="Q152:AB152">
      <formula1>0</formula1>
      <formula2>300</formula2>
    </dataValidation>
    <dataValidation type="textLength" errorStyle="information" allowBlank="1" showInputMessage="1" showErrorMessage="1" error="XLBVal:6=230654_x000d__x000a_" sqref="Q151:AB151">
      <formula1>0</formula1>
      <formula2>300</formula2>
    </dataValidation>
    <dataValidation type="textLength" errorStyle="information" allowBlank="1" showInputMessage="1" showErrorMessage="1" error="XLBVal:6=214049_x000d__x000a_" sqref="Z150">
      <formula1>0</formula1>
      <formula2>300</formula2>
    </dataValidation>
    <dataValidation type="textLength" errorStyle="information" allowBlank="1" showInputMessage="1" showErrorMessage="1" error="XLBVal:6=85560_x000d__x000a_" sqref="Q150:Y150">
      <formula1>0</formula1>
      <formula2>300</formula2>
    </dataValidation>
    <dataValidation type="textLength" errorStyle="information" allowBlank="1" showInputMessage="1" showErrorMessage="1" error="XLBVal:6=309270_x000d__x000a_" sqref="Q147:AB147">
      <formula1>0</formula1>
      <formula2>300</formula2>
    </dataValidation>
    <dataValidation type="textLength" errorStyle="information" allowBlank="1" showInputMessage="1" showErrorMessage="1" error="XLBVal:6=227954_x000d__x000a_" sqref="Q146:AB146">
      <formula1>0</formula1>
      <formula2>300</formula2>
    </dataValidation>
    <dataValidation type="textLength" errorStyle="information" allowBlank="1" showInputMessage="1" showErrorMessage="1" error="XLBVal:6=431983_x000d__x000a_" sqref="Q145:AB145">
      <formula1>0</formula1>
      <formula2>300</formula2>
    </dataValidation>
    <dataValidation type="textLength" errorStyle="information" allowBlank="1" showInputMessage="1" showErrorMessage="1" error="XLBVal:6=582_x000d__x000a_" sqref="AB120">
      <formula1>0</formula1>
      <formula2>300</formula2>
    </dataValidation>
    <dataValidation type="textLength" errorStyle="information" allowBlank="1" showInputMessage="1" showErrorMessage="1" error="XLBVal:6=900_x000d__x000a_" sqref="AA120">
      <formula1>0</formula1>
      <formula2>300</formula2>
    </dataValidation>
    <dataValidation type="textLength" errorStyle="information" allowBlank="1" showInputMessage="1" showErrorMessage="1" error="XLBVal:6=705_x000d__x000a_" sqref="Z120">
      <formula1>0</formula1>
      <formula2>300</formula2>
    </dataValidation>
    <dataValidation type="textLength" errorStyle="information" allowBlank="1" showInputMessage="1" showErrorMessage="1" error="XLBVal:6=137_x000d__x000a_" sqref="Q120:Y120">
      <formula1>0</formula1>
      <formula2>300</formula2>
    </dataValidation>
    <dataValidation type="textLength" errorStyle="information" allowBlank="1" showInputMessage="1" showErrorMessage="1" error="XLBVal:6=1138_x000d__x000a_" sqref="Z119:AB119">
      <formula1>0</formula1>
      <formula2>300</formula2>
    </dataValidation>
    <dataValidation type="textLength" errorStyle="information" allowBlank="1" showInputMessage="1" showErrorMessage="1" error="XLBVal:6=992_x000d__x000a_" sqref="Q119:Y119">
      <formula1>0</formula1>
      <formula2>300</formula2>
    </dataValidation>
    <dataValidation type="textLength" errorStyle="information" allowBlank="1" showInputMessage="1" showErrorMessage="1" error="XLBVal:6=500_x000d__x000a_" sqref="Z117:AB117">
      <formula1>0</formula1>
      <formula2>300</formula2>
    </dataValidation>
    <dataValidation type="textLength" errorStyle="information" allowBlank="1" showInputMessage="1" showErrorMessage="1" error="XLBVal:6=354_x000d__x000a_" sqref="Q117:Y117">
      <formula1>0</formula1>
      <formula2>300</formula2>
    </dataValidation>
    <dataValidation type="textLength" errorStyle="information" allowBlank="1" showInputMessage="1" showErrorMessage="1" error="XLBVal:6=97_x000d__x000a_" sqref="Z116:AB116">
      <formula1>0</formula1>
      <formula2>300</formula2>
    </dataValidation>
    <dataValidation type="textLength" errorStyle="information" allowBlank="1" showInputMessage="1" showErrorMessage="1" error="XLBVal:6=77_x000d__x000a_" sqref="Q116:Y116">
      <formula1>0</formula1>
      <formula2>300</formula2>
    </dataValidation>
    <dataValidation type="textLength" errorStyle="information" allowBlank="1" showInputMessage="1" showErrorMessage="1" error="XLBVal:6=1396_x000d__x000a_" sqref="Z115:AB115">
      <formula1>0</formula1>
      <formula2>300</formula2>
    </dataValidation>
    <dataValidation type="textLength" errorStyle="information" allowBlank="1" showInputMessage="1" showErrorMessage="1" error="XLBVal:6=1040_x000d__x000a_" sqref="Q115:Y115">
      <formula1>0</formula1>
      <formula2>300</formula2>
    </dataValidation>
    <dataValidation type="textLength" errorStyle="information" allowBlank="1" showInputMessage="1" showErrorMessage="1" error="XLBVal:6=163_x000d__x000a_" sqref="Z114:AB114">
      <formula1>0</formula1>
      <formula2>300</formula2>
    </dataValidation>
    <dataValidation type="textLength" errorStyle="information" allowBlank="1" showInputMessage="1" showErrorMessage="1" error="XLBVal:6=80_x000d__x000a_" sqref="Q114:Y114">
      <formula1>0</formula1>
      <formula2>300</formula2>
    </dataValidation>
    <dataValidation type="textLength" errorStyle="information" allowBlank="1" showInputMessage="1" showErrorMessage="1" error="XLBVal:6=1664_x000d__x000a_" sqref="Z113:AB113">
      <formula1>0</formula1>
      <formula2>300</formula2>
    </dataValidation>
    <dataValidation type="textLength" errorStyle="information" allowBlank="1" showInputMessage="1" showErrorMessage="1" error="XLBVal:6=1394_x000d__x000a_" sqref="Q113:Y113">
      <formula1>0</formula1>
      <formula2>300</formula2>
    </dataValidation>
    <dataValidation type="textLength" errorStyle="information" allowBlank="1" showInputMessage="1" showErrorMessage="1" error="XLBVal:6=3812_x000d__x000a_" sqref="Z112:AB112">
      <formula1>0</formula1>
      <formula2>300</formula2>
    </dataValidation>
    <dataValidation type="textLength" errorStyle="information" allowBlank="1" showInputMessage="1" showErrorMessage="1" error="XLBVal:6=2984_x000d__x000a_" sqref="Q112:Y112">
      <formula1>0</formula1>
      <formula2>300</formula2>
    </dataValidation>
    <dataValidation type="textLength" errorStyle="information" allowBlank="1" showInputMessage="1" showErrorMessage="1" error="XLBVal:6=2853_x000d__x000a_" sqref="Z111:AB111">
      <formula1>0</formula1>
      <formula2>300</formula2>
    </dataValidation>
    <dataValidation type="textLength" errorStyle="information" allowBlank="1" showInputMessage="1" showErrorMessage="1" error="XLBVal:6=2432_x000d__x000a_" sqref="Q111:Y111">
      <formula1>0</formula1>
      <formula2>300</formula2>
    </dataValidation>
    <dataValidation type="textLength" errorStyle="information" allowBlank="1" showInputMessage="1" showErrorMessage="1" error="XLBVal:6=3707_x000d__x000a_" sqref="Z110:AB110">
      <formula1>0</formula1>
      <formula2>300</formula2>
    </dataValidation>
    <dataValidation type="textLength" errorStyle="information" allowBlank="1" showInputMessage="1" showErrorMessage="1" error="XLBVal:6=3090_x000d__x000a_" sqref="Q110:Y110">
      <formula1>0</formula1>
      <formula2>300</formula2>
    </dataValidation>
    <dataValidation type="textLength" errorStyle="information" allowBlank="1" showInputMessage="1" showErrorMessage="1" error="XLBVal:6=8591_x000d__x000a_" sqref="Z109:AB109">
      <formula1>0</formula1>
      <formula2>300</formula2>
    </dataValidation>
    <dataValidation type="textLength" errorStyle="information" allowBlank="1" showInputMessage="1" showErrorMessage="1" error="XLBVal:6=5760_x000d__x000a_" sqref="Q109:Y109">
      <formula1>0</formula1>
      <formula2>300</formula2>
    </dataValidation>
    <dataValidation type="textLength" errorStyle="information" allowBlank="1" showInputMessage="1" showErrorMessage="1" error="XLBVal:6=21427_x000d__x000a_" sqref="Z108:AB108">
      <formula1>0</formula1>
      <formula2>300</formula2>
    </dataValidation>
    <dataValidation type="textLength" errorStyle="information" allowBlank="1" showInputMessage="1" showErrorMessage="1" error="XLBVal:6=20797_x000d__x000a_" sqref="Q108:Y108">
      <formula1>0</formula1>
      <formula2>300</formula2>
    </dataValidation>
    <dataValidation type="textLength" errorStyle="information" allowBlank="1" showInputMessage="1" showErrorMessage="1" error="XLBVal:6=44477_x000d__x000a_" sqref="Q60:AB100">
      <formula1>0</formula1>
      <formula2>300</formula2>
    </dataValidation>
    <dataValidation type="textLength" errorStyle="information" allowBlank="1" showInputMessage="1" showErrorMessage="1" error="XLBVal:6=40889_x000d__x000a_" sqref="Z52:AB52">
      <formula1>0</formula1>
      <formula2>300</formula2>
    </dataValidation>
    <dataValidation type="textLength" errorStyle="information" allowBlank="1" showInputMessage="1" showErrorMessage="1" error="XLBVal:6=33335_x000d__x000a_" sqref="Q52:Y52">
      <formula1>0</formula1>
      <formula2>300</formula2>
    </dataValidation>
    <dataValidation type="textLength" errorStyle="information" allowBlank="1" showInputMessage="1" showErrorMessage="1" error="XLBVal:6=1655776_x000d__x000a_" sqref="Z51:AB51">
      <formula1>0</formula1>
      <formula2>300</formula2>
    </dataValidation>
    <dataValidation type="textLength" errorStyle="information" allowBlank="1" showInputMessage="1" showErrorMessage="1" error="XLBVal:6=239334_x000d__x000a_" sqref="AB47">
      <formula1>0</formula1>
      <formula2>300</formula2>
    </dataValidation>
    <dataValidation type="textLength" errorStyle="information" allowBlank="1" showInputMessage="1" showErrorMessage="1" error="XLBVal:6=209661_x000d__x000a_" sqref="AA47">
      <formula1>0</formula1>
      <formula2>300</formula2>
    </dataValidation>
    <dataValidation type="textLength" errorStyle="information" allowBlank="1" showInputMessage="1" showErrorMessage="1" error="XLBVal:6=195765_x000d__x000a_" sqref="Z47">
      <formula1>0</formula1>
      <formula2>300</formula2>
    </dataValidation>
    <dataValidation type="textLength" errorStyle="information" allowBlank="1" showInputMessage="1" showErrorMessage="1" error="XLBVal:6=129731_x000d__x000a_" sqref="Q47:Y47">
      <formula1>0</formula1>
      <formula2>300</formula2>
    </dataValidation>
    <dataValidation type="textLength" errorStyle="information" allowBlank="1" showInputMessage="1" showErrorMessage="1" error="XLBVal:6=45500_x000d__x000a_" sqref="AB46">
      <formula1>0</formula1>
      <formula2>300</formula2>
    </dataValidation>
    <dataValidation type="textLength" errorStyle="information" allowBlank="1" showInputMessage="1" showErrorMessage="1" error="XLBVal:6=42500_x000d__x000a_" sqref="AA46">
      <formula1>0</formula1>
      <formula2>300</formula2>
    </dataValidation>
    <dataValidation type="textLength" errorStyle="information" allowBlank="1" showInputMessage="1" showErrorMessage="1" error="XLBVal:6=38500_x000d__x000a_" sqref="Z46">
      <formula1>0</formula1>
      <formula2>300</formula2>
    </dataValidation>
    <dataValidation type="textLength" errorStyle="information" allowBlank="1" showInputMessage="1" showErrorMessage="1" error="XLBVal:6=30000_x000d__x000a_" sqref="AB44 Q46:Y46">
      <formula1>0</formula1>
      <formula2>300</formula2>
    </dataValidation>
    <dataValidation type="textLength" errorStyle="information" allowBlank="1" showInputMessage="1" showErrorMessage="1" error="XLBVal:6=82500_x000d__x000a_" sqref="AA44">
      <formula1>0</formula1>
      <formula2>300</formula2>
    </dataValidation>
    <dataValidation type="textLength" errorStyle="information" allowBlank="1" showInputMessage="1" showErrorMessage="1" error="XLBVal:6=68500_x000d__x000a_" sqref="Z44">
      <formula1>0</formula1>
      <formula2>300</formula2>
    </dataValidation>
    <dataValidation type="textLength" errorStyle="information" allowBlank="1" showInputMessage="1" showErrorMessage="1" error="XLBVal:6=19000_x000d__x000a_" sqref="Q44:Y44">
      <formula1>0</formula1>
      <formula2>300</formula2>
    </dataValidation>
    <dataValidation type="textLength" errorStyle="information" allowBlank="1" showInputMessage="1" showErrorMessage="1" error="XLBVal:6=1336576_x000d__x000a_" sqref="Q51:Y51 Q174:AB175">
      <formula1>0</formula1>
      <formula2>300</formula2>
    </dataValidation>
    <dataValidation type="textLength" errorStyle="information" allowBlank="1" showInputMessage="1" showErrorMessage="1" error="XLBVal:6=31830625.91_x000d__x000a_" sqref="D14:O14 Q14:AB14">
      <formula1>0</formula1>
      <formula2>300</formula2>
    </dataValidation>
    <dataValidation type="textLength" errorStyle="information" allowBlank="1" showInputMessage="1" showErrorMessage="1" error="XLBVal:6=18856_x000d__x000a_" sqref="D18:O18 Q18:AB18">
      <formula1>0</formula1>
      <formula2>300</formula2>
    </dataValidation>
    <dataValidation type="textLength" errorStyle="information" allowBlank="1" showInputMessage="1" showErrorMessage="1" error="XLBVal:6=2065.58_x000d__x000a_" sqref="D25">
      <formula1>0</formula1>
      <formula2>300</formula2>
    </dataValidation>
    <dataValidation type="textLength" errorStyle="information" allowBlank="1" showInputMessage="1" showErrorMessage="1" error="XLBVal:6=14448_x000d__x000a_" sqref="D22:O22 Q22:AB22">
      <formula1>0</formula1>
      <formula2>300</formula2>
    </dataValidation>
    <dataValidation type="textLength" errorStyle="information" allowBlank="1" showInputMessage="1" showErrorMessage="1" error="XLBVal:6=1554_x000d__x000a_" sqref="F24">
      <formula1>0</formula1>
      <formula2>300</formula2>
    </dataValidation>
    <dataValidation type="textLength" errorStyle="information" allowBlank="1" showInputMessage="1" showErrorMessage="1" error="XLBVal:6=10098.85_x000d__x000a_" sqref="H24">
      <formula1>0</formula1>
      <formula2>300</formula2>
    </dataValidation>
    <dataValidation type="textLength" errorStyle="information" allowBlank="1" showInputMessage="1" showErrorMessage="1" error="XLBVal:6=58408_x000d__x000a_" sqref="D23:O23 Q23:AB23">
      <formula1>0</formula1>
      <formula2>300</formula2>
    </dataValidation>
    <dataValidation type="textLength" errorStyle="information" allowBlank="1" showInputMessage="1" showErrorMessage="1" error="XLBVal:6=16816.22_x000d__x000a_" sqref="O25">
      <formula1>0</formula1>
      <formula2>300</formula2>
    </dataValidation>
    <dataValidation type="textLength" errorStyle="information" allowBlank="1" showInputMessage="1" showErrorMessage="1" error="XLBVal:6=-1036_x000d__x000a_" sqref="Q24:AA24">
      <formula1>0</formula1>
      <formula2>300</formula2>
    </dataValidation>
    <dataValidation type="textLength" errorStyle="information" allowBlank="1" showInputMessage="1" showErrorMessage="1" error="XLBVal:6=4413.84_x000d__x000a_" sqref="AC24">
      <formula1>0</formula1>
      <formula2>300</formula2>
    </dataValidation>
    <dataValidation type="textLength" errorStyle="information" allowBlank="1" showInputMessage="1" showErrorMessage="1" error="XLBVal:6=17140.71_x000d__x000a_" sqref="D28">
      <formula1>0</formula1>
      <formula2>300</formula2>
    </dataValidation>
    <dataValidation type="textLength" errorStyle="information" allowBlank="1" showInputMessage="1" showErrorMessage="1" error="XLBVal:6=7217.13_x000d__x000a_" sqref="D29:O29 Q29:AB29">
      <formula1>0</formula1>
      <formula2>300</formula2>
    </dataValidation>
    <dataValidation type="textLength" errorStyle="information" allowBlank="1" showInputMessage="1" showErrorMessage="1" error="XLBVal:6=10.96_x000d__x000a_" sqref="D31:O31 Q31:AB31">
      <formula1>0</formula1>
      <formula2>300</formula2>
    </dataValidation>
    <dataValidation type="textLength" errorStyle="information" allowBlank="1" showInputMessage="1" showErrorMessage="1" error="XLBVal:6=451.12_x000d__x000a_" sqref="D30:O30 D32:O32 Q30:AB30 Q32:AB32">
      <formula1>0</formula1>
      <formula2>300</formula2>
    </dataValidation>
    <dataValidation type="textLength" errorStyle="information" allowBlank="1" showInputMessage="1" showErrorMessage="1" error="XLBVal:6=4110_x000d__x000a_" sqref="D33:O33 Q33:AB33">
      <formula1>0</formula1>
      <formula2>300</formula2>
    </dataValidation>
    <dataValidation type="textLength" errorStyle="information" allowBlank="1" showInputMessage="1" showErrorMessage="1" error="XLBVal:6=1534.68_x000d__x000a_" sqref="D34:O34 Q34:AB34">
      <formula1>0</formula1>
      <formula2>300</formula2>
    </dataValidation>
    <dataValidation type="textLength" errorStyle="information" allowBlank="1" showInputMessage="1" showErrorMessage="1" error="XLBVal:6=15419_x000d__x000a_" sqref="F28">
      <formula1>0</formula1>
      <formula2>300</formula2>
    </dataValidation>
    <dataValidation type="textLength" errorStyle="information" allowBlank="1" showInputMessage="1" showErrorMessage="1" error="XLBVal:6=12574.18_x000d__x000a_" sqref="H28">
      <formula1>0</formula1>
      <formula2>300</formula2>
    </dataValidation>
    <dataValidation type="textLength" errorStyle="information" allowBlank="1" showInputMessage="1" showErrorMessage="1" error="XLBVal:6=122422.41_x000d__x000a_" sqref="O28">
      <formula1>0</formula1>
      <formula2>300</formula2>
    </dataValidation>
    <dataValidation type="textLength" errorStyle="information" allowBlank="1" showInputMessage="1" showErrorMessage="1" error="XLBVal:6=123352_x000d__x000a_" sqref="Q28:AA28">
      <formula1>0</formula1>
      <formula2>300</formula2>
    </dataValidation>
    <dataValidation type="textLength" errorStyle="information" allowBlank="1" showInputMessage="1" showErrorMessage="1" error="XLBVal:6=-4198.31_x000d__x000a_" sqref="D42:D43">
      <formula1>0</formula1>
      <formula2>300</formula2>
    </dataValidation>
    <dataValidation type="textLength" errorStyle="information" allowBlank="1" showInputMessage="1" showErrorMessage="1" error="XLBVal:6=1214.54_x000d__x000a_" sqref="D44:O44">
      <formula1>0</formula1>
      <formula2>300</formula2>
    </dataValidation>
    <dataValidation type="textLength" errorStyle="information" allowBlank="1" showInputMessage="1" showErrorMessage="1" error="XLBVal:6=-231540.57_x000d__x000a_" sqref="D47:O47">
      <formula1>0</formula1>
      <formula2>300</formula2>
    </dataValidation>
    <dataValidation type="textLength" errorStyle="information" allowBlank="1" showInputMessage="1" showErrorMessage="1" error="XLBVal:6=1853_x000d__x000a_" sqref="F42:F43">
      <formula1>0</formula1>
      <formula2>300</formula2>
    </dataValidation>
    <dataValidation type="textLength" errorStyle="information" allowBlank="1" showInputMessage="1" showErrorMessage="1" error="XLBVal:6=1632.27_x000d__x000a_" sqref="H42:H43">
      <formula1>0</formula1>
      <formula2>300</formula2>
    </dataValidation>
    <dataValidation type="textLength" errorStyle="information" allowBlank="1" showInputMessage="1" showErrorMessage="1" error="XLBVal:6=6585.63_x000d__x000a_" sqref="O42:O43">
      <formula1>0</formula1>
      <formula2>300</formula2>
    </dataValidation>
    <dataValidation type="textLength" errorStyle="information" allowBlank="1" showInputMessage="1" showErrorMessage="1" error="XLBVal:6=14824_x000d__x000a_" sqref="Q42:AA43">
      <formula1>0</formula1>
      <formula2>300</formula2>
    </dataValidation>
    <dataValidation type="textLength" errorStyle="information" allowBlank="1" showInputMessage="1" showErrorMessage="1" error="XLBVal:6=14391.62_x000d__x000a_" sqref="AC42:AC43">
      <formula1>0</formula1>
      <formula2>300</formula2>
    </dataValidation>
    <dataValidation type="textLength" errorStyle="information" allowBlank="1" showInputMessage="1" showErrorMessage="1" error="XLBVal:6=-168_x000d__x000a_" sqref="Q178:AB178">
      <formula1>0</formula1>
      <formula2>300</formula2>
    </dataValidation>
    <dataValidation type="textLength" errorStyle="information" allowBlank="1" showInputMessage="1" showErrorMessage="1" sqref="D124">
      <formula1>0</formula1>
      <formula2>300</formula2>
    </dataValidation>
    <dataValidation type="textLength" errorStyle="information" allowBlank="1" showInputMessage="1" showErrorMessage="1" error="XLBVal:2=0_x000d__x000a_" sqref="D35:O35 D24 O24 H25 F25 D21:O21 AC25 D38:O41 D45:O46 AA150:AB150 Q58:AB59 Q166:AB169 Q153:AB153 Q118:AB118 Q21:AB21 Q45:AB45 Q53:AB54 Q38:AB41 Q35:AB35 Q164:AB164 Q25:AA25 Q56:AB56 Q156:AB156 Q149:AB149 Q49:AB4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AH161"/>
  <sheetViews>
    <sheetView view="pageBreakPreview" zoomScaleNormal="100" zoomScaleSheetLayoutView="100" workbookViewId="0">
      <pane xSplit="4" ySplit="7" topLeftCell="L95" activePane="bottomRight" state="frozen"/>
      <selection activeCell="AP43" sqref="AP43"/>
      <selection pane="topRight" activeCell="AP43" sqref="AP43"/>
      <selection pane="bottomLeft" activeCell="AP43" sqref="AP43"/>
      <selection pane="bottomRight" activeCell="AC66" sqref="AC66"/>
    </sheetView>
  </sheetViews>
  <sheetFormatPr defaultColWidth="9" defaultRowHeight="14.25" outlineLevelCol="2"/>
  <cols>
    <col min="1" max="2" width="9" style="105" hidden="1" customWidth="1" outlineLevel="1"/>
    <col min="3" max="3" width="40.25" style="105" customWidth="1" collapsed="1"/>
    <col min="4" max="6" width="15.75" style="72" bestFit="1" customWidth="1"/>
    <col min="7" max="15" width="18.25" style="72" bestFit="1" customWidth="1"/>
    <col min="16" max="16" width="19.625" style="127" bestFit="1" customWidth="1"/>
    <col min="17" max="23" width="14.5" style="72" hidden="1" customWidth="1" outlineLevel="1"/>
    <col min="24" max="28" width="14.5" style="72" hidden="1" customWidth="1" outlineLevel="2"/>
    <col min="29" max="29" width="16.125" style="127" customWidth="1" collapsed="1"/>
    <col min="30" max="30" width="14.3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34" width="15.625" style="105" customWidth="1"/>
    <col min="35" max="16384" width="9" style="105"/>
  </cols>
  <sheetData>
    <row r="1" spans="1:34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02"/>
      <c r="AD1" s="101"/>
      <c r="AF1" s="103"/>
      <c r="AG1" s="183"/>
    </row>
    <row r="2" spans="1:34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02"/>
      <c r="AD2" s="101"/>
      <c r="AF2" s="103"/>
      <c r="AG2" s="183"/>
    </row>
    <row r="3" spans="1:34">
      <c r="C3" s="105" t="s">
        <v>376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7"/>
      <c r="AD3" s="2"/>
      <c r="AG3" s="184"/>
    </row>
    <row r="4" spans="1:34" s="100" customFormat="1" ht="18">
      <c r="C4" s="18">
        <f>+'2025 Summay'!$D$7</f>
        <v>2025</v>
      </c>
      <c r="D4" s="203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2"/>
      <c r="AD4" s="101"/>
      <c r="AF4" s="103"/>
      <c r="AG4" s="183"/>
    </row>
    <row r="5" spans="1:34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2"/>
      <c r="AD5" s="101"/>
      <c r="AF5" s="103"/>
      <c r="AG5" s="183"/>
    </row>
    <row r="6" spans="1:34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4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4">
      <c r="C8" s="105" t="s">
        <v>478</v>
      </c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29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F8" s="129"/>
    </row>
    <row r="9" spans="1:34">
      <c r="A9" s="105" t="s">
        <v>479</v>
      </c>
      <c r="B9" s="105" t="s">
        <v>480</v>
      </c>
      <c r="C9" s="105" t="s">
        <v>481</v>
      </c>
      <c r="D9" s="210">
        <f>ROUND(D85*D93,0)</f>
        <v>2773000</v>
      </c>
      <c r="E9" s="210">
        <f t="shared" ref="E9:O9" si="0">ROUND(E85*E93,0)</f>
        <v>2565000</v>
      </c>
      <c r="F9" s="210">
        <f t="shared" si="0"/>
        <v>2125000</v>
      </c>
      <c r="G9" s="210">
        <f t="shared" si="0"/>
        <v>2125000</v>
      </c>
      <c r="H9" s="210">
        <f t="shared" si="0"/>
        <v>2125000</v>
      </c>
      <c r="I9" s="210">
        <f t="shared" si="0"/>
        <v>1955000</v>
      </c>
      <c r="J9" s="210">
        <f t="shared" si="0"/>
        <v>2668000</v>
      </c>
      <c r="K9" s="210">
        <f t="shared" si="0"/>
        <v>2668000</v>
      </c>
      <c r="L9" s="210">
        <f t="shared" si="0"/>
        <v>1955000</v>
      </c>
      <c r="M9" s="210">
        <f t="shared" si="0"/>
        <v>2125000</v>
      </c>
      <c r="N9" s="210">
        <f t="shared" si="0"/>
        <v>2040000</v>
      </c>
      <c r="O9" s="210">
        <f t="shared" si="0"/>
        <v>2295000</v>
      </c>
      <c r="P9" s="129">
        <f>SUM(D9:O9)</f>
        <v>27419000</v>
      </c>
      <c r="Q9" s="72">
        <v>2709477.82</v>
      </c>
      <c r="R9" s="72">
        <v>3136202.49</v>
      </c>
      <c r="S9" s="72">
        <v>2505337.77</v>
      </c>
      <c r="T9" s="72">
        <v>2459299.37</v>
      </c>
      <c r="U9" s="72">
        <v>1928997.18</v>
      </c>
      <c r="V9" s="72">
        <v>2115710.6</v>
      </c>
      <c r="W9" s="72">
        <v>2738819.03</v>
      </c>
      <c r="X9" s="72">
        <v>2815151.89</v>
      </c>
      <c r="Y9" s="72">
        <v>1196911</v>
      </c>
      <c r="Z9" s="72">
        <v>1980000</v>
      </c>
      <c r="AA9" s="72">
        <v>1710000</v>
      </c>
      <c r="AB9" s="72">
        <v>1959600</v>
      </c>
      <c r="AC9" s="127">
        <f>SUM(Q9:AB9)</f>
        <v>27255507.149999999</v>
      </c>
      <c r="AD9" s="72">
        <f t="shared" ref="AD9:AD14" si="1">P9-AC9</f>
        <v>163492.85000000149</v>
      </c>
      <c r="AE9" s="192">
        <f t="shared" ref="AE9:AE14" si="2">AD9/AC9</f>
        <v>5.9985253292196214E-3</v>
      </c>
      <c r="AF9" s="129">
        <v>29124493.550000001</v>
      </c>
      <c r="AG9" s="124">
        <f t="shared" ref="AG9:AG27" si="3">P9-AF9</f>
        <v>-1705493.5500000007</v>
      </c>
      <c r="AH9" s="124"/>
    </row>
    <row r="10" spans="1:34">
      <c r="A10" s="105" t="s">
        <v>482</v>
      </c>
      <c r="B10" s="105" t="s">
        <v>480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29">
        <f>SUM(D10:O10)</f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0</v>
      </c>
      <c r="AD10" s="72">
        <f t="shared" si="1"/>
        <v>0</v>
      </c>
      <c r="AE10" s="192" t="e">
        <f t="shared" si="2"/>
        <v>#DIV/0!</v>
      </c>
      <c r="AF10" s="129">
        <v>83999.39</v>
      </c>
      <c r="AG10" s="124">
        <f t="shared" si="3"/>
        <v>-83999.39</v>
      </c>
      <c r="AH10" s="124"/>
    </row>
    <row r="11" spans="1:34">
      <c r="A11" s="105" t="s">
        <v>484</v>
      </c>
      <c r="B11" s="105" t="s">
        <v>480</v>
      </c>
      <c r="C11" s="105" t="s">
        <v>485</v>
      </c>
      <c r="D11" s="210">
        <f t="shared" si="4"/>
        <v>0</v>
      </c>
      <c r="E11" s="210">
        <f t="shared" si="4"/>
        <v>0</v>
      </c>
      <c r="F11" s="210">
        <f t="shared" si="4"/>
        <v>0</v>
      </c>
      <c r="G11" s="210">
        <f t="shared" si="4"/>
        <v>0</v>
      </c>
      <c r="H11" s="210">
        <f t="shared" si="4"/>
        <v>0</v>
      </c>
      <c r="I11" s="210">
        <f t="shared" si="4"/>
        <v>0</v>
      </c>
      <c r="J11" s="210">
        <f t="shared" si="4"/>
        <v>0</v>
      </c>
      <c r="K11" s="210">
        <f t="shared" si="4"/>
        <v>0</v>
      </c>
      <c r="L11" s="210">
        <f t="shared" si="4"/>
        <v>0</v>
      </c>
      <c r="M11" s="210">
        <f t="shared" si="4"/>
        <v>0</v>
      </c>
      <c r="N11" s="210">
        <f t="shared" si="4"/>
        <v>0</v>
      </c>
      <c r="O11" s="210">
        <f t="shared" si="4"/>
        <v>0</v>
      </c>
      <c r="P11" s="129">
        <f>SUM(D11:O11)</f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127">
        <f>SUM(Q11:AB11)</f>
        <v>0</v>
      </c>
      <c r="AD11" s="72">
        <f t="shared" si="1"/>
        <v>0</v>
      </c>
      <c r="AE11" s="192" t="e">
        <f t="shared" si="2"/>
        <v>#DIV/0!</v>
      </c>
      <c r="AF11" s="129">
        <v>0</v>
      </c>
      <c r="AG11" s="124">
        <f t="shared" si="3"/>
        <v>0</v>
      </c>
      <c r="AH11" s="124"/>
    </row>
    <row r="12" spans="1:34">
      <c r="A12" s="105" t="s">
        <v>486</v>
      </c>
      <c r="B12" s="105" t="s">
        <v>480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9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  <c r="AH12" s="124"/>
    </row>
    <row r="13" spans="1:34">
      <c r="A13" s="105" t="s">
        <v>488</v>
      </c>
      <c r="B13" s="105" t="s">
        <v>480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9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  <c r="AH13" s="124"/>
    </row>
    <row r="14" spans="1:34">
      <c r="C14" s="109" t="s">
        <v>490</v>
      </c>
      <c r="D14" s="127">
        <f t="shared" ref="D14:AC14" si="5">SUM(D9:D13)</f>
        <v>2773000</v>
      </c>
      <c r="E14" s="127">
        <f t="shared" si="5"/>
        <v>2565000</v>
      </c>
      <c r="F14" s="127">
        <f t="shared" si="5"/>
        <v>2125000</v>
      </c>
      <c r="G14" s="127">
        <f t="shared" si="5"/>
        <v>2125000</v>
      </c>
      <c r="H14" s="127">
        <f t="shared" si="5"/>
        <v>2125000</v>
      </c>
      <c r="I14" s="127">
        <f t="shared" si="5"/>
        <v>1955000</v>
      </c>
      <c r="J14" s="129">
        <f t="shared" si="5"/>
        <v>2668000</v>
      </c>
      <c r="K14" s="129">
        <f t="shared" si="5"/>
        <v>2668000</v>
      </c>
      <c r="L14" s="129">
        <f t="shared" si="5"/>
        <v>1955000</v>
      </c>
      <c r="M14" s="129">
        <f t="shared" si="5"/>
        <v>2125000</v>
      </c>
      <c r="N14" s="129">
        <f t="shared" si="5"/>
        <v>2040000</v>
      </c>
      <c r="O14" s="129">
        <f t="shared" si="5"/>
        <v>2295000</v>
      </c>
      <c r="P14" s="129">
        <f t="shared" si="5"/>
        <v>27419000</v>
      </c>
      <c r="Q14" s="127">
        <f t="shared" si="5"/>
        <v>2709477.82</v>
      </c>
      <c r="R14" s="127">
        <f t="shared" si="5"/>
        <v>3136202.49</v>
      </c>
      <c r="S14" s="127">
        <f t="shared" si="5"/>
        <v>2505337.77</v>
      </c>
      <c r="T14" s="127">
        <f t="shared" si="5"/>
        <v>2459299.37</v>
      </c>
      <c r="U14" s="127">
        <f t="shared" si="5"/>
        <v>1928997.18</v>
      </c>
      <c r="V14" s="127">
        <f t="shared" si="5"/>
        <v>2115710.6</v>
      </c>
      <c r="W14" s="127">
        <f t="shared" si="5"/>
        <v>2738819.03</v>
      </c>
      <c r="X14" s="127">
        <f t="shared" si="5"/>
        <v>2815151.89</v>
      </c>
      <c r="Y14" s="127">
        <f t="shared" si="5"/>
        <v>1196911</v>
      </c>
      <c r="Z14" s="127">
        <f t="shared" si="5"/>
        <v>1980000</v>
      </c>
      <c r="AA14" s="127">
        <f t="shared" si="5"/>
        <v>1710000</v>
      </c>
      <c r="AB14" s="127">
        <f t="shared" si="5"/>
        <v>1959600</v>
      </c>
      <c r="AC14" s="127">
        <f t="shared" si="5"/>
        <v>27255507.149999999</v>
      </c>
      <c r="AD14" s="72">
        <f t="shared" si="1"/>
        <v>163492.85000000149</v>
      </c>
      <c r="AE14" s="192">
        <f t="shared" si="2"/>
        <v>5.9985253292196214E-3</v>
      </c>
      <c r="AF14" s="129">
        <v>29208492.940000001</v>
      </c>
      <c r="AG14" s="124">
        <f t="shared" si="3"/>
        <v>-1789492.9400000013</v>
      </c>
      <c r="AH14" s="124"/>
    </row>
    <row r="15" spans="1:34">
      <c r="C15" s="105" t="s">
        <v>154</v>
      </c>
      <c r="J15" s="111"/>
      <c r="K15" s="111"/>
      <c r="L15" s="111"/>
      <c r="M15" s="111"/>
      <c r="N15" s="111"/>
      <c r="O15" s="111"/>
      <c r="P15" s="129"/>
      <c r="AF15" s="129"/>
      <c r="AG15" s="124">
        <f t="shared" si="3"/>
        <v>0</v>
      </c>
      <c r="AH15" s="124"/>
    </row>
    <row r="16" spans="1:34">
      <c r="C16" s="105" t="s">
        <v>491</v>
      </c>
      <c r="J16" s="111"/>
      <c r="K16" s="111"/>
      <c r="L16" s="111"/>
      <c r="M16" s="111"/>
      <c r="N16" s="111"/>
      <c r="O16" s="111"/>
      <c r="P16" s="129"/>
      <c r="AF16" s="129"/>
      <c r="AG16" s="124">
        <f t="shared" si="3"/>
        <v>0</v>
      </c>
      <c r="AH16" s="124"/>
    </row>
    <row r="17" spans="1:34">
      <c r="A17" s="105" t="s">
        <v>492</v>
      </c>
      <c r="B17" s="105" t="s">
        <v>480</v>
      </c>
      <c r="C17" s="105" t="s">
        <v>481</v>
      </c>
      <c r="J17" s="111"/>
      <c r="K17" s="111"/>
      <c r="L17" s="111"/>
      <c r="M17" s="111"/>
      <c r="N17" s="111"/>
      <c r="O17" s="111"/>
      <c r="P17" s="129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0</v>
      </c>
      <c r="AG17" s="124">
        <f t="shared" si="3"/>
        <v>0</v>
      </c>
      <c r="AH17" s="124"/>
    </row>
    <row r="18" spans="1:34">
      <c r="A18" s="105" t="s">
        <v>493</v>
      </c>
      <c r="B18" s="105" t="s">
        <v>480</v>
      </c>
      <c r="C18" s="105" t="s">
        <v>483</v>
      </c>
      <c r="J18" s="111"/>
      <c r="K18" s="111"/>
      <c r="L18" s="111"/>
      <c r="M18" s="111"/>
      <c r="N18" s="111"/>
      <c r="O18" s="111"/>
      <c r="P18" s="129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0</v>
      </c>
      <c r="AG18" s="124">
        <f t="shared" si="3"/>
        <v>0</v>
      </c>
      <c r="AH18" s="124"/>
    </row>
    <row r="19" spans="1:34">
      <c r="A19" s="105" t="s">
        <v>494</v>
      </c>
      <c r="B19" s="105" t="s">
        <v>480</v>
      </c>
      <c r="C19" s="105" t="s">
        <v>485</v>
      </c>
      <c r="J19" s="111"/>
      <c r="K19" s="111"/>
      <c r="L19" s="111"/>
      <c r="M19" s="111"/>
      <c r="N19" s="111"/>
      <c r="O19" s="111"/>
      <c r="P19" s="129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0</v>
      </c>
      <c r="AG19" s="124">
        <f t="shared" si="3"/>
        <v>0</v>
      </c>
      <c r="AH19" s="124"/>
    </row>
    <row r="20" spans="1:34">
      <c r="A20" s="105" t="s">
        <v>495</v>
      </c>
      <c r="B20" s="105" t="s">
        <v>496</v>
      </c>
      <c r="C20" s="105" t="s">
        <v>487</v>
      </c>
      <c r="J20" s="111"/>
      <c r="K20" s="111"/>
      <c r="L20" s="111"/>
      <c r="M20" s="111"/>
      <c r="N20" s="111"/>
      <c r="O20" s="111"/>
      <c r="P20" s="129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  <c r="AH20" s="124"/>
    </row>
    <row r="21" spans="1:34">
      <c r="A21" s="105" t="s">
        <v>497</v>
      </c>
      <c r="B21" s="105" t="s">
        <v>480</v>
      </c>
      <c r="C21" s="105" t="s">
        <v>489</v>
      </c>
      <c r="J21" s="111"/>
      <c r="K21" s="111"/>
      <c r="L21" s="111"/>
      <c r="M21" s="111"/>
      <c r="N21" s="111"/>
      <c r="O21" s="111"/>
      <c r="P21" s="129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  <c r="AH21" s="124"/>
    </row>
    <row r="22" spans="1:34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9">
        <f t="shared" si="8"/>
        <v>0</v>
      </c>
      <c r="K22" s="129">
        <f t="shared" si="8"/>
        <v>0</v>
      </c>
      <c r="L22" s="129">
        <f t="shared" si="8"/>
        <v>0</v>
      </c>
      <c r="M22" s="129">
        <f t="shared" si="8"/>
        <v>0</v>
      </c>
      <c r="N22" s="129">
        <f t="shared" si="8"/>
        <v>0</v>
      </c>
      <c r="O22" s="129">
        <f t="shared" si="8"/>
        <v>0</v>
      </c>
      <c r="P22" s="129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0</v>
      </c>
      <c r="AG22" s="124">
        <f t="shared" si="3"/>
        <v>0</v>
      </c>
      <c r="AH22" s="124"/>
    </row>
    <row r="23" spans="1:34">
      <c r="C23" s="105" t="s">
        <v>154</v>
      </c>
      <c r="J23" s="111"/>
      <c r="K23" s="111"/>
      <c r="L23" s="111"/>
      <c r="M23" s="111"/>
      <c r="N23" s="111"/>
      <c r="O23" s="111"/>
      <c r="P23" s="129"/>
      <c r="AF23" s="129"/>
      <c r="AG23" s="124">
        <f t="shared" si="3"/>
        <v>0</v>
      </c>
      <c r="AH23" s="124"/>
    </row>
    <row r="24" spans="1:34">
      <c r="A24" s="105" t="s">
        <v>406</v>
      </c>
      <c r="B24" s="105" t="s">
        <v>480</v>
      </c>
      <c r="C24" s="105" t="s">
        <v>408</v>
      </c>
      <c r="J24" s="123"/>
      <c r="K24" s="123"/>
      <c r="L24" s="123"/>
      <c r="M24" s="123"/>
      <c r="N24" s="123"/>
      <c r="O24" s="123"/>
      <c r="P24" s="129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  <c r="AH24" s="124"/>
    </row>
    <row r="25" spans="1:34">
      <c r="A25" s="105" t="s">
        <v>411</v>
      </c>
      <c r="B25" s="105" t="s">
        <v>480</v>
      </c>
      <c r="C25" s="105" t="s">
        <v>499</v>
      </c>
      <c r="J25" s="111"/>
      <c r="K25" s="111"/>
      <c r="L25" s="111"/>
      <c r="M25" s="111"/>
      <c r="N25" s="111"/>
      <c r="O25" s="111"/>
      <c r="P25" s="129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  <c r="AH25" s="124"/>
    </row>
    <row r="26" spans="1:34">
      <c r="A26" s="105" t="s">
        <v>169</v>
      </c>
      <c r="B26" s="105" t="s">
        <v>480</v>
      </c>
      <c r="C26" s="105" t="s">
        <v>170</v>
      </c>
      <c r="J26" s="111"/>
      <c r="K26" s="111"/>
      <c r="L26" s="111"/>
      <c r="M26" s="111"/>
      <c r="N26" s="111"/>
      <c r="O26" s="111"/>
      <c r="P26" s="129">
        <f>SUM(D26:O26)</f>
        <v>0</v>
      </c>
      <c r="Q26" s="72">
        <v>6354.7</v>
      </c>
      <c r="R26" s="72">
        <v>13313.3</v>
      </c>
      <c r="S26" s="72">
        <v>2984.8</v>
      </c>
      <c r="T26" s="72">
        <v>3161.6</v>
      </c>
      <c r="U26" s="72">
        <v>4076.8</v>
      </c>
      <c r="V26" s="72">
        <v>3095.3</v>
      </c>
      <c r="W26" s="72">
        <v>8304.5</v>
      </c>
      <c r="X26" s="72">
        <v>11394.61</v>
      </c>
      <c r="Y26" s="72">
        <v>8395</v>
      </c>
      <c r="Z26" s="72">
        <v>0</v>
      </c>
      <c r="AA26" s="72">
        <v>0</v>
      </c>
      <c r="AB26" s="72">
        <v>0</v>
      </c>
      <c r="AC26" s="127">
        <f>SUM(Q26:AB26)</f>
        <v>61080.61</v>
      </c>
      <c r="AD26" s="72">
        <f>P26-AC26</f>
        <v>-61080.61</v>
      </c>
      <c r="AE26" s="192">
        <f>AD26/AC26</f>
        <v>-1</v>
      </c>
      <c r="AF26" s="129">
        <v>88213.169999999984</v>
      </c>
      <c r="AG26" s="124">
        <f t="shared" si="3"/>
        <v>-88213.169999999984</v>
      </c>
      <c r="AH26" s="124"/>
    </row>
    <row r="27" spans="1:34">
      <c r="C27" s="109" t="s">
        <v>500</v>
      </c>
      <c r="D27" s="127">
        <f t="shared" ref="D27:P27" si="10">SUM(D24:D26)+D14+D22</f>
        <v>2773000</v>
      </c>
      <c r="E27" s="127">
        <f t="shared" si="10"/>
        <v>2565000</v>
      </c>
      <c r="F27" s="127">
        <f t="shared" si="10"/>
        <v>2125000</v>
      </c>
      <c r="G27" s="127">
        <f t="shared" si="10"/>
        <v>2125000</v>
      </c>
      <c r="H27" s="127">
        <f t="shared" si="10"/>
        <v>2125000</v>
      </c>
      <c r="I27" s="127">
        <f t="shared" si="10"/>
        <v>1955000</v>
      </c>
      <c r="J27" s="129">
        <f t="shared" si="10"/>
        <v>2668000</v>
      </c>
      <c r="K27" s="129">
        <f t="shared" si="10"/>
        <v>2668000</v>
      </c>
      <c r="L27" s="129">
        <f t="shared" si="10"/>
        <v>1955000</v>
      </c>
      <c r="M27" s="129">
        <f t="shared" si="10"/>
        <v>2125000</v>
      </c>
      <c r="N27" s="129">
        <f t="shared" si="10"/>
        <v>2040000</v>
      </c>
      <c r="O27" s="129">
        <f t="shared" si="10"/>
        <v>2295000</v>
      </c>
      <c r="P27" s="129">
        <f t="shared" si="10"/>
        <v>27419000</v>
      </c>
      <c r="Q27" s="127">
        <f t="shared" ref="Q27:V27" si="11">SUM(Q24:Q26)+Q14+Q22</f>
        <v>2715832.52</v>
      </c>
      <c r="R27" s="127">
        <f t="shared" si="11"/>
        <v>3149515.79</v>
      </c>
      <c r="S27" s="127">
        <f t="shared" si="11"/>
        <v>2508322.5699999998</v>
      </c>
      <c r="T27" s="127">
        <f t="shared" si="11"/>
        <v>2462460.9700000002</v>
      </c>
      <c r="U27" s="127">
        <f t="shared" si="11"/>
        <v>1933073.98</v>
      </c>
      <c r="V27" s="127">
        <f t="shared" si="11"/>
        <v>2118805.9</v>
      </c>
      <c r="W27" s="127">
        <f t="shared" ref="W27:AC27" si="12">SUM(W24:W26)+W14+W22</f>
        <v>2747123.53</v>
      </c>
      <c r="X27" s="127">
        <f t="shared" si="12"/>
        <v>2826546.5</v>
      </c>
      <c r="Y27" s="127">
        <f t="shared" si="12"/>
        <v>1205306</v>
      </c>
      <c r="Z27" s="127">
        <f t="shared" si="12"/>
        <v>1980000</v>
      </c>
      <c r="AA27" s="127">
        <f t="shared" si="12"/>
        <v>1710000</v>
      </c>
      <c r="AB27" s="127">
        <f t="shared" si="12"/>
        <v>1959600</v>
      </c>
      <c r="AC27" s="127">
        <f t="shared" si="12"/>
        <v>27316587.759999998</v>
      </c>
      <c r="AD27" s="72">
        <f>P27-AC27</f>
        <v>102412.24000000209</v>
      </c>
      <c r="AE27" s="192">
        <f>AD27/AC27</f>
        <v>3.7490861193858749E-3</v>
      </c>
      <c r="AF27" s="129">
        <v>29296706.110000003</v>
      </c>
      <c r="AG27" s="124">
        <f t="shared" si="3"/>
        <v>-1877706.1100000031</v>
      </c>
      <c r="AH27" s="124"/>
    </row>
    <row r="28" spans="1:34">
      <c r="C28" s="105" t="s">
        <v>154</v>
      </c>
      <c r="J28" s="111"/>
      <c r="K28" s="111"/>
      <c r="L28" s="111"/>
      <c r="M28" s="111"/>
      <c r="N28" s="111"/>
      <c r="O28" s="111"/>
      <c r="P28" s="129"/>
      <c r="AF28" s="129"/>
      <c r="AH28" s="124"/>
    </row>
    <row r="29" spans="1:34">
      <c r="C29" s="105" t="s">
        <v>414</v>
      </c>
      <c r="D29" s="211">
        <f t="shared" ref="D29:O29" si="13">D30/D14</f>
        <v>0.28000000000000003</v>
      </c>
      <c r="E29" s="211">
        <f t="shared" si="13"/>
        <v>0.28000000000000003</v>
      </c>
      <c r="F29" s="211">
        <f t="shared" si="13"/>
        <v>0.28000000000000003</v>
      </c>
      <c r="G29" s="211">
        <f t="shared" si="13"/>
        <v>0.28000000000000003</v>
      </c>
      <c r="H29" s="211">
        <f t="shared" si="13"/>
        <v>0.28000000000000003</v>
      </c>
      <c r="I29" s="211">
        <f t="shared" si="13"/>
        <v>0.28000000000000003</v>
      </c>
      <c r="J29" s="211">
        <f t="shared" si="13"/>
        <v>0.28000000000000003</v>
      </c>
      <c r="K29" s="211">
        <f t="shared" si="13"/>
        <v>0.28000000000000003</v>
      </c>
      <c r="L29" s="211">
        <f t="shared" si="13"/>
        <v>0.28000000000000003</v>
      </c>
      <c r="M29" s="211">
        <f t="shared" si="13"/>
        <v>0.28000000000000003</v>
      </c>
      <c r="N29" s="211">
        <f t="shared" si="13"/>
        <v>0.28000000000000003</v>
      </c>
      <c r="O29" s="211">
        <f t="shared" si="13"/>
        <v>0.28000000000000003</v>
      </c>
      <c r="P29" s="132">
        <f>P30/P14</f>
        <v>0.28000000000000003</v>
      </c>
      <c r="AC29" s="211">
        <f>AC30/AC14</f>
        <v>0.28447810628979625</v>
      </c>
      <c r="AF29" s="129">
        <v>0.26507492275977729</v>
      </c>
      <c r="AH29" s="124"/>
    </row>
    <row r="30" spans="1:34">
      <c r="A30" s="105" t="s">
        <v>415</v>
      </c>
      <c r="B30" s="105" t="s">
        <v>480</v>
      </c>
      <c r="C30" s="105" t="s">
        <v>416</v>
      </c>
      <c r="D30" s="129">
        <f t="shared" ref="D30:O30" si="14">ROUND(D14*0.28,0)</f>
        <v>776440</v>
      </c>
      <c r="E30" s="129">
        <f t="shared" si="14"/>
        <v>718200</v>
      </c>
      <c r="F30" s="129">
        <f t="shared" si="14"/>
        <v>595000</v>
      </c>
      <c r="G30" s="129">
        <f t="shared" si="14"/>
        <v>595000</v>
      </c>
      <c r="H30" s="129">
        <f t="shared" si="14"/>
        <v>595000</v>
      </c>
      <c r="I30" s="129">
        <f t="shared" si="14"/>
        <v>547400</v>
      </c>
      <c r="J30" s="129">
        <f t="shared" si="14"/>
        <v>747040</v>
      </c>
      <c r="K30" s="129">
        <f t="shared" si="14"/>
        <v>747040</v>
      </c>
      <c r="L30" s="129">
        <f t="shared" si="14"/>
        <v>547400</v>
      </c>
      <c r="M30" s="129">
        <f t="shared" si="14"/>
        <v>595000</v>
      </c>
      <c r="N30" s="129">
        <f t="shared" si="14"/>
        <v>571200</v>
      </c>
      <c r="O30" s="129">
        <f t="shared" si="14"/>
        <v>642600</v>
      </c>
      <c r="P30" s="129">
        <f>SUM(D30:O30)</f>
        <v>7677320</v>
      </c>
      <c r="Q30" s="72">
        <v>824371.83</v>
      </c>
      <c r="R30" s="72">
        <v>884632.48</v>
      </c>
      <c r="S30" s="72">
        <v>703168.8</v>
      </c>
      <c r="T30" s="72">
        <v>689812.53</v>
      </c>
      <c r="U30" s="72">
        <v>544763.41</v>
      </c>
      <c r="V30" s="72">
        <v>596948.88</v>
      </c>
      <c r="W30" s="72">
        <v>787559.62</v>
      </c>
      <c r="X30" s="72">
        <v>805314.51</v>
      </c>
      <c r="Y30" s="72">
        <v>335135</v>
      </c>
      <c r="Z30" s="72">
        <v>554400</v>
      </c>
      <c r="AA30" s="72">
        <v>478800</v>
      </c>
      <c r="AB30" s="72">
        <v>548688</v>
      </c>
      <c r="AC30" s="127">
        <f>SUM(Q30:AB30)</f>
        <v>7753595.0600000005</v>
      </c>
      <c r="AD30" s="72">
        <f t="shared" ref="AD30:AD32" si="15">P30-AC30</f>
        <v>-76275.060000000522</v>
      </c>
      <c r="AE30" s="192">
        <f t="shared" ref="AE30:AE32" si="16">AD30/AC30</f>
        <v>-9.8373798747236254E-3</v>
      </c>
      <c r="AF30" s="129">
        <v>7742439.0099999998</v>
      </c>
      <c r="AG30" s="124">
        <f t="shared" ref="AG30:AG80" si="17">AF30-P30</f>
        <v>65119.009999999776</v>
      </c>
      <c r="AH30" s="124"/>
    </row>
    <row r="31" spans="1:34">
      <c r="A31" s="105" t="s">
        <v>417</v>
      </c>
      <c r="B31" s="105" t="s">
        <v>480</v>
      </c>
      <c r="C31" s="105" t="s">
        <v>418</v>
      </c>
      <c r="D31" s="111">
        <f>ROUND(D22*0.2,0)</f>
        <v>0</v>
      </c>
      <c r="E31" s="111">
        <f t="shared" ref="E31:O31" si="18">ROUND(E22*0.2,0)</f>
        <v>0</v>
      </c>
      <c r="F31" s="111">
        <f t="shared" si="18"/>
        <v>0</v>
      </c>
      <c r="G31" s="111">
        <f t="shared" si="18"/>
        <v>0</v>
      </c>
      <c r="H31" s="111">
        <f t="shared" si="18"/>
        <v>0</v>
      </c>
      <c r="I31" s="111">
        <f t="shared" si="18"/>
        <v>0</v>
      </c>
      <c r="J31" s="111">
        <f t="shared" si="18"/>
        <v>0</v>
      </c>
      <c r="K31" s="111">
        <f t="shared" si="18"/>
        <v>0</v>
      </c>
      <c r="L31" s="111">
        <f t="shared" si="18"/>
        <v>0</v>
      </c>
      <c r="M31" s="111">
        <f t="shared" si="18"/>
        <v>0</v>
      </c>
      <c r="N31" s="111">
        <f t="shared" si="18"/>
        <v>0</v>
      </c>
      <c r="O31" s="111">
        <f t="shared" si="18"/>
        <v>0</v>
      </c>
      <c r="P31" s="129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5"/>
        <v>0</v>
      </c>
      <c r="AE31" s="192" t="e">
        <f t="shared" si="16"/>
        <v>#DIV/0!</v>
      </c>
      <c r="AF31" s="129">
        <v>0</v>
      </c>
      <c r="AG31" s="124">
        <f t="shared" si="17"/>
        <v>0</v>
      </c>
      <c r="AH31" s="124"/>
    </row>
    <row r="32" spans="1:34">
      <c r="A32" s="105" t="s">
        <v>421</v>
      </c>
      <c r="B32" s="105" t="s">
        <v>480</v>
      </c>
      <c r="C32" s="105" t="s">
        <v>422</v>
      </c>
      <c r="J32" s="111"/>
      <c r="K32" s="111"/>
      <c r="L32" s="111"/>
      <c r="M32" s="111"/>
      <c r="N32" s="111"/>
      <c r="O32" s="111"/>
      <c r="P32" s="129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5"/>
        <v>0</v>
      </c>
      <c r="AE32" s="192" t="e">
        <f t="shared" si="16"/>
        <v>#DIV/0!</v>
      </c>
      <c r="AF32" s="129">
        <v>0</v>
      </c>
      <c r="AG32" s="124">
        <f t="shared" si="17"/>
        <v>0</v>
      </c>
      <c r="AH32" s="124"/>
    </row>
    <row r="33" spans="1:34">
      <c r="C33" s="109" t="s">
        <v>501</v>
      </c>
      <c r="D33" s="127">
        <f t="shared" ref="D33:AC33" si="19">SUM(D30:D32)</f>
        <v>776440</v>
      </c>
      <c r="E33" s="127">
        <f t="shared" si="19"/>
        <v>718200</v>
      </c>
      <c r="F33" s="127">
        <f t="shared" si="19"/>
        <v>595000</v>
      </c>
      <c r="G33" s="127">
        <f t="shared" si="19"/>
        <v>595000</v>
      </c>
      <c r="H33" s="127">
        <f t="shared" si="19"/>
        <v>595000</v>
      </c>
      <c r="I33" s="127">
        <f t="shared" si="19"/>
        <v>547400</v>
      </c>
      <c r="J33" s="129">
        <f t="shared" si="19"/>
        <v>747040</v>
      </c>
      <c r="K33" s="129">
        <f t="shared" si="19"/>
        <v>747040</v>
      </c>
      <c r="L33" s="129">
        <f t="shared" si="19"/>
        <v>547400</v>
      </c>
      <c r="M33" s="129">
        <f t="shared" si="19"/>
        <v>595000</v>
      </c>
      <c r="N33" s="129">
        <f t="shared" si="19"/>
        <v>571200</v>
      </c>
      <c r="O33" s="129">
        <f t="shared" si="19"/>
        <v>642600</v>
      </c>
      <c r="P33" s="129">
        <f t="shared" si="19"/>
        <v>7677320</v>
      </c>
      <c r="Q33" s="127">
        <f t="shared" si="19"/>
        <v>824371.83</v>
      </c>
      <c r="R33" s="127">
        <f t="shared" si="19"/>
        <v>884632.48</v>
      </c>
      <c r="S33" s="127">
        <f t="shared" si="19"/>
        <v>703168.8</v>
      </c>
      <c r="T33" s="127">
        <f t="shared" si="19"/>
        <v>689812.53</v>
      </c>
      <c r="U33" s="127">
        <f t="shared" si="19"/>
        <v>544763.41</v>
      </c>
      <c r="V33" s="127">
        <f t="shared" si="19"/>
        <v>596948.88</v>
      </c>
      <c r="W33" s="127">
        <f t="shared" si="19"/>
        <v>787559.62</v>
      </c>
      <c r="X33" s="127">
        <f t="shared" si="19"/>
        <v>805314.51</v>
      </c>
      <c r="Y33" s="127">
        <f t="shared" si="19"/>
        <v>335135</v>
      </c>
      <c r="Z33" s="127">
        <f t="shared" si="19"/>
        <v>554400</v>
      </c>
      <c r="AA33" s="127">
        <f t="shared" si="19"/>
        <v>478800</v>
      </c>
      <c r="AB33" s="127">
        <f t="shared" si="19"/>
        <v>548688</v>
      </c>
      <c r="AC33" s="127">
        <f t="shared" si="19"/>
        <v>7753595.0600000005</v>
      </c>
      <c r="AD33" s="72">
        <f>AC33-P33</f>
        <v>76275.060000000522</v>
      </c>
      <c r="AE33" s="192">
        <f>AD33/AC33</f>
        <v>9.8373798747236254E-3</v>
      </c>
      <c r="AF33" s="129">
        <v>7742439.0099999998</v>
      </c>
      <c r="AG33" s="124">
        <f t="shared" si="17"/>
        <v>65119.009999999776</v>
      </c>
      <c r="AH33" s="124"/>
    </row>
    <row r="34" spans="1:34">
      <c r="C34" s="105" t="s">
        <v>154</v>
      </c>
      <c r="J34" s="111"/>
      <c r="K34" s="111"/>
      <c r="L34" s="111"/>
      <c r="M34" s="111"/>
      <c r="N34" s="111"/>
      <c r="O34" s="111"/>
      <c r="P34" s="129"/>
      <c r="AF34" s="129"/>
      <c r="AG34" s="124">
        <f t="shared" si="17"/>
        <v>0</v>
      </c>
      <c r="AH34" s="124"/>
    </row>
    <row r="35" spans="1:34" s="109" customFormat="1">
      <c r="C35" s="109" t="s">
        <v>289</v>
      </c>
      <c r="D35" s="127">
        <f t="shared" ref="D35:AB35" si="20">D134</f>
        <v>332051.98000000004</v>
      </c>
      <c r="E35" s="127">
        <f t="shared" si="20"/>
        <v>270519.74</v>
      </c>
      <c r="F35" s="127">
        <f t="shared" si="20"/>
        <v>274222.33</v>
      </c>
      <c r="G35" s="127">
        <f t="shared" si="20"/>
        <v>296036.40000000002</v>
      </c>
      <c r="H35" s="127">
        <f t="shared" si="20"/>
        <v>308445.16000000003</v>
      </c>
      <c r="I35" s="127">
        <f t="shared" si="20"/>
        <v>269750.11</v>
      </c>
      <c r="J35" s="129">
        <f t="shared" si="20"/>
        <v>271828.09999999998</v>
      </c>
      <c r="K35" s="129">
        <f t="shared" si="20"/>
        <v>270985.59999999998</v>
      </c>
      <c r="L35" s="129">
        <f t="shared" si="20"/>
        <v>271158.59999999998</v>
      </c>
      <c r="M35" s="129">
        <f t="shared" si="20"/>
        <v>328852.03999999998</v>
      </c>
      <c r="N35" s="129">
        <f t="shared" si="20"/>
        <v>271418.5</v>
      </c>
      <c r="O35" s="129">
        <f t="shared" si="20"/>
        <v>270371</v>
      </c>
      <c r="P35" s="129">
        <f t="shared" si="20"/>
        <v>3435639.56</v>
      </c>
      <c r="Q35" s="127">
        <f t="shared" si="20"/>
        <v>287432.19</v>
      </c>
      <c r="R35" s="127">
        <f t="shared" si="20"/>
        <v>299116.38</v>
      </c>
      <c r="S35" s="127">
        <f t="shared" si="20"/>
        <v>267409.21000000002</v>
      </c>
      <c r="T35" s="127">
        <f t="shared" si="20"/>
        <v>262365.86</v>
      </c>
      <c r="U35" s="127">
        <f t="shared" si="20"/>
        <v>218384.55</v>
      </c>
      <c r="V35" s="127">
        <f t="shared" si="20"/>
        <v>204531.76</v>
      </c>
      <c r="W35" s="127">
        <f t="shared" si="20"/>
        <v>213287.8</v>
      </c>
      <c r="X35" s="127">
        <f t="shared" si="20"/>
        <v>244646.33000000002</v>
      </c>
      <c r="Y35" s="127">
        <f t="shared" si="20"/>
        <v>329150.33</v>
      </c>
      <c r="Z35" s="127">
        <f t="shared" si="20"/>
        <v>406425.33</v>
      </c>
      <c r="AA35" s="127">
        <f t="shared" si="20"/>
        <v>335325.33</v>
      </c>
      <c r="AB35" s="127">
        <f t="shared" si="20"/>
        <v>335502.33</v>
      </c>
      <c r="AC35" s="127">
        <f>SUM(Q35:AB35)</f>
        <v>3403577.4000000004</v>
      </c>
      <c r="AD35" s="72">
        <f t="shared" ref="AD35" si="21">P35-AC35</f>
        <v>32062.159999999683</v>
      </c>
      <c r="AE35" s="132">
        <f t="shared" ref="AE35" si="22">AD35/AC35</f>
        <v>9.4201354139910789E-3</v>
      </c>
      <c r="AF35" s="129">
        <v>3816653.9700000007</v>
      </c>
      <c r="AG35" s="124">
        <f t="shared" si="17"/>
        <v>381014.41000000061</v>
      </c>
      <c r="AH35" s="124"/>
    </row>
    <row r="36" spans="1:34">
      <c r="C36" s="105" t="s">
        <v>154</v>
      </c>
      <c r="J36" s="111"/>
      <c r="K36" s="111"/>
      <c r="L36" s="111"/>
      <c r="M36" s="111"/>
      <c r="N36" s="111"/>
      <c r="O36" s="111"/>
      <c r="P36" s="129"/>
      <c r="AF36" s="129"/>
      <c r="AG36" s="124">
        <f t="shared" si="17"/>
        <v>0</v>
      </c>
      <c r="AH36" s="124"/>
    </row>
    <row r="37" spans="1:34">
      <c r="C37" s="109" t="s">
        <v>502</v>
      </c>
      <c r="J37" s="111"/>
      <c r="K37" s="111"/>
      <c r="L37" s="111"/>
      <c r="M37" s="111"/>
      <c r="N37" s="111"/>
      <c r="O37" s="111"/>
      <c r="P37" s="129"/>
      <c r="AF37" s="129"/>
      <c r="AG37" s="124">
        <f t="shared" si="17"/>
        <v>0</v>
      </c>
      <c r="AH37" s="124"/>
    </row>
    <row r="38" spans="1:34">
      <c r="A38" s="105" t="s">
        <v>424</v>
      </c>
      <c r="B38" s="105" t="s">
        <v>480</v>
      </c>
      <c r="C38" s="105" t="s">
        <v>425</v>
      </c>
      <c r="D38" s="72">
        <v>200</v>
      </c>
      <c r="E38" s="72">
        <v>200</v>
      </c>
      <c r="F38" s="72">
        <v>200</v>
      </c>
      <c r="G38" s="72">
        <v>200</v>
      </c>
      <c r="H38" s="72">
        <v>200</v>
      </c>
      <c r="I38" s="72">
        <v>200</v>
      </c>
      <c r="J38" s="72">
        <v>200</v>
      </c>
      <c r="K38" s="72">
        <v>200</v>
      </c>
      <c r="L38" s="72">
        <v>200</v>
      </c>
      <c r="M38" s="72">
        <v>200</v>
      </c>
      <c r="N38" s="72">
        <v>200</v>
      </c>
      <c r="O38" s="72">
        <v>200</v>
      </c>
      <c r="P38" s="133">
        <f t="shared" ref="P38:P78" si="23">SUM(D38:O38)</f>
        <v>2400</v>
      </c>
      <c r="Q38" s="72">
        <v>38.26</v>
      </c>
      <c r="R38" s="72">
        <v>147.16999999999999</v>
      </c>
      <c r="S38" s="72">
        <v>17.66</v>
      </c>
      <c r="T38" s="72">
        <v>53.94</v>
      </c>
      <c r="U38" s="72">
        <v>-53.94</v>
      </c>
      <c r="V38" s="72">
        <v>0</v>
      </c>
      <c r="W38" s="72">
        <v>177.37</v>
      </c>
      <c r="X38" s="72">
        <v>0</v>
      </c>
      <c r="Y38" s="72">
        <v>200</v>
      </c>
      <c r="Z38" s="72">
        <v>200</v>
      </c>
      <c r="AA38" s="72">
        <v>200</v>
      </c>
      <c r="AB38" s="72">
        <v>200</v>
      </c>
      <c r="AC38" s="127">
        <f t="shared" ref="AC38:AC79" si="24">SUM(Q38:AB38)</f>
        <v>1180.46</v>
      </c>
      <c r="AD38" s="72">
        <f t="shared" ref="AD38:AD82" si="25">P38-AC38</f>
        <v>1219.54</v>
      </c>
      <c r="AE38" s="192">
        <f t="shared" ref="AE38:AE82" si="26">AD38/AC38</f>
        <v>1.0331057384409468</v>
      </c>
      <c r="AF38" s="129">
        <v>4809.9600000000009</v>
      </c>
      <c r="AG38" s="124">
        <f t="shared" si="17"/>
        <v>2409.9600000000009</v>
      </c>
      <c r="AH38" s="124"/>
    </row>
    <row r="39" spans="1:34">
      <c r="A39" s="105" t="s">
        <v>273</v>
      </c>
      <c r="C39" s="105" t="s">
        <v>426</v>
      </c>
      <c r="P39" s="133">
        <f t="shared" si="23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4"/>
        <v>0</v>
      </c>
      <c r="AD39" s="72">
        <f t="shared" si="25"/>
        <v>0</v>
      </c>
      <c r="AE39" s="192" t="e">
        <f t="shared" si="26"/>
        <v>#DIV/0!</v>
      </c>
      <c r="AF39" s="129">
        <v>0</v>
      </c>
      <c r="AG39" s="124">
        <f t="shared" si="17"/>
        <v>0</v>
      </c>
      <c r="AH39" s="124"/>
    </row>
    <row r="40" spans="1:34">
      <c r="A40" s="105" t="s">
        <v>503</v>
      </c>
      <c r="C40" s="105" t="s">
        <v>427</v>
      </c>
      <c r="P40" s="133">
        <f t="shared" si="23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4"/>
        <v>0</v>
      </c>
      <c r="AD40" s="72">
        <f t="shared" si="25"/>
        <v>0</v>
      </c>
      <c r="AE40" s="192" t="e">
        <f t="shared" si="26"/>
        <v>#DIV/0!</v>
      </c>
      <c r="AF40" s="129">
        <v>0</v>
      </c>
      <c r="AG40" s="124">
        <f t="shared" si="17"/>
        <v>0</v>
      </c>
      <c r="AH40" s="124"/>
    </row>
    <row r="41" spans="1:34">
      <c r="A41" s="105" t="s">
        <v>273</v>
      </c>
      <c r="C41" s="105" t="s">
        <v>428</v>
      </c>
      <c r="P41" s="133">
        <f>SUM(D41:O41)</f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4"/>
        <v>0</v>
      </c>
      <c r="AD41" s="72">
        <f t="shared" si="25"/>
        <v>0</v>
      </c>
      <c r="AE41" s="192" t="e">
        <f t="shared" si="26"/>
        <v>#DIV/0!</v>
      </c>
      <c r="AF41" s="129">
        <v>0</v>
      </c>
      <c r="AG41" s="124">
        <f t="shared" si="17"/>
        <v>0</v>
      </c>
      <c r="AH41" s="124"/>
    </row>
    <row r="42" spans="1:34">
      <c r="A42" s="105" t="s">
        <v>504</v>
      </c>
      <c r="B42" s="105" t="s">
        <v>480</v>
      </c>
      <c r="C42" s="105" t="s">
        <v>143</v>
      </c>
      <c r="P42" s="133">
        <f t="shared" si="23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4"/>
        <v>0</v>
      </c>
      <c r="AD42" s="72">
        <f t="shared" si="25"/>
        <v>0</v>
      </c>
      <c r="AE42" s="192" t="e">
        <f t="shared" si="26"/>
        <v>#DIV/0!</v>
      </c>
      <c r="AF42" s="129">
        <v>0</v>
      </c>
      <c r="AG42" s="124">
        <f t="shared" si="17"/>
        <v>0</v>
      </c>
      <c r="AH42" s="124"/>
    </row>
    <row r="43" spans="1:34">
      <c r="A43" s="105" t="s">
        <v>180</v>
      </c>
      <c r="B43" s="105" t="s">
        <v>480</v>
      </c>
      <c r="C43" s="105" t="s">
        <v>144</v>
      </c>
      <c r="D43" s="174">
        <f>+D138+D139+D140</f>
        <v>140881.44000000003</v>
      </c>
      <c r="E43" s="174">
        <f t="shared" ref="E43:O43" si="27">+E138+E139+E140</f>
        <v>109837.76000000001</v>
      </c>
      <c r="F43" s="174">
        <f t="shared" si="27"/>
        <v>110426.76000000002</v>
      </c>
      <c r="G43" s="174">
        <f t="shared" si="27"/>
        <v>119655.63000000002</v>
      </c>
      <c r="H43" s="174">
        <f t="shared" si="27"/>
        <v>125709.07999999999</v>
      </c>
      <c r="I43" s="174">
        <f t="shared" si="27"/>
        <v>112925.09000000001</v>
      </c>
      <c r="J43" s="174">
        <f t="shared" si="27"/>
        <v>112858.09000000003</v>
      </c>
      <c r="K43" s="174">
        <f t="shared" si="27"/>
        <v>113184.09000000003</v>
      </c>
      <c r="L43" s="174">
        <f t="shared" si="27"/>
        <v>113335.09000000003</v>
      </c>
      <c r="M43" s="174">
        <f t="shared" si="27"/>
        <v>142554.02000000002</v>
      </c>
      <c r="N43" s="174">
        <f t="shared" si="27"/>
        <v>112262.09000000001</v>
      </c>
      <c r="O43" s="174">
        <f t="shared" si="27"/>
        <v>112203.09000000001</v>
      </c>
      <c r="P43" s="133">
        <f t="shared" si="23"/>
        <v>1425832.2300000004</v>
      </c>
      <c r="Q43" s="72">
        <v>158268.09</v>
      </c>
      <c r="R43" s="72">
        <v>183008.34</v>
      </c>
      <c r="S43" s="72">
        <v>102809.84</v>
      </c>
      <c r="T43" s="72">
        <v>82166.87</v>
      </c>
      <c r="U43" s="72">
        <v>162827.95000000001</v>
      </c>
      <c r="V43" s="72">
        <v>153738.1</v>
      </c>
      <c r="W43" s="72">
        <v>150204.01</v>
      </c>
      <c r="X43" s="72">
        <v>176981.77</v>
      </c>
      <c r="Y43" s="72">
        <v>46350</v>
      </c>
      <c r="Z43" s="72">
        <v>21350</v>
      </c>
      <c r="AA43" s="72">
        <v>6350</v>
      </c>
      <c r="AB43" s="72">
        <v>16350</v>
      </c>
      <c r="AC43" s="127">
        <f t="shared" si="24"/>
        <v>1260404.97</v>
      </c>
      <c r="AD43" s="72">
        <f t="shared" si="25"/>
        <v>165427.26000000047</v>
      </c>
      <c r="AE43" s="192">
        <f t="shared" si="26"/>
        <v>0.13124929204301733</v>
      </c>
      <c r="AF43" s="129">
        <v>97523.91</v>
      </c>
      <c r="AG43" s="124">
        <f t="shared" si="17"/>
        <v>-1328308.3200000005</v>
      </c>
      <c r="AH43" s="124"/>
    </row>
    <row r="44" spans="1:34">
      <c r="A44" s="105" t="s">
        <v>181</v>
      </c>
      <c r="B44" s="105" t="s">
        <v>496</v>
      </c>
      <c r="C44" s="105" t="s">
        <v>182</v>
      </c>
      <c r="D44" s="72">
        <v>1000</v>
      </c>
      <c r="E44" s="72">
        <v>1000</v>
      </c>
      <c r="F44" s="72">
        <v>1000</v>
      </c>
      <c r="G44" s="72">
        <v>1000</v>
      </c>
      <c r="H44" s="72">
        <v>1000</v>
      </c>
      <c r="I44" s="72">
        <v>1000</v>
      </c>
      <c r="J44" s="72">
        <v>1000</v>
      </c>
      <c r="K44" s="72">
        <v>1000</v>
      </c>
      <c r="L44" s="72">
        <v>1000</v>
      </c>
      <c r="M44" s="72">
        <v>1000</v>
      </c>
      <c r="N44" s="72">
        <v>1000</v>
      </c>
      <c r="O44" s="72">
        <v>1000</v>
      </c>
      <c r="P44" s="133">
        <f t="shared" si="23"/>
        <v>12000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10000</v>
      </c>
      <c r="AC44" s="127">
        <f t="shared" si="24"/>
        <v>10000</v>
      </c>
      <c r="AD44" s="72">
        <f t="shared" si="25"/>
        <v>2000</v>
      </c>
      <c r="AE44" s="192">
        <f t="shared" si="26"/>
        <v>0.2</v>
      </c>
      <c r="AF44" s="129">
        <v>0</v>
      </c>
      <c r="AG44" s="124">
        <f t="shared" si="17"/>
        <v>-12000</v>
      </c>
      <c r="AH44" s="124"/>
    </row>
    <row r="45" spans="1:34">
      <c r="A45" s="105" t="s">
        <v>430</v>
      </c>
      <c r="B45" s="105" t="s">
        <v>496</v>
      </c>
      <c r="C45" s="105" t="s">
        <v>431</v>
      </c>
      <c r="P45" s="133">
        <f t="shared" si="23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4"/>
        <v>0</v>
      </c>
      <c r="AD45" s="72">
        <f t="shared" si="25"/>
        <v>0</v>
      </c>
      <c r="AE45" s="192" t="e">
        <f t="shared" si="26"/>
        <v>#DIV/0!</v>
      </c>
      <c r="AF45" s="129">
        <v>0</v>
      </c>
      <c r="AG45" s="124">
        <f t="shared" si="17"/>
        <v>0</v>
      </c>
      <c r="AH45" s="124"/>
    </row>
    <row r="46" spans="1:34">
      <c r="A46" s="105" t="s">
        <v>183</v>
      </c>
      <c r="B46" s="105" t="s">
        <v>496</v>
      </c>
      <c r="C46" s="105" t="s">
        <v>184</v>
      </c>
      <c r="P46" s="133">
        <f t="shared" si="23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4"/>
        <v>0</v>
      </c>
      <c r="AD46" s="72">
        <f t="shared" si="25"/>
        <v>0</v>
      </c>
      <c r="AE46" s="192" t="e">
        <f t="shared" si="26"/>
        <v>#DIV/0!</v>
      </c>
      <c r="AF46" s="129">
        <v>0</v>
      </c>
      <c r="AG46" s="124">
        <f t="shared" si="17"/>
        <v>0</v>
      </c>
      <c r="AH46" s="124"/>
    </row>
    <row r="47" spans="1:34">
      <c r="A47" s="105" t="s">
        <v>503</v>
      </c>
      <c r="C47" s="105" t="s">
        <v>432</v>
      </c>
      <c r="P47" s="133">
        <f t="shared" si="23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4"/>
        <v>0</v>
      </c>
      <c r="AD47" s="72">
        <f t="shared" si="25"/>
        <v>0</v>
      </c>
      <c r="AE47" s="192" t="e">
        <f t="shared" si="26"/>
        <v>#DIV/0!</v>
      </c>
      <c r="AF47" s="129">
        <v>0</v>
      </c>
      <c r="AG47" s="124">
        <f t="shared" si="17"/>
        <v>0</v>
      </c>
      <c r="AH47" s="124"/>
    </row>
    <row r="48" spans="1:34">
      <c r="A48" s="105" t="s">
        <v>185</v>
      </c>
      <c r="B48" s="105" t="s">
        <v>496</v>
      </c>
      <c r="C48" s="105" t="s">
        <v>186</v>
      </c>
      <c r="D48" s="72">
        <v>400</v>
      </c>
      <c r="E48" s="72">
        <v>400</v>
      </c>
      <c r="F48" s="72">
        <v>400</v>
      </c>
      <c r="G48" s="72">
        <v>400</v>
      </c>
      <c r="H48" s="72">
        <v>400</v>
      </c>
      <c r="I48" s="72">
        <v>400</v>
      </c>
      <c r="J48" s="72">
        <v>400</v>
      </c>
      <c r="K48" s="72">
        <v>400</v>
      </c>
      <c r="L48" s="72">
        <v>400</v>
      </c>
      <c r="M48" s="72">
        <v>400</v>
      </c>
      <c r="N48" s="72">
        <v>400</v>
      </c>
      <c r="O48" s="72">
        <v>400</v>
      </c>
      <c r="P48" s="133">
        <f t="shared" si="23"/>
        <v>4800</v>
      </c>
      <c r="Q48" s="72">
        <v>0</v>
      </c>
      <c r="R48" s="72">
        <v>681.6</v>
      </c>
      <c r="S48" s="72">
        <v>340.8</v>
      </c>
      <c r="T48" s="72">
        <v>340.8</v>
      </c>
      <c r="U48" s="72">
        <v>340.8</v>
      </c>
      <c r="V48" s="72">
        <v>340.8</v>
      </c>
      <c r="W48" s="72">
        <v>340.8</v>
      </c>
      <c r="X48" s="72">
        <v>340.8</v>
      </c>
      <c r="Y48" s="72">
        <v>360</v>
      </c>
      <c r="Z48" s="72">
        <v>360</v>
      </c>
      <c r="AA48" s="72">
        <v>360</v>
      </c>
      <c r="AB48" s="72">
        <v>360</v>
      </c>
      <c r="AC48" s="127">
        <f t="shared" si="24"/>
        <v>4166.3999999999996</v>
      </c>
      <c r="AD48" s="72">
        <f t="shared" si="25"/>
        <v>633.60000000000036</v>
      </c>
      <c r="AE48" s="192">
        <f t="shared" si="26"/>
        <v>0.1520737327188941</v>
      </c>
      <c r="AF48" s="129">
        <v>3360</v>
      </c>
      <c r="AG48" s="124">
        <f t="shared" si="17"/>
        <v>-1440</v>
      </c>
      <c r="AH48" s="124"/>
    </row>
    <row r="49" spans="1:34">
      <c r="A49" s="105" t="s">
        <v>187</v>
      </c>
      <c r="B49" s="105" t="s">
        <v>496</v>
      </c>
      <c r="C49" s="105" t="s">
        <v>188</v>
      </c>
      <c r="D49" s="72">
        <v>7000</v>
      </c>
      <c r="E49" s="72">
        <v>8000</v>
      </c>
      <c r="F49" s="72">
        <v>7000</v>
      </c>
      <c r="G49" s="72">
        <v>7000</v>
      </c>
      <c r="H49" s="72">
        <v>7000</v>
      </c>
      <c r="I49" s="72">
        <v>4000</v>
      </c>
      <c r="J49" s="72">
        <v>8000</v>
      </c>
      <c r="K49" s="72">
        <v>8000</v>
      </c>
      <c r="L49" s="72">
        <v>4000</v>
      </c>
      <c r="M49" s="72">
        <v>7000</v>
      </c>
      <c r="N49" s="72">
        <v>7000</v>
      </c>
      <c r="O49" s="72">
        <v>8000</v>
      </c>
      <c r="P49" s="133">
        <f t="shared" si="23"/>
        <v>82000</v>
      </c>
      <c r="Q49" s="72">
        <v>12750.38</v>
      </c>
      <c r="R49" s="72">
        <v>12529.78</v>
      </c>
      <c r="S49" s="72">
        <v>14195.58</v>
      </c>
      <c r="T49" s="72">
        <v>10432.280000000001</v>
      </c>
      <c r="U49" s="72">
        <v>8053.96</v>
      </c>
      <c r="V49" s="72">
        <v>8331.06</v>
      </c>
      <c r="W49" s="72">
        <v>8805.66</v>
      </c>
      <c r="X49" s="72">
        <v>10042.27</v>
      </c>
      <c r="Y49" s="72">
        <v>4000</v>
      </c>
      <c r="Z49" s="72">
        <v>5000</v>
      </c>
      <c r="AA49" s="72">
        <v>4000</v>
      </c>
      <c r="AB49" s="72">
        <v>5000</v>
      </c>
      <c r="AC49" s="127">
        <f t="shared" si="24"/>
        <v>103140.97</v>
      </c>
      <c r="AD49" s="72">
        <f t="shared" si="25"/>
        <v>-21140.97</v>
      </c>
      <c r="AE49" s="192">
        <f t="shared" si="26"/>
        <v>-0.20497160342781343</v>
      </c>
      <c r="AF49" s="129">
        <v>45046.700000000004</v>
      </c>
      <c r="AG49" s="124">
        <f t="shared" si="17"/>
        <v>-36953.299999999996</v>
      </c>
      <c r="AH49" s="124"/>
    </row>
    <row r="50" spans="1:34">
      <c r="A50" s="105" t="s">
        <v>195</v>
      </c>
      <c r="B50" s="105" t="s">
        <v>496</v>
      </c>
      <c r="C50" s="105" t="s">
        <v>196</v>
      </c>
      <c r="P50" s="133">
        <f t="shared" si="23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4"/>
        <v>0</v>
      </c>
      <c r="AD50" s="72">
        <f t="shared" si="25"/>
        <v>0</v>
      </c>
      <c r="AE50" s="192" t="e">
        <f t="shared" si="26"/>
        <v>#DIV/0!</v>
      </c>
      <c r="AF50" s="129">
        <v>-0.73</v>
      </c>
      <c r="AG50" s="124">
        <f t="shared" si="17"/>
        <v>-0.73</v>
      </c>
      <c r="AH50" s="124"/>
    </row>
    <row r="51" spans="1:34">
      <c r="A51" s="105" t="s">
        <v>197</v>
      </c>
      <c r="B51" s="105" t="s">
        <v>496</v>
      </c>
      <c r="C51" s="105" t="s">
        <v>305</v>
      </c>
      <c r="D51" s="72">
        <v>4500</v>
      </c>
      <c r="E51" s="72">
        <v>5000</v>
      </c>
      <c r="F51" s="72">
        <v>4000</v>
      </c>
      <c r="G51" s="72">
        <v>4000</v>
      </c>
      <c r="H51" s="72">
        <v>3500</v>
      </c>
      <c r="I51" s="72">
        <v>3000</v>
      </c>
      <c r="J51" s="72">
        <v>4000</v>
      </c>
      <c r="K51" s="72">
        <v>4500</v>
      </c>
      <c r="L51" s="72">
        <v>3000</v>
      </c>
      <c r="M51" s="72">
        <v>4000</v>
      </c>
      <c r="N51" s="72">
        <v>4000</v>
      </c>
      <c r="O51" s="72">
        <v>3500</v>
      </c>
      <c r="P51" s="133">
        <f t="shared" si="23"/>
        <v>47000</v>
      </c>
      <c r="Q51" s="72">
        <v>3207.9</v>
      </c>
      <c r="R51" s="72">
        <v>3325</v>
      </c>
      <c r="S51" s="72">
        <v>3476.9</v>
      </c>
      <c r="T51" s="72">
        <v>2666.9</v>
      </c>
      <c r="U51" s="72">
        <v>4785.8999999999996</v>
      </c>
      <c r="V51" s="72">
        <v>4964</v>
      </c>
      <c r="W51" s="72">
        <v>2637.89</v>
      </c>
      <c r="X51" s="72">
        <v>3634.7</v>
      </c>
      <c r="Y51" s="72">
        <v>3000</v>
      </c>
      <c r="Z51" s="72">
        <v>4000</v>
      </c>
      <c r="AA51" s="72">
        <v>3000</v>
      </c>
      <c r="AB51" s="72">
        <v>4000</v>
      </c>
      <c r="AC51" s="127">
        <f t="shared" si="24"/>
        <v>42699.19</v>
      </c>
      <c r="AD51" s="72">
        <f t="shared" si="25"/>
        <v>4300.8099999999977</v>
      </c>
      <c r="AE51" s="192">
        <f t="shared" si="26"/>
        <v>0.10072345634659574</v>
      </c>
      <c r="AF51" s="129">
        <v>28448.519999999997</v>
      </c>
      <c r="AG51" s="124">
        <f t="shared" si="17"/>
        <v>-18551.480000000003</v>
      </c>
      <c r="AH51" s="124"/>
    </row>
    <row r="52" spans="1:34">
      <c r="A52" s="105" t="s">
        <v>434</v>
      </c>
      <c r="B52" s="105" t="s">
        <v>480</v>
      </c>
      <c r="C52" s="105" t="s">
        <v>435</v>
      </c>
      <c r="D52" s="72">
        <v>10000</v>
      </c>
      <c r="E52" s="72">
        <v>35000</v>
      </c>
      <c r="F52" s="72">
        <v>0</v>
      </c>
      <c r="G52" s="72">
        <v>0</v>
      </c>
      <c r="H52" s="72">
        <v>0</v>
      </c>
      <c r="I52" s="72">
        <v>0</v>
      </c>
      <c r="J52" s="72">
        <v>20000</v>
      </c>
      <c r="K52" s="72">
        <v>20000</v>
      </c>
      <c r="L52" s="72">
        <v>0</v>
      </c>
      <c r="M52" s="72">
        <v>0</v>
      </c>
      <c r="N52" s="72">
        <v>0</v>
      </c>
      <c r="O52" s="72">
        <v>0</v>
      </c>
      <c r="P52" s="133">
        <f t="shared" si="23"/>
        <v>85000</v>
      </c>
      <c r="Q52" s="72">
        <v>0</v>
      </c>
      <c r="R52" s="72">
        <v>35000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4"/>
        <v>35000</v>
      </c>
      <c r="AD52" s="72">
        <f t="shared" si="25"/>
        <v>50000</v>
      </c>
      <c r="AE52" s="192">
        <f t="shared" si="26"/>
        <v>1.4285714285714286</v>
      </c>
      <c r="AF52" s="129">
        <v>8263.93</v>
      </c>
      <c r="AG52" s="124">
        <f t="shared" si="17"/>
        <v>-76736.070000000007</v>
      </c>
      <c r="AH52" s="124"/>
    </row>
    <row r="53" spans="1:34">
      <c r="A53" s="105" t="s">
        <v>436</v>
      </c>
      <c r="B53" s="105" t="s">
        <v>480</v>
      </c>
      <c r="C53" s="105" t="s">
        <v>437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133">
        <f t="shared" si="23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4"/>
        <v>0</v>
      </c>
      <c r="AD53" s="72">
        <f t="shared" si="25"/>
        <v>0</v>
      </c>
      <c r="AE53" s="192" t="e">
        <f t="shared" si="26"/>
        <v>#DIV/0!</v>
      </c>
      <c r="AF53" s="129">
        <v>0</v>
      </c>
      <c r="AG53" s="124">
        <f t="shared" si="17"/>
        <v>0</v>
      </c>
      <c r="AH53" s="124"/>
    </row>
    <row r="54" spans="1:34">
      <c r="A54" s="105" t="s">
        <v>199</v>
      </c>
      <c r="B54" s="105" t="s">
        <v>496</v>
      </c>
      <c r="C54" s="105" t="s">
        <v>200</v>
      </c>
      <c r="P54" s="133">
        <f t="shared" si="23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4"/>
        <v>0</v>
      </c>
      <c r="AD54" s="72">
        <f t="shared" si="25"/>
        <v>0</v>
      </c>
      <c r="AE54" s="192" t="e">
        <f t="shared" si="26"/>
        <v>#DIV/0!</v>
      </c>
      <c r="AF54" s="129">
        <v>68962</v>
      </c>
      <c r="AG54" s="124">
        <f t="shared" si="17"/>
        <v>68962</v>
      </c>
      <c r="AH54" s="124"/>
    </row>
    <row r="55" spans="1:34">
      <c r="A55" s="105" t="s">
        <v>438</v>
      </c>
      <c r="B55" s="105" t="s">
        <v>496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133">
        <f t="shared" si="23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4"/>
        <v>0</v>
      </c>
      <c r="AD55" s="72">
        <f t="shared" si="25"/>
        <v>0</v>
      </c>
      <c r="AE55" s="192" t="e">
        <f t="shared" si="26"/>
        <v>#DIV/0!</v>
      </c>
      <c r="AF55" s="129">
        <v>0</v>
      </c>
      <c r="AG55" s="124">
        <f t="shared" si="17"/>
        <v>0</v>
      </c>
      <c r="AH55" s="124"/>
    </row>
    <row r="56" spans="1:34">
      <c r="A56" s="105" t="s">
        <v>201</v>
      </c>
      <c r="B56" s="105" t="s">
        <v>480</v>
      </c>
      <c r="C56" s="105" t="s">
        <v>202</v>
      </c>
      <c r="D56" s="72">
        <v>10000</v>
      </c>
      <c r="E56" s="72">
        <v>20000</v>
      </c>
      <c r="F56" s="72">
        <v>10000</v>
      </c>
      <c r="G56" s="72">
        <v>0</v>
      </c>
      <c r="H56" s="72">
        <v>10000</v>
      </c>
      <c r="I56" s="72">
        <v>0</v>
      </c>
      <c r="J56" s="72">
        <v>10000</v>
      </c>
      <c r="K56" s="72">
        <v>10000</v>
      </c>
      <c r="L56" s="72">
        <v>0</v>
      </c>
      <c r="M56" s="72">
        <v>0</v>
      </c>
      <c r="N56" s="72">
        <v>0</v>
      </c>
      <c r="O56" s="72">
        <v>5000</v>
      </c>
      <c r="P56" s="133">
        <f t="shared" si="23"/>
        <v>75000</v>
      </c>
      <c r="Q56" s="72">
        <v>1748</v>
      </c>
      <c r="R56" s="72">
        <v>1690</v>
      </c>
      <c r="S56" s="72">
        <v>3175</v>
      </c>
      <c r="T56" s="72">
        <v>-64.36</v>
      </c>
      <c r="U56" s="72">
        <v>6834.63</v>
      </c>
      <c r="V56" s="72">
        <v>0</v>
      </c>
      <c r="W56" s="72">
        <v>5940</v>
      </c>
      <c r="X56" s="72">
        <v>15115.4</v>
      </c>
      <c r="Y56" s="72">
        <v>10000</v>
      </c>
      <c r="Z56" s="72">
        <v>5000</v>
      </c>
      <c r="AA56" s="72">
        <v>10000</v>
      </c>
      <c r="AB56" s="72">
        <v>10000</v>
      </c>
      <c r="AC56" s="127">
        <f t="shared" si="24"/>
        <v>69438.67</v>
      </c>
      <c r="AD56" s="72">
        <f t="shared" si="25"/>
        <v>5561.3300000000017</v>
      </c>
      <c r="AE56" s="192">
        <f t="shared" si="26"/>
        <v>8.0089811628016525E-2</v>
      </c>
      <c r="AF56" s="129">
        <v>6358.3600000000006</v>
      </c>
      <c r="AG56" s="124">
        <f t="shared" si="17"/>
        <v>-68641.64</v>
      </c>
      <c r="AH56" s="124"/>
    </row>
    <row r="57" spans="1:34">
      <c r="A57" s="105" t="s">
        <v>440</v>
      </c>
      <c r="B57" s="105" t="s">
        <v>480</v>
      </c>
      <c r="C57" s="105" t="s">
        <v>441</v>
      </c>
      <c r="P57" s="133">
        <f t="shared" si="23"/>
        <v>0</v>
      </c>
      <c r="Q57" s="72">
        <v>50000</v>
      </c>
      <c r="R57" s="72">
        <v>50000</v>
      </c>
      <c r="S57" s="72">
        <v>50000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4"/>
        <v>150000</v>
      </c>
      <c r="AD57" s="72">
        <f t="shared" si="25"/>
        <v>-150000</v>
      </c>
      <c r="AE57" s="192">
        <f t="shared" si="26"/>
        <v>-1</v>
      </c>
      <c r="AF57" s="129">
        <v>1588.2</v>
      </c>
      <c r="AG57" s="124">
        <f t="shared" si="17"/>
        <v>1588.2</v>
      </c>
      <c r="AH57" s="124"/>
    </row>
    <row r="58" spans="1:34">
      <c r="A58" s="105" t="s">
        <v>442</v>
      </c>
      <c r="B58" s="105" t="s">
        <v>496</v>
      </c>
      <c r="C58" s="105" t="s">
        <v>443</v>
      </c>
      <c r="D58" s="72">
        <v>500</v>
      </c>
      <c r="E58" s="72">
        <v>500</v>
      </c>
      <c r="F58" s="72">
        <v>500</v>
      </c>
      <c r="G58" s="72">
        <v>500</v>
      </c>
      <c r="H58" s="72">
        <v>500</v>
      </c>
      <c r="I58" s="72">
        <v>500</v>
      </c>
      <c r="J58" s="72">
        <v>500</v>
      </c>
      <c r="K58" s="72">
        <v>500</v>
      </c>
      <c r="L58" s="72">
        <v>500</v>
      </c>
      <c r="M58" s="72">
        <v>500</v>
      </c>
      <c r="N58" s="72">
        <v>500</v>
      </c>
      <c r="O58" s="72">
        <v>500</v>
      </c>
      <c r="P58" s="133">
        <f t="shared" si="23"/>
        <v>6000</v>
      </c>
      <c r="Q58" s="72">
        <v>168.14</v>
      </c>
      <c r="R58" s="72">
        <v>0</v>
      </c>
      <c r="S58" s="72">
        <v>336.28</v>
      </c>
      <c r="T58" s="72">
        <v>336.28</v>
      </c>
      <c r="U58" s="72">
        <v>168.14</v>
      </c>
      <c r="V58" s="72">
        <v>0</v>
      </c>
      <c r="W58" s="72">
        <v>504.42</v>
      </c>
      <c r="X58" s="72">
        <v>168.14</v>
      </c>
      <c r="Y58" s="72">
        <v>500</v>
      </c>
      <c r="Z58" s="72">
        <v>500</v>
      </c>
      <c r="AA58" s="72">
        <v>500</v>
      </c>
      <c r="AB58" s="72">
        <v>500</v>
      </c>
      <c r="AC58" s="127">
        <f t="shared" si="24"/>
        <v>3681.4</v>
      </c>
      <c r="AD58" s="72">
        <f t="shared" si="25"/>
        <v>2318.6</v>
      </c>
      <c r="AE58" s="192">
        <f t="shared" si="26"/>
        <v>0.62981474439072083</v>
      </c>
      <c r="AF58" s="129">
        <v>6985.4999999999991</v>
      </c>
      <c r="AG58" s="124">
        <f t="shared" si="17"/>
        <v>985.49999999999909</v>
      </c>
      <c r="AH58" s="124"/>
    </row>
    <row r="59" spans="1:34">
      <c r="A59" s="105" t="s">
        <v>203</v>
      </c>
      <c r="B59" s="105" t="s">
        <v>496</v>
      </c>
      <c r="C59" s="105" t="s">
        <v>204</v>
      </c>
      <c r="D59" s="72">
        <v>1686</v>
      </c>
      <c r="E59" s="72">
        <v>1686</v>
      </c>
      <c r="F59" s="72">
        <v>1686</v>
      </c>
      <c r="G59" s="72">
        <v>1686</v>
      </c>
      <c r="H59" s="72">
        <v>1686</v>
      </c>
      <c r="I59" s="72">
        <v>1686</v>
      </c>
      <c r="J59" s="72">
        <v>1686</v>
      </c>
      <c r="K59" s="72">
        <v>1686</v>
      </c>
      <c r="L59" s="72">
        <v>1686</v>
      </c>
      <c r="M59" s="72">
        <v>1686</v>
      </c>
      <c r="N59" s="72">
        <v>1686</v>
      </c>
      <c r="O59" s="72">
        <v>1686</v>
      </c>
      <c r="P59" s="133">
        <f t="shared" si="23"/>
        <v>20232</v>
      </c>
      <c r="Q59" s="72">
        <v>3850.2</v>
      </c>
      <c r="R59" s="72">
        <v>3991</v>
      </c>
      <c r="S59" s="72">
        <v>3991</v>
      </c>
      <c r="T59" s="72">
        <v>-47.79</v>
      </c>
      <c r="U59" s="72">
        <v>0</v>
      </c>
      <c r="V59" s="72">
        <v>-29.66</v>
      </c>
      <c r="W59" s="72">
        <v>-191.16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4"/>
        <v>11563.59</v>
      </c>
      <c r="AD59" s="72">
        <f t="shared" si="25"/>
        <v>8668.41</v>
      </c>
      <c r="AE59" s="192">
        <f t="shared" si="26"/>
        <v>0.74962965653400027</v>
      </c>
      <c r="AF59" s="129">
        <v>25039.809999999998</v>
      </c>
      <c r="AG59" s="124">
        <f t="shared" si="17"/>
        <v>4807.8099999999977</v>
      </c>
      <c r="AH59" s="124"/>
    </row>
    <row r="60" spans="1:34">
      <c r="A60" s="105" t="s">
        <v>444</v>
      </c>
      <c r="B60" s="105" t="s">
        <v>496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133">
        <f t="shared" si="23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4"/>
        <v>0</v>
      </c>
      <c r="AD60" s="72">
        <f t="shared" si="25"/>
        <v>0</v>
      </c>
      <c r="AE60" s="192" t="e">
        <f t="shared" si="26"/>
        <v>#DIV/0!</v>
      </c>
      <c r="AF60" s="129">
        <v>105</v>
      </c>
      <c r="AG60" s="124">
        <f t="shared" si="17"/>
        <v>105</v>
      </c>
      <c r="AH60" s="124"/>
    </row>
    <row r="61" spans="1:34">
      <c r="A61" s="105" t="s">
        <v>446</v>
      </c>
      <c r="B61" s="105" t="s">
        <v>496</v>
      </c>
      <c r="C61" s="105" t="s">
        <v>447</v>
      </c>
      <c r="D61" s="72">
        <v>20000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10000</v>
      </c>
      <c r="L61" s="72">
        <v>0</v>
      </c>
      <c r="M61" s="72">
        <v>10000</v>
      </c>
      <c r="N61" s="72">
        <v>0</v>
      </c>
      <c r="O61" s="72">
        <v>20000</v>
      </c>
      <c r="P61" s="133">
        <f t="shared" si="23"/>
        <v>60000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20000</v>
      </c>
      <c r="AA61" s="72">
        <v>0</v>
      </c>
      <c r="AB61" s="72">
        <v>20000</v>
      </c>
      <c r="AC61" s="127">
        <f t="shared" si="24"/>
        <v>40000</v>
      </c>
      <c r="AD61" s="72">
        <f t="shared" si="25"/>
        <v>20000</v>
      </c>
      <c r="AE61" s="192">
        <f t="shared" si="26"/>
        <v>0.5</v>
      </c>
      <c r="AF61" s="129">
        <v>0</v>
      </c>
      <c r="AG61" s="124">
        <f t="shared" si="17"/>
        <v>-60000</v>
      </c>
      <c r="AH61" s="124"/>
    </row>
    <row r="62" spans="1:34">
      <c r="A62" s="105" t="s">
        <v>273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133">
        <f t="shared" si="23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4"/>
        <v>0</v>
      </c>
      <c r="AD62" s="72">
        <f t="shared" si="25"/>
        <v>0</v>
      </c>
      <c r="AE62" s="192" t="e">
        <f t="shared" si="26"/>
        <v>#DIV/0!</v>
      </c>
      <c r="AF62" s="129">
        <v>0</v>
      </c>
      <c r="AG62" s="124">
        <f t="shared" si="17"/>
        <v>0</v>
      </c>
      <c r="AH62" s="124"/>
    </row>
    <row r="63" spans="1:34">
      <c r="A63" s="105" t="s">
        <v>207</v>
      </c>
      <c r="B63" s="105" t="s">
        <v>496</v>
      </c>
      <c r="C63" s="105" t="s">
        <v>208</v>
      </c>
      <c r="D63" s="72">
        <v>3000</v>
      </c>
      <c r="E63" s="72">
        <v>4000</v>
      </c>
      <c r="F63" s="72">
        <v>2000</v>
      </c>
      <c r="G63" s="72">
        <v>2000</v>
      </c>
      <c r="H63" s="72">
        <v>3000</v>
      </c>
      <c r="I63" s="72">
        <v>2000</v>
      </c>
      <c r="J63" s="72">
        <v>3000</v>
      </c>
      <c r="K63" s="72">
        <v>3000</v>
      </c>
      <c r="L63" s="72">
        <v>2000</v>
      </c>
      <c r="M63" s="72">
        <v>3000</v>
      </c>
      <c r="N63" s="72">
        <v>3000</v>
      </c>
      <c r="O63" s="72">
        <v>3000</v>
      </c>
      <c r="P63" s="133">
        <f t="shared" si="23"/>
        <v>33000</v>
      </c>
      <c r="Q63" s="72">
        <v>2176</v>
      </c>
      <c r="R63" s="72">
        <v>4474.92</v>
      </c>
      <c r="S63" s="72">
        <v>920.36</v>
      </c>
      <c r="T63" s="72">
        <v>1527.34</v>
      </c>
      <c r="U63" s="72">
        <v>1097.54</v>
      </c>
      <c r="V63" s="72">
        <v>936.58</v>
      </c>
      <c r="W63" s="72">
        <v>2799.03</v>
      </c>
      <c r="X63" s="72">
        <v>2278.5</v>
      </c>
      <c r="Y63" s="72">
        <v>2000</v>
      </c>
      <c r="Z63" s="72">
        <v>3000</v>
      </c>
      <c r="AA63" s="72">
        <v>2000</v>
      </c>
      <c r="AB63" s="72">
        <v>3000</v>
      </c>
      <c r="AC63" s="127">
        <f t="shared" si="24"/>
        <v>26210.27</v>
      </c>
      <c r="AD63" s="72">
        <f t="shared" si="25"/>
        <v>6789.73</v>
      </c>
      <c r="AE63" s="192">
        <f t="shared" si="26"/>
        <v>0.25904845695980999</v>
      </c>
      <c r="AF63" s="129">
        <v>10751.380000000001</v>
      </c>
      <c r="AG63" s="124">
        <f t="shared" si="17"/>
        <v>-22248.62</v>
      </c>
      <c r="AH63" s="124"/>
    </row>
    <row r="64" spans="1:34">
      <c r="A64" s="105" t="s">
        <v>449</v>
      </c>
      <c r="B64" s="105" t="s">
        <v>496</v>
      </c>
      <c r="C64" s="105" t="s">
        <v>450</v>
      </c>
      <c r="D64" s="72">
        <v>114</v>
      </c>
      <c r="E64" s="72">
        <v>114</v>
      </c>
      <c r="F64" s="72">
        <v>114</v>
      </c>
      <c r="G64" s="72">
        <v>114</v>
      </c>
      <c r="H64" s="72">
        <v>114</v>
      </c>
      <c r="I64" s="72">
        <v>54</v>
      </c>
      <c r="J64" s="72">
        <v>54</v>
      </c>
      <c r="K64" s="72">
        <v>221</v>
      </c>
      <c r="L64" s="72">
        <v>221</v>
      </c>
      <c r="M64" s="72">
        <v>221</v>
      </c>
      <c r="N64" s="72">
        <v>221</v>
      </c>
      <c r="O64" s="72">
        <v>221</v>
      </c>
      <c r="P64" s="133">
        <f t="shared" si="23"/>
        <v>1783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221</v>
      </c>
      <c r="Z64" s="72">
        <v>221</v>
      </c>
      <c r="AA64" s="72">
        <v>221</v>
      </c>
      <c r="AB64" s="72">
        <v>221</v>
      </c>
      <c r="AC64" s="127">
        <f t="shared" si="24"/>
        <v>1618.5</v>
      </c>
      <c r="AD64" s="72">
        <f t="shared" si="25"/>
        <v>164.5</v>
      </c>
      <c r="AE64" s="192">
        <f t="shared" si="26"/>
        <v>0.10163731850478838</v>
      </c>
      <c r="AF64" s="129">
        <v>2026.5400000000004</v>
      </c>
      <c r="AG64" s="124">
        <f t="shared" si="17"/>
        <v>243.54000000000042</v>
      </c>
      <c r="AH64" s="124"/>
    </row>
    <row r="65" spans="1:34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133">
        <f t="shared" si="23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4"/>
        <v>0</v>
      </c>
      <c r="AD65" s="72">
        <f t="shared" si="25"/>
        <v>0</v>
      </c>
      <c r="AE65" s="192" t="e">
        <f t="shared" si="26"/>
        <v>#DIV/0!</v>
      </c>
      <c r="AF65" s="129">
        <v>0</v>
      </c>
      <c r="AG65" s="124">
        <f t="shared" si="17"/>
        <v>0</v>
      </c>
      <c r="AH65" s="124"/>
    </row>
    <row r="66" spans="1:34">
      <c r="A66" s="105" t="s">
        <v>452</v>
      </c>
      <c r="B66" s="105" t="s">
        <v>496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133">
        <f t="shared" si="23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4"/>
        <v>0</v>
      </c>
      <c r="AD66" s="72">
        <f t="shared" si="25"/>
        <v>0</v>
      </c>
      <c r="AE66" s="192" t="e">
        <f t="shared" si="26"/>
        <v>#DIV/0!</v>
      </c>
      <c r="AF66" s="129">
        <v>0</v>
      </c>
      <c r="AG66" s="124">
        <f t="shared" si="17"/>
        <v>0</v>
      </c>
      <c r="AH66" s="124"/>
    </row>
    <row r="67" spans="1:34">
      <c r="A67" s="105" t="s">
        <v>454</v>
      </c>
      <c r="B67" s="105" t="s">
        <v>480</v>
      </c>
      <c r="C67" s="105" t="s">
        <v>455</v>
      </c>
      <c r="D67" s="72">
        <v>5300</v>
      </c>
      <c r="E67" s="72">
        <v>5300</v>
      </c>
      <c r="F67" s="72">
        <v>5300</v>
      </c>
      <c r="G67" s="72">
        <v>5300</v>
      </c>
      <c r="H67" s="72">
        <v>5300</v>
      </c>
      <c r="I67" s="72">
        <v>5300</v>
      </c>
      <c r="J67" s="72">
        <v>5300</v>
      </c>
      <c r="K67" s="72">
        <v>5300</v>
      </c>
      <c r="L67" s="72">
        <v>5300</v>
      </c>
      <c r="M67" s="72">
        <v>5300</v>
      </c>
      <c r="N67" s="72">
        <v>5300</v>
      </c>
      <c r="O67" s="72">
        <v>5300</v>
      </c>
      <c r="P67" s="133">
        <f t="shared" si="23"/>
        <v>63600</v>
      </c>
      <c r="Q67" s="136">
        <v>5270</v>
      </c>
      <c r="R67" s="136">
        <v>4930</v>
      </c>
      <c r="S67" s="136">
        <v>5270</v>
      </c>
      <c r="T67" s="136">
        <v>5100</v>
      </c>
      <c r="U67" s="136">
        <v>5270</v>
      </c>
      <c r="V67" s="136">
        <v>5100</v>
      </c>
      <c r="W67" s="72">
        <v>5270</v>
      </c>
      <c r="X67" s="72">
        <v>5270</v>
      </c>
      <c r="Y67" s="72">
        <v>5500</v>
      </c>
      <c r="Z67" s="72">
        <v>5500</v>
      </c>
      <c r="AA67" s="72">
        <v>5500</v>
      </c>
      <c r="AB67" s="72">
        <v>5500</v>
      </c>
      <c r="AC67" s="137">
        <f t="shared" si="24"/>
        <v>63480</v>
      </c>
      <c r="AD67" s="136">
        <f t="shared" si="25"/>
        <v>120</v>
      </c>
      <c r="AE67" s="196">
        <f t="shared" si="26"/>
        <v>1.890359168241966E-3</v>
      </c>
      <c r="AF67" s="133">
        <v>26430</v>
      </c>
      <c r="AG67" s="124">
        <f t="shared" si="17"/>
        <v>-37170</v>
      </c>
      <c r="AH67" s="124"/>
    </row>
    <row r="68" spans="1:34">
      <c r="A68" s="105" t="s">
        <v>456</v>
      </c>
      <c r="B68" s="105" t="s">
        <v>480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133">
        <f t="shared" si="23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4"/>
        <v>0</v>
      </c>
      <c r="AD68" s="136">
        <f t="shared" si="25"/>
        <v>0</v>
      </c>
      <c r="AE68" s="196" t="e">
        <f t="shared" si="26"/>
        <v>#DIV/0!</v>
      </c>
      <c r="AF68" s="133">
        <v>0</v>
      </c>
      <c r="AG68" s="124">
        <f t="shared" si="17"/>
        <v>0</v>
      </c>
      <c r="AH68" s="124"/>
    </row>
    <row r="69" spans="1:34">
      <c r="A69" s="105" t="s">
        <v>503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133">
        <f t="shared" si="23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4"/>
        <v>0</v>
      </c>
      <c r="AD69" s="136">
        <f t="shared" si="25"/>
        <v>0</v>
      </c>
      <c r="AE69" s="196" t="e">
        <f t="shared" si="26"/>
        <v>#DIV/0!</v>
      </c>
      <c r="AF69" s="133">
        <v>0</v>
      </c>
      <c r="AG69" s="124">
        <f t="shared" si="17"/>
        <v>0</v>
      </c>
      <c r="AH69" s="124"/>
    </row>
    <row r="70" spans="1:34">
      <c r="A70" s="105" t="s">
        <v>209</v>
      </c>
      <c r="B70" s="105" t="s">
        <v>496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133">
        <f t="shared" si="23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4"/>
        <v>0</v>
      </c>
      <c r="AD70" s="136">
        <f t="shared" si="25"/>
        <v>0</v>
      </c>
      <c r="AE70" s="196" t="e">
        <f t="shared" si="26"/>
        <v>#DIV/0!</v>
      </c>
      <c r="AF70" s="133">
        <v>0</v>
      </c>
      <c r="AG70" s="124">
        <f t="shared" si="17"/>
        <v>0</v>
      </c>
      <c r="AH70" s="124"/>
    </row>
    <row r="71" spans="1:34">
      <c r="A71" s="105" t="s">
        <v>211</v>
      </c>
      <c r="B71" s="105" t="s">
        <v>496</v>
      </c>
      <c r="C71" s="105" t="s">
        <v>212</v>
      </c>
      <c r="D71" s="72">
        <v>1000</v>
      </c>
      <c r="E71" s="72">
        <v>1000</v>
      </c>
      <c r="F71" s="72">
        <v>1000</v>
      </c>
      <c r="G71" s="72">
        <v>1000</v>
      </c>
      <c r="H71" s="72">
        <v>1000</v>
      </c>
      <c r="I71" s="72">
        <v>1000</v>
      </c>
      <c r="J71" s="72">
        <v>1000</v>
      </c>
      <c r="K71" s="72">
        <v>1000</v>
      </c>
      <c r="L71" s="72">
        <v>1000</v>
      </c>
      <c r="M71" s="72">
        <v>1000</v>
      </c>
      <c r="N71" s="72">
        <v>1000</v>
      </c>
      <c r="O71" s="72">
        <v>1000</v>
      </c>
      <c r="P71" s="133">
        <f t="shared" si="23"/>
        <v>12000</v>
      </c>
      <c r="Q71" s="136">
        <v>785</v>
      </c>
      <c r="R71" s="136">
        <v>2171.5</v>
      </c>
      <c r="S71" s="136">
        <v>6521.24</v>
      </c>
      <c r="T71" s="136">
        <v>310</v>
      </c>
      <c r="U71" s="136">
        <v>648.1</v>
      </c>
      <c r="V71" s="136">
        <v>630</v>
      </c>
      <c r="W71" s="72">
        <v>638.30999999999995</v>
      </c>
      <c r="X71" s="72">
        <v>895.5</v>
      </c>
      <c r="Y71" s="72">
        <v>1000</v>
      </c>
      <c r="Z71" s="72">
        <v>1000</v>
      </c>
      <c r="AA71" s="72">
        <v>1000</v>
      </c>
      <c r="AB71" s="72">
        <v>1000</v>
      </c>
      <c r="AC71" s="137">
        <f t="shared" si="24"/>
        <v>16599.650000000001</v>
      </c>
      <c r="AD71" s="136">
        <f t="shared" si="25"/>
        <v>-4599.6500000000015</v>
      </c>
      <c r="AE71" s="196">
        <f t="shared" si="26"/>
        <v>-0.27709319172392194</v>
      </c>
      <c r="AF71" s="133">
        <v>15085.73</v>
      </c>
      <c r="AG71" s="124">
        <f t="shared" si="17"/>
        <v>3085.7299999999996</v>
      </c>
      <c r="AH71" s="124"/>
    </row>
    <row r="72" spans="1:34">
      <c r="A72" s="105" t="s">
        <v>213</v>
      </c>
      <c r="B72" s="105" t="s">
        <v>496</v>
      </c>
      <c r="C72" s="105" t="s">
        <v>214</v>
      </c>
      <c r="D72" s="212">
        <f>Laundry!E124</f>
        <v>7866</v>
      </c>
      <c r="E72" s="212">
        <f>Laundry!F124</f>
        <v>7171</v>
      </c>
      <c r="F72" s="212">
        <f>Laundry!G124</f>
        <v>7253</v>
      </c>
      <c r="G72" s="212">
        <f>Laundry!H124</f>
        <v>7453</v>
      </c>
      <c r="H72" s="212">
        <f>Laundry!I124</f>
        <v>7663</v>
      </c>
      <c r="I72" s="212">
        <f>Laundry!J124</f>
        <v>7322</v>
      </c>
      <c r="J72" s="212">
        <f>Laundry!K124</f>
        <v>7807</v>
      </c>
      <c r="K72" s="212">
        <f>Laundry!L124</f>
        <v>7770</v>
      </c>
      <c r="L72" s="212">
        <f>Laundry!M124</f>
        <v>7500</v>
      </c>
      <c r="M72" s="212">
        <f>Laundry!N124</f>
        <v>8533</v>
      </c>
      <c r="N72" s="212">
        <f>Laundry!O124</f>
        <v>7537</v>
      </c>
      <c r="O72" s="212">
        <f>Laundry!P124</f>
        <v>7501</v>
      </c>
      <c r="P72" s="133">
        <f t="shared" si="23"/>
        <v>91376</v>
      </c>
      <c r="Q72" s="136">
        <v>8071.13</v>
      </c>
      <c r="R72" s="136">
        <v>15101.79</v>
      </c>
      <c r="S72" s="136">
        <v>7315.12</v>
      </c>
      <c r="T72" s="136">
        <v>8055.33</v>
      </c>
      <c r="U72" s="136">
        <v>1934.87</v>
      </c>
      <c r="V72" s="136">
        <v>5298.28</v>
      </c>
      <c r="W72" s="72">
        <v>10435.58</v>
      </c>
      <c r="X72" s="72">
        <v>8594.99</v>
      </c>
      <c r="Y72" s="72">
        <v>5986</v>
      </c>
      <c r="Z72" s="72">
        <v>6696</v>
      </c>
      <c r="AA72" s="72">
        <v>5626</v>
      </c>
      <c r="AB72" s="72">
        <v>5753</v>
      </c>
      <c r="AC72" s="137">
        <f t="shared" si="24"/>
        <v>88868.09</v>
      </c>
      <c r="AD72" s="136">
        <f t="shared" si="25"/>
        <v>2507.9100000000035</v>
      </c>
      <c r="AE72" s="196">
        <f t="shared" si="26"/>
        <v>2.8220590765481779E-2</v>
      </c>
      <c r="AF72" s="133">
        <v>45054.75</v>
      </c>
      <c r="AG72" s="124">
        <f t="shared" si="17"/>
        <v>-46321.25</v>
      </c>
      <c r="AH72" s="124"/>
    </row>
    <row r="73" spans="1:34">
      <c r="A73" s="105" t="s">
        <v>306</v>
      </c>
      <c r="B73" s="105" t="s">
        <v>480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133">
        <f t="shared" si="23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4"/>
        <v>0</v>
      </c>
      <c r="AD73" s="136">
        <f t="shared" si="25"/>
        <v>0</v>
      </c>
      <c r="AE73" s="196" t="e">
        <f t="shared" si="26"/>
        <v>#DIV/0!</v>
      </c>
      <c r="AF73" s="133">
        <v>0</v>
      </c>
      <c r="AG73" s="124">
        <f t="shared" si="17"/>
        <v>0</v>
      </c>
      <c r="AH73" s="124"/>
    </row>
    <row r="74" spans="1:34">
      <c r="A74" s="105" t="s">
        <v>215</v>
      </c>
      <c r="B74" s="105" t="s">
        <v>480</v>
      </c>
      <c r="C74" s="105" t="s">
        <v>216</v>
      </c>
      <c r="D74" s="72">
        <v>100</v>
      </c>
      <c r="E74" s="72">
        <v>100</v>
      </c>
      <c r="F74" s="72">
        <v>100</v>
      </c>
      <c r="G74" s="72">
        <v>100</v>
      </c>
      <c r="H74" s="72">
        <v>100</v>
      </c>
      <c r="I74" s="72">
        <v>100</v>
      </c>
      <c r="J74" s="72">
        <v>100</v>
      </c>
      <c r="K74" s="72">
        <v>100</v>
      </c>
      <c r="L74" s="72">
        <v>100</v>
      </c>
      <c r="M74" s="72">
        <v>100</v>
      </c>
      <c r="N74" s="72">
        <v>100</v>
      </c>
      <c r="O74" s="72">
        <v>100</v>
      </c>
      <c r="P74" s="133">
        <f t="shared" si="23"/>
        <v>1200</v>
      </c>
      <c r="Q74" s="136">
        <v>96.03</v>
      </c>
      <c r="R74" s="136">
        <v>48.25</v>
      </c>
      <c r="S74" s="136">
        <v>99.35</v>
      </c>
      <c r="T74" s="136">
        <v>68.349999999999994</v>
      </c>
      <c r="U74" s="136">
        <v>87.2</v>
      </c>
      <c r="V74" s="136">
        <v>82.95</v>
      </c>
      <c r="W74" s="72">
        <v>89.45</v>
      </c>
      <c r="X74" s="72">
        <v>61.8</v>
      </c>
      <c r="Y74" s="72">
        <v>120</v>
      </c>
      <c r="Z74" s="72">
        <v>120</v>
      </c>
      <c r="AA74" s="72">
        <v>120</v>
      </c>
      <c r="AB74" s="72">
        <v>120</v>
      </c>
      <c r="AC74" s="137">
        <f t="shared" si="24"/>
        <v>1113.3800000000001</v>
      </c>
      <c r="AD74" s="136">
        <f t="shared" si="25"/>
        <v>86.619999999999891</v>
      </c>
      <c r="AE74" s="196">
        <f t="shared" si="26"/>
        <v>7.7799134168028777E-2</v>
      </c>
      <c r="AF74" s="133">
        <v>983.16</v>
      </c>
      <c r="AG74" s="124">
        <f t="shared" si="17"/>
        <v>-216.84000000000003</v>
      </c>
      <c r="AH74" s="124"/>
    </row>
    <row r="75" spans="1:34">
      <c r="A75" s="105" t="s">
        <v>217</v>
      </c>
      <c r="B75" s="105" t="s">
        <v>480</v>
      </c>
      <c r="C75" s="105" t="s">
        <v>218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133">
        <f t="shared" si="23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24"/>
        <v>0</v>
      </c>
      <c r="AD75" s="136">
        <f t="shared" si="25"/>
        <v>0</v>
      </c>
      <c r="AE75" s="196" t="e">
        <f t="shared" si="26"/>
        <v>#DIV/0!</v>
      </c>
      <c r="AF75" s="133">
        <v>0</v>
      </c>
      <c r="AG75" s="124">
        <f t="shared" si="17"/>
        <v>0</v>
      </c>
      <c r="AH75" s="124"/>
    </row>
    <row r="76" spans="1:34">
      <c r="A76" s="105" t="s">
        <v>219</v>
      </c>
      <c r="B76" s="105" t="s">
        <v>480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133">
        <f t="shared" si="23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4"/>
        <v>0</v>
      </c>
      <c r="AD76" s="136">
        <f t="shared" si="25"/>
        <v>0</v>
      </c>
      <c r="AE76" s="196" t="e">
        <f t="shared" si="26"/>
        <v>#DIV/0!</v>
      </c>
      <c r="AF76" s="133">
        <v>0</v>
      </c>
      <c r="AG76" s="124">
        <f t="shared" si="17"/>
        <v>0</v>
      </c>
      <c r="AH76" s="124"/>
    </row>
    <row r="77" spans="1:34">
      <c r="A77" s="105" t="s">
        <v>273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133">
        <f t="shared" si="23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4"/>
        <v>0</v>
      </c>
      <c r="AD77" s="136">
        <f t="shared" si="25"/>
        <v>0</v>
      </c>
      <c r="AE77" s="196" t="e">
        <f t="shared" si="26"/>
        <v>#DIV/0!</v>
      </c>
      <c r="AF77" s="133">
        <v>0</v>
      </c>
      <c r="AG77" s="124">
        <f t="shared" si="17"/>
        <v>0</v>
      </c>
      <c r="AH77" s="124"/>
    </row>
    <row r="78" spans="1:34">
      <c r="A78" s="105" t="s">
        <v>221</v>
      </c>
      <c r="B78" s="105" t="s">
        <v>480</v>
      </c>
      <c r="C78" s="105" t="s">
        <v>222</v>
      </c>
      <c r="D78" s="72">
        <v>5000</v>
      </c>
      <c r="E78" s="72">
        <v>5000</v>
      </c>
      <c r="F78" s="72">
        <v>5000</v>
      </c>
      <c r="G78" s="72">
        <v>5000</v>
      </c>
      <c r="H78" s="72">
        <v>5000</v>
      </c>
      <c r="I78" s="72">
        <v>5000</v>
      </c>
      <c r="J78" s="72">
        <v>5000</v>
      </c>
      <c r="K78" s="72">
        <v>5000</v>
      </c>
      <c r="L78" s="72">
        <v>5000</v>
      </c>
      <c r="M78" s="72">
        <v>5000</v>
      </c>
      <c r="N78" s="72">
        <v>5000</v>
      </c>
      <c r="O78" s="72">
        <v>5000</v>
      </c>
      <c r="P78" s="133">
        <f t="shared" si="23"/>
        <v>60000</v>
      </c>
      <c r="Q78" s="136">
        <v>3380.8</v>
      </c>
      <c r="R78" s="136">
        <v>4422.5600000000004</v>
      </c>
      <c r="S78" s="136">
        <v>3000</v>
      </c>
      <c r="T78" s="136">
        <v>7986.08</v>
      </c>
      <c r="U78" s="136">
        <v>4277.58</v>
      </c>
      <c r="V78" s="136">
        <v>3889</v>
      </c>
      <c r="W78" s="72">
        <v>2779.45</v>
      </c>
      <c r="X78" s="72">
        <v>4293.57</v>
      </c>
      <c r="Y78" s="72">
        <v>6375</v>
      </c>
      <c r="Z78" s="72">
        <v>5100</v>
      </c>
      <c r="AA78" s="72">
        <v>4845</v>
      </c>
      <c r="AB78" s="72">
        <v>5355</v>
      </c>
      <c r="AC78" s="137">
        <f t="shared" si="24"/>
        <v>55704.040000000008</v>
      </c>
      <c r="AD78" s="136">
        <f t="shared" si="25"/>
        <v>4295.9599999999919</v>
      </c>
      <c r="AE78" s="196">
        <f t="shared" si="26"/>
        <v>7.7121156741952496E-2</v>
      </c>
      <c r="AF78" s="133">
        <v>55407.67</v>
      </c>
      <c r="AG78" s="124">
        <f t="shared" si="17"/>
        <v>-4592.3300000000017</v>
      </c>
      <c r="AH78" s="124"/>
    </row>
    <row r="79" spans="1:34">
      <c r="A79" s="105" t="s">
        <v>505</v>
      </c>
      <c r="B79" s="105" t="s">
        <v>375</v>
      </c>
      <c r="C79" s="105" t="s">
        <v>506</v>
      </c>
      <c r="D79" s="174">
        <f>SUM('F&amp;B Admin:Main Kichen'!D157)</f>
        <v>254825</v>
      </c>
      <c r="E79" s="174">
        <f>SUM('F&amp;B Admin:Main Kichen'!E157)</f>
        <v>239591</v>
      </c>
      <c r="F79" s="174">
        <f>SUM('F&amp;B Admin:Main Kichen'!F157)</f>
        <v>271350</v>
      </c>
      <c r="G79" s="174">
        <f>SUM('F&amp;B Admin:Main Kichen'!G157)</f>
        <v>293993</v>
      </c>
      <c r="H79" s="174">
        <f>SUM('F&amp;B Admin:Main Kichen'!H157)</f>
        <v>299393</v>
      </c>
      <c r="I79" s="174">
        <f>SUM('F&amp;B Admin:Main Kichen'!I157)</f>
        <v>284490</v>
      </c>
      <c r="J79" s="174">
        <f>SUM('F&amp;B Admin:Main Kichen'!J157)</f>
        <v>285171</v>
      </c>
      <c r="K79" s="174">
        <f>SUM('F&amp;B Admin:Main Kichen'!K157)</f>
        <v>273359</v>
      </c>
      <c r="L79" s="174">
        <f>SUM('F&amp;B Admin:Main Kichen'!L157)</f>
        <v>282680</v>
      </c>
      <c r="M79" s="174">
        <f>SUM('F&amp;B Admin:Main Kichen'!M157)</f>
        <v>302312</v>
      </c>
      <c r="N79" s="174">
        <f>SUM('F&amp;B Admin:Main Kichen'!N157)</f>
        <v>256113</v>
      </c>
      <c r="O79" s="174">
        <f>SUM('F&amp;B Admin:Main Kichen'!O157)</f>
        <v>238601</v>
      </c>
      <c r="P79" s="133">
        <f>SUM(D79:O79)</f>
        <v>3281878</v>
      </c>
      <c r="Q79" s="136">
        <v>334923.55</v>
      </c>
      <c r="R79" s="136">
        <v>317702.18</v>
      </c>
      <c r="S79" s="136">
        <v>337810.41</v>
      </c>
      <c r="T79" s="136">
        <v>351850.4</v>
      </c>
      <c r="U79" s="136">
        <v>198030.53</v>
      </c>
      <c r="V79" s="136">
        <v>282798.03999999998</v>
      </c>
      <c r="W79" s="72">
        <v>293596.06</v>
      </c>
      <c r="X79" s="72">
        <v>270598.14</v>
      </c>
      <c r="Y79" s="72">
        <v>222355</v>
      </c>
      <c r="Z79" s="72">
        <v>283339</v>
      </c>
      <c r="AA79" s="72">
        <v>236846</v>
      </c>
      <c r="AB79" s="72">
        <v>233274</v>
      </c>
      <c r="AC79" s="137">
        <f t="shared" si="24"/>
        <v>3363123.31</v>
      </c>
      <c r="AD79" s="136">
        <f t="shared" si="25"/>
        <v>-81245.310000000056</v>
      </c>
      <c r="AE79" s="196">
        <f t="shared" si="26"/>
        <v>-2.4157695841369568E-2</v>
      </c>
      <c r="AF79" s="133">
        <v>3612184.77</v>
      </c>
      <c r="AG79" s="124">
        <f t="shared" si="17"/>
        <v>330306.77</v>
      </c>
      <c r="AH79" s="124"/>
    </row>
    <row r="80" spans="1:34">
      <c r="C80" s="109" t="s">
        <v>507</v>
      </c>
      <c r="D80" s="137">
        <f>SUM(D39:D79)</f>
        <v>473172.44000000006</v>
      </c>
      <c r="E80" s="137">
        <f>SUM(E38:E79)</f>
        <v>443899.76</v>
      </c>
      <c r="F80" s="137">
        <f>SUM(F38:F79)</f>
        <v>427329.76</v>
      </c>
      <c r="G80" s="137">
        <f>SUM(G38:G79)</f>
        <v>449401.63</v>
      </c>
      <c r="H80" s="137">
        <f>SUM(H38:H79)</f>
        <v>471565.07999999996</v>
      </c>
      <c r="I80" s="137">
        <f>SUM(I38:I79)</f>
        <v>428977.09</v>
      </c>
      <c r="J80" s="133">
        <f t="shared" ref="J80:AC80" si="28">SUM(J38:J79)</f>
        <v>466076.09</v>
      </c>
      <c r="K80" s="133">
        <f t="shared" si="28"/>
        <v>465220.09</v>
      </c>
      <c r="L80" s="133">
        <f t="shared" si="28"/>
        <v>427922.09</v>
      </c>
      <c r="M80" s="133">
        <f t="shared" si="28"/>
        <v>492806.02</v>
      </c>
      <c r="N80" s="133">
        <f t="shared" si="28"/>
        <v>405319.09</v>
      </c>
      <c r="O80" s="133">
        <f t="shared" si="28"/>
        <v>413212.09</v>
      </c>
      <c r="P80" s="133">
        <f t="shared" si="28"/>
        <v>5365101.2300000004</v>
      </c>
      <c r="Q80" s="137">
        <f t="shared" si="28"/>
        <v>584847.83000000007</v>
      </c>
      <c r="R80" s="137">
        <f t="shared" si="28"/>
        <v>639338.43999999994</v>
      </c>
      <c r="S80" s="137">
        <f t="shared" si="28"/>
        <v>539393.8899999999</v>
      </c>
      <c r="T80" s="137">
        <f t="shared" si="28"/>
        <v>470896.77</v>
      </c>
      <c r="U80" s="137">
        <f t="shared" si="28"/>
        <v>394417.61</v>
      </c>
      <c r="V80" s="137">
        <f t="shared" si="28"/>
        <v>466133.39999999997</v>
      </c>
      <c r="W80" s="137">
        <f t="shared" si="28"/>
        <v>484081.12</v>
      </c>
      <c r="X80" s="137">
        <f t="shared" si="28"/>
        <v>498329.82999999996</v>
      </c>
      <c r="Y80" s="137">
        <f t="shared" si="28"/>
        <v>307967</v>
      </c>
      <c r="Z80" s="137">
        <f t="shared" si="28"/>
        <v>361386</v>
      </c>
      <c r="AA80" s="137">
        <f t="shared" si="28"/>
        <v>280568</v>
      </c>
      <c r="AB80" s="137">
        <f t="shared" si="28"/>
        <v>320633</v>
      </c>
      <c r="AC80" s="137">
        <f t="shared" si="28"/>
        <v>5347992.8899999997</v>
      </c>
      <c r="AD80" s="136">
        <f t="shared" si="25"/>
        <v>17108.340000000782</v>
      </c>
      <c r="AE80" s="196">
        <f t="shared" si="26"/>
        <v>3.1990207077483199E-3</v>
      </c>
      <c r="AF80" s="133">
        <v>4064415.16</v>
      </c>
      <c r="AG80" s="124">
        <f t="shared" si="17"/>
        <v>-1300686.0700000003</v>
      </c>
      <c r="AH80" s="124"/>
    </row>
    <row r="81" spans="1:34">
      <c r="C81" s="109" t="s">
        <v>508</v>
      </c>
      <c r="D81" s="137">
        <f t="shared" ref="D81:AC81" si="29">D27-D33-D35-D80</f>
        <v>1191335.58</v>
      </c>
      <c r="E81" s="137">
        <f t="shared" si="29"/>
        <v>1132380.5</v>
      </c>
      <c r="F81" s="137">
        <f t="shared" si="29"/>
        <v>828447.90999999992</v>
      </c>
      <c r="G81" s="137">
        <f t="shared" si="29"/>
        <v>784561.97000000009</v>
      </c>
      <c r="H81" s="137">
        <f t="shared" si="29"/>
        <v>749989.75999999989</v>
      </c>
      <c r="I81" s="137">
        <f t="shared" si="29"/>
        <v>708872.8</v>
      </c>
      <c r="J81" s="133">
        <f t="shared" si="29"/>
        <v>1183055.8099999998</v>
      </c>
      <c r="K81" s="133">
        <f t="shared" si="29"/>
        <v>1184754.3099999998</v>
      </c>
      <c r="L81" s="133">
        <f t="shared" si="29"/>
        <v>708519.30999999982</v>
      </c>
      <c r="M81" s="133">
        <f t="shared" si="29"/>
        <v>708341.94</v>
      </c>
      <c r="N81" s="133">
        <f t="shared" si="29"/>
        <v>792062.40999999992</v>
      </c>
      <c r="O81" s="133">
        <f t="shared" si="29"/>
        <v>968816.90999999992</v>
      </c>
      <c r="P81" s="133">
        <f t="shared" si="29"/>
        <v>10940939.209999999</v>
      </c>
      <c r="Q81" s="137">
        <f t="shared" si="29"/>
        <v>1019180.6699999999</v>
      </c>
      <c r="R81" s="137">
        <f t="shared" si="29"/>
        <v>1326428.4900000002</v>
      </c>
      <c r="S81" s="137">
        <f t="shared" si="29"/>
        <v>998350.66999999993</v>
      </c>
      <c r="T81" s="137">
        <f t="shared" si="29"/>
        <v>1039385.81</v>
      </c>
      <c r="U81" s="137">
        <f t="shared" si="29"/>
        <v>775508.4099999998</v>
      </c>
      <c r="V81" s="137">
        <f t="shared" si="29"/>
        <v>851191.8600000001</v>
      </c>
      <c r="W81" s="137">
        <f t="shared" si="29"/>
        <v>1262194.9899999998</v>
      </c>
      <c r="X81" s="137">
        <f t="shared" si="29"/>
        <v>1278255.83</v>
      </c>
      <c r="Y81" s="137">
        <f t="shared" si="29"/>
        <v>233053.66999999993</v>
      </c>
      <c r="Z81" s="137">
        <f t="shared" si="29"/>
        <v>657788.66999999993</v>
      </c>
      <c r="AA81" s="137">
        <f t="shared" si="29"/>
        <v>615306.66999999993</v>
      </c>
      <c r="AB81" s="137">
        <f t="shared" si="29"/>
        <v>754776.66999999993</v>
      </c>
      <c r="AC81" s="137">
        <f t="shared" si="29"/>
        <v>10811422.409999996</v>
      </c>
      <c r="AD81" s="136">
        <f t="shared" si="25"/>
        <v>129516.80000000261</v>
      </c>
      <c r="AE81" s="196">
        <f t="shared" si="26"/>
        <v>1.1979626277501321E-2</v>
      </c>
      <c r="AF81" s="133">
        <v>13673197.970000003</v>
      </c>
      <c r="AG81" s="124">
        <f>P81-AF81</f>
        <v>-2732258.7600000035</v>
      </c>
      <c r="AH81" s="124"/>
    </row>
    <row r="82" spans="1:34">
      <c r="C82" s="109" t="s">
        <v>509</v>
      </c>
      <c r="D82" s="213">
        <f t="shared" ref="D82:AC82" si="30">D81/D27</f>
        <v>0.42961975477821857</v>
      </c>
      <c r="E82" s="213">
        <f t="shared" si="30"/>
        <v>0.44147387914230019</v>
      </c>
      <c r="F82" s="213">
        <f t="shared" si="30"/>
        <v>0.38985783999999996</v>
      </c>
      <c r="G82" s="213">
        <f t="shared" si="30"/>
        <v>0.36920563294117653</v>
      </c>
      <c r="H82" s="213">
        <f t="shared" si="30"/>
        <v>0.35293635764705877</v>
      </c>
      <c r="I82" s="213">
        <f t="shared" si="30"/>
        <v>0.36259478260869565</v>
      </c>
      <c r="J82" s="213">
        <f t="shared" si="30"/>
        <v>0.44342421664167908</v>
      </c>
      <c r="K82" s="213">
        <f t="shared" si="30"/>
        <v>0.44406083583208389</v>
      </c>
      <c r="L82" s="213">
        <f t="shared" si="30"/>
        <v>0.36241396930946285</v>
      </c>
      <c r="M82" s="213">
        <f t="shared" si="30"/>
        <v>0.33333738352941172</v>
      </c>
      <c r="N82" s="213">
        <f t="shared" si="30"/>
        <v>0.38826588725490191</v>
      </c>
      <c r="O82" s="213">
        <f t="shared" si="30"/>
        <v>0.42214244444444443</v>
      </c>
      <c r="P82" s="213">
        <f t="shared" si="30"/>
        <v>0.39902765272256463</v>
      </c>
      <c r="Q82" s="213">
        <f t="shared" si="30"/>
        <v>0.3752737558352825</v>
      </c>
      <c r="R82" s="213">
        <f t="shared" si="30"/>
        <v>0.42115314811614268</v>
      </c>
      <c r="S82" s="213">
        <f t="shared" si="30"/>
        <v>0.39801526404157817</v>
      </c>
      <c r="T82" s="213">
        <f t="shared" si="30"/>
        <v>0.4220922981776235</v>
      </c>
      <c r="U82" s="213">
        <f t="shared" si="30"/>
        <v>0.40117885710716555</v>
      </c>
      <c r="V82" s="213">
        <f t="shared" si="30"/>
        <v>0.40173187171132579</v>
      </c>
      <c r="W82" s="213">
        <f t="shared" si="30"/>
        <v>0.45946058712547222</v>
      </c>
      <c r="X82" s="213">
        <f t="shared" si="30"/>
        <v>0.45223237261442545</v>
      </c>
      <c r="Y82" s="213">
        <f t="shared" si="30"/>
        <v>0.19335643396780564</v>
      </c>
      <c r="Z82" s="213">
        <f t="shared" si="30"/>
        <v>0.33221649999999997</v>
      </c>
      <c r="AA82" s="213">
        <f t="shared" si="30"/>
        <v>0.35982846198830404</v>
      </c>
      <c r="AB82" s="213">
        <f t="shared" si="30"/>
        <v>0.38516874362114711</v>
      </c>
      <c r="AC82" s="213">
        <f t="shared" si="30"/>
        <v>0.39578231750567655</v>
      </c>
      <c r="AD82" s="136">
        <f t="shared" si="25"/>
        <v>3.2453352168880789E-3</v>
      </c>
      <c r="AE82" s="105">
        <f t="shared" si="26"/>
        <v>8.1997984077232869E-3</v>
      </c>
      <c r="AF82" s="133">
        <v>0.46671451454854357</v>
      </c>
      <c r="AG82" s="124">
        <f>P82-AF82</f>
        <v>-6.7686861825978939E-2</v>
      </c>
      <c r="AH82" s="124"/>
    </row>
    <row r="83" spans="1:34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  <c r="AH83" s="124"/>
    </row>
    <row r="84" spans="1:34">
      <c r="C84" s="109" t="s">
        <v>460</v>
      </c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>
        <f>P85/'Rooms+Summary'!Q55</f>
        <v>1.4583947825516992</v>
      </c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  <c r="AH84" s="124"/>
    </row>
    <row r="85" spans="1:34">
      <c r="A85" s="105" t="s">
        <v>510</v>
      </c>
      <c r="B85" s="105" t="s">
        <v>375</v>
      </c>
      <c r="C85" s="105" t="s">
        <v>481</v>
      </c>
      <c r="D85" s="136">
        <v>29500</v>
      </c>
      <c r="E85" s="136">
        <v>27000</v>
      </c>
      <c r="F85" s="136">
        <v>25000</v>
      </c>
      <c r="G85" s="136">
        <v>25000</v>
      </c>
      <c r="H85" s="136">
        <v>25000</v>
      </c>
      <c r="I85" s="136">
        <v>23000</v>
      </c>
      <c r="J85" s="136">
        <v>29000</v>
      </c>
      <c r="K85" s="136">
        <v>29000</v>
      </c>
      <c r="L85" s="136">
        <v>23000</v>
      </c>
      <c r="M85" s="136">
        <v>25000</v>
      </c>
      <c r="N85" s="136">
        <v>24000</v>
      </c>
      <c r="O85" s="136">
        <v>27000</v>
      </c>
      <c r="P85" s="137">
        <f>SUM(D85:O85)</f>
        <v>311500</v>
      </c>
      <c r="Q85" s="136">
        <v>29297</v>
      </c>
      <c r="R85" s="136">
        <v>29860</v>
      </c>
      <c r="S85" s="136">
        <v>27303</v>
      </c>
      <c r="T85" s="136">
        <v>26602</v>
      </c>
      <c r="U85" s="136">
        <v>21629</v>
      </c>
      <c r="V85" s="136">
        <v>22866</v>
      </c>
      <c r="W85" s="72">
        <v>29039</v>
      </c>
      <c r="X85" s="72">
        <v>29860</v>
      </c>
      <c r="Y85" s="72">
        <v>16500</v>
      </c>
      <c r="Z85" s="72">
        <v>22000</v>
      </c>
      <c r="AA85" s="72">
        <v>19000</v>
      </c>
      <c r="AB85" s="72">
        <v>21300</v>
      </c>
      <c r="AC85" s="137">
        <f>SUM(Q85:AB85)</f>
        <v>295256</v>
      </c>
      <c r="AD85" s="136">
        <f t="shared" ref="AD85:AD90" si="31">P85-AC85</f>
        <v>16244</v>
      </c>
      <c r="AE85" s="196">
        <f t="shared" ref="AE85:AE90" si="32">AD85/AC85</f>
        <v>5.5016663505568046E-2</v>
      </c>
      <c r="AF85" s="133">
        <v>310806</v>
      </c>
      <c r="AG85" s="124">
        <f t="shared" ref="AG85:AG98" si="33">P85-AF85</f>
        <v>694</v>
      </c>
      <c r="AH85" s="124"/>
    </row>
    <row r="86" spans="1:34">
      <c r="A86" s="105" t="s">
        <v>511</v>
      </c>
      <c r="B86" s="105" t="s">
        <v>375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0</v>
      </c>
      <c r="S86" s="136">
        <v>0</v>
      </c>
      <c r="T86" s="136">
        <v>0</v>
      </c>
      <c r="U86" s="136">
        <v>0</v>
      </c>
      <c r="V86" s="136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0</v>
      </c>
      <c r="AD86" s="136">
        <f t="shared" si="31"/>
        <v>0</v>
      </c>
      <c r="AE86" s="196" t="e">
        <f t="shared" si="32"/>
        <v>#DIV/0!</v>
      </c>
      <c r="AF86" s="133">
        <v>931</v>
      </c>
      <c r="AG86" s="124">
        <f t="shared" si="33"/>
        <v>-931</v>
      </c>
      <c r="AH86" s="124"/>
    </row>
    <row r="87" spans="1:34">
      <c r="A87" s="105" t="s">
        <v>512</v>
      </c>
      <c r="B87" s="105" t="s">
        <v>375</v>
      </c>
      <c r="C87" s="105" t="s">
        <v>485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>
        <f>SUM(D87:O87)</f>
        <v>0</v>
      </c>
      <c r="Q87" s="136">
        <v>0</v>
      </c>
      <c r="R87" s="136">
        <v>0</v>
      </c>
      <c r="S87" s="136">
        <v>0</v>
      </c>
      <c r="T87" s="136">
        <v>0</v>
      </c>
      <c r="U87" s="136">
        <v>0</v>
      </c>
      <c r="V87" s="136">
        <v>0</v>
      </c>
      <c r="W87" s="72">
        <v>0</v>
      </c>
      <c r="X87" s="72">
        <v>0</v>
      </c>
      <c r="Y87" s="72">
        <v>0</v>
      </c>
      <c r="Z87" s="72">
        <v>0</v>
      </c>
      <c r="AA87" s="72">
        <v>0</v>
      </c>
      <c r="AB87" s="72">
        <v>0</v>
      </c>
      <c r="AC87" s="137">
        <f>SUM(Q87:AB87)</f>
        <v>0</v>
      </c>
      <c r="AD87" s="136">
        <f t="shared" si="31"/>
        <v>0</v>
      </c>
      <c r="AE87" s="196" t="e">
        <f t="shared" si="32"/>
        <v>#DIV/0!</v>
      </c>
      <c r="AF87" s="133">
        <v>0</v>
      </c>
      <c r="AG87" s="124">
        <f t="shared" si="33"/>
        <v>0</v>
      </c>
      <c r="AH87" s="124"/>
    </row>
    <row r="88" spans="1:34">
      <c r="A88" s="105" t="s">
        <v>513</v>
      </c>
      <c r="B88" s="105" t="s">
        <v>375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136">
        <f t="shared" si="31"/>
        <v>0</v>
      </c>
      <c r="AE88" s="196" t="e">
        <f t="shared" si="32"/>
        <v>#DIV/0!</v>
      </c>
      <c r="AF88" s="133">
        <v>0</v>
      </c>
      <c r="AG88" s="124">
        <f t="shared" si="33"/>
        <v>0</v>
      </c>
      <c r="AH88" s="124"/>
    </row>
    <row r="89" spans="1:34">
      <c r="A89" s="105" t="s">
        <v>514</v>
      </c>
      <c r="B89" s="105" t="s">
        <v>375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136">
        <f t="shared" si="31"/>
        <v>0</v>
      </c>
      <c r="AE89" s="196" t="e">
        <f t="shared" si="32"/>
        <v>#DIV/0!</v>
      </c>
      <c r="AF89" s="133">
        <v>0</v>
      </c>
      <c r="AG89" s="124">
        <f t="shared" si="33"/>
        <v>0</v>
      </c>
      <c r="AH89" s="124"/>
    </row>
    <row r="90" spans="1:34">
      <c r="C90" s="109" t="s">
        <v>462</v>
      </c>
      <c r="D90" s="137">
        <f t="shared" ref="D90:AC90" si="34">SUM(D85:D89)</f>
        <v>29500</v>
      </c>
      <c r="E90" s="137">
        <f t="shared" si="34"/>
        <v>27000</v>
      </c>
      <c r="F90" s="137">
        <f t="shared" si="34"/>
        <v>25000</v>
      </c>
      <c r="G90" s="137">
        <f t="shared" si="34"/>
        <v>25000</v>
      </c>
      <c r="H90" s="137">
        <f t="shared" si="34"/>
        <v>25000</v>
      </c>
      <c r="I90" s="137">
        <f t="shared" si="34"/>
        <v>23000</v>
      </c>
      <c r="J90" s="137">
        <f t="shared" si="34"/>
        <v>29000</v>
      </c>
      <c r="K90" s="137">
        <f t="shared" si="34"/>
        <v>29000</v>
      </c>
      <c r="L90" s="137">
        <f t="shared" si="34"/>
        <v>23000</v>
      </c>
      <c r="M90" s="137">
        <f t="shared" si="34"/>
        <v>25000</v>
      </c>
      <c r="N90" s="137">
        <f t="shared" si="34"/>
        <v>24000</v>
      </c>
      <c r="O90" s="137">
        <f t="shared" si="34"/>
        <v>27000</v>
      </c>
      <c r="P90" s="137">
        <f t="shared" si="34"/>
        <v>311500</v>
      </c>
      <c r="Q90" s="137">
        <f t="shared" si="34"/>
        <v>29297</v>
      </c>
      <c r="R90" s="137">
        <f t="shared" si="34"/>
        <v>29860</v>
      </c>
      <c r="S90" s="137">
        <f t="shared" si="34"/>
        <v>27303</v>
      </c>
      <c r="T90" s="137">
        <f t="shared" si="34"/>
        <v>26602</v>
      </c>
      <c r="U90" s="137">
        <f t="shared" si="34"/>
        <v>21629</v>
      </c>
      <c r="V90" s="137">
        <f t="shared" si="34"/>
        <v>22866</v>
      </c>
      <c r="W90" s="137">
        <f t="shared" si="34"/>
        <v>29039</v>
      </c>
      <c r="X90" s="137">
        <f t="shared" si="34"/>
        <v>29860</v>
      </c>
      <c r="Y90" s="137">
        <f t="shared" si="34"/>
        <v>16500</v>
      </c>
      <c r="Z90" s="137">
        <f t="shared" si="34"/>
        <v>22000</v>
      </c>
      <c r="AA90" s="137">
        <f t="shared" si="34"/>
        <v>19000</v>
      </c>
      <c r="AB90" s="137">
        <f t="shared" si="34"/>
        <v>21300</v>
      </c>
      <c r="AC90" s="137">
        <f t="shared" si="34"/>
        <v>295256</v>
      </c>
      <c r="AD90" s="136">
        <f t="shared" si="31"/>
        <v>16244</v>
      </c>
      <c r="AE90" s="196">
        <f t="shared" si="32"/>
        <v>5.5016663505568046E-2</v>
      </c>
      <c r="AF90" s="133">
        <v>311737</v>
      </c>
      <c r="AG90" s="124">
        <f t="shared" si="33"/>
        <v>-237</v>
      </c>
      <c r="AH90" s="124"/>
    </row>
    <row r="91" spans="1:34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3"/>
        <v>0</v>
      </c>
      <c r="AH91" s="124"/>
    </row>
    <row r="92" spans="1:34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3"/>
        <v>0</v>
      </c>
      <c r="AH92" s="124"/>
    </row>
    <row r="93" spans="1:34">
      <c r="C93" s="105" t="s">
        <v>481</v>
      </c>
      <c r="D93" s="136">
        <v>94</v>
      </c>
      <c r="E93" s="136">
        <v>95</v>
      </c>
      <c r="F93" s="136">
        <v>85</v>
      </c>
      <c r="G93" s="136">
        <v>85</v>
      </c>
      <c r="H93" s="136">
        <v>85</v>
      </c>
      <c r="I93" s="136">
        <v>85</v>
      </c>
      <c r="J93" s="136">
        <v>92</v>
      </c>
      <c r="K93" s="136">
        <v>92</v>
      </c>
      <c r="L93" s="136">
        <v>85</v>
      </c>
      <c r="M93" s="136">
        <v>85</v>
      </c>
      <c r="N93" s="136">
        <v>85</v>
      </c>
      <c r="O93" s="136">
        <v>85</v>
      </c>
      <c r="P93" s="137">
        <f t="shared" ref="P93:V97" si="35">P9/P85</f>
        <v>88.022471910112358</v>
      </c>
      <c r="Q93" s="136">
        <f t="shared" si="35"/>
        <v>92.483114994709354</v>
      </c>
      <c r="R93" s="136">
        <f t="shared" si="35"/>
        <v>105.03022404554589</v>
      </c>
      <c r="S93" s="136">
        <f t="shared" si="35"/>
        <v>91.760530710910885</v>
      </c>
      <c r="T93" s="136">
        <f t="shared" si="35"/>
        <v>92.4479125629652</v>
      </c>
      <c r="U93" s="136">
        <f t="shared" si="35"/>
        <v>89.185684960007393</v>
      </c>
      <c r="V93" s="136">
        <f t="shared" si="35"/>
        <v>92.526484737164353</v>
      </c>
      <c r="W93" s="72">
        <v>94.315197837391082</v>
      </c>
      <c r="X93" s="72">
        <v>94.278362022772939</v>
      </c>
      <c r="Y93" s="72">
        <v>90</v>
      </c>
      <c r="Z93" s="72">
        <v>90</v>
      </c>
      <c r="AA93" s="72">
        <v>90</v>
      </c>
      <c r="AB93" s="72">
        <v>92</v>
      </c>
      <c r="AC93" s="137">
        <f t="shared" ref="AC93:AC98" si="36">AC9/AC85</f>
        <v>92.311442104478814</v>
      </c>
      <c r="AD93" s="136">
        <f t="shared" ref="AD93:AD98" si="37">P93-AC93</f>
        <v>-4.2889701943664562</v>
      </c>
      <c r="AE93" s="196">
        <f t="shared" ref="AE93:AE98" si="38">AD93/AC93</f>
        <v>-4.6461956357611293E-2</v>
      </c>
      <c r="AF93" s="133">
        <v>93.706342702521837</v>
      </c>
      <c r="AG93" s="124">
        <f t="shared" si="33"/>
        <v>-5.6838707924094791</v>
      </c>
      <c r="AH93" s="124"/>
    </row>
    <row r="94" spans="1:34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5"/>
        <v>#DIV/0!</v>
      </c>
      <c r="Q94" s="136" t="e">
        <f t="shared" si="35"/>
        <v>#DIV/0!</v>
      </c>
      <c r="R94" s="136" t="e">
        <f t="shared" si="35"/>
        <v>#DIV/0!</v>
      </c>
      <c r="S94" s="136" t="e">
        <f t="shared" si="35"/>
        <v>#DIV/0!</v>
      </c>
      <c r="T94" s="136" t="e">
        <f t="shared" si="35"/>
        <v>#DIV/0!</v>
      </c>
      <c r="U94" s="136" t="e">
        <f t="shared" si="35"/>
        <v>#DIV/0!</v>
      </c>
      <c r="V94" s="136" t="e">
        <f t="shared" si="35"/>
        <v>#DIV/0!</v>
      </c>
      <c r="W94" s="72" t="e">
        <v>#DIV/0!</v>
      </c>
      <c r="X94" s="72" t="e">
        <v>#DIV/0!</v>
      </c>
      <c r="Y94" s="72">
        <v>0</v>
      </c>
      <c r="Z94" s="72">
        <v>0</v>
      </c>
      <c r="AA94" s="72">
        <v>0</v>
      </c>
      <c r="AB94" s="72">
        <v>0</v>
      </c>
      <c r="AC94" s="137" t="e">
        <f t="shared" si="36"/>
        <v>#DIV/0!</v>
      </c>
      <c r="AD94" s="136" t="e">
        <f t="shared" si="37"/>
        <v>#DIV/0!</v>
      </c>
      <c r="AE94" s="196" t="e">
        <f t="shared" si="38"/>
        <v>#DIV/0!</v>
      </c>
      <c r="AF94" s="133">
        <v>90.224908700322231</v>
      </c>
      <c r="AG94" s="124" t="e">
        <f t="shared" si="33"/>
        <v>#DIV/0!</v>
      </c>
      <c r="AH94" s="124"/>
    </row>
    <row r="95" spans="1:34">
      <c r="C95" s="105" t="s">
        <v>485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 t="e">
        <f t="shared" si="35"/>
        <v>#DIV/0!</v>
      </c>
      <c r="Q95" s="136" t="e">
        <f t="shared" si="35"/>
        <v>#DIV/0!</v>
      </c>
      <c r="R95" s="136" t="e">
        <f t="shared" si="35"/>
        <v>#DIV/0!</v>
      </c>
      <c r="S95" s="136" t="e">
        <f t="shared" si="35"/>
        <v>#DIV/0!</v>
      </c>
      <c r="T95" s="136" t="e">
        <f t="shared" si="35"/>
        <v>#DIV/0!</v>
      </c>
      <c r="U95" s="136" t="e">
        <f t="shared" si="35"/>
        <v>#DIV/0!</v>
      </c>
      <c r="V95" s="136" t="e">
        <f t="shared" si="35"/>
        <v>#DIV/0!</v>
      </c>
      <c r="W95" s="72" t="e">
        <v>#DIV/0!</v>
      </c>
      <c r="X95" s="72" t="e">
        <v>#DIV/0!</v>
      </c>
      <c r="Y95" s="72">
        <v>0</v>
      </c>
      <c r="Z95" s="72">
        <v>0</v>
      </c>
      <c r="AA95" s="72">
        <v>0</v>
      </c>
      <c r="AB95" s="72">
        <v>0</v>
      </c>
      <c r="AC95" s="137" t="e">
        <f t="shared" si="36"/>
        <v>#DIV/0!</v>
      </c>
      <c r="AD95" s="136" t="e">
        <f t="shared" si="37"/>
        <v>#DIV/0!</v>
      </c>
      <c r="AE95" s="196" t="e">
        <f t="shared" si="38"/>
        <v>#DIV/0!</v>
      </c>
      <c r="AF95" s="133" t="e">
        <v>#DIV/0!</v>
      </c>
      <c r="AG95" s="124" t="e">
        <f t="shared" si="33"/>
        <v>#DIV/0!</v>
      </c>
      <c r="AH95" s="124"/>
    </row>
    <row r="96" spans="1:34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5"/>
        <v>#DIV/0!</v>
      </c>
      <c r="Q96" s="136" t="e">
        <f t="shared" si="35"/>
        <v>#DIV/0!</v>
      </c>
      <c r="R96" s="136" t="e">
        <f t="shared" si="35"/>
        <v>#DIV/0!</v>
      </c>
      <c r="S96" s="136" t="e">
        <f t="shared" si="35"/>
        <v>#DIV/0!</v>
      </c>
      <c r="T96" s="136" t="e">
        <f t="shared" si="35"/>
        <v>#DIV/0!</v>
      </c>
      <c r="U96" s="136" t="e">
        <f t="shared" si="35"/>
        <v>#DIV/0!</v>
      </c>
      <c r="V96" s="136" t="e">
        <f t="shared" si="35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6"/>
        <v>#DIV/0!</v>
      </c>
      <c r="AD96" s="136" t="e">
        <f t="shared" si="37"/>
        <v>#DIV/0!</v>
      </c>
      <c r="AE96" s="196" t="e">
        <f t="shared" si="38"/>
        <v>#DIV/0!</v>
      </c>
      <c r="AF96" s="133" t="e">
        <v>#DIV/0!</v>
      </c>
      <c r="AG96" s="124" t="e">
        <f t="shared" si="33"/>
        <v>#DIV/0!</v>
      </c>
      <c r="AH96" s="124"/>
    </row>
    <row r="97" spans="1:34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5"/>
        <v>#DIV/0!</v>
      </c>
      <c r="Q97" s="136" t="e">
        <f t="shared" si="35"/>
        <v>#DIV/0!</v>
      </c>
      <c r="R97" s="136" t="e">
        <f t="shared" si="35"/>
        <v>#DIV/0!</v>
      </c>
      <c r="S97" s="136" t="e">
        <f t="shared" si="35"/>
        <v>#DIV/0!</v>
      </c>
      <c r="T97" s="136" t="e">
        <f t="shared" si="35"/>
        <v>#DIV/0!</v>
      </c>
      <c r="U97" s="136" t="e">
        <f t="shared" si="35"/>
        <v>#DIV/0!</v>
      </c>
      <c r="V97" s="136" t="e">
        <f t="shared" si="35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6"/>
        <v>#DIV/0!</v>
      </c>
      <c r="AD97" s="136" t="e">
        <f t="shared" si="37"/>
        <v>#DIV/0!</v>
      </c>
      <c r="AE97" s="196" t="e">
        <f t="shared" si="38"/>
        <v>#DIV/0!</v>
      </c>
      <c r="AF97" s="133" t="e">
        <v>#DIV/0!</v>
      </c>
      <c r="AG97" s="124" t="e">
        <f t="shared" si="33"/>
        <v>#DIV/0!</v>
      </c>
      <c r="AH97" s="124"/>
    </row>
    <row r="98" spans="1:34">
      <c r="C98" s="109" t="s">
        <v>463</v>
      </c>
      <c r="D98" s="136">
        <f t="shared" ref="D98:AB98" si="39">D14/D90</f>
        <v>94</v>
      </c>
      <c r="E98" s="136">
        <f t="shared" si="39"/>
        <v>95</v>
      </c>
      <c r="F98" s="136">
        <f t="shared" si="39"/>
        <v>85</v>
      </c>
      <c r="G98" s="136">
        <f t="shared" si="39"/>
        <v>85</v>
      </c>
      <c r="H98" s="136">
        <f t="shared" si="39"/>
        <v>85</v>
      </c>
      <c r="I98" s="136">
        <f t="shared" si="39"/>
        <v>85</v>
      </c>
      <c r="J98" s="136">
        <f t="shared" si="39"/>
        <v>92</v>
      </c>
      <c r="K98" s="136">
        <f t="shared" si="39"/>
        <v>92</v>
      </c>
      <c r="L98" s="136">
        <f t="shared" si="39"/>
        <v>85</v>
      </c>
      <c r="M98" s="136">
        <f t="shared" si="39"/>
        <v>85</v>
      </c>
      <c r="N98" s="136">
        <f t="shared" si="39"/>
        <v>85</v>
      </c>
      <c r="O98" s="136">
        <f t="shared" si="39"/>
        <v>85</v>
      </c>
      <c r="P98" s="137">
        <f t="shared" si="39"/>
        <v>88.022471910112358</v>
      </c>
      <c r="Q98" s="136">
        <f t="shared" si="39"/>
        <v>92.483114994709354</v>
      </c>
      <c r="R98" s="136">
        <f t="shared" si="39"/>
        <v>105.03022404554589</v>
      </c>
      <c r="S98" s="136">
        <f t="shared" si="39"/>
        <v>91.760530710910885</v>
      </c>
      <c r="T98" s="136">
        <f t="shared" si="39"/>
        <v>92.4479125629652</v>
      </c>
      <c r="U98" s="136">
        <f t="shared" si="39"/>
        <v>89.185684960007393</v>
      </c>
      <c r="V98" s="136">
        <f t="shared" si="39"/>
        <v>92.526484737164353</v>
      </c>
      <c r="W98" s="136">
        <f t="shared" si="39"/>
        <v>94.315197837391082</v>
      </c>
      <c r="X98" s="136">
        <f t="shared" si="39"/>
        <v>94.278362022772939</v>
      </c>
      <c r="Y98" s="136">
        <f t="shared" si="39"/>
        <v>72.540060606060607</v>
      </c>
      <c r="Z98" s="136">
        <f t="shared" si="39"/>
        <v>90</v>
      </c>
      <c r="AA98" s="136">
        <f t="shared" si="39"/>
        <v>90</v>
      </c>
      <c r="AB98" s="136">
        <f t="shared" si="39"/>
        <v>92</v>
      </c>
      <c r="AC98" s="137">
        <f t="shared" si="36"/>
        <v>92.311442104478814</v>
      </c>
      <c r="AD98" s="136">
        <f t="shared" si="37"/>
        <v>-4.2889701943664562</v>
      </c>
      <c r="AE98" s="196">
        <f t="shared" si="38"/>
        <v>-4.6461956357611293E-2</v>
      </c>
      <c r="AF98" s="133">
        <v>93.695945428357888</v>
      </c>
      <c r="AG98" s="124">
        <f t="shared" si="33"/>
        <v>-5.6734735182455296</v>
      </c>
      <c r="AH98" s="124"/>
    </row>
    <row r="99" spans="1:34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  <c r="AH99" s="124"/>
    </row>
    <row r="100" spans="1:34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  <c r="AH100" s="124"/>
    </row>
    <row r="101" spans="1:34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  <c r="AH101" s="124"/>
    </row>
    <row r="102" spans="1:34">
      <c r="A102" s="175" t="s">
        <v>248</v>
      </c>
      <c r="B102" s="105" t="s">
        <v>375</v>
      </c>
      <c r="C102" s="105" t="s">
        <v>250</v>
      </c>
      <c r="D102" s="215">
        <v>56762.75</v>
      </c>
      <c r="E102" s="215">
        <v>56762.75</v>
      </c>
      <c r="F102" s="215">
        <v>56963.72</v>
      </c>
      <c r="G102" s="215">
        <v>56963.72</v>
      </c>
      <c r="H102" s="215">
        <v>56963.72</v>
      </c>
      <c r="I102" s="215">
        <v>49612.15</v>
      </c>
      <c r="J102" s="215">
        <v>49612.15</v>
      </c>
      <c r="K102" s="215">
        <v>49612.15</v>
      </c>
      <c r="L102" s="215">
        <v>49612.15</v>
      </c>
      <c r="M102" s="215">
        <v>49612.15</v>
      </c>
      <c r="N102" s="215">
        <v>49612.15</v>
      </c>
      <c r="O102" s="215">
        <v>49612.15</v>
      </c>
      <c r="P102" s="137">
        <f>SUM(D102:O102)</f>
        <v>631701.7100000002</v>
      </c>
      <c r="Q102" s="136">
        <v>39470.11</v>
      </c>
      <c r="R102" s="136">
        <v>39500</v>
      </c>
      <c r="S102" s="136">
        <v>39500</v>
      </c>
      <c r="T102" s="136">
        <v>44173.89</v>
      </c>
      <c r="U102" s="136">
        <v>24398.560000000001</v>
      </c>
      <c r="V102" s="136">
        <v>24200</v>
      </c>
      <c r="W102" s="72">
        <v>24200</v>
      </c>
      <c r="X102" s="72">
        <v>30820.69</v>
      </c>
      <c r="Y102" s="72">
        <v>40000</v>
      </c>
      <c r="Z102" s="72">
        <v>40000</v>
      </c>
      <c r="AA102" s="72">
        <v>40000</v>
      </c>
      <c r="AB102" s="72">
        <v>40000</v>
      </c>
      <c r="AC102" s="137">
        <f>SUM(Q102:AB102)</f>
        <v>426263.25</v>
      </c>
      <c r="AD102" s="136">
        <f t="shared" ref="AD102:AD105" si="40">P102-AC102</f>
        <v>205438.4600000002</v>
      </c>
      <c r="AE102" s="196">
        <f t="shared" ref="AE102:AE105" si="41">AD102/AC102</f>
        <v>0.4819520800819686</v>
      </c>
      <c r="AF102" s="133">
        <v>615550</v>
      </c>
      <c r="AG102" s="124">
        <f t="shared" ref="AG102:AG136" si="42">AF102-P102</f>
        <v>-16151.710000000196</v>
      </c>
      <c r="AH102" s="124"/>
    </row>
    <row r="103" spans="1:34">
      <c r="A103" s="105" t="s">
        <v>251</v>
      </c>
      <c r="B103" s="105" t="s">
        <v>518</v>
      </c>
      <c r="C103" s="105" t="s">
        <v>468</v>
      </c>
      <c r="D103" s="215">
        <v>31470</v>
      </c>
      <c r="E103" s="215">
        <v>31470</v>
      </c>
      <c r="F103" s="215">
        <v>33043.5</v>
      </c>
      <c r="G103" s="215">
        <v>33043.5</v>
      </c>
      <c r="H103" s="215">
        <v>33043.5</v>
      </c>
      <c r="I103" s="215">
        <v>33043.5</v>
      </c>
      <c r="J103" s="215">
        <v>33043.5</v>
      </c>
      <c r="K103" s="215">
        <v>33043.5</v>
      </c>
      <c r="L103" s="215">
        <v>33043.5</v>
      </c>
      <c r="M103" s="215">
        <v>33043.5</v>
      </c>
      <c r="N103" s="215">
        <v>33043.5</v>
      </c>
      <c r="O103" s="215">
        <v>33043.5</v>
      </c>
      <c r="P103" s="137">
        <f>SUM(D103:O103)</f>
        <v>393375</v>
      </c>
      <c r="Q103" s="136">
        <v>34452.76</v>
      </c>
      <c r="R103" s="136">
        <v>37132.980000000003</v>
      </c>
      <c r="S103" s="136">
        <v>37424.58</v>
      </c>
      <c r="T103" s="136">
        <v>38770</v>
      </c>
      <c r="U103" s="136">
        <v>34470</v>
      </c>
      <c r="V103" s="136">
        <v>34470</v>
      </c>
      <c r="W103" s="72">
        <v>34470</v>
      </c>
      <c r="X103" s="72">
        <v>34675.17</v>
      </c>
      <c r="Y103" s="72">
        <v>27758</v>
      </c>
      <c r="Z103" s="72">
        <v>27758</v>
      </c>
      <c r="AA103" s="72">
        <v>27758</v>
      </c>
      <c r="AB103" s="72">
        <v>27758</v>
      </c>
      <c r="AC103" s="137">
        <f>SUM(Q103:AB103)</f>
        <v>396897.49</v>
      </c>
      <c r="AD103" s="136">
        <f t="shared" si="40"/>
        <v>-3522.4899999999907</v>
      </c>
      <c r="AE103" s="196">
        <f t="shared" si="41"/>
        <v>-8.8750624248089618E-3</v>
      </c>
      <c r="AF103" s="133">
        <v>557112.70000000007</v>
      </c>
      <c r="AG103" s="124">
        <f t="shared" si="42"/>
        <v>163737.70000000007</v>
      </c>
      <c r="AH103" s="124"/>
    </row>
    <row r="104" spans="1:34">
      <c r="A104" s="105" t="s">
        <v>251</v>
      </c>
      <c r="B104" s="105" t="s">
        <v>519</v>
      </c>
      <c r="C104" s="105" t="s">
        <v>470</v>
      </c>
      <c r="D104" s="215">
        <v>34776</v>
      </c>
      <c r="E104" s="215">
        <v>34776</v>
      </c>
      <c r="F104" s="215">
        <v>36514.799999999996</v>
      </c>
      <c r="G104" s="215">
        <v>41050.799999999996</v>
      </c>
      <c r="H104" s="215">
        <v>41050.799999999996</v>
      </c>
      <c r="I104" s="215">
        <v>41050.799999999996</v>
      </c>
      <c r="J104" s="215">
        <v>41050.799999999996</v>
      </c>
      <c r="K104" s="215">
        <v>41050.799999999996</v>
      </c>
      <c r="L104" s="215">
        <v>41050.799999999996</v>
      </c>
      <c r="M104" s="215">
        <v>41050.799999999996</v>
      </c>
      <c r="N104" s="215">
        <v>41050.799999999996</v>
      </c>
      <c r="O104" s="215">
        <v>41050.799999999996</v>
      </c>
      <c r="P104" s="137">
        <f>SUM(D104:O104)</f>
        <v>475523.99999999988</v>
      </c>
      <c r="Q104" s="136">
        <v>38951.72</v>
      </c>
      <c r="R104" s="136">
        <v>38951.72</v>
      </c>
      <c r="S104" s="136">
        <v>37800</v>
      </c>
      <c r="T104" s="136">
        <v>39218.83</v>
      </c>
      <c r="U104" s="136">
        <v>35223.550000000003</v>
      </c>
      <c r="V104" s="136">
        <v>31100</v>
      </c>
      <c r="W104" s="72">
        <v>37518.370000000003</v>
      </c>
      <c r="X104" s="72">
        <v>43800</v>
      </c>
      <c r="Y104" s="72">
        <v>43184</v>
      </c>
      <c r="Z104" s="72">
        <v>73184</v>
      </c>
      <c r="AA104" s="72">
        <v>73184</v>
      </c>
      <c r="AB104" s="72">
        <v>73184</v>
      </c>
      <c r="AC104" s="137">
        <f>SUM(Q104:AB104)</f>
        <v>565300.18999999994</v>
      </c>
      <c r="AD104" s="136">
        <f t="shared" si="40"/>
        <v>-89776.190000000061</v>
      </c>
      <c r="AE104" s="196">
        <f t="shared" si="41"/>
        <v>-0.15881153339078141</v>
      </c>
      <c r="AF104" s="133">
        <v>553901.22</v>
      </c>
      <c r="AG104" s="124">
        <f t="shared" si="42"/>
        <v>78377.220000000088</v>
      </c>
      <c r="AH104" s="124"/>
    </row>
    <row r="105" spans="1:34">
      <c r="A105" s="105" t="s">
        <v>273</v>
      </c>
      <c r="C105" s="109" t="s">
        <v>520</v>
      </c>
      <c r="D105" s="137">
        <f t="shared" ref="D105:AC105" si="43">SUM(D102:D104)</f>
        <v>123008.75</v>
      </c>
      <c r="E105" s="137">
        <f t="shared" si="43"/>
        <v>123008.75</v>
      </c>
      <c r="F105" s="137">
        <f t="shared" si="43"/>
        <v>126522.01999999999</v>
      </c>
      <c r="G105" s="137">
        <f t="shared" si="43"/>
        <v>131058.01999999999</v>
      </c>
      <c r="H105" s="137">
        <f t="shared" si="43"/>
        <v>131058.01999999999</v>
      </c>
      <c r="I105" s="137">
        <f t="shared" si="43"/>
        <v>123706.44999999998</v>
      </c>
      <c r="J105" s="137">
        <f t="shared" si="43"/>
        <v>123706.44999999998</v>
      </c>
      <c r="K105" s="137">
        <f t="shared" si="43"/>
        <v>123706.44999999998</v>
      </c>
      <c r="L105" s="137">
        <f t="shared" si="43"/>
        <v>123706.44999999998</v>
      </c>
      <c r="M105" s="137">
        <f t="shared" si="43"/>
        <v>123706.44999999998</v>
      </c>
      <c r="N105" s="137">
        <f t="shared" si="43"/>
        <v>123706.44999999998</v>
      </c>
      <c r="O105" s="137">
        <f t="shared" si="43"/>
        <v>123706.44999999998</v>
      </c>
      <c r="P105" s="137">
        <f t="shared" si="43"/>
        <v>1500600.71</v>
      </c>
      <c r="Q105" s="137">
        <f t="shared" si="43"/>
        <v>112874.59</v>
      </c>
      <c r="R105" s="137">
        <f t="shared" si="43"/>
        <v>115584.70000000001</v>
      </c>
      <c r="S105" s="137">
        <f t="shared" si="43"/>
        <v>114724.58</v>
      </c>
      <c r="T105" s="137">
        <f t="shared" si="43"/>
        <v>122162.72</v>
      </c>
      <c r="U105" s="137">
        <f t="shared" si="43"/>
        <v>94092.11</v>
      </c>
      <c r="V105" s="137">
        <f t="shared" si="43"/>
        <v>89770</v>
      </c>
      <c r="W105" s="137">
        <f t="shared" si="43"/>
        <v>96188.37</v>
      </c>
      <c r="X105" s="137">
        <f t="shared" si="43"/>
        <v>109295.86</v>
      </c>
      <c r="Y105" s="137">
        <f t="shared" si="43"/>
        <v>110942</v>
      </c>
      <c r="Z105" s="137">
        <f t="shared" si="43"/>
        <v>140942</v>
      </c>
      <c r="AA105" s="137">
        <f t="shared" si="43"/>
        <v>140942</v>
      </c>
      <c r="AB105" s="137">
        <f t="shared" si="43"/>
        <v>140942</v>
      </c>
      <c r="AC105" s="137">
        <f t="shared" si="43"/>
        <v>1388460.93</v>
      </c>
      <c r="AD105" s="136">
        <f t="shared" si="40"/>
        <v>112139.78000000003</v>
      </c>
      <c r="AE105" s="196">
        <f t="shared" si="41"/>
        <v>8.07655279144225E-2</v>
      </c>
      <c r="AF105" s="133">
        <v>1726563.9200000002</v>
      </c>
      <c r="AG105" s="124">
        <f t="shared" si="42"/>
        <v>225963.2100000002</v>
      </c>
      <c r="AH105" s="124"/>
    </row>
    <row r="106" spans="1:34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7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2"/>
        <v>0</v>
      </c>
      <c r="AH106" s="124"/>
    </row>
    <row r="107" spans="1:34">
      <c r="A107" s="105" t="s">
        <v>119</v>
      </c>
      <c r="B107" s="105" t="s">
        <v>375</v>
      </c>
      <c r="C107" s="105" t="s">
        <v>260</v>
      </c>
      <c r="D107" s="215">
        <v>54277.240000000013</v>
      </c>
      <c r="E107" s="215">
        <v>0</v>
      </c>
      <c r="F107" s="215">
        <v>0</v>
      </c>
      <c r="G107" s="215">
        <v>12295.87</v>
      </c>
      <c r="H107" s="215">
        <v>21908.949999999997</v>
      </c>
      <c r="I107" s="215">
        <v>0</v>
      </c>
      <c r="J107" s="215">
        <v>0</v>
      </c>
      <c r="K107" s="215">
        <v>0</v>
      </c>
      <c r="L107" s="215">
        <v>0</v>
      </c>
      <c r="M107" s="215">
        <v>51955.840000000004</v>
      </c>
      <c r="N107" s="215">
        <v>0</v>
      </c>
      <c r="O107" s="215">
        <v>0</v>
      </c>
      <c r="P107" s="137">
        <f>SUM(D107:O107)</f>
        <v>140437.90000000002</v>
      </c>
      <c r="Q107" s="136">
        <v>13278.66</v>
      </c>
      <c r="R107" s="136">
        <v>33779.64</v>
      </c>
      <c r="S107" s="136">
        <v>0</v>
      </c>
      <c r="T107" s="136">
        <v>7264.83</v>
      </c>
      <c r="U107" s="136">
        <v>12206.88</v>
      </c>
      <c r="V107" s="136">
        <v>8506.2000000000007</v>
      </c>
      <c r="W107" s="72">
        <v>0</v>
      </c>
      <c r="X107" s="72">
        <v>0</v>
      </c>
      <c r="Y107" s="72">
        <v>21567</v>
      </c>
      <c r="Z107" s="72">
        <v>64700</v>
      </c>
      <c r="AA107" s="72">
        <v>0</v>
      </c>
      <c r="AB107" s="72">
        <v>0</v>
      </c>
      <c r="AC107" s="137">
        <f>SUM(Q107:AB107)</f>
        <v>161303.21000000002</v>
      </c>
      <c r="AD107" s="136">
        <f t="shared" ref="AD107:AD112" si="44">P107-AC107</f>
        <v>-20865.309999999998</v>
      </c>
      <c r="AE107" s="196">
        <f t="shared" ref="AE107:AE112" si="45">AD107/AC107</f>
        <v>-0.12935458630984464</v>
      </c>
      <c r="AF107" s="133">
        <v>169197.18999999997</v>
      </c>
      <c r="AG107" s="124">
        <f t="shared" si="42"/>
        <v>28759.28999999995</v>
      </c>
      <c r="AH107" s="124"/>
    </row>
    <row r="108" spans="1:34">
      <c r="A108" s="105" t="s">
        <v>120</v>
      </c>
      <c r="B108" s="105" t="s">
        <v>375</v>
      </c>
      <c r="C108" s="105" t="s">
        <v>261</v>
      </c>
      <c r="D108" s="215">
        <v>24319.980000000003</v>
      </c>
      <c r="E108" s="215">
        <v>24319.980000000003</v>
      </c>
      <c r="F108" s="215">
        <v>24319.980000000003</v>
      </c>
      <c r="G108" s="215">
        <v>25319.980000000003</v>
      </c>
      <c r="H108" s="215">
        <v>25319.980000000003</v>
      </c>
      <c r="I108" s="215">
        <v>23736.65</v>
      </c>
      <c r="J108" s="215">
        <v>23736.65</v>
      </c>
      <c r="K108" s="215">
        <v>23736.65</v>
      </c>
      <c r="L108" s="215">
        <v>23736.65</v>
      </c>
      <c r="M108" s="215">
        <v>23736.65</v>
      </c>
      <c r="N108" s="215">
        <v>23736.65</v>
      </c>
      <c r="O108" s="215">
        <v>23736.65</v>
      </c>
      <c r="P108" s="137">
        <f>SUM(D108:O108)</f>
        <v>289756.45</v>
      </c>
      <c r="Q108" s="136">
        <v>28215.78</v>
      </c>
      <c r="R108" s="136">
        <v>28260.75</v>
      </c>
      <c r="S108" s="136">
        <v>28298.39</v>
      </c>
      <c r="T108" s="136">
        <v>19328.84</v>
      </c>
      <c r="U108" s="136">
        <v>15968.63</v>
      </c>
      <c r="V108" s="136">
        <v>14965.55</v>
      </c>
      <c r="W108" s="72">
        <v>16146.72</v>
      </c>
      <c r="X108" s="72">
        <v>19095.43</v>
      </c>
      <c r="Y108" s="72">
        <v>18490.330000000002</v>
      </c>
      <c r="Z108" s="72">
        <v>18490.330000000002</v>
      </c>
      <c r="AA108" s="72">
        <v>18490.330000000002</v>
      </c>
      <c r="AB108" s="72">
        <v>18490.330000000002</v>
      </c>
      <c r="AC108" s="137">
        <f>SUM(Q108:AB108)</f>
        <v>244241.41000000003</v>
      </c>
      <c r="AD108" s="136">
        <f t="shared" si="44"/>
        <v>45515.039999999979</v>
      </c>
      <c r="AE108" s="196">
        <f t="shared" si="45"/>
        <v>0.18635267459355059</v>
      </c>
      <c r="AF108" s="133">
        <v>255749.28</v>
      </c>
      <c r="AG108" s="124">
        <f t="shared" si="42"/>
        <v>-34007.170000000013</v>
      </c>
      <c r="AH108" s="124"/>
    </row>
    <row r="109" spans="1:34">
      <c r="A109" s="105" t="s">
        <v>121</v>
      </c>
      <c r="B109" s="105" t="s">
        <v>375</v>
      </c>
      <c r="C109" s="105" t="s">
        <v>262</v>
      </c>
      <c r="D109" s="215">
        <v>18475</v>
      </c>
      <c r="E109" s="215">
        <v>18475</v>
      </c>
      <c r="F109" s="215">
        <v>18475</v>
      </c>
      <c r="G109" s="215">
        <v>18805</v>
      </c>
      <c r="H109" s="215">
        <v>18805</v>
      </c>
      <c r="I109" s="215">
        <v>17975</v>
      </c>
      <c r="J109" s="215">
        <v>17775</v>
      </c>
      <c r="K109" s="215">
        <v>17775</v>
      </c>
      <c r="L109" s="215">
        <v>17775</v>
      </c>
      <c r="M109" s="215">
        <v>17775</v>
      </c>
      <c r="N109" s="215">
        <v>17775</v>
      </c>
      <c r="O109" s="215">
        <v>17775</v>
      </c>
      <c r="P109" s="137">
        <f>SUM(D109:O109)</f>
        <v>217660</v>
      </c>
      <c r="Q109" s="136">
        <v>15661.31</v>
      </c>
      <c r="R109" s="136">
        <v>15648.96</v>
      </c>
      <c r="S109" s="136">
        <v>15513.27</v>
      </c>
      <c r="T109" s="136">
        <v>14468.86</v>
      </c>
      <c r="U109" s="136">
        <v>13957</v>
      </c>
      <c r="V109" s="136">
        <v>12601.13</v>
      </c>
      <c r="W109" s="72">
        <v>14086</v>
      </c>
      <c r="X109" s="72">
        <v>15389.75</v>
      </c>
      <c r="Y109" s="72">
        <v>23908</v>
      </c>
      <c r="Z109" s="72">
        <v>24250</v>
      </c>
      <c r="AA109" s="72">
        <v>24335</v>
      </c>
      <c r="AB109" s="72">
        <v>24506</v>
      </c>
      <c r="AC109" s="137">
        <f>SUM(Q109:AB109)</f>
        <v>214325.28</v>
      </c>
      <c r="AD109" s="136">
        <f t="shared" si="44"/>
        <v>3334.7200000000012</v>
      </c>
      <c r="AE109" s="196">
        <f t="shared" si="45"/>
        <v>1.5559153824504516E-2</v>
      </c>
      <c r="AF109" s="133">
        <v>103885</v>
      </c>
      <c r="AG109" s="124">
        <f t="shared" si="42"/>
        <v>-113775</v>
      </c>
      <c r="AH109" s="124"/>
    </row>
    <row r="110" spans="1:34">
      <c r="A110" s="105" t="s">
        <v>122</v>
      </c>
      <c r="B110" s="105" t="s">
        <v>375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7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136">
        <f t="shared" si="44"/>
        <v>0</v>
      </c>
      <c r="AE110" s="196" t="e">
        <f t="shared" si="45"/>
        <v>#DIV/0!</v>
      </c>
      <c r="AF110" s="133">
        <v>0</v>
      </c>
      <c r="AG110" s="124">
        <f t="shared" si="42"/>
        <v>0</v>
      </c>
      <c r="AH110" s="124"/>
    </row>
    <row r="111" spans="1:34">
      <c r="A111" s="105" t="s">
        <v>123</v>
      </c>
      <c r="B111" s="105" t="s">
        <v>375</v>
      </c>
      <c r="C111" s="105" t="s">
        <v>264</v>
      </c>
      <c r="D111" s="215">
        <v>4400</v>
      </c>
      <c r="E111" s="215">
        <v>4400</v>
      </c>
      <c r="F111" s="215">
        <v>4400</v>
      </c>
      <c r="G111" s="215">
        <v>4600</v>
      </c>
      <c r="H111" s="215">
        <v>4600</v>
      </c>
      <c r="I111" s="215">
        <v>4600</v>
      </c>
      <c r="J111" s="215">
        <v>4800</v>
      </c>
      <c r="K111" s="215">
        <v>4800</v>
      </c>
      <c r="L111" s="215">
        <v>4800</v>
      </c>
      <c r="M111" s="215">
        <v>4800</v>
      </c>
      <c r="N111" s="215">
        <v>4800</v>
      </c>
      <c r="O111" s="215">
        <v>4800</v>
      </c>
      <c r="P111" s="137">
        <f>SUM(D111:O111)</f>
        <v>55800</v>
      </c>
      <c r="Q111" s="136">
        <v>11206.82</v>
      </c>
      <c r="R111" s="136">
        <v>4782.7700000000004</v>
      </c>
      <c r="S111" s="136">
        <v>10640.88</v>
      </c>
      <c r="T111" s="136">
        <v>10687</v>
      </c>
      <c r="U111" s="136">
        <v>3600</v>
      </c>
      <c r="V111" s="136">
        <v>3600</v>
      </c>
      <c r="W111" s="72">
        <v>11092.16</v>
      </c>
      <c r="X111" s="72">
        <v>11901.56</v>
      </c>
      <c r="Y111" s="72">
        <v>5200</v>
      </c>
      <c r="Z111" s="72">
        <v>5200</v>
      </c>
      <c r="AA111" s="72">
        <v>5200</v>
      </c>
      <c r="AB111" s="72">
        <v>5200</v>
      </c>
      <c r="AC111" s="137">
        <f>SUM(Q111:AB111)</f>
        <v>88311.19</v>
      </c>
      <c r="AD111" s="136">
        <f t="shared" si="44"/>
        <v>-32511.190000000002</v>
      </c>
      <c r="AE111" s="196">
        <f t="shared" si="45"/>
        <v>-0.36814349348027131</v>
      </c>
      <c r="AF111" s="133">
        <v>107183.65</v>
      </c>
      <c r="AG111" s="124">
        <f t="shared" si="42"/>
        <v>51383.649999999994</v>
      </c>
      <c r="AH111" s="124"/>
    </row>
    <row r="112" spans="1:34">
      <c r="A112" s="105" t="s">
        <v>273</v>
      </c>
      <c r="C112" s="109" t="s">
        <v>521</v>
      </c>
      <c r="D112" s="137">
        <f t="shared" ref="D112:O112" si="46">SUM(D107:D111)</f>
        <v>101472.22000000002</v>
      </c>
      <c r="E112" s="137">
        <f t="shared" si="46"/>
        <v>47194.98</v>
      </c>
      <c r="F112" s="137">
        <f t="shared" si="46"/>
        <v>47194.98</v>
      </c>
      <c r="G112" s="137">
        <f t="shared" si="46"/>
        <v>61020.850000000006</v>
      </c>
      <c r="H112" s="137">
        <f t="shared" si="46"/>
        <v>70633.929999999993</v>
      </c>
      <c r="I112" s="137">
        <f t="shared" si="46"/>
        <v>46311.65</v>
      </c>
      <c r="J112" s="137">
        <f t="shared" si="46"/>
        <v>46311.65</v>
      </c>
      <c r="K112" s="137">
        <f t="shared" si="46"/>
        <v>46311.65</v>
      </c>
      <c r="L112" s="137">
        <f t="shared" si="46"/>
        <v>46311.65</v>
      </c>
      <c r="M112" s="137">
        <f t="shared" si="46"/>
        <v>98267.49</v>
      </c>
      <c r="N112" s="137">
        <f t="shared" si="46"/>
        <v>46311.65</v>
      </c>
      <c r="O112" s="137">
        <f t="shared" si="46"/>
        <v>46311.65</v>
      </c>
      <c r="P112" s="137">
        <f>SUM(P107:P111)</f>
        <v>703654.35000000009</v>
      </c>
      <c r="Q112" s="137">
        <f t="shared" ref="Q112:AC112" si="47">SUM(Q107:Q111)</f>
        <v>68362.570000000007</v>
      </c>
      <c r="R112" s="137">
        <f t="shared" si="47"/>
        <v>82472.12000000001</v>
      </c>
      <c r="S112" s="137">
        <f t="shared" si="47"/>
        <v>54452.54</v>
      </c>
      <c r="T112" s="137">
        <f t="shared" si="47"/>
        <v>51749.53</v>
      </c>
      <c r="U112" s="137">
        <f t="shared" si="47"/>
        <v>45732.509999999995</v>
      </c>
      <c r="V112" s="137">
        <f t="shared" si="47"/>
        <v>39672.879999999997</v>
      </c>
      <c r="W112" s="137">
        <f t="shared" si="47"/>
        <v>41324.880000000005</v>
      </c>
      <c r="X112" s="137">
        <f t="shared" si="47"/>
        <v>46386.74</v>
      </c>
      <c r="Y112" s="137">
        <f t="shared" si="47"/>
        <v>69165.33</v>
      </c>
      <c r="Z112" s="137">
        <f t="shared" si="47"/>
        <v>112640.33</v>
      </c>
      <c r="AA112" s="137">
        <f t="shared" si="47"/>
        <v>48025.33</v>
      </c>
      <c r="AB112" s="137">
        <f t="shared" si="47"/>
        <v>48196.33</v>
      </c>
      <c r="AC112" s="137">
        <f t="shared" si="47"/>
        <v>708181.09000000008</v>
      </c>
      <c r="AD112" s="136">
        <f t="shared" si="44"/>
        <v>-4526.7399999999907</v>
      </c>
      <c r="AE112" s="196">
        <f t="shared" si="45"/>
        <v>-6.3920656226502601E-3</v>
      </c>
      <c r="AF112" s="133">
        <v>636015.12</v>
      </c>
      <c r="AG112" s="124">
        <f t="shared" si="42"/>
        <v>-67639.230000000098</v>
      </c>
      <c r="AH112" s="124"/>
    </row>
    <row r="113" spans="1:34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2"/>
        <v>0</v>
      </c>
      <c r="AH113" s="124"/>
    </row>
    <row r="114" spans="1:34">
      <c r="A114" s="105" t="s">
        <v>124</v>
      </c>
      <c r="B114" s="105" t="s">
        <v>375</v>
      </c>
      <c r="C114" s="105" t="s">
        <v>266</v>
      </c>
      <c r="D114" s="215">
        <v>33297.220000000008</v>
      </c>
      <c r="E114" s="215">
        <v>33297.220000000008</v>
      </c>
      <c r="F114" s="215">
        <v>33297.220000000008</v>
      </c>
      <c r="G114" s="215">
        <v>34257.220000000008</v>
      </c>
      <c r="H114" s="215">
        <v>34257.220000000008</v>
      </c>
      <c r="I114" s="215">
        <v>32161.560000000005</v>
      </c>
      <c r="J114" s="215">
        <v>33029.78</v>
      </c>
      <c r="K114" s="215">
        <v>33029.78</v>
      </c>
      <c r="L114" s="215">
        <v>33029.78</v>
      </c>
      <c r="M114" s="215">
        <v>33029.78</v>
      </c>
      <c r="N114" s="215">
        <v>33029.78</v>
      </c>
      <c r="O114" s="215">
        <v>33029.78</v>
      </c>
      <c r="P114" s="137">
        <f>SUM(D114:O114)</f>
        <v>398746.34000000008</v>
      </c>
      <c r="Q114" s="136">
        <v>28737.17</v>
      </c>
      <c r="R114" s="136">
        <v>28737.17</v>
      </c>
      <c r="S114" s="136">
        <v>27985.19</v>
      </c>
      <c r="T114" s="136">
        <v>22836.44</v>
      </c>
      <c r="U114" s="136">
        <v>24392.33</v>
      </c>
      <c r="V114" s="136">
        <v>22826.86</v>
      </c>
      <c r="W114" s="72">
        <v>24372.46</v>
      </c>
      <c r="X114" s="72">
        <v>27838.06</v>
      </c>
      <c r="Y114" s="72">
        <v>24503</v>
      </c>
      <c r="Z114" s="72">
        <v>24503</v>
      </c>
      <c r="AA114" s="72">
        <v>24503</v>
      </c>
      <c r="AB114" s="72">
        <v>24503</v>
      </c>
      <c r="AC114" s="137">
        <f t="shared" ref="AC114:AC121" si="48">SUM(Q114:AB114)</f>
        <v>305737.67999999993</v>
      </c>
      <c r="AD114" s="136">
        <f t="shared" ref="AD114:AD122" si="49">P114-AC114</f>
        <v>93008.660000000149</v>
      </c>
      <c r="AE114" s="196">
        <f t="shared" ref="AE114:AE122" si="50">AD114/AC114</f>
        <v>0.30421065535657943</v>
      </c>
      <c r="AF114" s="133">
        <v>229959.75000000006</v>
      </c>
      <c r="AG114" s="124">
        <f t="shared" si="42"/>
        <v>-168786.59000000003</v>
      </c>
      <c r="AH114" s="124"/>
    </row>
    <row r="115" spans="1:34">
      <c r="A115" s="105" t="s">
        <v>125</v>
      </c>
      <c r="B115" s="105" t="s">
        <v>375</v>
      </c>
      <c r="C115" s="105" t="s">
        <v>267</v>
      </c>
      <c r="D115" s="215">
        <v>13809.379999999997</v>
      </c>
      <c r="E115" s="215">
        <v>13809.379999999997</v>
      </c>
      <c r="F115" s="215">
        <v>13809.379999999997</v>
      </c>
      <c r="G115" s="215">
        <v>14199.379999999997</v>
      </c>
      <c r="H115" s="215">
        <v>14199.379999999997</v>
      </c>
      <c r="I115" s="215">
        <v>13348.019999999997</v>
      </c>
      <c r="J115" s="215">
        <v>13651.029999999999</v>
      </c>
      <c r="K115" s="215">
        <v>13651.029999999999</v>
      </c>
      <c r="L115" s="215">
        <v>13651.029999999999</v>
      </c>
      <c r="M115" s="215">
        <v>13651.029999999999</v>
      </c>
      <c r="N115" s="215">
        <v>13651.029999999999</v>
      </c>
      <c r="O115" s="215">
        <v>13651.029999999999</v>
      </c>
      <c r="P115" s="137">
        <f t="shared" ref="P115:P121" si="51">SUM(D115:O115)</f>
        <v>165081.09999999998</v>
      </c>
      <c r="Q115" s="136">
        <v>15266.62</v>
      </c>
      <c r="R115" s="136">
        <v>15266.62</v>
      </c>
      <c r="S115" s="136">
        <v>14867.13</v>
      </c>
      <c r="T115" s="136">
        <v>12131.86</v>
      </c>
      <c r="U115" s="136">
        <v>12958.43</v>
      </c>
      <c r="V115" s="136">
        <v>12126.77</v>
      </c>
      <c r="W115" s="72">
        <v>9901.31</v>
      </c>
      <c r="X115" s="72">
        <v>11309.21</v>
      </c>
      <c r="Y115" s="72">
        <v>12630</v>
      </c>
      <c r="Z115" s="72">
        <v>12630</v>
      </c>
      <c r="AA115" s="72">
        <v>12630</v>
      </c>
      <c r="AB115" s="72">
        <v>12630</v>
      </c>
      <c r="AC115" s="137">
        <f t="shared" si="48"/>
        <v>154347.95000000001</v>
      </c>
      <c r="AD115" s="136">
        <f t="shared" si="49"/>
        <v>10733.149999999965</v>
      </c>
      <c r="AE115" s="196">
        <f t="shared" si="50"/>
        <v>6.9538662483045383E-2</v>
      </c>
      <c r="AF115" s="133">
        <v>110901.5</v>
      </c>
      <c r="AG115" s="124">
        <f t="shared" si="42"/>
        <v>-54179.599999999977</v>
      </c>
      <c r="AH115" s="124"/>
    </row>
    <row r="116" spans="1:34">
      <c r="A116" s="105" t="s">
        <v>126</v>
      </c>
      <c r="B116" s="105" t="s">
        <v>375</v>
      </c>
      <c r="C116" s="105" t="s">
        <v>268</v>
      </c>
      <c r="D116" s="215">
        <v>1036.71</v>
      </c>
      <c r="E116" s="215">
        <v>1036.71</v>
      </c>
      <c r="F116" s="215">
        <v>1036.71</v>
      </c>
      <c r="G116" s="215">
        <v>1066.71</v>
      </c>
      <c r="H116" s="215">
        <v>1066.71</v>
      </c>
      <c r="I116" s="215">
        <v>1001.22</v>
      </c>
      <c r="J116" s="215">
        <v>1023.1399999999996</v>
      </c>
      <c r="K116" s="215">
        <v>1023.1399999999996</v>
      </c>
      <c r="L116" s="215">
        <v>1023.1399999999996</v>
      </c>
      <c r="M116" s="215">
        <v>1023.1399999999996</v>
      </c>
      <c r="N116" s="215">
        <v>1023.1399999999996</v>
      </c>
      <c r="O116" s="215">
        <v>1023.1399999999996</v>
      </c>
      <c r="P116" s="137">
        <f t="shared" si="51"/>
        <v>12383.609999999997</v>
      </c>
      <c r="Q116" s="136">
        <v>898.02</v>
      </c>
      <c r="R116" s="136">
        <v>898.02</v>
      </c>
      <c r="S116" s="136">
        <v>874.52</v>
      </c>
      <c r="T116" s="136">
        <v>713.62</v>
      </c>
      <c r="U116" s="136">
        <v>762.24</v>
      </c>
      <c r="V116" s="136">
        <v>713.32</v>
      </c>
      <c r="W116" s="72">
        <v>761.62</v>
      </c>
      <c r="X116" s="72">
        <v>869.92</v>
      </c>
      <c r="Y116" s="72">
        <v>770</v>
      </c>
      <c r="Z116" s="72">
        <v>770</v>
      </c>
      <c r="AA116" s="72">
        <v>770</v>
      </c>
      <c r="AB116" s="72">
        <v>770</v>
      </c>
      <c r="AC116" s="137">
        <f t="shared" si="48"/>
        <v>9571.2799999999988</v>
      </c>
      <c r="AD116" s="136">
        <f t="shared" si="49"/>
        <v>2812.3299999999981</v>
      </c>
      <c r="AE116" s="196">
        <f t="shared" si="50"/>
        <v>0.29383008333263666</v>
      </c>
      <c r="AF116" s="133">
        <v>6809.7400000000007</v>
      </c>
      <c r="AG116" s="124">
        <f t="shared" si="42"/>
        <v>-5573.8699999999963</v>
      </c>
      <c r="AH116" s="124"/>
    </row>
    <row r="117" spans="1:34">
      <c r="A117" s="105" t="s">
        <v>127</v>
      </c>
      <c r="B117" s="105" t="s">
        <v>375</v>
      </c>
      <c r="C117" s="105" t="s">
        <v>269</v>
      </c>
      <c r="D117" s="215">
        <v>248.75999999999993</v>
      </c>
      <c r="E117" s="215">
        <v>248.75999999999993</v>
      </c>
      <c r="F117" s="215">
        <v>248.75999999999993</v>
      </c>
      <c r="G117" s="215">
        <v>255.95999999999992</v>
      </c>
      <c r="H117" s="215">
        <v>255.95999999999992</v>
      </c>
      <c r="I117" s="215">
        <v>240.23999999999992</v>
      </c>
      <c r="J117" s="215">
        <v>245.57999999999998</v>
      </c>
      <c r="K117" s="215">
        <v>245.57999999999998</v>
      </c>
      <c r="L117" s="215">
        <v>245.57999999999998</v>
      </c>
      <c r="M117" s="215">
        <v>245.57999999999998</v>
      </c>
      <c r="N117" s="215">
        <v>245.57999999999998</v>
      </c>
      <c r="O117" s="215">
        <v>245.57999999999998</v>
      </c>
      <c r="P117" s="137">
        <f t="shared" si="51"/>
        <v>2971.9199999999992</v>
      </c>
      <c r="Q117" s="136">
        <v>215.57</v>
      </c>
      <c r="R117" s="136">
        <v>215.57</v>
      </c>
      <c r="S117" s="136">
        <v>209.93</v>
      </c>
      <c r="T117" s="136">
        <v>171.32</v>
      </c>
      <c r="U117" s="136">
        <v>183</v>
      </c>
      <c r="V117" s="136">
        <v>171.25</v>
      </c>
      <c r="W117" s="72">
        <v>182.85</v>
      </c>
      <c r="X117" s="72">
        <v>208.85</v>
      </c>
      <c r="Y117" s="72">
        <v>214</v>
      </c>
      <c r="Z117" s="72">
        <v>214</v>
      </c>
      <c r="AA117" s="72">
        <v>214</v>
      </c>
      <c r="AB117" s="72">
        <v>214</v>
      </c>
      <c r="AC117" s="137">
        <f t="shared" si="48"/>
        <v>2414.3399999999997</v>
      </c>
      <c r="AD117" s="136">
        <f t="shared" si="49"/>
        <v>557.57999999999947</v>
      </c>
      <c r="AE117" s="196">
        <f t="shared" si="50"/>
        <v>0.23094510300951793</v>
      </c>
      <c r="AF117" s="133">
        <v>2179.04</v>
      </c>
      <c r="AG117" s="124">
        <f t="shared" si="42"/>
        <v>-792.8799999999992</v>
      </c>
      <c r="AH117" s="124"/>
    </row>
    <row r="118" spans="1:34">
      <c r="A118" s="105" t="s">
        <v>128</v>
      </c>
      <c r="B118" s="105" t="s">
        <v>375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7">
        <f t="shared" si="51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8"/>
        <v>0</v>
      </c>
      <c r="AD118" s="136">
        <f t="shared" si="49"/>
        <v>0</v>
      </c>
      <c r="AE118" s="196" t="e">
        <f t="shared" si="50"/>
        <v>#DIV/0!</v>
      </c>
      <c r="AF118" s="133">
        <v>4841.4400000000005</v>
      </c>
      <c r="AG118" s="124">
        <f t="shared" si="42"/>
        <v>4841.4400000000005</v>
      </c>
      <c r="AH118" s="124"/>
    </row>
    <row r="119" spans="1:34">
      <c r="A119" s="105" t="s">
        <v>129</v>
      </c>
      <c r="B119" s="105" t="s">
        <v>375</v>
      </c>
      <c r="C119" s="105" t="s">
        <v>271</v>
      </c>
      <c r="D119" s="215">
        <v>9583.0400000000009</v>
      </c>
      <c r="E119" s="215">
        <v>9583.0400000000009</v>
      </c>
      <c r="F119" s="215">
        <v>9583.0400000000009</v>
      </c>
      <c r="G119" s="215">
        <v>9883.0399999999991</v>
      </c>
      <c r="H119" s="215">
        <v>9883.0399999999991</v>
      </c>
      <c r="I119" s="215">
        <v>9228.15</v>
      </c>
      <c r="J119" s="215">
        <v>10230.650000000001</v>
      </c>
      <c r="K119" s="215">
        <v>9228.15</v>
      </c>
      <c r="L119" s="215">
        <v>9228.15</v>
      </c>
      <c r="M119" s="215">
        <v>9228.15</v>
      </c>
      <c r="N119" s="215">
        <v>10230.650000000001</v>
      </c>
      <c r="O119" s="215">
        <v>9228.15</v>
      </c>
      <c r="P119" s="137">
        <f t="shared" si="51"/>
        <v>115117.24999999997</v>
      </c>
      <c r="Q119" s="136">
        <v>8859</v>
      </c>
      <c r="R119" s="136">
        <v>8859</v>
      </c>
      <c r="S119" s="136">
        <v>8628</v>
      </c>
      <c r="T119" s="136">
        <v>7034</v>
      </c>
      <c r="U119" s="136">
        <v>7512</v>
      </c>
      <c r="V119" s="136">
        <v>7027</v>
      </c>
      <c r="W119" s="72">
        <v>7307</v>
      </c>
      <c r="X119" s="72">
        <v>8187</v>
      </c>
      <c r="Y119" s="72">
        <v>7088</v>
      </c>
      <c r="Z119" s="72">
        <v>7088</v>
      </c>
      <c r="AA119" s="72">
        <v>7088</v>
      </c>
      <c r="AB119" s="72">
        <v>7088</v>
      </c>
      <c r="AC119" s="137">
        <f t="shared" si="48"/>
        <v>91765</v>
      </c>
      <c r="AD119" s="136">
        <f t="shared" si="49"/>
        <v>23352.249999999971</v>
      </c>
      <c r="AE119" s="196">
        <f t="shared" si="50"/>
        <v>0.25447883179861569</v>
      </c>
      <c r="AF119" s="133">
        <v>64983</v>
      </c>
      <c r="AG119" s="124">
        <f t="shared" si="42"/>
        <v>-50134.249999999971</v>
      </c>
      <c r="AH119" s="124"/>
    </row>
    <row r="120" spans="1:34">
      <c r="A120" s="105" t="s">
        <v>130</v>
      </c>
      <c r="B120" s="105" t="s">
        <v>375</v>
      </c>
      <c r="C120" s="105" t="s">
        <v>272</v>
      </c>
      <c r="D120" s="215">
        <v>4103</v>
      </c>
      <c r="E120" s="215">
        <v>3018</v>
      </c>
      <c r="F120" s="215">
        <v>3088</v>
      </c>
      <c r="G120" s="215">
        <v>3455</v>
      </c>
      <c r="H120" s="215">
        <v>3647</v>
      </c>
      <c r="I120" s="215">
        <v>3014</v>
      </c>
      <c r="J120" s="215">
        <v>3014</v>
      </c>
      <c r="K120" s="215">
        <v>3014</v>
      </c>
      <c r="L120" s="215">
        <v>3014</v>
      </c>
      <c r="M120" s="215">
        <v>4053</v>
      </c>
      <c r="N120" s="215">
        <v>3014</v>
      </c>
      <c r="O120" s="215">
        <v>3014</v>
      </c>
      <c r="P120" s="137">
        <f t="shared" si="51"/>
        <v>39448</v>
      </c>
      <c r="Q120" s="136">
        <v>3074.29</v>
      </c>
      <c r="R120" s="136">
        <v>3353.1</v>
      </c>
      <c r="S120" s="136">
        <v>5420.68</v>
      </c>
      <c r="T120" s="136">
        <v>4405.3100000000004</v>
      </c>
      <c r="U120" s="136">
        <v>2618.0500000000002</v>
      </c>
      <c r="V120" s="136">
        <v>2319.4299999999998</v>
      </c>
      <c r="W120" s="72">
        <v>2283.89</v>
      </c>
      <c r="X120" s="72">
        <v>2643.19</v>
      </c>
      <c r="Y120" s="72">
        <v>5067</v>
      </c>
      <c r="Z120" s="72">
        <v>5067</v>
      </c>
      <c r="AA120" s="72">
        <v>5067</v>
      </c>
      <c r="AB120" s="72">
        <v>5067</v>
      </c>
      <c r="AC120" s="137">
        <f t="shared" si="48"/>
        <v>46385.94</v>
      </c>
      <c r="AD120" s="136">
        <f t="shared" si="49"/>
        <v>-6937.9400000000023</v>
      </c>
      <c r="AE120" s="196">
        <f t="shared" si="50"/>
        <v>-0.14956989122134859</v>
      </c>
      <c r="AF120" s="133">
        <v>49832.1</v>
      </c>
      <c r="AG120" s="124">
        <f t="shared" si="42"/>
        <v>10384.099999999999</v>
      </c>
      <c r="AH120" s="124"/>
    </row>
    <row r="121" spans="1:34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7">
        <f t="shared" si="51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8"/>
        <v>0</v>
      </c>
      <c r="AD121" s="136">
        <f t="shared" si="49"/>
        <v>0</v>
      </c>
      <c r="AE121" s="196" t="e">
        <f t="shared" si="50"/>
        <v>#DIV/0!</v>
      </c>
      <c r="AF121" s="133">
        <v>0</v>
      </c>
      <c r="AG121" s="124">
        <f t="shared" si="42"/>
        <v>0</v>
      </c>
      <c r="AH121" s="124"/>
    </row>
    <row r="122" spans="1:34">
      <c r="A122" s="105" t="s">
        <v>273</v>
      </c>
      <c r="C122" s="109" t="s">
        <v>522</v>
      </c>
      <c r="D122" s="137">
        <f t="shared" ref="D122:AC122" si="52">SUM(D114:D121)</f>
        <v>62078.110000000008</v>
      </c>
      <c r="E122" s="137">
        <f t="shared" si="52"/>
        <v>60993.110000000008</v>
      </c>
      <c r="F122" s="137">
        <f t="shared" si="52"/>
        <v>61063.110000000008</v>
      </c>
      <c r="G122" s="137">
        <f t="shared" si="52"/>
        <v>63117.310000000005</v>
      </c>
      <c r="H122" s="137">
        <f t="shared" si="52"/>
        <v>63309.310000000005</v>
      </c>
      <c r="I122" s="137">
        <f t="shared" si="52"/>
        <v>58993.19</v>
      </c>
      <c r="J122" s="137">
        <f t="shared" si="52"/>
        <v>61194.18</v>
      </c>
      <c r="K122" s="137">
        <f t="shared" si="52"/>
        <v>60191.68</v>
      </c>
      <c r="L122" s="137">
        <f t="shared" si="52"/>
        <v>60191.68</v>
      </c>
      <c r="M122" s="137">
        <f t="shared" si="52"/>
        <v>61230.68</v>
      </c>
      <c r="N122" s="137">
        <f t="shared" si="52"/>
        <v>61194.18</v>
      </c>
      <c r="O122" s="137">
        <f t="shared" si="52"/>
        <v>60191.68</v>
      </c>
      <c r="P122" s="137">
        <f t="shared" si="52"/>
        <v>733748.22000000009</v>
      </c>
      <c r="Q122" s="137">
        <f t="shared" si="52"/>
        <v>57050.67</v>
      </c>
      <c r="R122" s="137">
        <f t="shared" si="52"/>
        <v>57329.479999999996</v>
      </c>
      <c r="S122" s="137">
        <f t="shared" si="52"/>
        <v>57985.45</v>
      </c>
      <c r="T122" s="137">
        <f t="shared" si="52"/>
        <v>47292.55</v>
      </c>
      <c r="U122" s="137">
        <f t="shared" si="52"/>
        <v>48426.05</v>
      </c>
      <c r="V122" s="137">
        <f t="shared" si="52"/>
        <v>45184.630000000005</v>
      </c>
      <c r="W122" s="137">
        <f t="shared" si="52"/>
        <v>44809.13</v>
      </c>
      <c r="X122" s="137">
        <f t="shared" si="52"/>
        <v>51056.23</v>
      </c>
      <c r="Y122" s="137">
        <f t="shared" si="52"/>
        <v>50272</v>
      </c>
      <c r="Z122" s="137">
        <f t="shared" si="52"/>
        <v>50272</v>
      </c>
      <c r="AA122" s="137">
        <f t="shared" si="52"/>
        <v>50272</v>
      </c>
      <c r="AB122" s="137">
        <f t="shared" si="52"/>
        <v>50272</v>
      </c>
      <c r="AC122" s="137">
        <f t="shared" si="52"/>
        <v>610222.18999999994</v>
      </c>
      <c r="AD122" s="136">
        <f t="shared" si="49"/>
        <v>123526.03000000014</v>
      </c>
      <c r="AE122" s="196">
        <f t="shared" si="50"/>
        <v>0.20242795497161478</v>
      </c>
      <c r="AF122" s="133">
        <v>469506.57</v>
      </c>
      <c r="AG122" s="124">
        <f t="shared" si="42"/>
        <v>-264241.65000000008</v>
      </c>
      <c r="AH122" s="124"/>
    </row>
    <row r="123" spans="1:34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7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2"/>
        <v>0</v>
      </c>
      <c r="AH123" s="124"/>
    </row>
    <row r="124" spans="1:34">
      <c r="A124" s="105" t="s">
        <v>131</v>
      </c>
      <c r="B124" s="105" t="s">
        <v>375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16">
        <f t="shared" ref="P124:P132" si="53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4">SUM(Q124:AB124)</f>
        <v>0</v>
      </c>
      <c r="AD124" s="136">
        <f t="shared" ref="AD124:AD134" si="55">P124-AC124</f>
        <v>0</v>
      </c>
      <c r="AE124" s="196" t="e">
        <f t="shared" ref="AE124:AE134" si="56">AD124/AC124</f>
        <v>#DIV/0!</v>
      </c>
      <c r="AF124" s="133">
        <v>0</v>
      </c>
      <c r="AG124" s="124">
        <f t="shared" si="42"/>
        <v>0</v>
      </c>
      <c r="AH124" s="124"/>
    </row>
    <row r="125" spans="1:34">
      <c r="A125" s="105" t="s">
        <v>132</v>
      </c>
      <c r="B125" s="105" t="s">
        <v>375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16">
        <f t="shared" si="53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4"/>
        <v>0</v>
      </c>
      <c r="AD125" s="136">
        <f t="shared" si="55"/>
        <v>0</v>
      </c>
      <c r="AE125" s="196" t="e">
        <f t="shared" si="56"/>
        <v>#DIV/0!</v>
      </c>
      <c r="AF125" s="133">
        <v>0</v>
      </c>
      <c r="AG125" s="124">
        <f t="shared" si="42"/>
        <v>0</v>
      </c>
      <c r="AH125" s="124"/>
    </row>
    <row r="126" spans="1:34">
      <c r="A126" s="105" t="s">
        <v>133</v>
      </c>
      <c r="B126" s="105" t="s">
        <v>375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16">
        <f t="shared" si="53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4"/>
        <v>0</v>
      </c>
      <c r="AD126" s="136">
        <f t="shared" si="55"/>
        <v>0</v>
      </c>
      <c r="AE126" s="196" t="e">
        <f t="shared" si="56"/>
        <v>#DIV/0!</v>
      </c>
      <c r="AF126" s="133">
        <v>0</v>
      </c>
      <c r="AG126" s="124">
        <f t="shared" si="42"/>
        <v>0</v>
      </c>
      <c r="AH126" s="124"/>
    </row>
    <row r="127" spans="1:34">
      <c r="A127" s="105" t="s">
        <v>134</v>
      </c>
      <c r="B127" s="105" t="s">
        <v>375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16">
        <f t="shared" si="53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4"/>
        <v>0</v>
      </c>
      <c r="AD127" s="136">
        <f t="shared" si="55"/>
        <v>0</v>
      </c>
      <c r="AE127" s="196" t="e">
        <f t="shared" si="56"/>
        <v>#DIV/0!</v>
      </c>
      <c r="AF127" s="133">
        <v>0</v>
      </c>
      <c r="AG127" s="124">
        <f t="shared" si="42"/>
        <v>0</v>
      </c>
      <c r="AH127" s="124"/>
    </row>
    <row r="128" spans="1:34">
      <c r="A128" s="105" t="s">
        <v>135</v>
      </c>
      <c r="B128" s="105" t="s">
        <v>375</v>
      </c>
      <c r="C128" s="105" t="s">
        <v>280</v>
      </c>
      <c r="D128" s="215">
        <v>1858.6399999999999</v>
      </c>
      <c r="E128" s="215">
        <v>1858.6399999999999</v>
      </c>
      <c r="F128" s="215">
        <v>1858.6399999999999</v>
      </c>
      <c r="G128" s="215">
        <v>1858.6399999999999</v>
      </c>
      <c r="H128" s="215">
        <v>1858.6399999999999</v>
      </c>
      <c r="I128" s="215">
        <v>1858.6399999999999</v>
      </c>
      <c r="J128" s="215">
        <v>1858.6399999999999</v>
      </c>
      <c r="K128" s="215">
        <v>1858.6399999999999</v>
      </c>
      <c r="L128" s="215">
        <v>1858.6399999999999</v>
      </c>
      <c r="M128" s="215">
        <v>1858.6399999999999</v>
      </c>
      <c r="N128" s="215">
        <v>1858.6399999999999</v>
      </c>
      <c r="O128" s="215">
        <v>1858.6399999999999</v>
      </c>
      <c r="P128" s="216">
        <f t="shared" si="53"/>
        <v>22303.679999999997</v>
      </c>
      <c r="Q128" s="136">
        <v>508.97</v>
      </c>
      <c r="R128" s="136">
        <v>513.27</v>
      </c>
      <c r="S128" s="136">
        <v>508.97</v>
      </c>
      <c r="T128" s="136">
        <v>527.82000000000005</v>
      </c>
      <c r="U128" s="136">
        <v>472.18</v>
      </c>
      <c r="V128" s="136">
        <v>434.72</v>
      </c>
      <c r="W128" s="72">
        <v>479.5</v>
      </c>
      <c r="X128" s="72">
        <v>528.89</v>
      </c>
      <c r="Y128" s="72">
        <v>748</v>
      </c>
      <c r="Z128" s="72">
        <v>748</v>
      </c>
      <c r="AA128" s="72">
        <v>748</v>
      </c>
      <c r="AB128" s="72">
        <v>748</v>
      </c>
      <c r="AC128" s="137">
        <f t="shared" si="54"/>
        <v>6966.32</v>
      </c>
      <c r="AD128" s="136">
        <f t="shared" si="55"/>
        <v>15337.359999999997</v>
      </c>
      <c r="AE128" s="196">
        <f t="shared" si="56"/>
        <v>2.2016444837446452</v>
      </c>
      <c r="AF128" s="133">
        <v>28975.449999999997</v>
      </c>
      <c r="AG128" s="124">
        <f t="shared" si="42"/>
        <v>6671.77</v>
      </c>
      <c r="AH128" s="124"/>
    </row>
    <row r="129" spans="1:34">
      <c r="A129" s="105" t="s">
        <v>136</v>
      </c>
      <c r="B129" s="105" t="s">
        <v>375</v>
      </c>
      <c r="C129" s="105" t="s">
        <v>282</v>
      </c>
      <c r="D129" s="164">
        <v>8543</v>
      </c>
      <c r="E129" s="164">
        <v>7854</v>
      </c>
      <c r="F129" s="164">
        <v>7961</v>
      </c>
      <c r="G129" s="164">
        <v>8976</v>
      </c>
      <c r="H129" s="164">
        <v>9284</v>
      </c>
      <c r="I129" s="164">
        <v>8802</v>
      </c>
      <c r="J129" s="164">
        <v>8845</v>
      </c>
      <c r="K129" s="164">
        <v>9030</v>
      </c>
      <c r="L129" s="164">
        <v>9032</v>
      </c>
      <c r="M129" s="164">
        <v>9074</v>
      </c>
      <c r="N129" s="164">
        <v>8422</v>
      </c>
      <c r="O129" s="164">
        <v>8402</v>
      </c>
      <c r="P129" s="216">
        <f t="shared" si="53"/>
        <v>104225</v>
      </c>
      <c r="Q129" s="136">
        <v>11713.45</v>
      </c>
      <c r="R129" s="136">
        <v>10459.700000000001</v>
      </c>
      <c r="S129" s="136">
        <v>8452.68</v>
      </c>
      <c r="T129" s="136">
        <v>9397.36</v>
      </c>
      <c r="U129" s="136">
        <v>9781.07</v>
      </c>
      <c r="V129" s="136">
        <v>8854.84</v>
      </c>
      <c r="W129" s="72">
        <v>8421.3700000000008</v>
      </c>
      <c r="X129" s="72">
        <v>11596.07</v>
      </c>
      <c r="Y129" s="72">
        <v>30052</v>
      </c>
      <c r="Z129" s="72">
        <v>28576</v>
      </c>
      <c r="AA129" s="72">
        <v>26727</v>
      </c>
      <c r="AB129" s="72">
        <v>26733</v>
      </c>
      <c r="AC129" s="137">
        <f t="shared" si="54"/>
        <v>190764.54</v>
      </c>
      <c r="AD129" s="136">
        <f t="shared" si="55"/>
        <v>-86539.540000000008</v>
      </c>
      <c r="AE129" s="196">
        <f t="shared" si="56"/>
        <v>-0.45364584004972835</v>
      </c>
      <c r="AF129" s="133">
        <v>212149.83</v>
      </c>
      <c r="AG129" s="124">
        <f t="shared" si="42"/>
        <v>107924.82999999999</v>
      </c>
      <c r="AH129" s="124"/>
    </row>
    <row r="130" spans="1:34">
      <c r="A130" s="105" t="s">
        <v>137</v>
      </c>
      <c r="B130" s="105" t="s">
        <v>375</v>
      </c>
      <c r="C130" s="105" t="s">
        <v>283</v>
      </c>
      <c r="D130" s="164">
        <v>35091.26</v>
      </c>
      <c r="E130" s="164">
        <v>29610.26</v>
      </c>
      <c r="F130" s="164">
        <v>29622.58</v>
      </c>
      <c r="G130" s="164">
        <v>30005.58</v>
      </c>
      <c r="H130" s="164">
        <v>32301.26</v>
      </c>
      <c r="I130" s="164">
        <v>30078.18</v>
      </c>
      <c r="J130" s="164">
        <v>29912.18</v>
      </c>
      <c r="K130" s="164">
        <v>29887.18</v>
      </c>
      <c r="L130" s="164">
        <v>30058.18</v>
      </c>
      <c r="M130" s="164">
        <v>34714.78</v>
      </c>
      <c r="N130" s="164">
        <v>29925.58</v>
      </c>
      <c r="O130" s="164">
        <v>29900.58</v>
      </c>
      <c r="P130" s="216">
        <f t="shared" si="53"/>
        <v>371107.6</v>
      </c>
      <c r="Q130" s="136">
        <v>36921.94</v>
      </c>
      <c r="R130" s="136">
        <v>32757.11</v>
      </c>
      <c r="S130" s="136">
        <v>31284.99</v>
      </c>
      <c r="T130" s="136">
        <v>31235.88</v>
      </c>
      <c r="U130" s="136">
        <v>19880.63</v>
      </c>
      <c r="V130" s="136">
        <v>20614.689999999999</v>
      </c>
      <c r="W130" s="72">
        <v>22064.55</v>
      </c>
      <c r="X130" s="72">
        <v>25782.54</v>
      </c>
      <c r="Y130" s="72">
        <v>67971</v>
      </c>
      <c r="Z130" s="72">
        <v>73247</v>
      </c>
      <c r="AA130" s="72">
        <v>68611</v>
      </c>
      <c r="AB130" s="72">
        <v>68611</v>
      </c>
      <c r="AC130" s="137">
        <f t="shared" si="54"/>
        <v>498982.33</v>
      </c>
      <c r="AD130" s="136">
        <f t="shared" si="55"/>
        <v>-127874.73000000004</v>
      </c>
      <c r="AE130" s="196">
        <f t="shared" si="56"/>
        <v>-0.25627105873668921</v>
      </c>
      <c r="AF130" s="133">
        <v>743443.08</v>
      </c>
      <c r="AG130" s="124">
        <f t="shared" si="42"/>
        <v>372335.48</v>
      </c>
      <c r="AH130" s="124"/>
    </row>
    <row r="131" spans="1:34">
      <c r="A131" s="105" t="s">
        <v>138</v>
      </c>
      <c r="B131" s="105" t="s">
        <v>375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16">
        <f t="shared" si="53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4"/>
        <v>0</v>
      </c>
      <c r="AD131" s="136">
        <f t="shared" si="55"/>
        <v>0</v>
      </c>
      <c r="AE131" s="196" t="e">
        <f t="shared" si="56"/>
        <v>#DIV/0!</v>
      </c>
      <c r="AF131" s="133">
        <v>0</v>
      </c>
      <c r="AG131" s="124">
        <f t="shared" si="42"/>
        <v>0</v>
      </c>
      <c r="AH131" s="124"/>
    </row>
    <row r="132" spans="1:34">
      <c r="A132" s="105" t="s">
        <v>140</v>
      </c>
      <c r="B132" s="105" t="s">
        <v>375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16">
        <f t="shared" si="53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4"/>
        <v>0</v>
      </c>
      <c r="AD132" s="136">
        <f t="shared" si="55"/>
        <v>0</v>
      </c>
      <c r="AE132" s="196" t="e">
        <f t="shared" si="56"/>
        <v>#DIV/0!</v>
      </c>
      <c r="AF132" s="133">
        <v>0</v>
      </c>
      <c r="AG132" s="124">
        <f t="shared" si="42"/>
        <v>0</v>
      </c>
      <c r="AH132" s="124"/>
    </row>
    <row r="133" spans="1:34">
      <c r="A133" s="105" t="s">
        <v>273</v>
      </c>
      <c r="C133" s="109" t="s">
        <v>523</v>
      </c>
      <c r="D133" s="137">
        <f t="shared" ref="D133:AC133" si="57">SUM(D124:D132)</f>
        <v>45492.9</v>
      </c>
      <c r="E133" s="137">
        <f t="shared" si="57"/>
        <v>39322.899999999994</v>
      </c>
      <c r="F133" s="137">
        <f t="shared" si="57"/>
        <v>39442.22</v>
      </c>
      <c r="G133" s="137">
        <f t="shared" si="57"/>
        <v>40840.22</v>
      </c>
      <c r="H133" s="137">
        <f t="shared" si="57"/>
        <v>43443.899999999994</v>
      </c>
      <c r="I133" s="137">
        <f t="shared" si="57"/>
        <v>40738.82</v>
      </c>
      <c r="J133" s="137">
        <f t="shared" si="57"/>
        <v>40615.82</v>
      </c>
      <c r="K133" s="137">
        <f t="shared" si="57"/>
        <v>40775.82</v>
      </c>
      <c r="L133" s="137">
        <f t="shared" si="57"/>
        <v>40948.82</v>
      </c>
      <c r="M133" s="137">
        <f t="shared" si="57"/>
        <v>45647.42</v>
      </c>
      <c r="N133" s="137">
        <f t="shared" si="57"/>
        <v>40206.22</v>
      </c>
      <c r="O133" s="137">
        <f t="shared" si="57"/>
        <v>40161.22</v>
      </c>
      <c r="P133" s="137">
        <f t="shared" si="57"/>
        <v>497636.27999999997</v>
      </c>
      <c r="Q133" s="137">
        <f t="shared" si="57"/>
        <v>49144.36</v>
      </c>
      <c r="R133" s="137">
        <f t="shared" si="57"/>
        <v>43730.080000000002</v>
      </c>
      <c r="S133" s="137">
        <f t="shared" si="57"/>
        <v>40246.639999999999</v>
      </c>
      <c r="T133" s="137">
        <f t="shared" si="57"/>
        <v>41161.06</v>
      </c>
      <c r="U133" s="137">
        <f t="shared" si="57"/>
        <v>30133.88</v>
      </c>
      <c r="V133" s="137">
        <f t="shared" si="57"/>
        <v>29904.25</v>
      </c>
      <c r="W133" s="137">
        <f t="shared" si="57"/>
        <v>30965.42</v>
      </c>
      <c r="X133" s="137">
        <f t="shared" si="57"/>
        <v>37907.5</v>
      </c>
      <c r="Y133" s="137">
        <f t="shared" si="57"/>
        <v>98771</v>
      </c>
      <c r="Z133" s="137">
        <f t="shared" si="57"/>
        <v>102571</v>
      </c>
      <c r="AA133" s="137">
        <f t="shared" si="57"/>
        <v>96086</v>
      </c>
      <c r="AB133" s="137">
        <f t="shared" si="57"/>
        <v>96092</v>
      </c>
      <c r="AC133" s="137">
        <f t="shared" si="57"/>
        <v>696713.19000000006</v>
      </c>
      <c r="AD133" s="136">
        <f t="shared" si="55"/>
        <v>-199076.91000000009</v>
      </c>
      <c r="AE133" s="196">
        <f t="shared" si="56"/>
        <v>-0.28573724863742006</v>
      </c>
      <c r="AF133" s="133">
        <v>984568.35999999987</v>
      </c>
      <c r="AG133" s="124">
        <f t="shared" si="42"/>
        <v>486932.0799999999</v>
      </c>
      <c r="AH133" s="124"/>
    </row>
    <row r="134" spans="1:34">
      <c r="A134" s="105" t="s">
        <v>273</v>
      </c>
      <c r="C134" s="109" t="s">
        <v>524</v>
      </c>
      <c r="D134" s="137">
        <f t="shared" ref="D134:AC134" si="58">D105+D112+D122+D133</f>
        <v>332051.98000000004</v>
      </c>
      <c r="E134" s="137">
        <f t="shared" si="58"/>
        <v>270519.74</v>
      </c>
      <c r="F134" s="137">
        <f t="shared" si="58"/>
        <v>274222.33</v>
      </c>
      <c r="G134" s="137">
        <f t="shared" si="58"/>
        <v>296036.40000000002</v>
      </c>
      <c r="H134" s="137">
        <f t="shared" si="58"/>
        <v>308445.16000000003</v>
      </c>
      <c r="I134" s="137">
        <f t="shared" si="58"/>
        <v>269750.11</v>
      </c>
      <c r="J134" s="137">
        <f t="shared" si="58"/>
        <v>271828.09999999998</v>
      </c>
      <c r="K134" s="137">
        <f t="shared" si="58"/>
        <v>270985.59999999998</v>
      </c>
      <c r="L134" s="137">
        <f t="shared" si="58"/>
        <v>271158.59999999998</v>
      </c>
      <c r="M134" s="137">
        <f t="shared" si="58"/>
        <v>328852.03999999998</v>
      </c>
      <c r="N134" s="137">
        <f t="shared" si="58"/>
        <v>271418.5</v>
      </c>
      <c r="O134" s="137">
        <f t="shared" si="58"/>
        <v>270371</v>
      </c>
      <c r="P134" s="137">
        <f t="shared" si="58"/>
        <v>3435639.56</v>
      </c>
      <c r="Q134" s="137">
        <f t="shared" si="58"/>
        <v>287432.19</v>
      </c>
      <c r="R134" s="137">
        <f t="shared" si="58"/>
        <v>299116.38</v>
      </c>
      <c r="S134" s="137">
        <f t="shared" si="58"/>
        <v>267409.21000000002</v>
      </c>
      <c r="T134" s="137">
        <f t="shared" si="58"/>
        <v>262365.86</v>
      </c>
      <c r="U134" s="137">
        <f t="shared" si="58"/>
        <v>218384.55</v>
      </c>
      <c r="V134" s="137">
        <f t="shared" si="58"/>
        <v>204531.76</v>
      </c>
      <c r="W134" s="137">
        <f t="shared" si="58"/>
        <v>213287.8</v>
      </c>
      <c r="X134" s="137">
        <f t="shared" si="58"/>
        <v>244646.33000000002</v>
      </c>
      <c r="Y134" s="137">
        <f t="shared" si="58"/>
        <v>329150.33</v>
      </c>
      <c r="Z134" s="137">
        <f t="shared" si="58"/>
        <v>406425.33</v>
      </c>
      <c r="AA134" s="137">
        <f t="shared" si="58"/>
        <v>335325.33</v>
      </c>
      <c r="AB134" s="137">
        <f t="shared" si="58"/>
        <v>335502.33</v>
      </c>
      <c r="AC134" s="137">
        <f t="shared" si="58"/>
        <v>3403577.4</v>
      </c>
      <c r="AD134" s="136">
        <f t="shared" si="55"/>
        <v>32062.160000000149</v>
      </c>
      <c r="AE134" s="196">
        <f t="shared" si="56"/>
        <v>9.4201354139912177E-3</v>
      </c>
      <c r="AF134" s="133">
        <v>3816653.9699999997</v>
      </c>
      <c r="AG134" s="124">
        <f t="shared" si="42"/>
        <v>381014.40999999968</v>
      </c>
      <c r="AH134" s="124"/>
    </row>
    <row r="135" spans="1:34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2"/>
        <v>0</v>
      </c>
      <c r="AH135" s="124"/>
    </row>
    <row r="136" spans="1:34" s="109" customFormat="1">
      <c r="A136" s="109" t="s">
        <v>141</v>
      </c>
      <c r="B136" s="109" t="s">
        <v>375</v>
      </c>
      <c r="C136" s="109" t="s">
        <v>142</v>
      </c>
      <c r="D136" s="215">
        <v>29</v>
      </c>
      <c r="E136" s="215">
        <v>29</v>
      </c>
      <c r="F136" s="215">
        <v>29</v>
      </c>
      <c r="G136" s="215">
        <v>29</v>
      </c>
      <c r="H136" s="215">
        <v>29</v>
      </c>
      <c r="I136" s="215">
        <v>29</v>
      </c>
      <c r="J136" s="215">
        <v>29</v>
      </c>
      <c r="K136" s="215">
        <v>29</v>
      </c>
      <c r="L136" s="215">
        <v>29</v>
      </c>
      <c r="M136" s="215">
        <v>29</v>
      </c>
      <c r="N136" s="215">
        <v>29</v>
      </c>
      <c r="O136" s="215">
        <v>29</v>
      </c>
      <c r="P136" s="137">
        <f>SUM(D136:O136)/12</f>
        <v>29</v>
      </c>
      <c r="Q136" s="137">
        <v>27</v>
      </c>
      <c r="R136" s="137">
        <v>27</v>
      </c>
      <c r="S136" s="137">
        <v>27</v>
      </c>
      <c r="T136" s="137">
        <v>28</v>
      </c>
      <c r="U136" s="137">
        <v>24</v>
      </c>
      <c r="V136" s="137">
        <v>22</v>
      </c>
      <c r="W136" s="127">
        <v>24</v>
      </c>
      <c r="X136" s="127">
        <v>27</v>
      </c>
      <c r="Y136" s="127">
        <v>26</v>
      </c>
      <c r="Z136" s="127">
        <v>26</v>
      </c>
      <c r="AA136" s="127">
        <v>26</v>
      </c>
      <c r="AB136" s="127">
        <v>26</v>
      </c>
      <c r="AC136" s="137">
        <f>SUM(Q136:AB136)/12</f>
        <v>25.833333333333332</v>
      </c>
      <c r="AD136" s="137">
        <f t="shared" ref="AD136" si="59">P136-AC136</f>
        <v>3.1666666666666679</v>
      </c>
      <c r="AE136" s="139">
        <f t="shared" ref="AE136" si="60">AD136/AC136</f>
        <v>0.12258064516129037</v>
      </c>
      <c r="AF136" s="133">
        <v>48.833333333333336</v>
      </c>
      <c r="AG136" s="129">
        <f t="shared" si="42"/>
        <v>19.833333333333336</v>
      </c>
      <c r="AH136" s="124"/>
    </row>
    <row r="137" spans="1:34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  <c r="AH137" s="124"/>
    </row>
    <row r="138" spans="1:34">
      <c r="C138" s="151" t="s">
        <v>292</v>
      </c>
      <c r="D138" s="217">
        <v>18423</v>
      </c>
      <c r="E138" s="217">
        <v>18423</v>
      </c>
      <c r="F138" s="217">
        <v>18423</v>
      </c>
      <c r="G138" s="217">
        <v>18423</v>
      </c>
      <c r="H138" s="217">
        <v>18423</v>
      </c>
      <c r="I138" s="217">
        <v>18423</v>
      </c>
      <c r="J138" s="217">
        <v>18423</v>
      </c>
      <c r="K138" s="217">
        <v>18423</v>
      </c>
      <c r="L138" s="217">
        <v>18423</v>
      </c>
      <c r="M138" s="217">
        <v>18423</v>
      </c>
      <c r="N138" s="217">
        <v>18423</v>
      </c>
      <c r="O138" s="217">
        <v>18423</v>
      </c>
      <c r="P138" s="216">
        <f t="shared" ref="P138:P140" si="61">SUM(D138:O138)</f>
        <v>221076</v>
      </c>
      <c r="Q138" s="143"/>
      <c r="R138" s="143"/>
      <c r="S138" s="143"/>
      <c r="T138" s="143"/>
      <c r="U138" s="143"/>
      <c r="V138" s="143"/>
      <c r="W138" s="143"/>
      <c r="X138" s="136"/>
      <c r="Y138" s="136"/>
      <c r="Z138" s="136"/>
      <c r="AA138" s="136"/>
      <c r="AB138" s="136"/>
      <c r="AC138" s="137"/>
      <c r="AD138" s="140"/>
      <c r="AG138" s="123"/>
      <c r="AH138" s="124"/>
    </row>
    <row r="139" spans="1:34">
      <c r="C139" s="152" t="s">
        <v>366</v>
      </c>
      <c r="D139" s="116">
        <v>11374.910000000002</v>
      </c>
      <c r="E139" s="116">
        <v>8624.42</v>
      </c>
      <c r="F139" s="116">
        <v>8875.7199999999993</v>
      </c>
      <c r="G139" s="116">
        <v>9603.4699999999993</v>
      </c>
      <c r="H139" s="116">
        <v>9644.1</v>
      </c>
      <c r="I139" s="116">
        <v>8928</v>
      </c>
      <c r="J139" s="116">
        <v>8924.64</v>
      </c>
      <c r="K139" s="116">
        <v>8933.57</v>
      </c>
      <c r="L139" s="116">
        <v>8939.34</v>
      </c>
      <c r="M139" s="116">
        <v>11668.72</v>
      </c>
      <c r="N139" s="116">
        <v>8909.83</v>
      </c>
      <c r="O139" s="116">
        <v>8907.98</v>
      </c>
      <c r="P139" s="216">
        <f t="shared" si="61"/>
        <v>113334.70000000001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  <c r="AH139" s="124"/>
    </row>
    <row r="140" spans="1:34">
      <c r="C140" s="151" t="s">
        <v>367</v>
      </c>
      <c r="D140" s="116">
        <v>111083.53000000003</v>
      </c>
      <c r="E140" s="116">
        <v>82790.340000000011</v>
      </c>
      <c r="F140" s="116">
        <v>83128.040000000023</v>
      </c>
      <c r="G140" s="116">
        <v>91629.160000000018</v>
      </c>
      <c r="H140" s="116">
        <v>97641.979999999981</v>
      </c>
      <c r="I140" s="116">
        <v>85574.090000000011</v>
      </c>
      <c r="J140" s="116">
        <v>85510.450000000026</v>
      </c>
      <c r="K140" s="116">
        <v>85827.520000000019</v>
      </c>
      <c r="L140" s="116">
        <v>85972.750000000029</v>
      </c>
      <c r="M140" s="116">
        <v>112462.30000000003</v>
      </c>
      <c r="N140" s="116">
        <v>84929.260000000009</v>
      </c>
      <c r="O140" s="116">
        <v>84872.110000000015</v>
      </c>
      <c r="P140" s="216">
        <f t="shared" si="61"/>
        <v>1091421.5300000003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  <c r="AH140" s="124"/>
    </row>
    <row r="141" spans="1:34">
      <c r="C141" s="109" t="s">
        <v>476</v>
      </c>
      <c r="D141" s="117">
        <f>SUM(D138:D140)</f>
        <v>140881.44000000003</v>
      </c>
      <c r="E141" s="117">
        <f t="shared" ref="E141:P141" si="62">SUM(E138:E140)</f>
        <v>109837.76000000001</v>
      </c>
      <c r="F141" s="117">
        <f t="shared" si="62"/>
        <v>110426.76000000002</v>
      </c>
      <c r="G141" s="117">
        <f t="shared" si="62"/>
        <v>119655.63000000002</v>
      </c>
      <c r="H141" s="117">
        <f t="shared" si="62"/>
        <v>125709.07999999999</v>
      </c>
      <c r="I141" s="117">
        <f t="shared" si="62"/>
        <v>112925.09000000001</v>
      </c>
      <c r="J141" s="117">
        <f t="shared" si="62"/>
        <v>112858.09000000003</v>
      </c>
      <c r="K141" s="117">
        <f t="shared" si="62"/>
        <v>113184.09000000003</v>
      </c>
      <c r="L141" s="117">
        <f t="shared" si="62"/>
        <v>113335.09000000003</v>
      </c>
      <c r="M141" s="117">
        <f t="shared" si="62"/>
        <v>142554.02000000002</v>
      </c>
      <c r="N141" s="117">
        <f t="shared" si="62"/>
        <v>112262.09000000001</v>
      </c>
      <c r="O141" s="117">
        <f t="shared" si="62"/>
        <v>112203.09000000001</v>
      </c>
      <c r="P141" s="117">
        <f t="shared" si="62"/>
        <v>1425832.2300000002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  <c r="AH141" s="124"/>
    </row>
    <row r="142" spans="1:34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97"/>
      <c r="AD142" s="136"/>
      <c r="AG142" s="123"/>
      <c r="AH142" s="124"/>
    </row>
    <row r="143" spans="1:34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  <c r="AH143" s="124"/>
    </row>
    <row r="144" spans="1:34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  <c r="AH144" s="124"/>
    </row>
    <row r="145" spans="4:34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  <c r="AH145" s="124"/>
    </row>
    <row r="146" spans="4:34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  <c r="AH146" s="124"/>
    </row>
    <row r="147" spans="4:34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  <c r="AH147" s="124"/>
    </row>
    <row r="148" spans="4:34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  <c r="AH148" s="124"/>
    </row>
    <row r="149" spans="4:34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  <c r="AH149" s="124"/>
    </row>
    <row r="150" spans="4:34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  <c r="AH150" s="124"/>
    </row>
    <row r="151" spans="4:34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  <c r="AH151" s="124"/>
    </row>
    <row r="152" spans="4:34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  <c r="AH152" s="124"/>
    </row>
    <row r="153" spans="4:34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  <c r="AH153" s="124"/>
    </row>
    <row r="154" spans="4:34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  <c r="AH154" s="124"/>
    </row>
    <row r="155" spans="4:34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  <c r="AH155" s="124"/>
    </row>
    <row r="156" spans="4:34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  <c r="AH156" s="124"/>
    </row>
    <row r="157" spans="4:34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4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4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4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18">
    <dataValidation type="textLength" errorStyle="information" allowBlank="1" showInputMessage="1" showErrorMessage="1" error="XLBVal:6=8628_x000d__x000a_" sqref="S119">
      <formula1>0</formula1>
      <formula2>300</formula2>
    </dataValidation>
    <dataValidation type="textLength" errorStyle="information" allowBlank="1" showInputMessage="1" showErrorMessage="1" error="XLBVal:6=10640.88_x000d__x000a_" sqref="S111">
      <formula1>0</formula1>
      <formula2>300</formula2>
    </dataValidation>
    <dataValidation type="textLength" errorStyle="information" allowBlank="1" showInputMessage="1" showErrorMessage="1" error="XLBVal:6=8506.2_x000d__x000a_" sqref="V107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336.28_x000d__x000a_" sqref="S58:T58">
      <formula1>0</formula1>
      <formula2>300</formula2>
    </dataValidation>
    <dataValidation type="textLength" errorStyle="information" allowBlank="1" showInputMessage="1" showErrorMessage="1" error="XLBVal:6=35000_x000d__x000a_" sqref="R52">
      <formula1>0</formula1>
      <formula2>300</formula2>
    </dataValidation>
    <dataValidation type="textLength" errorStyle="information" allowBlank="1" showInputMessage="1" showErrorMessage="1" error="XLBVal:6=681.6_x000d__x000a_" sqref="R48">
      <formula1>0</formula1>
      <formula2>300</formula2>
    </dataValidation>
    <dataValidation type="textLength" errorStyle="information" allowBlank="1" showInputMessage="1" showErrorMessage="1" error="XLBVal:6=4076.8_x000d__x000a_" sqref="U26">
      <formula1>0</formula1>
      <formula2>300</formula2>
    </dataValidation>
    <dataValidation type="textLength" errorStyle="information" allowBlank="1" showInputMessage="1" showErrorMessage="1" error="XLBVal:6=24_x000d__x000a_" sqref="U136">
      <formula1>0</formula1>
      <formula2>300</formula2>
    </dataValidation>
    <dataValidation type="textLength" errorStyle="information" allowBlank="1" showInputMessage="1" showErrorMessage="1" error="XLBVal:6=28_x000d__x000a_" sqref="T136">
      <formula1>0</formula1>
      <formula2>300</formula2>
    </dataValidation>
    <dataValidation type="textLength" errorStyle="information" allowBlank="1" showInputMessage="1" showErrorMessage="1" error="XLBVal:6=7027_x000d__x000a_" sqref="V119">
      <formula1>0</formula1>
      <formula2>300</formula2>
    </dataValidation>
    <dataValidation type="textLength" errorStyle="information" allowBlank="1" showInputMessage="1" showErrorMessage="1" error="XLBVal:6=209.93_x000d__x000a_" sqref="S117">
      <formula1>0</formula1>
      <formula2>300</formula2>
    </dataValidation>
    <dataValidation type="textLength" errorStyle="information" allowBlank="1" showInputMessage="1" showErrorMessage="1" error="XLBVal:6=874.52_x000d__x000a_" sqref="S116">
      <formula1>0</formula1>
      <formula2>300</formula2>
    </dataValidation>
    <dataValidation type="textLength" errorStyle="information" allowBlank="1" showInputMessage="1" showErrorMessage="1" error="XLBVal:6=14867.13_x000d__x000a_" sqref="S115">
      <formula1>0</formula1>
      <formula2>300</formula2>
    </dataValidation>
    <dataValidation type="textLength" errorStyle="information" allowBlank="1" showInputMessage="1" showErrorMessage="1" error="XLBVal:6=27985.19_x000d__x000a_" sqref="S114">
      <formula1>0</formula1>
      <formula2>300</formula2>
    </dataValidation>
    <dataValidation type="textLength" errorStyle="information" allowBlank="1" showInputMessage="1" showErrorMessage="1" error="XLBVal:6=10687_x000d__x000a_" sqref="T111">
      <formula1>0</formula1>
      <formula2>300</formula2>
    </dataValidation>
    <dataValidation type="textLength" errorStyle="information" allowBlank="1" showInputMessage="1" showErrorMessage="1" error="XLBVal:6=11206.82_x000d__x000a_" sqref="Q111">
      <formula1>0</formula1>
      <formula2>300</formula2>
    </dataValidation>
    <dataValidation type="textLength" errorStyle="information" allowBlank="1" showInputMessage="1" showErrorMessage="1" error="XLBVal:6=14965.55_x000d__x000a_" sqref="V108">
      <formula1>0</formula1>
      <formula2>300</formula2>
    </dataValidation>
    <dataValidation type="textLength" errorStyle="information" allowBlank="1" showInputMessage="1" showErrorMessage="1" error="XLBVal:6=15968.63_x000d__x000a_" sqref="U108">
      <formula1>0</formula1>
      <formula2>300</formula2>
    </dataValidation>
    <dataValidation type="textLength" errorStyle="information" allowBlank="1" showInputMessage="1" showErrorMessage="1" error="XLBVal:6=19328.84_x000d__x000a_" sqref="T108">
      <formula1>0</formula1>
      <formula2>300</formula2>
    </dataValidation>
    <dataValidation type="textLength" errorStyle="information" allowBlank="1" showInputMessage="1" showErrorMessage="1" error="XLBVal:6=28298.39_x000d__x000a_" sqref="S108">
      <formula1>0</formula1>
      <formula2>300</formula2>
    </dataValidation>
    <dataValidation type="textLength" errorStyle="information" allowBlank="1" showInputMessage="1" showErrorMessage="1" error="XLBVal:6=13278.66_x000d__x000a_" sqref="Q107">
      <formula1>0</formula1>
      <formula2>300</formula2>
    </dataValidation>
    <dataValidation type="textLength" errorStyle="information" allowBlank="1" showInputMessage="1" showErrorMessage="1" error="XLBVal:6=-64.36_x000d__x000a_" sqref="T56">
      <formula1>0</formula1>
      <formula2>300</formula2>
    </dataValidation>
    <dataValidation type="textLength" errorStyle="information" allowBlank="1" showInputMessage="1" showErrorMessage="1" error="XLBVal:6=1690_x000d__x000a_" sqref="R56">
      <formula1>0</formula1>
      <formula2>300</formula2>
    </dataValidation>
    <dataValidation type="textLength" errorStyle="information" allowBlank="1" showInputMessage="1" showErrorMessage="1" error="XLBVal:6=10432.28_x000d__x000a_" sqref="T49">
      <formula1>0</formula1>
      <formula2>300</formula2>
    </dataValidation>
    <dataValidation type="textLength" errorStyle="information" allowBlank="1" showInputMessage="1" showErrorMessage="1" error="XLBVal:6=340.8_x000d__x000a_" sqref="S48:V48">
      <formula1>0</formula1>
      <formula2>300</formula2>
    </dataValidation>
    <dataValidation type="textLength" errorStyle="information" allowBlank="1" showInputMessage="1" showErrorMessage="1" error="XLBVal:6=-53.94_x000d__x000a_" sqref="U38">
      <formula1>0</formula1>
      <formula2>300</formula2>
    </dataValidation>
    <dataValidation type="textLength" errorStyle="information" allowBlank="1" showInputMessage="1" showErrorMessage="1" error="XLBVal:6=53.94_x000d__x000a_" sqref="T38">
      <formula1>0</formula1>
      <formula2>300</formula2>
    </dataValidation>
    <dataValidation type="textLength" errorStyle="information" allowBlank="1" showInputMessage="1" showErrorMessage="1" error="XLBVal:6=1784126.92_x000d__x000a_" sqref="AB9">
      <formula1>0</formula1>
      <formula2>300</formula2>
    </dataValidation>
    <dataValidation type="textLength" errorStyle="information" allowBlank="1" showInputMessage="1" showErrorMessage="1" error="XLBVal:6=1269877.29_x000d__x000a_" sqref="AA9">
      <formula1>0</formula1>
      <formula2>300</formula2>
    </dataValidation>
    <dataValidation type="textLength" errorStyle="information" allowBlank="1" showInputMessage="1" showErrorMessage="1" error="XLBVal:6=975655.6_x000d__x000a_" sqref="Z9">
      <formula1>0</formula1>
      <formula2>300</formula2>
    </dataValidation>
    <dataValidation type="textLength" errorStyle="information" allowBlank="1" showInputMessage="1" showErrorMessage="1" error="XLBVal:6=174528.4_x000d__x000a_" sqref="Y11">
      <formula1>0</formula1>
      <formula2>300</formula2>
    </dataValidation>
    <dataValidation type="textLength" errorStyle="information" allowBlank="1" showInputMessage="1" showErrorMessage="1" error="XLBVal:6=171792.3_x000d__x000a_" sqref="Y10">
      <formula1>0</formula1>
      <formula2>300</formula2>
    </dataValidation>
    <dataValidation type="textLength" errorStyle="information" allowBlank="1" showInputMessage="1" showErrorMessage="1" error="XLBVal:6=47788.99_x000d__x000a_" sqref="Y9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482640.3_x000d__x000a_" sqref="X11">
      <formula1>0</formula1>
      <formula2>300</formula2>
    </dataValidation>
    <dataValidation type="textLength" errorStyle="information" allowBlank="1" showInputMessage="1" showErrorMessage="1" error="XLBVal:6=532075.1_x000d__x000a_" sqref="X10">
      <formula1>0</formula1>
      <formula2>300</formula2>
    </dataValidation>
    <dataValidation type="textLength" errorStyle="information" allowBlank="1" showInputMessage="1" showErrorMessage="1" error="XLBVal:6=874764.95_x000d__x000a_" sqref="X9">
      <formula1>0</formula1>
      <formula2>300</formula2>
    </dataValidation>
    <dataValidation type="textLength" errorStyle="information" allowBlank="1" showInputMessage="1" showErrorMessage="1" error="XLBVal:6=28260.75_x000d__x000a_" sqref="R108">
      <formula1>0</formula1>
      <formula2>300</formula2>
    </dataValidation>
    <dataValidation type="textLength" errorStyle="information" allowBlank="1" showInputMessage="1" showErrorMessage="1" error="XLBVal:6=3850.2_x000d__x000a_" sqref="Q59">
      <formula1>0</formula1>
      <formula2>300</formula2>
    </dataValidation>
    <dataValidation type="textLength" errorStyle="information" allowBlank="1" showInputMessage="1" showErrorMessage="1" error="XLBVal:6=50000_x000d__x000a_" sqref="Q57:S57">
      <formula1>0</formula1>
      <formula2>300</formula2>
    </dataValidation>
    <dataValidation type="textLength" errorStyle="information" allowBlank="1" showInputMessage="1" showErrorMessage="1" error="XLBVal:6=6834.63_x000d__x000a_" sqref="U56">
      <formula1>0</formula1>
      <formula2>300</formula2>
    </dataValidation>
    <dataValidation type="textLength" errorStyle="information" allowBlank="1" showInputMessage="1" showErrorMessage="1" error="XLBVal:6=3325_x000d__x000a_" sqref="R51">
      <formula1>0</formula1>
      <formula2>300</formula2>
    </dataValidation>
    <dataValidation type="textLength" errorStyle="information" allowBlank="1" showInputMessage="1" showErrorMessage="1" error="XLBVal:6=8331.06_x000d__x000a_" sqref="V49">
      <formula1>0</formula1>
      <formula2>300</formula2>
    </dataValidation>
    <dataValidation type="textLength" errorStyle="information" allowBlank="1" showInputMessage="1" showErrorMessage="1" error="XLBVal:6=2976123.46_x000d__x000a_" sqref="W9 W17:AB21 W24:AB26 W30:AB32 W38:AB79 W85:AB89 W93:AB97 W102:AB104 W107:AB111 W114:AB121 W124:AB132 W136:AB136">
      <formula1>0</formula1>
      <formula2>300</formula2>
    </dataValidation>
    <dataValidation type="textLength" errorStyle="information" allowBlank="1" showInputMessage="1" showErrorMessage="1" error="XLBVal:6=171.25_x000d__x000a_" sqref="V117">
      <formula1>0</formula1>
      <formula2>300</formula2>
    </dataValidation>
    <dataValidation type="textLength" errorStyle="information" allowBlank="1" showInputMessage="1" showErrorMessage="1" error="XLBVal:6=713.32_x000d__x000a_" sqref="V116">
      <formula1>0</formula1>
      <formula2>300</formula2>
    </dataValidation>
    <dataValidation type="textLength" errorStyle="information" allowBlank="1" showInputMessage="1" showErrorMessage="1" error="XLBVal:6=22826.86_x000d__x000a_" sqref="V114">
      <formula1>0</formula1>
      <formula2>300</formula2>
    </dataValidation>
    <dataValidation type="textLength" errorStyle="information" allowBlank="1" showInputMessage="1" showErrorMessage="1" error="XLBVal:6=28541_x000d__x000a_" sqref="I85">
      <formula1>0</formula1>
      <formula2>300</formula2>
    </dataValidation>
    <dataValidation type="textLength" errorStyle="information" allowBlank="1" showInputMessage="1" showErrorMessage="1" error="XLBVal:6=3754.4_x000d__x000a_" sqref="I26">
      <formula1>0</formula1>
      <formula2>300</formula2>
    </dataValidation>
    <dataValidation type="textLength" errorStyle="information" allowBlank="1" showInputMessage="1" showErrorMessage="1" error="XLBVal:6=4004_x000d__x000a_" sqref="H26">
      <formula1>0</formula1>
      <formula2>300</formula2>
    </dataValidation>
    <dataValidation type="textLength" errorStyle="information" allowBlank="1" showInputMessage="1" showErrorMessage="1" error="XLBVal:6=3463.2_x000d__x000a_" sqref="G26">
      <formula1>0</formula1>
      <formula2>300</formula2>
    </dataValidation>
    <dataValidation type="textLength" errorStyle="information" allowBlank="1" showInputMessage="1" showErrorMessage="1" error="XLBVal:6=28215.78_x000d__x000a_" sqref="Q108">
      <formula1>0</formula1>
      <formula2>300</formula2>
    </dataValidation>
    <dataValidation type="textLength" errorStyle="information" allowBlank="1" showInputMessage="1" showErrorMessage="1" error="XLBVal:6=61308.36_x000d__x000a_" sqref="D103:D104 D107:O111 D114:O121 D124:O128 D136:O136">
      <formula1>0</formula1>
      <formula2>300</formula2>
    </dataValidation>
    <dataValidation type="textLength" errorStyle="information" allowBlank="1" showInputMessage="1" showErrorMessage="1" error="XLBVal:6=34143_x000d__x000a_" sqref="D102:O102 E103:O104">
      <formula1>0</formula1>
      <formula2>300</formula2>
    </dataValidation>
    <dataValidation type="textLength" errorStyle="information" allowBlank="1" showInputMessage="1" showErrorMessage="1" error="XLBVal:6=26604_x000d__x000a_" sqref="E85:H85 M85:N85">
      <formula1>0</formula1>
      <formula2>300</formula2>
    </dataValidation>
    <dataValidation type="textLength" errorStyle="information" allowBlank="1" showInputMessage="1" showErrorMessage="1" error="XLBVal:6=29099_x000d__x000a_" sqref="D85">
      <formula1>0</formula1>
      <formula2>300</formula2>
    </dataValidation>
    <dataValidation type="textLength" errorStyle="information" allowBlank="1" showInputMessage="1" showErrorMessage="1" error="XLBVal:6=4930_x000d__x000a_" sqref="R67">
      <formula1>0</formula1>
      <formula2>300</formula2>
    </dataValidation>
    <dataValidation type="textLength" errorStyle="information" allowBlank="1" showInputMessage="1" showErrorMessage="1" error="XLBVal:6=8268_x000d__x000a_" sqref="E26">
      <formula1>0</formula1>
      <formula2>300</formula2>
    </dataValidation>
    <dataValidation type="textLength" errorStyle="information" allowBlank="1" showInputMessage="1" showErrorMessage="1" error="XLBVal:6=3136202.49_x000d__x000a_" sqref="R9">
      <formula1>0</formula1>
      <formula2>300</formula2>
    </dataValidation>
    <dataValidation type="textLength" errorStyle="information" allowBlank="1" showInputMessage="1" showErrorMessage="1" error="XLBVal:6=2102213.42_x000d__x000a_" sqref="D9:O13">
      <formula1>0</formula1>
      <formula2>300</formula2>
    </dataValidation>
    <dataValidation type="textLength" errorStyle="information" allowBlank="1" showInputMessage="1" showErrorMessage="1" error="XLBVal:6=5100_x000d__x000a_" sqref="V67 T67">
      <formula1>0</formula1>
      <formula2>300</formula2>
    </dataValidation>
    <dataValidation type="textLength" errorStyle="information" allowBlank="1" showInputMessage="1" showErrorMessage="1" error="XLBVal:6=762.24_x000d__x000a_" sqref="U116">
      <formula1>0</formula1>
      <formula2>300</formula2>
    </dataValidation>
    <dataValidation type="textLength" errorStyle="information" allowBlank="1" showInputMessage="1" showErrorMessage="1" error="XLBVal:6=713.62_x000d__x000a_" sqref="T116">
      <formula1>0</formula1>
      <formula2>300</formula2>
    </dataValidation>
    <dataValidation type="textLength" errorStyle="information" allowBlank="1" showInputMessage="1" showErrorMessage="1" error="XLBVal:6=898.02_x000d__x000a_" sqref="Q116:R116">
      <formula1>0</formula1>
      <formula2>300</formula2>
    </dataValidation>
    <dataValidation type="textLength" errorStyle="information" allowBlank="1" showInputMessage="1" showErrorMessage="1" error="XLBVal:6=24398.56_x000d__x000a_" sqref="U102">
      <formula1>0</formula1>
      <formula2>300</formula2>
    </dataValidation>
    <dataValidation type="textLength" errorStyle="information" allowBlank="1" showInputMessage="1" showErrorMessage="1" error="XLBVal:6=44173.89_x000d__x000a_" sqref="T102">
      <formula1>0</formula1>
      <formula2>300</formula2>
    </dataValidation>
    <dataValidation type="textLength" errorStyle="information" allowBlank="1" showInputMessage="1" showErrorMessage="1" error="XLBVal:6=39470.11_x000d__x000a_" sqref="Q102">
      <formula1>0</formula1>
      <formula2>300</formula2>
    </dataValidation>
    <dataValidation type="textLength" errorStyle="information" allowBlank="1" showInputMessage="1" showErrorMessage="1" error="XLBVal:6=68.35_x000d__x000a_" sqref="T74">
      <formula1>0</formula1>
      <formula2>300</formula2>
    </dataValidation>
    <dataValidation type="textLength" errorStyle="information" allowBlank="1" showInputMessage="1" showErrorMessage="1" error="XLBVal:6=99.35_x000d__x000a_" sqref="S74">
      <formula1>0</formula1>
      <formula2>300</formula2>
    </dataValidation>
    <dataValidation type="textLength" errorStyle="information" allowBlank="1" showInputMessage="1" showErrorMessage="1" error="XLBVal:6=630_x000d__x000a_" sqref="V71">
      <formula1>0</formula1>
      <formula2>300</formula2>
    </dataValidation>
    <dataValidation type="textLength" errorStyle="information" allowBlank="1" showInputMessage="1" showErrorMessage="1" error="XLBVal:6=168.14_x000d__x000a_" sqref="U58 Q58">
      <formula1>0</formula1>
      <formula2>300</formula2>
    </dataValidation>
    <dataValidation type="textLength" errorStyle="information" allowBlank="1" showInputMessage="1" showErrorMessage="1" error="XLBVal:6=1748_x000d__x000a_" sqref="Q56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27_x000d__x000a_" sqref="Q136:S136">
      <formula1>0</formula1>
      <formula2>300</formula2>
    </dataValidation>
    <dataValidation type="textLength" errorStyle="information" allowBlank="1" showInputMessage="1" showErrorMessage="1" error="XLBVal:6=22_x000d__x000a_" sqref="V136">
      <formula1>0</formula1>
      <formula2>300</formula2>
    </dataValidation>
    <dataValidation type="textLength" errorStyle="information" allowBlank="1" showInputMessage="1" showErrorMessage="1" error="XLBVal:6=20614.69_x000d__x000a_" sqref="V130">
      <formula1>0</formula1>
      <formula2>300</formula2>
    </dataValidation>
    <dataValidation type="textLength" errorStyle="information" allowBlank="1" showInputMessage="1" showErrorMessage="1" error="XLBVal:6=19880.63_x000d__x000a_" sqref="U130">
      <formula1>0</formula1>
      <formula2>300</formula2>
    </dataValidation>
    <dataValidation type="textLength" errorStyle="information" allowBlank="1" showInputMessage="1" showErrorMessage="1" error="XLBVal:6=31235.88_x000d__x000a_" sqref="T130">
      <formula1>0</formula1>
      <formula2>300</formula2>
    </dataValidation>
    <dataValidation type="textLength" errorStyle="information" allowBlank="1" showInputMessage="1" showErrorMessage="1" error="XLBVal:6=31284.99_x000d__x000a_" sqref="S130">
      <formula1>0</formula1>
      <formula2>300</formula2>
    </dataValidation>
    <dataValidation type="textLength" errorStyle="information" allowBlank="1" showInputMessage="1" showErrorMessage="1" error="XLBVal:6=32757.11_x000d__x000a_" sqref="R130">
      <formula1>0</formula1>
      <formula2>300</formula2>
    </dataValidation>
    <dataValidation type="textLength" errorStyle="information" allowBlank="1" showInputMessage="1" showErrorMessage="1" error="XLBVal:6=36921.94_x000d__x000a_" sqref="Q130">
      <formula1>0</formula1>
      <formula2>300</formula2>
    </dataValidation>
    <dataValidation type="textLength" errorStyle="information" allowBlank="1" showInputMessage="1" showErrorMessage="1" error="XLBVal:6=8854.84_x000d__x000a_" sqref="V129">
      <formula1>0</formula1>
      <formula2>300</formula2>
    </dataValidation>
    <dataValidation type="textLength" errorStyle="information" allowBlank="1" showInputMessage="1" showErrorMessage="1" error="XLBVal:6=9781.07_x000d__x000a_" sqref="U129">
      <formula1>0</formula1>
      <formula2>300</formula2>
    </dataValidation>
    <dataValidation type="textLength" errorStyle="information" allowBlank="1" showInputMessage="1" showErrorMessage="1" error="XLBVal:6=9397.36_x000d__x000a_" sqref="T129">
      <formula1>0</formula1>
      <formula2>300</formula2>
    </dataValidation>
    <dataValidation type="textLength" errorStyle="information" allowBlank="1" showInputMessage="1" showErrorMessage="1" error="XLBVal:6=8452.68_x000d__x000a_" sqref="S129">
      <formula1>0</formula1>
      <formula2>300</formula2>
    </dataValidation>
    <dataValidation type="textLength" errorStyle="information" allowBlank="1" showInputMessage="1" showErrorMessage="1" error="XLBVal:6=10459.7_x000d__x000a_" sqref="R129">
      <formula1>0</formula1>
      <formula2>300</formula2>
    </dataValidation>
    <dataValidation type="textLength" errorStyle="information" allowBlank="1" showInputMessage="1" showErrorMessage="1" error="XLBVal:6=11713.45_x000d__x000a_" sqref="Q129">
      <formula1>0</formula1>
      <formula2>300</formula2>
    </dataValidation>
    <dataValidation type="textLength" errorStyle="information" allowBlank="1" showInputMessage="1" showErrorMessage="1" error="XLBVal:6=434.72_x000d__x000a_" sqref="V128">
      <formula1>0</formula1>
      <formula2>300</formula2>
    </dataValidation>
    <dataValidation type="textLength" errorStyle="information" allowBlank="1" showInputMessage="1" showErrorMessage="1" error="XLBVal:6=472.18_x000d__x000a_" sqref="U128">
      <formula1>0</formula1>
      <formula2>300</formula2>
    </dataValidation>
    <dataValidation type="textLength" errorStyle="information" allowBlank="1" showInputMessage="1" showErrorMessage="1" error="XLBVal:6=527.82_x000d__x000a_" sqref="T128">
      <formula1>0</formula1>
      <formula2>300</formula2>
    </dataValidation>
    <dataValidation type="textLength" errorStyle="information" allowBlank="1" showInputMessage="1" showErrorMessage="1" error="XLBVal:6=513.27_x000d__x000a_" sqref="R128">
      <formula1>0</formula1>
      <formula2>300</formula2>
    </dataValidation>
    <dataValidation type="textLength" errorStyle="information" allowBlank="1" showInputMessage="1" showErrorMessage="1" error="XLBVal:6=508.97_x000d__x000a_" sqref="Q128 S128">
      <formula1>0</formula1>
      <formula2>300</formula2>
    </dataValidation>
    <dataValidation type="textLength" errorStyle="information" allowBlank="1" showInputMessage="1" showErrorMessage="1" error="XLBVal:6=2319.43_x000d__x000a_" sqref="V120">
      <formula1>0</formula1>
      <formula2>300</formula2>
    </dataValidation>
    <dataValidation type="textLength" errorStyle="information" allowBlank="1" showInputMessage="1" showErrorMessage="1" error="XLBVal:6=2618.05_x000d__x000a_" sqref="U120">
      <formula1>0</formula1>
      <formula2>300</formula2>
    </dataValidation>
    <dataValidation type="textLength" errorStyle="information" allowBlank="1" showInputMessage="1" showErrorMessage="1" error="XLBVal:6=4405.31_x000d__x000a_" sqref="T120">
      <formula1>0</formula1>
      <formula2>300</formula2>
    </dataValidation>
    <dataValidation type="textLength" errorStyle="information" allowBlank="1" showInputMessage="1" showErrorMessage="1" error="XLBVal:6=5420.68_x000d__x000a_" sqref="S120">
      <formula1>0</formula1>
      <formula2>300</formula2>
    </dataValidation>
    <dataValidation type="textLength" errorStyle="information" allowBlank="1" showInputMessage="1" showErrorMessage="1" error="XLBVal:6=3353.1_x000d__x000a_" sqref="R120">
      <formula1>0</formula1>
      <formula2>300</formula2>
    </dataValidation>
    <dataValidation type="textLength" errorStyle="information" allowBlank="1" showInputMessage="1" showErrorMessage="1" error="XLBVal:6=3074.29_x000d__x000a_" sqref="Q120">
      <formula1>0</formula1>
      <formula2>300</formula2>
    </dataValidation>
    <dataValidation type="textLength" errorStyle="information" allowBlank="1" showInputMessage="1" showErrorMessage="1" error="XLBVal:6=7034_x000d__x000a_" sqref="T119">
      <formula1>0</formula1>
      <formula2>300</formula2>
    </dataValidation>
    <dataValidation type="textLength" errorStyle="information" allowBlank="1" showInputMessage="1" showErrorMessage="1" error="XLBVal:6=7512_x000d__x000a_" sqref="U119">
      <formula1>0</formula1>
      <formula2>300</formula2>
    </dataValidation>
    <dataValidation type="textLength" errorStyle="information" allowBlank="1" showInputMessage="1" showErrorMessage="1" error="XLBVal:6=8859_x000d__x000a_" sqref="Q119:R119">
      <formula1>0</formula1>
      <formula2>300</formula2>
    </dataValidation>
    <dataValidation type="textLength" errorStyle="information" allowBlank="1" showInputMessage="1" showErrorMessage="1" error="XLBVal:6=183_x000d__x000a_" sqref="U117">
      <formula1>0</formula1>
      <formula2>300</formula2>
    </dataValidation>
    <dataValidation type="textLength" errorStyle="information" allowBlank="1" showInputMessage="1" showErrorMessage="1" error="XLBVal:6=171.32_x000d__x000a_" sqref="T117">
      <formula1>0</formula1>
      <formula2>300</formula2>
    </dataValidation>
    <dataValidation type="textLength" errorStyle="information" allowBlank="1" showInputMessage="1" showErrorMessage="1" error="XLBVal:6=215.57_x000d__x000a_" sqref="Q117:R117">
      <formula1>0</formula1>
      <formula2>300</formula2>
    </dataValidation>
    <dataValidation type="textLength" errorStyle="information" allowBlank="1" showInputMessage="1" showErrorMessage="1" error="XLBVal:6=12126.77_x000d__x000a_" sqref="V115">
      <formula1>0</formula1>
      <formula2>300</formula2>
    </dataValidation>
    <dataValidation type="textLength" errorStyle="information" allowBlank="1" showInputMessage="1" showErrorMessage="1" error="XLBVal:6=12958.43_x000d__x000a_" sqref="U115">
      <formula1>0</formula1>
      <formula2>300</formula2>
    </dataValidation>
    <dataValidation type="textLength" errorStyle="information" allowBlank="1" showInputMessage="1" showErrorMessage="1" error="XLBVal:6=12131.86_x000d__x000a_" sqref="T115">
      <formula1>0</formula1>
      <formula2>300</formula2>
    </dataValidation>
    <dataValidation type="textLength" errorStyle="information" allowBlank="1" showInputMessage="1" showErrorMessage="1" error="XLBVal:6=15266.62_x000d__x000a_" sqref="Q115:R115">
      <formula1>0</formula1>
      <formula2>300</formula2>
    </dataValidation>
    <dataValidation type="textLength" errorStyle="information" allowBlank="1" showInputMessage="1" showErrorMessage="1" error="XLBVal:6=24392.33_x000d__x000a_" sqref="U114">
      <formula1>0</formula1>
      <formula2>300</formula2>
    </dataValidation>
    <dataValidation type="textLength" errorStyle="information" allowBlank="1" showInputMessage="1" showErrorMessage="1" error="XLBVal:6=22836.44_x000d__x000a_" sqref="T114">
      <formula1>0</formula1>
      <formula2>300</formula2>
    </dataValidation>
    <dataValidation type="textLength" errorStyle="information" allowBlank="1" showInputMessage="1" showErrorMessage="1" error="XLBVal:6=28737.17_x000d__x000a_" sqref="Q114:R114">
      <formula1>0</formula1>
      <formula2>300</formula2>
    </dataValidation>
    <dataValidation type="textLength" errorStyle="information" allowBlank="1" showInputMessage="1" showErrorMessage="1" error="XLBVal:6=3600_x000d__x000a_" sqref="U111:V111">
      <formula1>0</formula1>
      <formula2>300</formula2>
    </dataValidation>
    <dataValidation type="textLength" errorStyle="information" allowBlank="1" showInputMessage="1" showErrorMessage="1" error="XLBVal:6=4782.77_x000d__x000a_" sqref="R111">
      <formula1>0</formula1>
      <formula2>300</formula2>
    </dataValidation>
    <dataValidation type="textLength" errorStyle="information" allowBlank="1" showInputMessage="1" showErrorMessage="1" error="XLBVal:6=12601.13_x000d__x000a_" sqref="V109">
      <formula1>0</formula1>
      <formula2>300</formula2>
    </dataValidation>
    <dataValidation type="textLength" errorStyle="information" allowBlank="1" showInputMessage="1" showErrorMessage="1" error="XLBVal:6=13957_x000d__x000a_" sqref="U109">
      <formula1>0</formula1>
      <formula2>300</formula2>
    </dataValidation>
    <dataValidation type="textLength" errorStyle="information" allowBlank="1" showInputMessage="1" showErrorMessage="1" error="XLBVal:6=14468.86_x000d__x000a_" sqref="T109">
      <formula1>0</formula1>
      <formula2>300</formula2>
    </dataValidation>
    <dataValidation type="textLength" errorStyle="information" allowBlank="1" showInputMessage="1" showErrorMessage="1" error="XLBVal:6=15513.27_x000d__x000a_" sqref="S109">
      <formula1>0</formula1>
      <formula2>300</formula2>
    </dataValidation>
    <dataValidation type="textLength" errorStyle="information" allowBlank="1" showInputMessage="1" showErrorMessage="1" error="XLBVal:6=15648.96_x000d__x000a_" sqref="R109">
      <formula1>0</formula1>
      <formula2>300</formula2>
    </dataValidation>
    <dataValidation type="textLength" errorStyle="information" allowBlank="1" showInputMessage="1" showErrorMessage="1" error="XLBVal:6=15661.31_x000d__x000a_" sqref="Q109">
      <formula1>0</formula1>
      <formula2>300</formula2>
    </dataValidation>
    <dataValidation type="textLength" errorStyle="information" allowBlank="1" showInputMessage="1" showErrorMessage="1" error="XLBVal:6=12206.88_x000d__x000a_" sqref="U107">
      <formula1>0</formula1>
      <formula2>300</formula2>
    </dataValidation>
    <dataValidation type="textLength" errorStyle="information" allowBlank="1" showInputMessage="1" showErrorMessage="1" error="XLBVal:6=7264.83_x000d__x000a_" sqref="T107">
      <formula1>0</formula1>
      <formula2>300</formula2>
    </dataValidation>
    <dataValidation type="textLength" errorStyle="information" allowBlank="1" showInputMessage="1" showErrorMessage="1" error="XLBVal:6=33779.64_x000d__x000a_" sqref="R107">
      <formula1>0</formula1>
      <formula2>300</formula2>
    </dataValidation>
    <dataValidation type="textLength" errorStyle="information" allowBlank="1" showInputMessage="1" showErrorMessage="1" error="XLBVal:6=31100_x000d__x000a_" sqref="V104">
      <formula1>0</formula1>
      <formula2>300</formula2>
    </dataValidation>
    <dataValidation type="textLength" errorStyle="information" allowBlank="1" showInputMessage="1" showErrorMessage="1" error="XLBVal:6=35223.55_x000d__x000a_" sqref="U104">
      <formula1>0</formula1>
      <formula2>300</formula2>
    </dataValidation>
    <dataValidation type="textLength" errorStyle="information" allowBlank="1" showInputMessage="1" showErrorMessage="1" error="XLBVal:6=39218.83_x000d__x000a_" sqref="T104">
      <formula1>0</formula1>
      <formula2>300</formula2>
    </dataValidation>
    <dataValidation type="textLength" errorStyle="information" allowBlank="1" showInputMessage="1" showErrorMessage="1" error="XLBVal:6=37800_x000d__x000a_" sqref="S104">
      <formula1>0</formula1>
      <formula2>300</formula2>
    </dataValidation>
    <dataValidation type="textLength" errorStyle="information" allowBlank="1" showInputMessage="1" showErrorMessage="1" error="XLBVal:6=38951.72_x000d__x000a_" sqref="Q104:R104">
      <formula1>0</formula1>
      <formula2>300</formula2>
    </dataValidation>
    <dataValidation type="textLength" errorStyle="information" allowBlank="1" showInputMessage="1" showErrorMessage="1" error="XLBVal:6=34470_x000d__x000a_" sqref="U103:V103">
      <formula1>0</formula1>
      <formula2>300</formula2>
    </dataValidation>
    <dataValidation type="textLength" errorStyle="information" allowBlank="1" showInputMessage="1" showErrorMessage="1" error="XLBVal:6=38770_x000d__x000a_" sqref="T103">
      <formula1>0</formula1>
      <formula2>300</formula2>
    </dataValidation>
    <dataValidation type="textLength" errorStyle="information" allowBlank="1" showInputMessage="1" showErrorMessage="1" error="XLBVal:6=37424.58_x000d__x000a_" sqref="S103">
      <formula1>0</formula1>
      <formula2>300</formula2>
    </dataValidation>
    <dataValidation type="textLength" errorStyle="information" allowBlank="1" showInputMessage="1" showErrorMessage="1" error="XLBVal:6=37132.98_x000d__x000a_" sqref="R103">
      <formula1>0</formula1>
      <formula2>300</formula2>
    </dataValidation>
    <dataValidation type="textLength" errorStyle="information" allowBlank="1" showInputMessage="1" showErrorMessage="1" error="XLBVal:6=34452.76_x000d__x000a_" sqref="Q103">
      <formula1>0</formula1>
      <formula2>300</formula2>
    </dataValidation>
    <dataValidation type="textLength" errorStyle="information" allowBlank="1" showInputMessage="1" showErrorMessage="1" error="XLBVal:6=24200_x000d__x000a_" sqref="V102">
      <formula1>0</formula1>
      <formula2>300</formula2>
    </dataValidation>
    <dataValidation type="textLength" errorStyle="information" allowBlank="1" showInputMessage="1" showErrorMessage="1" error="XLBVal:6=39500_x000d__x000a_" sqref="R102:S102">
      <formula1>0</formula1>
      <formula2>300</formula2>
    </dataValidation>
    <dataValidation type="textLength" errorStyle="information" allowBlank="1" showInputMessage="1" showErrorMessage="1" error="XLBVal:6=22866_x000d__x000a_" sqref="V85">
      <formula1>0</formula1>
      <formula2>300</formula2>
    </dataValidation>
    <dataValidation type="textLength" errorStyle="information" allowBlank="1" showInputMessage="1" showErrorMessage="1" error="XLBVal:6=21629_x000d__x000a_" sqref="U85">
      <formula1>0</formula1>
      <formula2>300</formula2>
    </dataValidation>
    <dataValidation type="textLength" errorStyle="information" allowBlank="1" showInputMessage="1" showErrorMessage="1" error="XLBVal:6=26602_x000d__x000a_" sqref="T85">
      <formula1>0</formula1>
      <formula2>300</formula2>
    </dataValidation>
    <dataValidation type="textLength" errorStyle="information" allowBlank="1" showInputMessage="1" showErrorMessage="1" error="XLBVal:6=27303_x000d__x000a_" sqref="S85">
      <formula1>0</formula1>
      <formula2>300</formula2>
    </dataValidation>
    <dataValidation type="textLength" errorStyle="information" allowBlank="1" showInputMessage="1" showErrorMessage="1" error="XLBVal:6=29860_x000d__x000a_" sqref="R85">
      <formula1>0</formula1>
      <formula2>300</formula2>
    </dataValidation>
    <dataValidation type="textLength" errorStyle="information" allowBlank="1" showInputMessage="1" showErrorMessage="1" error="XLBVal:6=29297_x000d__x000a_" sqref="Q85">
      <formula1>0</formula1>
      <formula2>300</formula2>
    </dataValidation>
    <dataValidation type="textLength" errorStyle="information" allowBlank="1" showInputMessage="1" showErrorMessage="1" error="XLBVal:6=282798.04_x000d__x000a_" sqref="V79">
      <formula1>0</formula1>
      <formula2>300</formula2>
    </dataValidation>
    <dataValidation type="textLength" errorStyle="information" allowBlank="1" showInputMessage="1" showErrorMessage="1" error="XLBVal:6=198030.53_x000d__x000a_" sqref="U79">
      <formula1>0</formula1>
      <formula2>300</formula2>
    </dataValidation>
    <dataValidation type="textLength" errorStyle="information" allowBlank="1" showInputMessage="1" showErrorMessage="1" error="XLBVal:6=351850.4_x000d__x000a_" sqref="T79">
      <formula1>0</formula1>
      <formula2>300</formula2>
    </dataValidation>
    <dataValidation type="textLength" errorStyle="information" allowBlank="1" showInputMessage="1" showErrorMessage="1" error="XLBVal:6=337810.41_x000d__x000a_" sqref="S79">
      <formula1>0</formula1>
      <formula2>300</formula2>
    </dataValidation>
    <dataValidation type="textLength" errorStyle="information" allowBlank="1" showInputMessage="1" showErrorMessage="1" error="XLBVal:6=317702.18_x000d__x000a_" sqref="R79">
      <formula1>0</formula1>
      <formula2>300</formula2>
    </dataValidation>
    <dataValidation type="textLength" errorStyle="information" allowBlank="1" showInputMessage="1" showErrorMessage="1" error="XLBVal:6=334923.55_x000d__x000a_" sqref="Q79">
      <formula1>0</formula1>
      <formula2>300</formula2>
    </dataValidation>
    <dataValidation type="textLength" errorStyle="information" allowBlank="1" showInputMessage="1" showErrorMessage="1" error="XLBVal:6=3889_x000d__x000a_" sqref="V78">
      <formula1>0</formula1>
      <formula2>300</formula2>
    </dataValidation>
    <dataValidation type="textLength" errorStyle="information" allowBlank="1" showInputMessage="1" showErrorMessage="1" error="XLBVal:6=4277.58_x000d__x000a_" sqref="U78">
      <formula1>0</formula1>
      <formula2>300</formula2>
    </dataValidation>
    <dataValidation type="textLength" errorStyle="information" allowBlank="1" showInputMessage="1" showErrorMessage="1" error="XLBVal:6=7986.08_x000d__x000a_" sqref="T78">
      <formula1>0</formula1>
      <formula2>300</formula2>
    </dataValidation>
    <dataValidation type="textLength" errorStyle="information" allowBlank="1" showInputMessage="1" showErrorMessage="1" error="XLBVal:6=3000_x000d__x000a_" sqref="S78">
      <formula1>0</formula1>
      <formula2>300</formula2>
    </dataValidation>
    <dataValidation type="textLength" errorStyle="information" allowBlank="1" showInputMessage="1" showErrorMessage="1" error="XLBVal:6=4422.56_x000d__x000a_" sqref="R78">
      <formula1>0</formula1>
      <formula2>300</formula2>
    </dataValidation>
    <dataValidation type="textLength" errorStyle="information" allowBlank="1" showInputMessage="1" showErrorMessage="1" error="XLBVal:6=3380.8_x000d__x000a_" sqref="Q78">
      <formula1>0</formula1>
      <formula2>300</formula2>
    </dataValidation>
    <dataValidation type="textLength" errorStyle="information" allowBlank="1" showInputMessage="1" showErrorMessage="1" error="XLBVal:6=82.95_x000d__x000a_" sqref="V74">
      <formula1>0</formula1>
      <formula2>300</formula2>
    </dataValidation>
    <dataValidation type="textLength" errorStyle="information" allowBlank="1" showInputMessage="1" showErrorMessage="1" error="XLBVal:6=87.2_x000d__x000a_" sqref="U74">
      <formula1>0</formula1>
      <formula2>300</formula2>
    </dataValidation>
    <dataValidation type="textLength" errorStyle="information" allowBlank="1" showInputMessage="1" showErrorMessage="1" error="XLBVal:6=48.25_x000d__x000a_" sqref="R74">
      <formula1>0</formula1>
      <formula2>300</formula2>
    </dataValidation>
    <dataValidation type="textLength" errorStyle="information" allowBlank="1" showInputMessage="1" showErrorMessage="1" error="XLBVal:6=96.03_x000d__x000a_" sqref="Q74">
      <formula1>0</formula1>
      <formula2>300</formula2>
    </dataValidation>
    <dataValidation type="textLength" errorStyle="information" allowBlank="1" showInputMessage="1" showErrorMessage="1" error="XLBVal:6=5298.28_x000d__x000a_" sqref="V72">
      <formula1>0</formula1>
      <formula2>300</formula2>
    </dataValidation>
    <dataValidation type="textLength" errorStyle="information" allowBlank="1" showInputMessage="1" showErrorMessage="1" error="XLBVal:6=1934.87_x000d__x000a_" sqref="U72">
      <formula1>0</formula1>
      <formula2>300</formula2>
    </dataValidation>
    <dataValidation type="textLength" errorStyle="information" allowBlank="1" showInputMessage="1" showErrorMessage="1" error="XLBVal:6=8055.33_x000d__x000a_" sqref="T72">
      <formula1>0</formula1>
      <formula2>300</formula2>
    </dataValidation>
    <dataValidation type="textLength" errorStyle="information" allowBlank="1" showInputMessage="1" showErrorMessage="1" error="XLBVal:6=7315.12_x000d__x000a_" sqref="S72">
      <formula1>0</formula1>
      <formula2>300</formula2>
    </dataValidation>
    <dataValidation type="textLength" errorStyle="information" allowBlank="1" showInputMessage="1" showErrorMessage="1" error="XLBVal:6=15101.79_x000d__x000a_" sqref="R72">
      <formula1>0</formula1>
      <formula2>300</formula2>
    </dataValidation>
    <dataValidation type="textLength" errorStyle="information" allowBlank="1" showInputMessage="1" showErrorMessage="1" error="XLBVal:6=8071.13_x000d__x000a_" sqref="Q72">
      <formula1>0</formula1>
      <formula2>300</formula2>
    </dataValidation>
    <dataValidation type="textLength" errorStyle="information" allowBlank="1" showInputMessage="1" showErrorMessage="1" error="XLBVal:6=648.1_x000d__x000a_" sqref="U71">
      <formula1>0</formula1>
      <formula2>300</formula2>
    </dataValidation>
    <dataValidation type="textLength" errorStyle="information" allowBlank="1" showInputMessage="1" showErrorMessage="1" error="XLBVal:6=310_x000d__x000a_" sqref="T71">
      <formula1>0</formula1>
      <formula2>300</formula2>
    </dataValidation>
    <dataValidation type="textLength" errorStyle="information" allowBlank="1" showInputMessage="1" showErrorMessage="1" error="XLBVal:6=6521.24_x000d__x000a_" sqref="S71">
      <formula1>0</formula1>
      <formula2>300</formula2>
    </dataValidation>
    <dataValidation type="textLength" errorStyle="information" allowBlank="1" showInputMessage="1" showErrorMessage="1" error="XLBVal:6=2171.5_x000d__x000a_" sqref="R71">
      <formula1>0</formula1>
      <formula2>300</formula2>
    </dataValidation>
    <dataValidation type="textLength" errorStyle="information" allowBlank="1" showInputMessage="1" showErrorMessage="1" error="XLBVal:6=785_x000d__x000a_" sqref="Q71">
      <formula1>0</formula1>
      <formula2>300</formula2>
    </dataValidation>
    <dataValidation type="textLength" errorStyle="information" allowBlank="1" showInputMessage="1" showErrorMessage="1" error="XLBVal:6=5270_x000d__x000a_" sqref="U67 S67 Q67">
      <formula1>0</formula1>
      <formula2>300</formula2>
    </dataValidation>
    <dataValidation type="textLength" errorStyle="information" allowBlank="1" showInputMessage="1" showErrorMessage="1" error="XLBVal:6=936.58_x000d__x000a_" sqref="V63">
      <formula1>0</formula1>
      <formula2>300</formula2>
    </dataValidation>
    <dataValidation type="textLength" errorStyle="information" allowBlank="1" showInputMessage="1" showErrorMessage="1" error="XLBVal:6=1097.54_x000d__x000a_" sqref="U63">
      <formula1>0</formula1>
      <formula2>300</formula2>
    </dataValidation>
    <dataValidation type="textLength" errorStyle="information" allowBlank="1" showInputMessage="1" showErrorMessage="1" error="XLBVal:6=1527.34_x000d__x000a_" sqref="T63">
      <formula1>0</formula1>
      <formula2>300</formula2>
    </dataValidation>
    <dataValidation type="textLength" errorStyle="information" allowBlank="1" showInputMessage="1" showErrorMessage="1" error="XLBVal:6=920.36_x000d__x000a_" sqref="S63">
      <formula1>0</formula1>
      <formula2>300</formula2>
    </dataValidation>
    <dataValidation type="textLength" errorStyle="information" allowBlank="1" showInputMessage="1" showErrorMessage="1" error="XLBVal:6=4474.92_x000d__x000a_" sqref="R63">
      <formula1>0</formula1>
      <formula2>300</formula2>
    </dataValidation>
    <dataValidation type="textLength" errorStyle="information" allowBlank="1" showInputMessage="1" showErrorMessage="1" error="XLBVal:6=2176_x000d__x000a_" sqref="Q63">
      <formula1>0</formula1>
      <formula2>300</formula2>
    </dataValidation>
    <dataValidation type="textLength" errorStyle="information" allowBlank="1" showInputMessage="1" showErrorMessage="1" error="XLBVal:6=-47.79_x000d__x000a_" sqref="T59">
      <formula1>0</formula1>
      <formula2>300</formula2>
    </dataValidation>
    <dataValidation type="textLength" errorStyle="information" allowBlank="1" showInputMessage="1" showErrorMessage="1" error="XLBVal:6=3991_x000d__x000a_" sqref="R59:S59">
      <formula1>0</formula1>
      <formula2>300</formula2>
    </dataValidation>
    <dataValidation type="textLength" errorStyle="information" allowBlank="1" showInputMessage="1" showErrorMessage="1" error="XLBVal:6=3175_x000d__x000a_" sqref="S56">
      <formula1>0</formula1>
      <formula2>300</formula2>
    </dataValidation>
    <dataValidation type="textLength" errorStyle="information" allowBlank="1" showInputMessage="1" showErrorMessage="1" error="XLBVal:6=4964_x000d__x000a_" sqref="V51">
      <formula1>0</formula1>
      <formula2>300</formula2>
    </dataValidation>
    <dataValidation type="textLength" errorStyle="information" allowBlank="1" showInputMessage="1" showErrorMessage="1" error="XLBVal:6=4785.9_x000d__x000a_" sqref="U51">
      <formula1>0</formula1>
      <formula2>300</formula2>
    </dataValidation>
    <dataValidation type="textLength" errorStyle="information" allowBlank="1" showInputMessage="1" showErrorMessage="1" error="XLBVal:6=2666.9_x000d__x000a_" sqref="T51">
      <formula1>0</formula1>
      <formula2>300</formula2>
    </dataValidation>
    <dataValidation type="textLength" errorStyle="information" allowBlank="1" showInputMessage="1" showErrorMessage="1" error="XLBVal:6=3476.9_x000d__x000a_" sqref="S51">
      <formula1>0</formula1>
      <formula2>300</formula2>
    </dataValidation>
    <dataValidation type="textLength" errorStyle="information" allowBlank="1" showInputMessage="1" showErrorMessage="1" error="XLBVal:6=3207.9_x000d__x000a_" sqref="Q51">
      <formula1>0</formula1>
      <formula2>300</formula2>
    </dataValidation>
    <dataValidation type="textLength" errorStyle="information" allowBlank="1" showInputMessage="1" showErrorMessage="1" error="XLBVal:6=8053.96_x000d__x000a_" sqref="U49">
      <formula1>0</formula1>
      <formula2>300</formula2>
    </dataValidation>
    <dataValidation type="textLength" errorStyle="information" allowBlank="1" showInputMessage="1" showErrorMessage="1" error="XLBVal:6=14195.58_x000d__x000a_" sqref="S49">
      <formula1>0</formula1>
      <formula2>300</formula2>
    </dataValidation>
    <dataValidation type="textLength" errorStyle="information" allowBlank="1" showInputMessage="1" showErrorMessage="1" error="XLBVal:6=12529.78_x000d__x000a_" sqref="R49">
      <formula1>0</formula1>
      <formula2>300</formula2>
    </dataValidation>
    <dataValidation type="textLength" errorStyle="information" allowBlank="1" showInputMessage="1" showErrorMessage="1" error="XLBVal:6=12750.38_x000d__x000a_" sqref="Q49">
      <formula1>0</formula1>
      <formula2>300</formula2>
    </dataValidation>
    <dataValidation type="textLength" errorStyle="information" allowBlank="1" showInputMessage="1" showErrorMessage="1" error="XLBVal:6=153738.1_x000d__x000a_" sqref="V43">
      <formula1>0</formula1>
      <formula2>300</formula2>
    </dataValidation>
    <dataValidation type="textLength" errorStyle="information" allowBlank="1" showInputMessage="1" showErrorMessage="1" error="XLBVal:6=162827.95_x000d__x000a_" sqref="U43">
      <formula1>0</formula1>
      <formula2>300</formula2>
    </dataValidation>
    <dataValidation type="textLength" errorStyle="information" allowBlank="1" showInputMessage="1" showErrorMessage="1" error="XLBVal:6=82166.87_x000d__x000a_" sqref="T43">
      <formula1>0</formula1>
      <formula2>300</formula2>
    </dataValidation>
    <dataValidation type="textLength" errorStyle="information" allowBlank="1" showInputMessage="1" showErrorMessage="1" error="XLBVal:6=102809.84_x000d__x000a_" sqref="S43">
      <formula1>0</formula1>
      <formula2>300</formula2>
    </dataValidation>
    <dataValidation type="textLength" errorStyle="information" allowBlank="1" showInputMessage="1" showErrorMessage="1" error="XLBVal:6=183008.34_x000d__x000a_" sqref="R43">
      <formula1>0</formula1>
      <formula2>300</formula2>
    </dataValidation>
    <dataValidation type="textLength" errorStyle="information" allowBlank="1" showInputMessage="1" showErrorMessage="1" error="XLBVal:6=158268.09_x000d__x000a_" sqref="Q43">
      <formula1>0</formula1>
      <formula2>300</formula2>
    </dataValidation>
    <dataValidation type="textLength" errorStyle="information" allowBlank="1" showInputMessage="1" showErrorMessage="1" error="XLBVal:6=17.66_x000d__x000a_" sqref="S38">
      <formula1>0</formula1>
      <formula2>300</formula2>
    </dataValidation>
    <dataValidation type="textLength" errorStyle="information" allowBlank="1" showInputMessage="1" showErrorMessage="1" error="XLBVal:6=147.17_x000d__x000a_" sqref="R38">
      <formula1>0</formula1>
      <formula2>300</formula2>
    </dataValidation>
    <dataValidation type="textLength" errorStyle="information" allowBlank="1" showInputMessage="1" showErrorMessage="1" error="XLBVal:6=38.26_x000d__x000a_" sqref="Q38">
      <formula1>0</formula1>
      <formula2>300</formula2>
    </dataValidation>
    <dataValidation type="textLength" errorStyle="information" allowBlank="1" showInputMessage="1" showErrorMessage="1" error="XLBVal:6=596948.88_x000d__x000a_" sqref="V30">
      <formula1>0</formula1>
      <formula2>300</formula2>
    </dataValidation>
    <dataValidation type="textLength" errorStyle="information" allowBlank="1" showInputMessage="1" showErrorMessage="1" error="XLBVal:6=544763.41_x000d__x000a_" sqref="U30">
      <formula1>0</formula1>
      <formula2>300</formula2>
    </dataValidation>
    <dataValidation type="textLength" errorStyle="information" allowBlank="1" showInputMessage="1" showErrorMessage="1" error="XLBVal:6=689812.53_x000d__x000a_" sqref="T30">
      <formula1>0</formula1>
      <formula2>300</formula2>
    </dataValidation>
    <dataValidation type="textLength" errorStyle="information" allowBlank="1" showInputMessage="1" showErrorMessage="1" error="XLBVal:6=703168.8_x000d__x000a_" sqref="S30">
      <formula1>0</formula1>
      <formula2>300</formula2>
    </dataValidation>
    <dataValidation type="textLength" errorStyle="information" allowBlank="1" showInputMessage="1" showErrorMessage="1" error="XLBVal:6=884632.48_x000d__x000a_" sqref="R30">
      <formula1>0</formula1>
      <formula2>300</formula2>
    </dataValidation>
    <dataValidation type="textLength" errorStyle="information" allowBlank="1" showInputMessage="1" showErrorMessage="1" error="XLBVal:6=824371.83_x000d__x000a_" sqref="Q30">
      <formula1>0</formula1>
      <formula2>300</formula2>
    </dataValidation>
    <dataValidation type="textLength" errorStyle="information" allowBlank="1" showInputMessage="1" showErrorMessage="1" error="XLBVal:6=3095.3_x000d__x000a_" sqref="V26">
      <formula1>0</formula1>
      <formula2>300</formula2>
    </dataValidation>
    <dataValidation type="textLength" errorStyle="information" allowBlank="1" showInputMessage="1" showErrorMessage="1" error="XLBVal:6=3172_x000d__x000a_" sqref="F26">
      <formula1>0</formula1>
      <formula2>300</formula2>
    </dataValidation>
    <dataValidation type="textLength" errorStyle="information" allowBlank="1" showInputMessage="1" showErrorMessage="1" error="XLBVal:6=3161.6_x000d__x000a_" sqref="T26">
      <formula1>0</formula1>
      <formula2>300</formula2>
    </dataValidation>
    <dataValidation type="textLength" errorStyle="information" allowBlank="1" showInputMessage="1" showErrorMessage="1" error="XLBVal:6=2984.8_x000d__x000a_" sqref="S26">
      <formula1>0</formula1>
      <formula2>300</formula2>
    </dataValidation>
    <dataValidation type="textLength" errorStyle="information" allowBlank="1" showInputMessage="1" showErrorMessage="1" error="XLBVal:6=13313.3_x000d__x000a_" sqref="R26">
      <formula1>0</formula1>
      <formula2>300</formula2>
    </dataValidation>
    <dataValidation type="textLength" errorStyle="information" allowBlank="1" showInputMessage="1" showErrorMessage="1" error="XLBVal:6=6354.7_x000d__x000a_" sqref="Q26">
      <formula1>0</formula1>
      <formula2>300</formula2>
    </dataValidation>
    <dataValidation type="textLength" errorStyle="information" allowBlank="1" showInputMessage="1" showErrorMessage="1" error="XLBVal:6=2115710.6_x000d__x000a_" sqref="V9">
      <formula1>0</formula1>
      <formula2>300</formula2>
    </dataValidation>
    <dataValidation type="textLength" errorStyle="information" allowBlank="1" showInputMessage="1" showErrorMessage="1" error="XLBVal:6=1928997.18_x000d__x000a_" sqref="U9">
      <formula1>0</formula1>
      <formula2>300</formula2>
    </dataValidation>
    <dataValidation type="textLength" errorStyle="information" allowBlank="1" showInputMessage="1" showErrorMessage="1" error="XLBVal:6=2459299.37_x000d__x000a_" sqref="T9">
      <formula1>0</formula1>
      <formula2>300</formula2>
    </dataValidation>
    <dataValidation type="textLength" errorStyle="information" allowBlank="1" showInputMessage="1" showErrorMessage="1" error="XLBVal:6=2505337.77_x000d__x000a_" sqref="S9">
      <formula1>0</formula1>
      <formula2>300</formula2>
    </dataValidation>
    <dataValidation type="textLength" errorStyle="information" allowBlank="1" showInputMessage="1" showErrorMessage="1" error="XLBVal:6=0_x000d__x000a_" sqref="E86">
      <formula1>0</formula1>
      <formula2>300</formula2>
    </dataValidation>
    <dataValidation type="textLength" errorStyle="information" allowBlank="1" showInputMessage="1" showErrorMessage="1" error="XLBVal:6=2709477.82_x000d__x000a_" sqref="Q9">
      <formula1>0</formula1>
      <formula2>300</formula2>
    </dataValidation>
    <dataValidation type="textLength" errorStyle="information" allowBlank="1" showInputMessage="1" showErrorMessage="1" error="XLBVal:6=-29.66_x000d__x000a_" sqref="V59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2=0_x000d__x000a_" sqref="S107 Q31:V32 T57:V57 Z10:AB11 Q60:V62 D17:I21 Q10:W13 D24:I25 D131:I132 X12:AB13 Q121:V121 Q68:V70 D86:D89 F86:I89 E87:E89 Q17:V21 Q73:V73 Q124:V127 D31:O31 Q110:V110 D32:I32 Q86:V89 U59 R58 Q44:V47 Q131:V132 Q118:V118 Q24:V25 Q65:V66 Q50:V50 Q53:R53 S52:V53 Q75:V77 Q52 Q48 Q39:V42 V56 V58 Q54:V55 V38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  <colBreaks count="1" manualBreakCount="1">
    <brk id="19" max="13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AG161"/>
  <sheetViews>
    <sheetView view="pageBreakPreview" zoomScaleNormal="100" zoomScaleSheetLayoutView="100" workbookViewId="0">
      <pane xSplit="4" ySplit="7" topLeftCell="L89" activePane="bottomRight" state="frozen"/>
      <selection activeCell="AP43" sqref="AP43"/>
      <selection pane="topRight" activeCell="AP43" sqref="AP43"/>
      <selection pane="bottomLeft" activeCell="AP43" sqref="AP43"/>
      <selection pane="bottomRight" activeCell="AC34" sqref="AC34"/>
    </sheetView>
  </sheetViews>
  <sheetFormatPr defaultColWidth="9" defaultRowHeight="14.25" outlineLevelCol="2"/>
  <cols>
    <col min="1" max="2" width="9" style="105" hidden="1" customWidth="1" outlineLevel="1"/>
    <col min="3" max="3" width="49.875" style="105" customWidth="1" collapsed="1"/>
    <col min="4" max="15" width="14.5" style="72" bestFit="1" customWidth="1"/>
    <col min="16" max="16" width="18.25" style="127" bestFit="1" customWidth="1"/>
    <col min="17" max="18" width="14.5" style="72" hidden="1" customWidth="1" outlineLevel="1"/>
    <col min="19" max="21" width="12" style="72" hidden="1" customWidth="1" outlineLevel="1"/>
    <col min="22" max="22" width="13.25" style="72" hidden="1" customWidth="1" outlineLevel="1"/>
    <col min="23" max="23" width="12" style="72" hidden="1" customWidth="1" outlineLevel="1"/>
    <col min="24" max="28" width="13.25" style="72" hidden="1" customWidth="1" outlineLevel="2"/>
    <col min="29" max="29" width="16.125" style="127" customWidth="1" collapsed="1"/>
    <col min="30" max="30" width="13.875" style="72" customWidth="1"/>
    <col min="31" max="31" width="10.5" style="105" bestFit="1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525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380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379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1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41.2</v>
      </c>
      <c r="W9" s="72">
        <v>0</v>
      </c>
      <c r="X9" s="72">
        <v>-41.2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799990.83</v>
      </c>
      <c r="AG9" s="124">
        <f t="shared" ref="AG9:AG27" si="3">P9-AF9</f>
        <v>-799990.83</v>
      </c>
    </row>
    <row r="10" spans="1:33">
      <c r="A10" s="105" t="s">
        <v>482</v>
      </c>
      <c r="B10" s="105" t="s">
        <v>379</v>
      </c>
      <c r="C10" s="105" t="s">
        <v>483</v>
      </c>
      <c r="D10" s="210">
        <f t="shared" ref="D10:O13" si="4">ROUND(D86*D94,0)</f>
        <v>300000</v>
      </c>
      <c r="E10" s="210">
        <f t="shared" si="4"/>
        <v>338000</v>
      </c>
      <c r="F10" s="210">
        <f t="shared" si="4"/>
        <v>180000</v>
      </c>
      <c r="G10" s="210">
        <f t="shared" si="4"/>
        <v>150000</v>
      </c>
      <c r="H10" s="210">
        <f t="shared" si="4"/>
        <v>153000</v>
      </c>
      <c r="I10" s="210">
        <f t="shared" si="4"/>
        <v>162000</v>
      </c>
      <c r="J10" s="210">
        <f t="shared" si="4"/>
        <v>256000</v>
      </c>
      <c r="K10" s="210">
        <f t="shared" si="4"/>
        <v>272000</v>
      </c>
      <c r="L10" s="210">
        <f t="shared" si="4"/>
        <v>157500</v>
      </c>
      <c r="M10" s="210">
        <f t="shared" si="4"/>
        <v>150000</v>
      </c>
      <c r="N10" s="210">
        <f t="shared" si="4"/>
        <v>160000</v>
      </c>
      <c r="O10" s="210">
        <f t="shared" si="4"/>
        <v>192000</v>
      </c>
      <c r="P10" s="117">
        <f>SUM(D10:O10)</f>
        <v>2470500</v>
      </c>
      <c r="Q10" s="72">
        <v>263944.7</v>
      </c>
      <c r="R10" s="72">
        <v>609362.30000000005</v>
      </c>
      <c r="S10" s="72">
        <v>205592</v>
      </c>
      <c r="T10" s="72">
        <v>224757.8</v>
      </c>
      <c r="U10" s="72">
        <v>164507.81</v>
      </c>
      <c r="V10" s="72">
        <v>91474.1</v>
      </c>
      <c r="W10" s="72">
        <v>181673.4</v>
      </c>
      <c r="X10" s="72">
        <v>186256.1</v>
      </c>
      <c r="Y10" s="72">
        <v>144000</v>
      </c>
      <c r="Z10" s="72">
        <v>206400</v>
      </c>
      <c r="AA10" s="72">
        <v>180000</v>
      </c>
      <c r="AB10" s="72">
        <v>234000</v>
      </c>
      <c r="AC10" s="127">
        <f>SUM(Q10:AB10)</f>
        <v>2691968.21</v>
      </c>
      <c r="AD10" s="72">
        <f t="shared" si="1"/>
        <v>-221468.20999999996</v>
      </c>
      <c r="AE10" s="192">
        <f t="shared" si="2"/>
        <v>-8.2269994562825827E-2</v>
      </c>
      <c r="AF10" s="129">
        <v>2795834.6199999996</v>
      </c>
      <c r="AG10" s="124">
        <f t="shared" si="3"/>
        <v>-325334.61999999965</v>
      </c>
    </row>
    <row r="11" spans="1:33">
      <c r="A11" s="105" t="s">
        <v>484</v>
      </c>
      <c r="B11" s="105" t="s">
        <v>379</v>
      </c>
      <c r="C11" s="105" t="s">
        <v>485</v>
      </c>
      <c r="D11" s="210">
        <f t="shared" si="4"/>
        <v>756000</v>
      </c>
      <c r="E11" s="210">
        <f t="shared" si="4"/>
        <v>608000</v>
      </c>
      <c r="F11" s="210">
        <f t="shared" si="4"/>
        <v>234000</v>
      </c>
      <c r="G11" s="210">
        <f t="shared" si="4"/>
        <v>170000</v>
      </c>
      <c r="H11" s="210">
        <f t="shared" si="4"/>
        <v>170000</v>
      </c>
      <c r="I11" s="210">
        <f t="shared" si="4"/>
        <v>170000</v>
      </c>
      <c r="J11" s="210">
        <f t="shared" si="4"/>
        <v>266000</v>
      </c>
      <c r="K11" s="210">
        <f t="shared" si="4"/>
        <v>285000</v>
      </c>
      <c r="L11" s="210">
        <f t="shared" si="4"/>
        <v>153000</v>
      </c>
      <c r="M11" s="210">
        <f t="shared" si="4"/>
        <v>170000</v>
      </c>
      <c r="N11" s="210">
        <f t="shared" si="4"/>
        <v>198000</v>
      </c>
      <c r="O11" s="210">
        <f t="shared" si="4"/>
        <v>252000</v>
      </c>
      <c r="P11" s="117">
        <f>SUM(D11:O11)</f>
        <v>3432000</v>
      </c>
      <c r="Q11" s="72">
        <v>380982.76</v>
      </c>
      <c r="R11" s="72">
        <v>1108916.3</v>
      </c>
      <c r="S11" s="72">
        <v>227421.49</v>
      </c>
      <c r="T11" s="72">
        <v>316658.45</v>
      </c>
      <c r="U11" s="72">
        <v>192344.61</v>
      </c>
      <c r="V11" s="72">
        <v>160809.97</v>
      </c>
      <c r="W11" s="72">
        <v>228063.55</v>
      </c>
      <c r="X11" s="72">
        <v>255906.41</v>
      </c>
      <c r="Y11" s="72">
        <v>171000</v>
      </c>
      <c r="Z11" s="72">
        <v>247000</v>
      </c>
      <c r="AA11" s="72">
        <v>200000</v>
      </c>
      <c r="AB11" s="72">
        <v>259400</v>
      </c>
      <c r="AC11" s="127">
        <f>SUM(Q11:AB11)</f>
        <v>3748503.54</v>
      </c>
      <c r="AD11" s="72">
        <f t="shared" si="1"/>
        <v>-316503.54000000004</v>
      </c>
      <c r="AE11" s="192">
        <f t="shared" si="2"/>
        <v>-8.4434638148961183E-2</v>
      </c>
      <c r="AF11" s="129">
        <v>3099133.84</v>
      </c>
      <c r="AG11" s="124">
        <f t="shared" si="3"/>
        <v>332866.16000000015</v>
      </c>
    </row>
    <row r="12" spans="1:33">
      <c r="A12" s="105" t="s">
        <v>486</v>
      </c>
      <c r="B12" s="105" t="s">
        <v>379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1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379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1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1056000</v>
      </c>
      <c r="E14" s="127">
        <f t="shared" si="5"/>
        <v>946000</v>
      </c>
      <c r="F14" s="127">
        <f t="shared" si="5"/>
        <v>414000</v>
      </c>
      <c r="G14" s="127">
        <f t="shared" si="5"/>
        <v>320000</v>
      </c>
      <c r="H14" s="127">
        <f t="shared" si="5"/>
        <v>323000</v>
      </c>
      <c r="I14" s="127">
        <f t="shared" si="5"/>
        <v>332000</v>
      </c>
      <c r="J14" s="127">
        <f t="shared" si="5"/>
        <v>522000</v>
      </c>
      <c r="K14" s="127">
        <f t="shared" si="5"/>
        <v>557000</v>
      </c>
      <c r="L14" s="127">
        <f t="shared" si="5"/>
        <v>310500</v>
      </c>
      <c r="M14" s="127">
        <f t="shared" si="5"/>
        <v>320000</v>
      </c>
      <c r="N14" s="127">
        <f t="shared" si="5"/>
        <v>358000</v>
      </c>
      <c r="O14" s="127">
        <f t="shared" si="5"/>
        <v>444000</v>
      </c>
      <c r="P14" s="117">
        <f t="shared" si="5"/>
        <v>5902500</v>
      </c>
      <c r="Q14" s="127">
        <f t="shared" si="5"/>
        <v>644927.46</v>
      </c>
      <c r="R14" s="127">
        <f t="shared" si="5"/>
        <v>1718278.6</v>
      </c>
      <c r="S14" s="127">
        <f t="shared" si="5"/>
        <v>433013.49</v>
      </c>
      <c r="T14" s="127">
        <f t="shared" si="5"/>
        <v>541416.25</v>
      </c>
      <c r="U14" s="127">
        <f t="shared" si="5"/>
        <v>356852.42</v>
      </c>
      <c r="V14" s="127">
        <f t="shared" si="5"/>
        <v>252325.27000000002</v>
      </c>
      <c r="W14" s="127">
        <f t="shared" si="5"/>
        <v>409736.94999999995</v>
      </c>
      <c r="X14" s="127">
        <f t="shared" si="5"/>
        <v>442121.31</v>
      </c>
      <c r="Y14" s="127">
        <f t="shared" si="5"/>
        <v>315000</v>
      </c>
      <c r="Z14" s="127">
        <f t="shared" si="5"/>
        <v>453400</v>
      </c>
      <c r="AA14" s="127">
        <f t="shared" si="5"/>
        <v>380000</v>
      </c>
      <c r="AB14" s="127">
        <f t="shared" si="5"/>
        <v>493400</v>
      </c>
      <c r="AC14" s="127">
        <f t="shared" si="5"/>
        <v>6440471.75</v>
      </c>
      <c r="AD14" s="72">
        <f t="shared" si="1"/>
        <v>-537971.75</v>
      </c>
      <c r="AE14" s="192">
        <f t="shared" si="2"/>
        <v>-8.3529867202662603E-2</v>
      </c>
      <c r="AF14" s="129">
        <v>6694959.2899999991</v>
      </c>
      <c r="AG14" s="124">
        <f t="shared" si="3"/>
        <v>-792459.28999999911</v>
      </c>
    </row>
    <row r="15" spans="1:33">
      <c r="C15" s="105" t="s">
        <v>154</v>
      </c>
      <c r="P15" s="117"/>
      <c r="AF15" s="129"/>
      <c r="AG15" s="124">
        <f t="shared" si="3"/>
        <v>0</v>
      </c>
    </row>
    <row r="16" spans="1:33">
      <c r="C16" s="105" t="s">
        <v>491</v>
      </c>
      <c r="P16" s="117"/>
      <c r="AF16" s="129"/>
      <c r="AG16" s="124">
        <f t="shared" si="3"/>
        <v>0</v>
      </c>
    </row>
    <row r="17" spans="1:33">
      <c r="A17" s="105" t="s">
        <v>492</v>
      </c>
      <c r="B17" s="105" t="s">
        <v>379</v>
      </c>
      <c r="C17" s="105" t="s">
        <v>481</v>
      </c>
      <c r="P17" s="11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-3693</v>
      </c>
      <c r="AG17" s="124">
        <f t="shared" si="3"/>
        <v>3693</v>
      </c>
    </row>
    <row r="18" spans="1:33">
      <c r="A18" s="105" t="s">
        <v>493</v>
      </c>
      <c r="B18" s="105" t="s">
        <v>379</v>
      </c>
      <c r="C18" s="105" t="s">
        <v>483</v>
      </c>
      <c r="D18" s="72">
        <v>3000</v>
      </c>
      <c r="E18" s="72">
        <v>30000</v>
      </c>
      <c r="F18" s="72">
        <v>3000</v>
      </c>
      <c r="G18" s="72">
        <v>3000</v>
      </c>
      <c r="H18" s="72">
        <v>3000</v>
      </c>
      <c r="I18" s="72">
        <v>3000</v>
      </c>
      <c r="J18" s="72">
        <v>4000</v>
      </c>
      <c r="K18" s="72">
        <v>4000</v>
      </c>
      <c r="L18" s="72">
        <v>3000</v>
      </c>
      <c r="M18" s="72">
        <v>4000</v>
      </c>
      <c r="N18" s="72">
        <v>4000</v>
      </c>
      <c r="O18" s="72">
        <v>5000</v>
      </c>
      <c r="P18" s="117">
        <f>SUM(D18:O18)</f>
        <v>69000</v>
      </c>
      <c r="Q18" s="72">
        <v>9518</v>
      </c>
      <c r="R18" s="72">
        <v>33335</v>
      </c>
      <c r="S18" s="72">
        <v>1669.8</v>
      </c>
      <c r="T18" s="72">
        <v>2002</v>
      </c>
      <c r="U18" s="72">
        <v>1442</v>
      </c>
      <c r="V18" s="72">
        <v>330.8</v>
      </c>
      <c r="W18" s="72">
        <v>3307.6</v>
      </c>
      <c r="X18" s="72">
        <v>392.7</v>
      </c>
      <c r="Y18" s="72">
        <v>3000</v>
      </c>
      <c r="Z18" s="72">
        <v>4000</v>
      </c>
      <c r="AA18" s="72">
        <v>4000</v>
      </c>
      <c r="AB18" s="72">
        <v>5000</v>
      </c>
      <c r="AC18" s="127">
        <f>SUM(Q18:AB18)</f>
        <v>67997.899999999994</v>
      </c>
      <c r="AD18" s="72">
        <f t="shared" si="6"/>
        <v>1002.1000000000058</v>
      </c>
      <c r="AE18" s="192">
        <f t="shared" si="7"/>
        <v>1.4737219825906474E-2</v>
      </c>
      <c r="AF18" s="129">
        <v>32329.600000000002</v>
      </c>
      <c r="AG18" s="124">
        <f t="shared" si="3"/>
        <v>36670.399999999994</v>
      </c>
    </row>
    <row r="19" spans="1:33">
      <c r="A19" s="105" t="s">
        <v>494</v>
      </c>
      <c r="B19" s="105" t="s">
        <v>379</v>
      </c>
      <c r="C19" s="105" t="s">
        <v>485</v>
      </c>
      <c r="D19" s="72">
        <v>10000</v>
      </c>
      <c r="E19" s="72">
        <v>110000</v>
      </c>
      <c r="F19" s="72">
        <v>5000</v>
      </c>
      <c r="G19" s="72">
        <v>5000</v>
      </c>
      <c r="H19" s="72">
        <v>5000</v>
      </c>
      <c r="I19" s="72">
        <v>5000</v>
      </c>
      <c r="J19" s="72">
        <v>6000</v>
      </c>
      <c r="K19" s="72">
        <v>6000</v>
      </c>
      <c r="L19" s="72">
        <v>5000</v>
      </c>
      <c r="M19" s="72">
        <v>6000</v>
      </c>
      <c r="N19" s="72">
        <v>6000</v>
      </c>
      <c r="O19" s="72">
        <v>6000</v>
      </c>
      <c r="P19" s="117">
        <f>SUM(D19:O19)</f>
        <v>175000</v>
      </c>
      <c r="Q19" s="72">
        <v>11320.4</v>
      </c>
      <c r="R19" s="72">
        <v>93329.8</v>
      </c>
      <c r="S19" s="72">
        <v>7363</v>
      </c>
      <c r="T19" s="72">
        <v>5944</v>
      </c>
      <c r="U19" s="72">
        <v>5044</v>
      </c>
      <c r="V19" s="72">
        <v>4987.8999999999996</v>
      </c>
      <c r="W19" s="72">
        <v>7393.4</v>
      </c>
      <c r="X19" s="72">
        <v>5585.4</v>
      </c>
      <c r="Y19" s="72">
        <v>5000</v>
      </c>
      <c r="Z19" s="72">
        <v>6000</v>
      </c>
      <c r="AA19" s="72">
        <v>6000</v>
      </c>
      <c r="AB19" s="72">
        <v>6000</v>
      </c>
      <c r="AC19" s="127">
        <f>SUM(Q19:AB19)</f>
        <v>163967.9</v>
      </c>
      <c r="AD19" s="72">
        <f t="shared" si="6"/>
        <v>11032.100000000006</v>
      </c>
      <c r="AE19" s="192">
        <f t="shared" si="7"/>
        <v>6.7282071673784971E-2</v>
      </c>
      <c r="AF19" s="129">
        <v>314924.78999999998</v>
      </c>
      <c r="AG19" s="124">
        <f t="shared" si="3"/>
        <v>-139924.78999999998</v>
      </c>
    </row>
    <row r="20" spans="1:33">
      <c r="A20" s="105" t="s">
        <v>495</v>
      </c>
      <c r="B20" s="105" t="s">
        <v>379</v>
      </c>
      <c r="C20" s="105" t="s">
        <v>487</v>
      </c>
      <c r="P20" s="11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</row>
    <row r="21" spans="1:33">
      <c r="A21" s="105" t="s">
        <v>497</v>
      </c>
      <c r="B21" s="105" t="s">
        <v>379</v>
      </c>
      <c r="C21" s="105" t="s">
        <v>489</v>
      </c>
      <c r="P21" s="11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13000</v>
      </c>
      <c r="E22" s="127">
        <f t="shared" si="8"/>
        <v>140000</v>
      </c>
      <c r="F22" s="127">
        <f t="shared" si="8"/>
        <v>8000</v>
      </c>
      <c r="G22" s="127">
        <f t="shared" si="8"/>
        <v>8000</v>
      </c>
      <c r="H22" s="127">
        <f t="shared" si="8"/>
        <v>8000</v>
      </c>
      <c r="I22" s="127">
        <f t="shared" si="8"/>
        <v>8000</v>
      </c>
      <c r="J22" s="127">
        <f t="shared" si="8"/>
        <v>10000</v>
      </c>
      <c r="K22" s="127">
        <f t="shared" si="8"/>
        <v>10000</v>
      </c>
      <c r="L22" s="127">
        <f t="shared" si="8"/>
        <v>8000</v>
      </c>
      <c r="M22" s="127">
        <f t="shared" si="8"/>
        <v>10000</v>
      </c>
      <c r="N22" s="127">
        <f t="shared" si="8"/>
        <v>10000</v>
      </c>
      <c r="O22" s="127">
        <f t="shared" si="8"/>
        <v>11000</v>
      </c>
      <c r="P22" s="117">
        <f>SUM(P17:P21)</f>
        <v>244000</v>
      </c>
      <c r="Q22" s="127">
        <f t="shared" ref="Q22:AC22" si="9">SUM(Q17:Q21)</f>
        <v>20838.400000000001</v>
      </c>
      <c r="R22" s="127">
        <f t="shared" si="9"/>
        <v>126664.8</v>
      </c>
      <c r="S22" s="127">
        <f t="shared" si="9"/>
        <v>9032.7999999999993</v>
      </c>
      <c r="T22" s="127">
        <f t="shared" si="9"/>
        <v>7946</v>
      </c>
      <c r="U22" s="127">
        <f t="shared" si="9"/>
        <v>6486</v>
      </c>
      <c r="V22" s="127">
        <f t="shared" si="9"/>
        <v>5318.7</v>
      </c>
      <c r="W22" s="127">
        <f t="shared" si="9"/>
        <v>10701</v>
      </c>
      <c r="X22" s="127">
        <f t="shared" si="9"/>
        <v>5978.0999999999995</v>
      </c>
      <c r="Y22" s="127">
        <f t="shared" si="9"/>
        <v>8000</v>
      </c>
      <c r="Z22" s="127">
        <f t="shared" si="9"/>
        <v>10000</v>
      </c>
      <c r="AA22" s="127">
        <f t="shared" si="9"/>
        <v>10000</v>
      </c>
      <c r="AB22" s="127">
        <f t="shared" si="9"/>
        <v>11000</v>
      </c>
      <c r="AC22" s="127">
        <f t="shared" si="9"/>
        <v>231965.8</v>
      </c>
      <c r="AD22" s="72">
        <f t="shared" si="6"/>
        <v>12034.200000000012</v>
      </c>
      <c r="AE22" s="192">
        <f t="shared" si="7"/>
        <v>5.187919943370968E-2</v>
      </c>
      <c r="AF22" s="129">
        <v>343561.38999999996</v>
      </c>
      <c r="AG22" s="124">
        <f t="shared" si="3"/>
        <v>-99561.389999999956</v>
      </c>
    </row>
    <row r="23" spans="1:33">
      <c r="C23" s="105" t="s">
        <v>154</v>
      </c>
      <c r="P23" s="117"/>
      <c r="AF23" s="129"/>
      <c r="AG23" s="124">
        <f t="shared" si="3"/>
        <v>0</v>
      </c>
    </row>
    <row r="24" spans="1:33">
      <c r="A24" s="105" t="s">
        <v>406</v>
      </c>
      <c r="B24" s="105" t="s">
        <v>379</v>
      </c>
      <c r="C24" s="105" t="s">
        <v>408</v>
      </c>
      <c r="J24" s="123"/>
      <c r="K24" s="123"/>
      <c r="L24" s="123"/>
      <c r="M24" s="123"/>
      <c r="N24" s="123"/>
      <c r="O24" s="123"/>
      <c r="P24" s="11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379</v>
      </c>
      <c r="C25" s="105" t="s">
        <v>499</v>
      </c>
      <c r="P25" s="117">
        <f>SUM(D25:O25)</f>
        <v>0</v>
      </c>
      <c r="Q25" s="72">
        <v>0</v>
      </c>
      <c r="R25" s="72">
        <v>0</v>
      </c>
      <c r="S25" s="72">
        <v>0</v>
      </c>
      <c r="T25" s="72">
        <v>468.4</v>
      </c>
      <c r="U25" s="72">
        <v>16.5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484.9</v>
      </c>
      <c r="AD25" s="72">
        <f>P25-AC25</f>
        <v>-484.9</v>
      </c>
      <c r="AE25" s="192">
        <f>AD25/AC25</f>
        <v>-1</v>
      </c>
      <c r="AF25" s="129">
        <v>565.9</v>
      </c>
      <c r="AG25" s="124">
        <f t="shared" si="3"/>
        <v>-565.9</v>
      </c>
    </row>
    <row r="26" spans="1:33">
      <c r="A26" s="105" t="s">
        <v>169</v>
      </c>
      <c r="B26" s="105" t="s">
        <v>379</v>
      </c>
      <c r="C26" s="105" t="s">
        <v>170</v>
      </c>
      <c r="D26" s="72">
        <f>ROUND(D14*0.04,0)</f>
        <v>42240</v>
      </c>
      <c r="E26" s="72">
        <f t="shared" ref="E26:O26" si="10">ROUND(E14*0.04,0)</f>
        <v>37840</v>
      </c>
      <c r="F26" s="72">
        <f t="shared" si="10"/>
        <v>16560</v>
      </c>
      <c r="G26" s="72">
        <f t="shared" si="10"/>
        <v>12800</v>
      </c>
      <c r="H26" s="72">
        <f t="shared" si="10"/>
        <v>12920</v>
      </c>
      <c r="I26" s="72">
        <f t="shared" si="10"/>
        <v>13280</v>
      </c>
      <c r="J26" s="72">
        <f t="shared" si="10"/>
        <v>20880</v>
      </c>
      <c r="K26" s="72">
        <f t="shared" si="10"/>
        <v>22280</v>
      </c>
      <c r="L26" s="72">
        <f t="shared" si="10"/>
        <v>12420</v>
      </c>
      <c r="M26" s="72">
        <f t="shared" si="10"/>
        <v>12800</v>
      </c>
      <c r="N26" s="72">
        <f t="shared" si="10"/>
        <v>14320</v>
      </c>
      <c r="O26" s="72">
        <f t="shared" si="10"/>
        <v>17760</v>
      </c>
      <c r="P26" s="117">
        <f>SUM(D26:O26)</f>
        <v>236100</v>
      </c>
      <c r="Q26" s="72">
        <v>39317.599999999999</v>
      </c>
      <c r="R26" s="72">
        <v>181024</v>
      </c>
      <c r="S26" s="72">
        <v>23603.599999999999</v>
      </c>
      <c r="T26" s="72">
        <v>29297.8</v>
      </c>
      <c r="U26" s="72">
        <v>19481.7</v>
      </c>
      <c r="V26" s="72">
        <v>12028.5</v>
      </c>
      <c r="W26" s="72">
        <v>19443.7</v>
      </c>
      <c r="X26" s="72">
        <v>21206.1</v>
      </c>
      <c r="Y26" s="72">
        <v>23061</v>
      </c>
      <c r="Z26" s="72">
        <v>27204</v>
      </c>
      <c r="AA26" s="72">
        <v>22800</v>
      </c>
      <c r="AB26" s="72">
        <v>39472</v>
      </c>
      <c r="AC26" s="127">
        <f>SUM(Q26:AB26)</f>
        <v>457940</v>
      </c>
      <c r="AD26" s="72">
        <f>P26-AC26</f>
        <v>-221840</v>
      </c>
      <c r="AE26" s="192">
        <f>AD26/AC26</f>
        <v>-0.4844302747084771</v>
      </c>
      <c r="AF26" s="129">
        <v>466613.69</v>
      </c>
      <c r="AG26" s="124">
        <f t="shared" si="3"/>
        <v>-230513.69</v>
      </c>
    </row>
    <row r="27" spans="1:33">
      <c r="C27" s="109" t="s">
        <v>500</v>
      </c>
      <c r="D27" s="127">
        <f t="shared" ref="D27:P27" si="11">SUM(D24:D26)+D14+D22</f>
        <v>1111240</v>
      </c>
      <c r="E27" s="127">
        <f t="shared" si="11"/>
        <v>1123840</v>
      </c>
      <c r="F27" s="127">
        <f t="shared" si="11"/>
        <v>438560</v>
      </c>
      <c r="G27" s="127">
        <f t="shared" si="11"/>
        <v>340800</v>
      </c>
      <c r="H27" s="127">
        <f t="shared" si="11"/>
        <v>343920</v>
      </c>
      <c r="I27" s="127">
        <f t="shared" si="11"/>
        <v>353280</v>
      </c>
      <c r="J27" s="127">
        <f t="shared" si="11"/>
        <v>552880</v>
      </c>
      <c r="K27" s="127">
        <f t="shared" si="11"/>
        <v>589280</v>
      </c>
      <c r="L27" s="127">
        <f t="shared" si="11"/>
        <v>330920</v>
      </c>
      <c r="M27" s="127">
        <f t="shared" si="11"/>
        <v>342800</v>
      </c>
      <c r="N27" s="127">
        <f t="shared" si="11"/>
        <v>382320</v>
      </c>
      <c r="O27" s="127">
        <f t="shared" si="11"/>
        <v>472760</v>
      </c>
      <c r="P27" s="117">
        <f t="shared" si="11"/>
        <v>6382600</v>
      </c>
      <c r="Q27" s="127">
        <f t="shared" ref="Q27:V27" si="12">SUM(Q24:Q26)+Q14+Q22</f>
        <v>705083.46</v>
      </c>
      <c r="R27" s="127">
        <f t="shared" si="12"/>
        <v>2025967.4000000001</v>
      </c>
      <c r="S27" s="127">
        <f t="shared" si="12"/>
        <v>465649.88999999996</v>
      </c>
      <c r="T27" s="127">
        <f t="shared" si="12"/>
        <v>579128.44999999995</v>
      </c>
      <c r="U27" s="127">
        <f t="shared" si="12"/>
        <v>382836.62</v>
      </c>
      <c r="V27" s="127">
        <f t="shared" si="12"/>
        <v>269672.47000000003</v>
      </c>
      <c r="W27" s="127">
        <f t="shared" ref="W27:AC27" si="13">SUM(W24:W26)+W14+W22</f>
        <v>439881.64999999997</v>
      </c>
      <c r="X27" s="127">
        <f t="shared" si="13"/>
        <v>469305.50999999995</v>
      </c>
      <c r="Y27" s="127">
        <f t="shared" si="13"/>
        <v>346061</v>
      </c>
      <c r="Z27" s="127">
        <f t="shared" si="13"/>
        <v>490604</v>
      </c>
      <c r="AA27" s="127">
        <f t="shared" si="13"/>
        <v>412800</v>
      </c>
      <c r="AB27" s="127">
        <f t="shared" si="13"/>
        <v>543872</v>
      </c>
      <c r="AC27" s="127">
        <f t="shared" si="13"/>
        <v>7130862.4500000002</v>
      </c>
      <c r="AD27" s="72">
        <f>P27-AC27</f>
        <v>-748262.45000000019</v>
      </c>
      <c r="AE27" s="192">
        <f>AD27/AC27</f>
        <v>-0.10493295239483973</v>
      </c>
      <c r="AF27" s="129">
        <v>7505700.2699999986</v>
      </c>
      <c r="AG27" s="124">
        <f t="shared" si="3"/>
        <v>-1123100.2699999986</v>
      </c>
    </row>
    <row r="28" spans="1:33">
      <c r="C28" s="105" t="s">
        <v>154</v>
      </c>
      <c r="P28" s="117"/>
      <c r="AF28" s="129"/>
    </row>
    <row r="29" spans="1:33">
      <c r="C29" s="105" t="s">
        <v>414</v>
      </c>
      <c r="D29" s="211">
        <f t="shared" ref="D29:O29" si="14">D30/D14</f>
        <v>0.3</v>
      </c>
      <c r="E29" s="211">
        <f t="shared" si="14"/>
        <v>0.3</v>
      </c>
      <c r="F29" s="211">
        <f t="shared" si="14"/>
        <v>0.28999999999999998</v>
      </c>
      <c r="G29" s="211">
        <f t="shared" si="14"/>
        <v>0.28999999999999998</v>
      </c>
      <c r="H29" s="211">
        <f t="shared" si="14"/>
        <v>0.28999999999999998</v>
      </c>
      <c r="I29" s="211">
        <f t="shared" si="14"/>
        <v>0.3</v>
      </c>
      <c r="J29" s="211">
        <f t="shared" si="14"/>
        <v>0.28999999999999998</v>
      </c>
      <c r="K29" s="211">
        <f t="shared" si="14"/>
        <v>0.28999999999999998</v>
      </c>
      <c r="L29" s="211">
        <f t="shared" si="14"/>
        <v>0.29500161030595812</v>
      </c>
      <c r="M29" s="211">
        <f t="shared" si="14"/>
        <v>0.28999999999999998</v>
      </c>
      <c r="N29" s="211">
        <f t="shared" si="14"/>
        <v>0.3</v>
      </c>
      <c r="O29" s="211">
        <f t="shared" si="14"/>
        <v>0.3</v>
      </c>
      <c r="P29" s="211">
        <f>P30/P14</f>
        <v>0.2955761118170267</v>
      </c>
      <c r="AC29" s="211">
        <f>AC30/AC14</f>
        <v>0.30620165052350395</v>
      </c>
      <c r="AF29" s="129">
        <v>0.29992394920148957</v>
      </c>
    </row>
    <row r="30" spans="1:33">
      <c r="A30" s="105" t="s">
        <v>415</v>
      </c>
      <c r="B30" s="105" t="s">
        <v>379</v>
      </c>
      <c r="C30" s="105" t="s">
        <v>416</v>
      </c>
      <c r="D30" s="72">
        <f>ROUND(D14*0.3,0)</f>
        <v>316800</v>
      </c>
      <c r="E30" s="72">
        <f>ROUND(E14*0.3,0)</f>
        <v>283800</v>
      </c>
      <c r="F30" s="72">
        <f>ROUND(F14*0.29,0)</f>
        <v>120060</v>
      </c>
      <c r="G30" s="72">
        <f>ROUND(G14*0.29,0)</f>
        <v>92800</v>
      </c>
      <c r="H30" s="72">
        <f>ROUND(H14*0.29,0)</f>
        <v>93670</v>
      </c>
      <c r="I30" s="72">
        <f>ROUND(I14*0.3,0)</f>
        <v>99600</v>
      </c>
      <c r="J30" s="72">
        <f>ROUND(J14*0.29,0)</f>
        <v>151380</v>
      </c>
      <c r="K30" s="72">
        <f>ROUND(K14*0.29,0)</f>
        <v>161530</v>
      </c>
      <c r="L30" s="72">
        <f>ROUND(L14*0.295,0)</f>
        <v>91598</v>
      </c>
      <c r="M30" s="72">
        <f>ROUND(M14*0.29,0)</f>
        <v>92800</v>
      </c>
      <c r="N30" s="72">
        <f>ROUND(N14*0.3,0)</f>
        <v>107400</v>
      </c>
      <c r="O30" s="72">
        <f>ROUND(O14*0.3,0)</f>
        <v>133200</v>
      </c>
      <c r="P30" s="117">
        <f>SUM(D30:O30)</f>
        <v>1744638</v>
      </c>
      <c r="Q30" s="72">
        <v>208264.28</v>
      </c>
      <c r="R30" s="72">
        <v>551967.32999999996</v>
      </c>
      <c r="S30" s="72">
        <v>125564.11</v>
      </c>
      <c r="T30" s="72">
        <v>157277.5</v>
      </c>
      <c r="U30" s="72">
        <v>106866.86</v>
      </c>
      <c r="V30" s="72">
        <v>75849.39</v>
      </c>
      <c r="W30" s="72">
        <v>122722.02</v>
      </c>
      <c r="X30" s="72">
        <v>145874.59</v>
      </c>
      <c r="Y30" s="72">
        <v>92925</v>
      </c>
      <c r="Z30" s="72">
        <v>131486</v>
      </c>
      <c r="AA30" s="72">
        <v>110200</v>
      </c>
      <c r="AB30" s="72">
        <v>143086</v>
      </c>
      <c r="AC30" s="127">
        <f>SUM(Q30:AB30)</f>
        <v>1972083.08</v>
      </c>
      <c r="AD30" s="72">
        <f t="shared" ref="AD30:AD33" si="15">P30-AC30</f>
        <v>-227445.08000000007</v>
      </c>
      <c r="AE30" s="192">
        <f t="shared" ref="AE30:AE33" si="16">AD30/AC30</f>
        <v>-0.11533240273021361</v>
      </c>
      <c r="AF30" s="129">
        <v>2007978.6300000004</v>
      </c>
      <c r="AG30" s="124">
        <f t="shared" ref="AG30:AG80" si="17">AF30-P30</f>
        <v>263340.63000000035</v>
      </c>
    </row>
    <row r="31" spans="1:33">
      <c r="A31" s="105" t="s">
        <v>417</v>
      </c>
      <c r="B31" s="105" t="s">
        <v>379</v>
      </c>
      <c r="C31" s="105" t="s">
        <v>418</v>
      </c>
      <c r="D31" s="72">
        <f>ROUND(D22*0.25,0)</f>
        <v>3250</v>
      </c>
      <c r="E31" s="72">
        <f t="shared" ref="E31:O31" si="18">ROUND(E22*0.25,0)</f>
        <v>35000</v>
      </c>
      <c r="F31" s="72">
        <f t="shared" si="18"/>
        <v>2000</v>
      </c>
      <c r="G31" s="72">
        <f t="shared" si="18"/>
        <v>2000</v>
      </c>
      <c r="H31" s="72">
        <f t="shared" si="18"/>
        <v>2000</v>
      </c>
      <c r="I31" s="72">
        <f t="shared" si="18"/>
        <v>2000</v>
      </c>
      <c r="J31" s="72">
        <f t="shared" si="18"/>
        <v>2500</v>
      </c>
      <c r="K31" s="72">
        <f t="shared" si="18"/>
        <v>2500</v>
      </c>
      <c r="L31" s="72">
        <f t="shared" si="18"/>
        <v>2000</v>
      </c>
      <c r="M31" s="72">
        <f t="shared" si="18"/>
        <v>2500</v>
      </c>
      <c r="N31" s="72">
        <f t="shared" si="18"/>
        <v>2500</v>
      </c>
      <c r="O31" s="72">
        <f t="shared" si="18"/>
        <v>2750</v>
      </c>
      <c r="P31" s="117">
        <f>SUM(D31:O31)</f>
        <v>61000</v>
      </c>
      <c r="Q31" s="72">
        <v>6479.16</v>
      </c>
      <c r="R31" s="72">
        <v>36519.33</v>
      </c>
      <c r="S31" s="72">
        <v>2057.15</v>
      </c>
      <c r="T31" s="72">
        <v>1720.02</v>
      </c>
      <c r="U31" s="72">
        <v>1729.17</v>
      </c>
      <c r="V31" s="72">
        <v>1252.6500000000001</v>
      </c>
      <c r="W31" s="72">
        <v>2579.48</v>
      </c>
      <c r="X31" s="72">
        <v>1220.6300000000001</v>
      </c>
      <c r="Y31" s="72">
        <v>2000</v>
      </c>
      <c r="Z31" s="72">
        <v>2500</v>
      </c>
      <c r="AA31" s="72">
        <v>2500</v>
      </c>
      <c r="AB31" s="72">
        <v>2750</v>
      </c>
      <c r="AC31" s="127">
        <f>SUM(Q31:AB31)</f>
        <v>63307.590000000004</v>
      </c>
      <c r="AD31" s="72">
        <f t="shared" si="15"/>
        <v>-2307.5900000000038</v>
      </c>
      <c r="AE31" s="192">
        <f t="shared" si="16"/>
        <v>-3.645044772672603E-2</v>
      </c>
      <c r="AF31" s="129">
        <v>82232.87</v>
      </c>
      <c r="AG31" s="124">
        <f t="shared" si="17"/>
        <v>21232.869999999995</v>
      </c>
    </row>
    <row r="32" spans="1:33">
      <c r="A32" s="105" t="s">
        <v>421</v>
      </c>
      <c r="B32" s="105" t="s">
        <v>379</v>
      </c>
      <c r="C32" s="105" t="s">
        <v>422</v>
      </c>
      <c r="P32" s="11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5"/>
        <v>0</v>
      </c>
      <c r="AE32" s="192" t="e">
        <f t="shared" si="16"/>
        <v>#DIV/0!</v>
      </c>
      <c r="AF32" s="129">
        <v>0</v>
      </c>
      <c r="AG32" s="124">
        <f t="shared" si="17"/>
        <v>0</v>
      </c>
    </row>
    <row r="33" spans="1:33">
      <c r="C33" s="109" t="s">
        <v>501</v>
      </c>
      <c r="D33" s="127">
        <f t="shared" ref="D33:AC33" si="19">SUM(D30:D32)</f>
        <v>320050</v>
      </c>
      <c r="E33" s="127">
        <f t="shared" si="19"/>
        <v>318800</v>
      </c>
      <c r="F33" s="127">
        <f t="shared" si="19"/>
        <v>122060</v>
      </c>
      <c r="G33" s="127">
        <f t="shared" si="19"/>
        <v>94800</v>
      </c>
      <c r="H33" s="127">
        <f t="shared" si="19"/>
        <v>95670</v>
      </c>
      <c r="I33" s="127">
        <f t="shared" si="19"/>
        <v>101600</v>
      </c>
      <c r="J33" s="127">
        <f t="shared" si="19"/>
        <v>153880</v>
      </c>
      <c r="K33" s="127">
        <f t="shared" si="19"/>
        <v>164030</v>
      </c>
      <c r="L33" s="127">
        <f t="shared" si="19"/>
        <v>93598</v>
      </c>
      <c r="M33" s="127">
        <f t="shared" si="19"/>
        <v>95300</v>
      </c>
      <c r="N33" s="127">
        <f t="shared" si="19"/>
        <v>109900</v>
      </c>
      <c r="O33" s="127">
        <f t="shared" si="19"/>
        <v>135950</v>
      </c>
      <c r="P33" s="117">
        <f t="shared" si="19"/>
        <v>1805638</v>
      </c>
      <c r="Q33" s="127">
        <f t="shared" si="19"/>
        <v>214743.44</v>
      </c>
      <c r="R33" s="127">
        <f t="shared" si="19"/>
        <v>588486.65999999992</v>
      </c>
      <c r="S33" s="127">
        <f t="shared" si="19"/>
        <v>127621.26</v>
      </c>
      <c r="T33" s="127">
        <f t="shared" si="19"/>
        <v>158997.51999999999</v>
      </c>
      <c r="U33" s="127">
        <f t="shared" si="19"/>
        <v>108596.03</v>
      </c>
      <c r="V33" s="127">
        <f t="shared" si="19"/>
        <v>77102.039999999994</v>
      </c>
      <c r="W33" s="127">
        <f t="shared" si="19"/>
        <v>125301.5</v>
      </c>
      <c r="X33" s="127">
        <f t="shared" si="19"/>
        <v>147095.22</v>
      </c>
      <c r="Y33" s="127">
        <f t="shared" si="19"/>
        <v>94925</v>
      </c>
      <c r="Z33" s="127">
        <f t="shared" si="19"/>
        <v>133986</v>
      </c>
      <c r="AA33" s="127">
        <f t="shared" si="19"/>
        <v>112700</v>
      </c>
      <c r="AB33" s="127">
        <f t="shared" si="19"/>
        <v>145836</v>
      </c>
      <c r="AC33" s="127">
        <f t="shared" si="19"/>
        <v>2035390.6700000002</v>
      </c>
      <c r="AD33" s="72">
        <f t="shared" si="15"/>
        <v>-229752.67000000016</v>
      </c>
      <c r="AE33" s="192">
        <f t="shared" si="16"/>
        <v>-0.11287890496225972</v>
      </c>
      <c r="AF33" s="129">
        <v>2090211.5000000005</v>
      </c>
      <c r="AG33" s="124">
        <f t="shared" si="17"/>
        <v>284573.50000000047</v>
      </c>
    </row>
    <row r="34" spans="1:33">
      <c r="C34" s="105" t="s">
        <v>154</v>
      </c>
      <c r="P34" s="117"/>
      <c r="AF34" s="129"/>
      <c r="AG34" s="124">
        <f t="shared" si="17"/>
        <v>0</v>
      </c>
    </row>
    <row r="35" spans="1:33" s="109" customFormat="1">
      <c r="C35" s="109" t="s">
        <v>289</v>
      </c>
      <c r="D35" s="127">
        <f t="shared" ref="D35:AB35" si="20">D134</f>
        <v>227091.06000000003</v>
      </c>
      <c r="E35" s="127">
        <f t="shared" si="20"/>
        <v>176856.84</v>
      </c>
      <c r="F35" s="127">
        <f t="shared" si="20"/>
        <v>180433.78999999998</v>
      </c>
      <c r="G35" s="127">
        <f t="shared" si="20"/>
        <v>190720.11</v>
      </c>
      <c r="H35" s="127">
        <f t="shared" si="20"/>
        <v>198312.42</v>
      </c>
      <c r="I35" s="127">
        <f t="shared" si="20"/>
        <v>181224.36</v>
      </c>
      <c r="J35" s="127">
        <f t="shared" si="20"/>
        <v>182203.40999999997</v>
      </c>
      <c r="K35" s="127">
        <f t="shared" si="20"/>
        <v>181796.03999999998</v>
      </c>
      <c r="L35" s="127">
        <f t="shared" si="20"/>
        <v>181917.03999999998</v>
      </c>
      <c r="M35" s="127">
        <f t="shared" si="20"/>
        <v>229412.09</v>
      </c>
      <c r="N35" s="127">
        <f t="shared" si="20"/>
        <v>181975.83999999997</v>
      </c>
      <c r="O35" s="127">
        <f t="shared" si="20"/>
        <v>181453.46999999997</v>
      </c>
      <c r="P35" s="117">
        <f t="shared" si="20"/>
        <v>2293396.4700000002</v>
      </c>
      <c r="Q35" s="127">
        <f t="shared" si="20"/>
        <v>224758.80000000002</v>
      </c>
      <c r="R35" s="127">
        <f t="shared" si="20"/>
        <v>237932.41999999998</v>
      </c>
      <c r="S35" s="127">
        <f t="shared" si="20"/>
        <v>184509.26</v>
      </c>
      <c r="T35" s="127">
        <f t="shared" si="20"/>
        <v>179370.78000000003</v>
      </c>
      <c r="U35" s="127">
        <f t="shared" si="20"/>
        <v>148519.10999999999</v>
      </c>
      <c r="V35" s="127">
        <f t="shared" si="20"/>
        <v>190129.56999999998</v>
      </c>
      <c r="W35" s="127">
        <f t="shared" si="20"/>
        <v>175701.86</v>
      </c>
      <c r="X35" s="127">
        <f t="shared" si="20"/>
        <v>184426.88999999998</v>
      </c>
      <c r="Y35" s="127">
        <f t="shared" si="20"/>
        <v>201338.16999999998</v>
      </c>
      <c r="Z35" s="127">
        <f t="shared" si="20"/>
        <v>226115.16999999998</v>
      </c>
      <c r="AA35" s="127">
        <f t="shared" si="20"/>
        <v>189443.16999999998</v>
      </c>
      <c r="AB35" s="127">
        <f t="shared" si="20"/>
        <v>189605.16999999998</v>
      </c>
      <c r="AC35" s="127">
        <f>SUM(Q35:AB35)</f>
        <v>2331850.3699999996</v>
      </c>
      <c r="AD35" s="127">
        <f t="shared" ref="AD35" si="21">P35-AC35</f>
        <v>-38453.899999999441</v>
      </c>
      <c r="AE35" s="132">
        <f t="shared" ref="AE35" si="22">AD35/AC35</f>
        <v>-1.6490723630778869E-2</v>
      </c>
      <c r="AF35" s="129">
        <v>2919037.62</v>
      </c>
      <c r="AG35" s="124">
        <f t="shared" si="17"/>
        <v>625641.14999999991</v>
      </c>
    </row>
    <row r="36" spans="1:33">
      <c r="C36" s="105" t="s">
        <v>154</v>
      </c>
      <c r="P36" s="117"/>
      <c r="AF36" s="129"/>
      <c r="AG36" s="124">
        <f t="shared" si="17"/>
        <v>0</v>
      </c>
    </row>
    <row r="37" spans="1:33">
      <c r="C37" s="109" t="s">
        <v>502</v>
      </c>
      <c r="P37" s="117"/>
      <c r="AF37" s="129"/>
      <c r="AG37" s="124">
        <f t="shared" si="17"/>
        <v>0</v>
      </c>
    </row>
    <row r="38" spans="1:33">
      <c r="A38" s="105" t="s">
        <v>424</v>
      </c>
      <c r="B38" s="105" t="s">
        <v>379</v>
      </c>
      <c r="C38" s="105" t="s">
        <v>425</v>
      </c>
      <c r="D38" s="221">
        <v>16000</v>
      </c>
      <c r="E38" s="221">
        <v>10000</v>
      </c>
      <c r="F38" s="221">
        <v>10000</v>
      </c>
      <c r="G38" s="221">
        <v>10000</v>
      </c>
      <c r="H38" s="221">
        <v>9000</v>
      </c>
      <c r="I38" s="221">
        <v>8000</v>
      </c>
      <c r="J38" s="221">
        <v>15000</v>
      </c>
      <c r="K38" s="221">
        <v>15000</v>
      </c>
      <c r="L38" s="221">
        <v>8000</v>
      </c>
      <c r="M38" s="221">
        <v>10000</v>
      </c>
      <c r="N38" s="221">
        <v>10000</v>
      </c>
      <c r="O38" s="221">
        <v>12000</v>
      </c>
      <c r="P38" s="200">
        <f t="shared" ref="P38:P78" si="23">SUM(D38:O38)</f>
        <v>133000</v>
      </c>
      <c r="Q38" s="72">
        <v>15243.83</v>
      </c>
      <c r="R38" s="72">
        <v>5801.47</v>
      </c>
      <c r="S38" s="72">
        <v>12606.79</v>
      </c>
      <c r="T38" s="72">
        <v>15669.22</v>
      </c>
      <c r="U38" s="72">
        <v>9668.42</v>
      </c>
      <c r="V38" s="72">
        <v>8437.7099999999991</v>
      </c>
      <c r="W38" s="72">
        <v>17433.23</v>
      </c>
      <c r="X38" s="72">
        <v>20920.939999999999</v>
      </c>
      <c r="Y38" s="72">
        <v>8000</v>
      </c>
      <c r="Z38" s="72">
        <v>10000</v>
      </c>
      <c r="AA38" s="72">
        <v>10000</v>
      </c>
      <c r="AB38" s="72">
        <v>12000</v>
      </c>
      <c r="AC38" s="127">
        <f t="shared" ref="AC38:AC79" si="24">SUM(Q38:AB38)</f>
        <v>145781.60999999999</v>
      </c>
      <c r="AD38" s="72">
        <f t="shared" ref="AD38:AD82" si="25">P38-AC38</f>
        <v>-12781.609999999986</v>
      </c>
      <c r="AE38" s="192">
        <f t="shared" ref="AE38:AE82" si="26">AD38/AC38</f>
        <v>-8.7676422286734154E-2</v>
      </c>
      <c r="AF38" s="129">
        <v>73168.009999999995</v>
      </c>
      <c r="AG38" s="124">
        <f t="shared" si="17"/>
        <v>-59831.990000000005</v>
      </c>
    </row>
    <row r="39" spans="1:33">
      <c r="A39" s="105" t="s">
        <v>273</v>
      </c>
      <c r="C39" s="105" t="s">
        <v>426</v>
      </c>
      <c r="D39" s="221">
        <v>0</v>
      </c>
      <c r="E39" s="221">
        <v>0</v>
      </c>
      <c r="F39" s="221">
        <v>0</v>
      </c>
      <c r="G39" s="221">
        <v>0</v>
      </c>
      <c r="H39" s="221">
        <v>0</v>
      </c>
      <c r="I39" s="221">
        <v>0</v>
      </c>
      <c r="J39" s="221">
        <v>0</v>
      </c>
      <c r="K39" s="221">
        <v>0</v>
      </c>
      <c r="L39" s="221">
        <v>0</v>
      </c>
      <c r="M39" s="221">
        <v>0</v>
      </c>
      <c r="N39" s="221">
        <v>0</v>
      </c>
      <c r="O39" s="221">
        <v>0</v>
      </c>
      <c r="P39" s="200">
        <f t="shared" si="23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4"/>
        <v>0</v>
      </c>
      <c r="AD39" s="72">
        <f t="shared" si="25"/>
        <v>0</v>
      </c>
      <c r="AE39" s="192" t="e">
        <f t="shared" si="26"/>
        <v>#DIV/0!</v>
      </c>
      <c r="AF39" s="129">
        <v>0</v>
      </c>
      <c r="AG39" s="124">
        <f t="shared" si="17"/>
        <v>0</v>
      </c>
    </row>
    <row r="40" spans="1:33">
      <c r="A40" s="105" t="s">
        <v>273</v>
      </c>
      <c r="C40" s="105" t="s">
        <v>427</v>
      </c>
      <c r="D40" s="221">
        <v>0</v>
      </c>
      <c r="E40" s="221">
        <v>0</v>
      </c>
      <c r="F40" s="221">
        <v>0</v>
      </c>
      <c r="G40" s="221">
        <v>0</v>
      </c>
      <c r="H40" s="221">
        <v>0</v>
      </c>
      <c r="I40" s="221">
        <v>0</v>
      </c>
      <c r="J40" s="221">
        <v>0</v>
      </c>
      <c r="K40" s="221">
        <v>0</v>
      </c>
      <c r="L40" s="221">
        <v>0</v>
      </c>
      <c r="M40" s="221">
        <v>0</v>
      </c>
      <c r="N40" s="221">
        <v>0</v>
      </c>
      <c r="O40" s="221">
        <v>0</v>
      </c>
      <c r="P40" s="200">
        <f t="shared" si="23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4"/>
        <v>0</v>
      </c>
      <c r="AD40" s="72">
        <f t="shared" si="25"/>
        <v>0</v>
      </c>
      <c r="AE40" s="192" t="e">
        <f t="shared" si="26"/>
        <v>#DIV/0!</v>
      </c>
      <c r="AF40" s="129">
        <v>0</v>
      </c>
      <c r="AG40" s="124">
        <f t="shared" si="17"/>
        <v>0</v>
      </c>
    </row>
    <row r="41" spans="1:33">
      <c r="A41" s="105" t="s">
        <v>273</v>
      </c>
      <c r="C41" s="105" t="s">
        <v>428</v>
      </c>
      <c r="D41" s="221">
        <v>0</v>
      </c>
      <c r="E41" s="221">
        <v>0</v>
      </c>
      <c r="F41" s="221">
        <v>0</v>
      </c>
      <c r="G41" s="221">
        <v>0</v>
      </c>
      <c r="H41" s="221">
        <v>0</v>
      </c>
      <c r="I41" s="221">
        <v>0</v>
      </c>
      <c r="J41" s="221">
        <v>0</v>
      </c>
      <c r="K41" s="221">
        <v>0</v>
      </c>
      <c r="L41" s="221">
        <v>0</v>
      </c>
      <c r="M41" s="221">
        <v>0</v>
      </c>
      <c r="N41" s="221">
        <v>0</v>
      </c>
      <c r="O41" s="221">
        <v>0</v>
      </c>
      <c r="P41" s="200">
        <f t="shared" si="23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4"/>
        <v>0</v>
      </c>
      <c r="AD41" s="72">
        <f t="shared" si="25"/>
        <v>0</v>
      </c>
      <c r="AE41" s="192" t="e">
        <f t="shared" si="26"/>
        <v>#DIV/0!</v>
      </c>
      <c r="AF41" s="129">
        <v>0</v>
      </c>
      <c r="AG41" s="124">
        <f t="shared" si="17"/>
        <v>0</v>
      </c>
    </row>
    <row r="42" spans="1:33">
      <c r="A42" s="105" t="s">
        <v>429</v>
      </c>
      <c r="B42" s="105" t="s">
        <v>379</v>
      </c>
      <c r="C42" s="105" t="s">
        <v>143</v>
      </c>
      <c r="D42" s="221">
        <v>0</v>
      </c>
      <c r="E42" s="221">
        <v>0</v>
      </c>
      <c r="F42" s="221">
        <v>0</v>
      </c>
      <c r="G42" s="221">
        <v>0</v>
      </c>
      <c r="H42" s="221">
        <v>0</v>
      </c>
      <c r="I42" s="221">
        <v>0</v>
      </c>
      <c r="J42" s="221">
        <v>0</v>
      </c>
      <c r="K42" s="221">
        <v>0</v>
      </c>
      <c r="L42" s="221">
        <v>0</v>
      </c>
      <c r="M42" s="221">
        <v>0</v>
      </c>
      <c r="N42" s="221">
        <v>0</v>
      </c>
      <c r="O42" s="221">
        <v>0</v>
      </c>
      <c r="P42" s="200">
        <f t="shared" si="23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4"/>
        <v>0</v>
      </c>
      <c r="AD42" s="72">
        <f t="shared" si="25"/>
        <v>0</v>
      </c>
      <c r="AE42" s="192" t="e">
        <f t="shared" si="26"/>
        <v>#DIV/0!</v>
      </c>
      <c r="AF42" s="129">
        <v>0</v>
      </c>
      <c r="AG42" s="124">
        <f t="shared" si="17"/>
        <v>0</v>
      </c>
    </row>
    <row r="43" spans="1:33">
      <c r="A43" s="105" t="s">
        <v>180</v>
      </c>
      <c r="B43" s="105" t="s">
        <v>379</v>
      </c>
      <c r="C43" s="105" t="s">
        <v>144</v>
      </c>
      <c r="D43" s="174">
        <f t="shared" ref="D43:O43" si="27">+D138+D139+D140</f>
        <v>38160.300000000003</v>
      </c>
      <c r="E43" s="174">
        <f t="shared" si="27"/>
        <v>29809.48</v>
      </c>
      <c r="F43" s="174">
        <f t="shared" si="27"/>
        <v>29892.48</v>
      </c>
      <c r="G43" s="174">
        <f t="shared" si="27"/>
        <v>31651.440000000002</v>
      </c>
      <c r="H43" s="174">
        <f t="shared" si="27"/>
        <v>34485.360000000001</v>
      </c>
      <c r="I43" s="174">
        <f t="shared" si="27"/>
        <v>30284.48</v>
      </c>
      <c r="J43" s="174">
        <f t="shared" si="27"/>
        <v>30263.48</v>
      </c>
      <c r="K43" s="174">
        <f t="shared" si="27"/>
        <v>30330.48</v>
      </c>
      <c r="L43" s="174">
        <f t="shared" si="27"/>
        <v>30371.48</v>
      </c>
      <c r="M43" s="174">
        <f t="shared" si="27"/>
        <v>38555.300000000003</v>
      </c>
      <c r="N43" s="174">
        <f t="shared" si="27"/>
        <v>30146.48</v>
      </c>
      <c r="O43" s="174">
        <f t="shared" si="27"/>
        <v>30132.48</v>
      </c>
      <c r="P43" s="200">
        <f t="shared" si="23"/>
        <v>384083.24</v>
      </c>
      <c r="Q43" s="72">
        <v>20330.560000000001</v>
      </c>
      <c r="R43" s="72">
        <v>58310.38</v>
      </c>
      <c r="S43" s="72">
        <v>14716.32</v>
      </c>
      <c r="T43" s="72">
        <v>8902.2800000000007</v>
      </c>
      <c r="U43" s="72">
        <v>16942</v>
      </c>
      <c r="V43" s="72">
        <v>18918.59</v>
      </c>
      <c r="W43" s="72">
        <v>28140.02</v>
      </c>
      <c r="X43" s="72">
        <v>34194.800000000003</v>
      </c>
      <c r="Y43" s="72">
        <v>5300</v>
      </c>
      <c r="Z43" s="72">
        <v>7300</v>
      </c>
      <c r="AA43" s="72">
        <v>7300</v>
      </c>
      <c r="AB43" s="72">
        <v>7300</v>
      </c>
      <c r="AC43" s="127">
        <f t="shared" si="24"/>
        <v>227654.95</v>
      </c>
      <c r="AD43" s="72">
        <f t="shared" si="25"/>
        <v>156428.28999999998</v>
      </c>
      <c r="AE43" s="192">
        <f t="shared" si="26"/>
        <v>0.68712887639825082</v>
      </c>
      <c r="AF43" s="129">
        <v>27782.420000000002</v>
      </c>
      <c r="AG43" s="124">
        <f t="shared" si="17"/>
        <v>-356300.82</v>
      </c>
    </row>
    <row r="44" spans="1:33">
      <c r="A44" s="105" t="s">
        <v>181</v>
      </c>
      <c r="B44" s="105" t="s">
        <v>379</v>
      </c>
      <c r="C44" s="105" t="s">
        <v>182</v>
      </c>
      <c r="D44" s="221">
        <v>1050</v>
      </c>
      <c r="E44" s="221">
        <v>0</v>
      </c>
      <c r="F44" s="221">
        <v>0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  <c r="O44" s="221">
        <v>0</v>
      </c>
      <c r="P44" s="200">
        <f t="shared" si="23"/>
        <v>1050</v>
      </c>
      <c r="Q44" s="72">
        <v>1050.1099999999999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4"/>
        <v>1050.1099999999999</v>
      </c>
      <c r="AD44" s="72">
        <f t="shared" si="25"/>
        <v>-0.10999999999989996</v>
      </c>
      <c r="AE44" s="192">
        <f t="shared" si="26"/>
        <v>-1.0475093085476756E-4</v>
      </c>
      <c r="AF44" s="129">
        <v>0</v>
      </c>
      <c r="AG44" s="124">
        <f t="shared" si="17"/>
        <v>-1050</v>
      </c>
    </row>
    <row r="45" spans="1:33">
      <c r="A45" s="105" t="s">
        <v>430</v>
      </c>
      <c r="B45" s="105" t="s">
        <v>379</v>
      </c>
      <c r="C45" s="105" t="s">
        <v>431</v>
      </c>
      <c r="D45" s="221">
        <v>0</v>
      </c>
      <c r="E45" s="221">
        <v>0</v>
      </c>
      <c r="F45" s="221">
        <v>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0</v>
      </c>
      <c r="O45" s="221">
        <v>0</v>
      </c>
      <c r="P45" s="200">
        <f t="shared" si="23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4"/>
        <v>0</v>
      </c>
      <c r="AD45" s="72">
        <f t="shared" si="25"/>
        <v>0</v>
      </c>
      <c r="AE45" s="192" t="e">
        <f t="shared" si="26"/>
        <v>#DIV/0!</v>
      </c>
      <c r="AF45" s="129">
        <v>0</v>
      </c>
      <c r="AG45" s="124">
        <f t="shared" si="17"/>
        <v>0</v>
      </c>
    </row>
    <row r="46" spans="1:33">
      <c r="A46" s="105" t="s">
        <v>183</v>
      </c>
      <c r="B46" s="105" t="s">
        <v>379</v>
      </c>
      <c r="C46" s="105" t="s">
        <v>184</v>
      </c>
      <c r="D46" s="221">
        <v>0</v>
      </c>
      <c r="E46" s="221">
        <v>0</v>
      </c>
      <c r="F46" s="221">
        <v>0</v>
      </c>
      <c r="G46" s="221">
        <v>0</v>
      </c>
      <c r="H46" s="221">
        <v>0</v>
      </c>
      <c r="I46" s="221">
        <v>0</v>
      </c>
      <c r="J46" s="221">
        <v>0</v>
      </c>
      <c r="K46" s="221">
        <v>0</v>
      </c>
      <c r="L46" s="221">
        <v>0</v>
      </c>
      <c r="M46" s="221">
        <v>0</v>
      </c>
      <c r="N46" s="221">
        <v>0</v>
      </c>
      <c r="O46" s="221">
        <v>0</v>
      </c>
      <c r="P46" s="200">
        <f t="shared" si="23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4"/>
        <v>0</v>
      </c>
      <c r="AD46" s="72">
        <f t="shared" si="25"/>
        <v>0</v>
      </c>
      <c r="AE46" s="192" t="e">
        <f t="shared" si="26"/>
        <v>#DIV/0!</v>
      </c>
      <c r="AF46" s="129">
        <v>0</v>
      </c>
      <c r="AG46" s="124">
        <f t="shared" si="17"/>
        <v>0</v>
      </c>
    </row>
    <row r="47" spans="1:33">
      <c r="A47" s="105" t="s">
        <v>273</v>
      </c>
      <c r="C47" s="105" t="s">
        <v>432</v>
      </c>
      <c r="D47" s="221">
        <v>0</v>
      </c>
      <c r="E47" s="221">
        <v>0</v>
      </c>
      <c r="F47" s="221">
        <v>0</v>
      </c>
      <c r="G47" s="221">
        <v>0</v>
      </c>
      <c r="H47" s="221">
        <v>0</v>
      </c>
      <c r="I47" s="221">
        <v>0</v>
      </c>
      <c r="J47" s="221">
        <v>0</v>
      </c>
      <c r="K47" s="221">
        <v>0</v>
      </c>
      <c r="L47" s="221">
        <v>0</v>
      </c>
      <c r="M47" s="221">
        <v>0</v>
      </c>
      <c r="N47" s="221">
        <v>0</v>
      </c>
      <c r="O47" s="221">
        <v>0</v>
      </c>
      <c r="P47" s="200">
        <f t="shared" si="23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4"/>
        <v>0</v>
      </c>
      <c r="AD47" s="72">
        <f t="shared" si="25"/>
        <v>0</v>
      </c>
      <c r="AE47" s="192" t="e">
        <f t="shared" si="26"/>
        <v>#DIV/0!</v>
      </c>
      <c r="AF47" s="129">
        <v>0</v>
      </c>
      <c r="AG47" s="124">
        <f t="shared" si="17"/>
        <v>0</v>
      </c>
    </row>
    <row r="48" spans="1:33">
      <c r="A48" s="105" t="s">
        <v>185</v>
      </c>
      <c r="B48" s="105" t="s">
        <v>379</v>
      </c>
      <c r="C48" s="105" t="s">
        <v>186</v>
      </c>
      <c r="D48" s="221">
        <v>300</v>
      </c>
      <c r="E48" s="221">
        <v>300</v>
      </c>
      <c r="F48" s="221">
        <v>300</v>
      </c>
      <c r="G48" s="221">
        <v>300</v>
      </c>
      <c r="H48" s="221">
        <v>300</v>
      </c>
      <c r="I48" s="221">
        <v>300</v>
      </c>
      <c r="J48" s="221">
        <v>300</v>
      </c>
      <c r="K48" s="221">
        <v>300</v>
      </c>
      <c r="L48" s="221">
        <v>300</v>
      </c>
      <c r="M48" s="221">
        <v>300</v>
      </c>
      <c r="N48" s="221">
        <v>300</v>
      </c>
      <c r="O48" s="221">
        <v>300</v>
      </c>
      <c r="P48" s="200">
        <f t="shared" si="23"/>
        <v>3600</v>
      </c>
      <c r="Q48" s="72">
        <v>0</v>
      </c>
      <c r="R48" s="72">
        <v>531.04</v>
      </c>
      <c r="S48" s="72">
        <v>265.52</v>
      </c>
      <c r="T48" s="72">
        <v>265.52</v>
      </c>
      <c r="U48" s="72">
        <v>265.52</v>
      </c>
      <c r="V48" s="72">
        <v>265.52</v>
      </c>
      <c r="W48" s="72">
        <v>265.52</v>
      </c>
      <c r="X48" s="72">
        <v>265.52</v>
      </c>
      <c r="Y48" s="72">
        <v>300</v>
      </c>
      <c r="Z48" s="72">
        <v>300</v>
      </c>
      <c r="AA48" s="72">
        <v>300</v>
      </c>
      <c r="AB48" s="72">
        <v>300</v>
      </c>
      <c r="AC48" s="127">
        <f t="shared" si="24"/>
        <v>3324.16</v>
      </c>
      <c r="AD48" s="72">
        <f t="shared" si="25"/>
        <v>275.84000000000015</v>
      </c>
      <c r="AE48" s="192">
        <f t="shared" si="26"/>
        <v>8.2980361956103241E-2</v>
      </c>
      <c r="AF48" s="129">
        <v>4260</v>
      </c>
      <c r="AG48" s="124">
        <f t="shared" si="17"/>
        <v>660</v>
      </c>
    </row>
    <row r="49" spans="1:33">
      <c r="A49" s="105" t="s">
        <v>187</v>
      </c>
      <c r="B49" s="105" t="s">
        <v>379</v>
      </c>
      <c r="C49" s="105" t="s">
        <v>188</v>
      </c>
      <c r="D49" s="221">
        <v>2000</v>
      </c>
      <c r="E49" s="221">
        <v>4000</v>
      </c>
      <c r="F49" s="221">
        <v>1500</v>
      </c>
      <c r="G49" s="221">
        <v>2000</v>
      </c>
      <c r="H49" s="221">
        <v>1500</v>
      </c>
      <c r="I49" s="221">
        <v>1000</v>
      </c>
      <c r="J49" s="221">
        <v>2000</v>
      </c>
      <c r="K49" s="221">
        <v>2000</v>
      </c>
      <c r="L49" s="221">
        <v>1500</v>
      </c>
      <c r="M49" s="221">
        <v>1500</v>
      </c>
      <c r="N49" s="221">
        <v>1500</v>
      </c>
      <c r="O49" s="221">
        <v>1500</v>
      </c>
      <c r="P49" s="200">
        <f t="shared" si="23"/>
        <v>22000</v>
      </c>
      <c r="Q49" s="72">
        <v>1736.12</v>
      </c>
      <c r="R49" s="72">
        <v>3626.23</v>
      </c>
      <c r="S49" s="72">
        <v>1181.31</v>
      </c>
      <c r="T49" s="72">
        <v>2691.5</v>
      </c>
      <c r="U49" s="72">
        <v>1183.72</v>
      </c>
      <c r="V49" s="72">
        <v>407.6</v>
      </c>
      <c r="W49" s="72">
        <v>1555.79</v>
      </c>
      <c r="X49" s="72">
        <v>1332.77</v>
      </c>
      <c r="Y49" s="72">
        <v>1500</v>
      </c>
      <c r="Z49" s="72">
        <v>1500</v>
      </c>
      <c r="AA49" s="72">
        <v>1500</v>
      </c>
      <c r="AB49" s="72">
        <v>1500</v>
      </c>
      <c r="AC49" s="127">
        <f t="shared" si="24"/>
        <v>19715.04</v>
      </c>
      <c r="AD49" s="72">
        <f t="shared" si="25"/>
        <v>2284.9599999999991</v>
      </c>
      <c r="AE49" s="192">
        <f t="shared" si="26"/>
        <v>0.11589933370665233</v>
      </c>
      <c r="AF49" s="129">
        <v>5998.93</v>
      </c>
      <c r="AG49" s="124">
        <f t="shared" si="17"/>
        <v>-16001.07</v>
      </c>
    </row>
    <row r="50" spans="1:33">
      <c r="A50" s="105" t="s">
        <v>195</v>
      </c>
      <c r="B50" s="105" t="s">
        <v>379</v>
      </c>
      <c r="C50" s="105" t="s">
        <v>196</v>
      </c>
      <c r="D50" s="221">
        <v>0</v>
      </c>
      <c r="E50" s="221">
        <v>0</v>
      </c>
      <c r="F50" s="221">
        <v>0</v>
      </c>
      <c r="G50" s="221">
        <v>0</v>
      </c>
      <c r="H50" s="221">
        <v>0</v>
      </c>
      <c r="I50" s="221">
        <v>0</v>
      </c>
      <c r="J50" s="221">
        <v>0</v>
      </c>
      <c r="K50" s="221">
        <v>0</v>
      </c>
      <c r="L50" s="221">
        <v>0</v>
      </c>
      <c r="M50" s="221">
        <v>0</v>
      </c>
      <c r="N50" s="221">
        <v>0</v>
      </c>
      <c r="O50" s="221">
        <v>0</v>
      </c>
      <c r="P50" s="200">
        <f t="shared" si="23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4"/>
        <v>0</v>
      </c>
      <c r="AD50" s="72">
        <f t="shared" si="25"/>
        <v>0</v>
      </c>
      <c r="AE50" s="192" t="e">
        <f t="shared" si="26"/>
        <v>#DIV/0!</v>
      </c>
      <c r="AF50" s="129">
        <v>0</v>
      </c>
      <c r="AG50" s="124">
        <f t="shared" si="17"/>
        <v>0</v>
      </c>
    </row>
    <row r="51" spans="1:33">
      <c r="A51" s="105" t="s">
        <v>197</v>
      </c>
      <c r="B51" s="105" t="s">
        <v>379</v>
      </c>
      <c r="C51" s="105" t="s">
        <v>305</v>
      </c>
      <c r="D51" s="221">
        <v>200</v>
      </c>
      <c r="E51" s="221">
        <v>500</v>
      </c>
      <c r="F51" s="221">
        <v>200</v>
      </c>
      <c r="G51" s="221">
        <v>200</v>
      </c>
      <c r="H51" s="221">
        <v>200</v>
      </c>
      <c r="I51" s="221">
        <v>300</v>
      </c>
      <c r="J51" s="221">
        <v>500</v>
      </c>
      <c r="K51" s="221">
        <v>500</v>
      </c>
      <c r="L51" s="221">
        <v>400</v>
      </c>
      <c r="M51" s="221">
        <v>400</v>
      </c>
      <c r="N51" s="221">
        <v>400</v>
      </c>
      <c r="O51" s="221">
        <v>400</v>
      </c>
      <c r="P51" s="200">
        <f t="shared" si="23"/>
        <v>4200</v>
      </c>
      <c r="Q51" s="72">
        <v>210</v>
      </c>
      <c r="R51" s="72">
        <v>690.9</v>
      </c>
      <c r="S51" s="72">
        <v>121</v>
      </c>
      <c r="T51" s="72">
        <v>245</v>
      </c>
      <c r="U51" s="72">
        <v>140</v>
      </c>
      <c r="V51" s="72">
        <v>280</v>
      </c>
      <c r="W51" s="72">
        <v>134</v>
      </c>
      <c r="X51" s="72">
        <v>242.36</v>
      </c>
      <c r="Y51" s="72">
        <v>400</v>
      </c>
      <c r="Z51" s="72">
        <v>400</v>
      </c>
      <c r="AA51" s="72">
        <v>400</v>
      </c>
      <c r="AB51" s="72">
        <v>400</v>
      </c>
      <c r="AC51" s="127">
        <f t="shared" si="24"/>
        <v>3663.26</v>
      </c>
      <c r="AD51" s="72">
        <f t="shared" si="25"/>
        <v>536.73999999999978</v>
      </c>
      <c r="AE51" s="192">
        <f t="shared" si="26"/>
        <v>0.14651976654673698</v>
      </c>
      <c r="AF51" s="129">
        <v>6161.9</v>
      </c>
      <c r="AG51" s="124">
        <f t="shared" si="17"/>
        <v>1961.8999999999996</v>
      </c>
    </row>
    <row r="52" spans="1:33">
      <c r="A52" s="105" t="s">
        <v>434</v>
      </c>
      <c r="B52" s="105" t="s">
        <v>379</v>
      </c>
      <c r="C52" s="105" t="s">
        <v>435</v>
      </c>
      <c r="D52" s="221">
        <v>0</v>
      </c>
      <c r="E52" s="221">
        <v>0</v>
      </c>
      <c r="F52" s="221">
        <v>0</v>
      </c>
      <c r="G52" s="221">
        <v>0</v>
      </c>
      <c r="H52" s="221">
        <v>0</v>
      </c>
      <c r="I52" s="221">
        <v>0</v>
      </c>
      <c r="J52" s="221">
        <v>0</v>
      </c>
      <c r="K52" s="221">
        <v>0</v>
      </c>
      <c r="L52" s="221">
        <v>0</v>
      </c>
      <c r="M52" s="221">
        <v>0</v>
      </c>
      <c r="N52" s="221">
        <v>0</v>
      </c>
      <c r="O52" s="221">
        <v>0</v>
      </c>
      <c r="P52" s="200">
        <f t="shared" si="23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4"/>
        <v>0</v>
      </c>
      <c r="AD52" s="72">
        <f t="shared" si="25"/>
        <v>0</v>
      </c>
      <c r="AE52" s="192" t="e">
        <f t="shared" si="26"/>
        <v>#DIV/0!</v>
      </c>
      <c r="AF52" s="129">
        <v>0</v>
      </c>
      <c r="AG52" s="124">
        <f t="shared" si="17"/>
        <v>0</v>
      </c>
    </row>
    <row r="53" spans="1:33">
      <c r="A53" s="105" t="s">
        <v>436</v>
      </c>
      <c r="B53" s="105" t="s">
        <v>379</v>
      </c>
      <c r="C53" s="105" t="s">
        <v>437</v>
      </c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00">
        <f t="shared" si="23"/>
        <v>0</v>
      </c>
      <c r="Q53" s="72">
        <v>0</v>
      </c>
      <c r="R53" s="72">
        <v>12000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4"/>
        <v>12000</v>
      </c>
      <c r="AD53" s="72">
        <f t="shared" si="25"/>
        <v>-12000</v>
      </c>
      <c r="AE53" s="192">
        <f t="shared" si="26"/>
        <v>-1</v>
      </c>
      <c r="AF53" s="129">
        <v>0</v>
      </c>
      <c r="AG53" s="124">
        <f t="shared" si="17"/>
        <v>0</v>
      </c>
    </row>
    <row r="54" spans="1:33">
      <c r="A54" s="105" t="s">
        <v>199</v>
      </c>
      <c r="B54" s="105" t="s">
        <v>379</v>
      </c>
      <c r="C54" s="105" t="s">
        <v>200</v>
      </c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00">
        <f t="shared" si="23"/>
        <v>0</v>
      </c>
      <c r="Q54" s="72">
        <v>0</v>
      </c>
      <c r="R54" s="72">
        <v>13000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4"/>
        <v>13000</v>
      </c>
      <c r="AD54" s="72">
        <f t="shared" si="25"/>
        <v>-13000</v>
      </c>
      <c r="AE54" s="192">
        <f t="shared" si="26"/>
        <v>-1</v>
      </c>
      <c r="AF54" s="129">
        <v>12030</v>
      </c>
      <c r="AG54" s="124">
        <f t="shared" si="17"/>
        <v>12030</v>
      </c>
    </row>
    <row r="55" spans="1:33">
      <c r="A55" s="105" t="s">
        <v>438</v>
      </c>
      <c r="B55" s="105" t="s">
        <v>379</v>
      </c>
      <c r="C55" s="105" t="s">
        <v>439</v>
      </c>
      <c r="D55" s="221">
        <v>0</v>
      </c>
      <c r="E55" s="221">
        <v>0</v>
      </c>
      <c r="F55" s="221">
        <v>0</v>
      </c>
      <c r="G55" s="221">
        <v>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0</v>
      </c>
      <c r="N55" s="221">
        <v>0</v>
      </c>
      <c r="O55" s="221">
        <v>0</v>
      </c>
      <c r="P55" s="200">
        <f t="shared" si="23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4"/>
        <v>0</v>
      </c>
      <c r="AD55" s="72">
        <f t="shared" si="25"/>
        <v>0</v>
      </c>
      <c r="AE55" s="192" t="e">
        <f t="shared" si="26"/>
        <v>#DIV/0!</v>
      </c>
      <c r="AF55" s="129">
        <v>0</v>
      </c>
      <c r="AG55" s="124">
        <f t="shared" si="17"/>
        <v>0</v>
      </c>
    </row>
    <row r="56" spans="1:33">
      <c r="A56" s="105" t="s">
        <v>201</v>
      </c>
      <c r="B56" s="105" t="s">
        <v>379</v>
      </c>
      <c r="C56" s="105" t="s">
        <v>202</v>
      </c>
      <c r="D56" s="221">
        <v>10000</v>
      </c>
      <c r="E56" s="221">
        <v>10000</v>
      </c>
      <c r="F56" s="221">
        <v>0</v>
      </c>
      <c r="G56" s="221">
        <v>0</v>
      </c>
      <c r="H56" s="221">
        <v>0</v>
      </c>
      <c r="I56" s="221">
        <v>0</v>
      </c>
      <c r="J56" s="221">
        <v>5000</v>
      </c>
      <c r="K56" s="221">
        <v>5000</v>
      </c>
      <c r="L56" s="221">
        <v>0</v>
      </c>
      <c r="M56" s="221">
        <v>5000</v>
      </c>
      <c r="N56" s="221">
        <v>0</v>
      </c>
      <c r="O56" s="221">
        <v>10000</v>
      </c>
      <c r="P56" s="200">
        <f t="shared" si="23"/>
        <v>45000</v>
      </c>
      <c r="Q56" s="72">
        <v>1321.6</v>
      </c>
      <c r="R56" s="72">
        <v>3347.57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800</v>
      </c>
      <c r="Z56" s="72">
        <v>800</v>
      </c>
      <c r="AA56" s="72">
        <v>800</v>
      </c>
      <c r="AB56" s="72">
        <v>800</v>
      </c>
      <c r="AC56" s="127">
        <f t="shared" si="24"/>
        <v>7869.17</v>
      </c>
      <c r="AD56" s="72">
        <f t="shared" si="25"/>
        <v>37130.83</v>
      </c>
      <c r="AE56" s="192">
        <f t="shared" si="26"/>
        <v>4.7185192339217483</v>
      </c>
      <c r="AF56" s="129">
        <v>181</v>
      </c>
      <c r="AG56" s="124">
        <f t="shared" si="17"/>
        <v>-44819</v>
      </c>
    </row>
    <row r="57" spans="1:33">
      <c r="A57" s="105" t="s">
        <v>440</v>
      </c>
      <c r="B57" s="105" t="s">
        <v>379</v>
      </c>
      <c r="C57" s="105" t="s">
        <v>441</v>
      </c>
      <c r="D57" s="221">
        <v>0</v>
      </c>
      <c r="E57" s="221">
        <v>0</v>
      </c>
      <c r="F57" s="221">
        <v>0</v>
      </c>
      <c r="G57" s="221">
        <v>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0</v>
      </c>
      <c r="N57" s="221">
        <v>0</v>
      </c>
      <c r="O57" s="221">
        <v>0</v>
      </c>
      <c r="P57" s="200">
        <f t="shared" si="23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4"/>
        <v>0</v>
      </c>
      <c r="AD57" s="72">
        <f t="shared" si="25"/>
        <v>0</v>
      </c>
      <c r="AE57" s="192" t="e">
        <f t="shared" si="26"/>
        <v>#DIV/0!</v>
      </c>
      <c r="AF57" s="129">
        <v>0</v>
      </c>
      <c r="AG57" s="124">
        <f t="shared" si="17"/>
        <v>0</v>
      </c>
    </row>
    <row r="58" spans="1:33">
      <c r="A58" s="105" t="s">
        <v>442</v>
      </c>
      <c r="B58" s="105" t="s">
        <v>379</v>
      </c>
      <c r="C58" s="105" t="s">
        <v>443</v>
      </c>
      <c r="D58" s="221">
        <v>500</v>
      </c>
      <c r="E58" s="221">
        <v>500</v>
      </c>
      <c r="F58" s="221">
        <v>500</v>
      </c>
      <c r="G58" s="221">
        <v>500</v>
      </c>
      <c r="H58" s="221">
        <v>500</v>
      </c>
      <c r="I58" s="221">
        <v>500</v>
      </c>
      <c r="J58" s="221">
        <v>500</v>
      </c>
      <c r="K58" s="221">
        <v>500</v>
      </c>
      <c r="L58" s="221">
        <v>500</v>
      </c>
      <c r="M58" s="221">
        <v>500</v>
      </c>
      <c r="N58" s="221">
        <v>500</v>
      </c>
      <c r="O58" s="221">
        <v>500</v>
      </c>
      <c r="P58" s="200">
        <f t="shared" si="23"/>
        <v>6000</v>
      </c>
      <c r="Q58" s="72">
        <v>36</v>
      </c>
      <c r="R58" s="72">
        <v>96</v>
      </c>
      <c r="S58" s="72">
        <v>0</v>
      </c>
      <c r="T58" s="72">
        <v>228.14</v>
      </c>
      <c r="U58" s="72">
        <v>36</v>
      </c>
      <c r="V58" s="72">
        <v>24</v>
      </c>
      <c r="W58" s="72">
        <v>0</v>
      </c>
      <c r="X58" s="72">
        <v>0</v>
      </c>
      <c r="Y58" s="72">
        <v>500</v>
      </c>
      <c r="Z58" s="72">
        <v>500</v>
      </c>
      <c r="AA58" s="72">
        <v>500</v>
      </c>
      <c r="AB58" s="72">
        <v>500</v>
      </c>
      <c r="AC58" s="127">
        <f t="shared" si="24"/>
        <v>2420.14</v>
      </c>
      <c r="AD58" s="72">
        <f t="shared" si="25"/>
        <v>3579.86</v>
      </c>
      <c r="AE58" s="192">
        <f t="shared" si="26"/>
        <v>1.4791954184468667</v>
      </c>
      <c r="AF58" s="129">
        <v>1592.1100000000001</v>
      </c>
      <c r="AG58" s="124">
        <f t="shared" si="17"/>
        <v>-4407.8899999999994</v>
      </c>
    </row>
    <row r="59" spans="1:33">
      <c r="A59" s="105" t="s">
        <v>203</v>
      </c>
      <c r="B59" s="105" t="s">
        <v>379</v>
      </c>
      <c r="C59" s="105" t="s">
        <v>204</v>
      </c>
      <c r="D59" s="221">
        <v>767</v>
      </c>
      <c r="E59" s="221">
        <v>767</v>
      </c>
      <c r="F59" s="221">
        <v>767</v>
      </c>
      <c r="G59" s="221">
        <v>767</v>
      </c>
      <c r="H59" s="221">
        <v>767</v>
      </c>
      <c r="I59" s="221">
        <v>767</v>
      </c>
      <c r="J59" s="221">
        <v>767</v>
      </c>
      <c r="K59" s="221">
        <v>767</v>
      </c>
      <c r="L59" s="221">
        <v>767</v>
      </c>
      <c r="M59" s="221">
        <v>767</v>
      </c>
      <c r="N59" s="221">
        <v>767</v>
      </c>
      <c r="O59" s="221">
        <v>767</v>
      </c>
      <c r="P59" s="200">
        <f t="shared" si="23"/>
        <v>9204</v>
      </c>
      <c r="Q59" s="72">
        <v>1737.32</v>
      </c>
      <c r="R59" s="72">
        <v>1773.15</v>
      </c>
      <c r="S59" s="72">
        <v>1809</v>
      </c>
      <c r="T59" s="72">
        <v>0</v>
      </c>
      <c r="U59" s="72">
        <v>-102.4</v>
      </c>
      <c r="V59" s="72">
        <v>0</v>
      </c>
      <c r="W59" s="72">
        <v>0</v>
      </c>
      <c r="X59" s="72">
        <v>-25.2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4"/>
        <v>5191.8700000000008</v>
      </c>
      <c r="AD59" s="72">
        <f t="shared" si="25"/>
        <v>4012.1299999999992</v>
      </c>
      <c r="AE59" s="192">
        <f t="shared" si="26"/>
        <v>0.77277166030736488</v>
      </c>
      <c r="AF59" s="129">
        <v>11998.68</v>
      </c>
      <c r="AG59" s="124">
        <f t="shared" si="17"/>
        <v>2794.6800000000003</v>
      </c>
    </row>
    <row r="60" spans="1:33">
      <c r="A60" s="105" t="s">
        <v>444</v>
      </c>
      <c r="B60" s="105" t="s">
        <v>379</v>
      </c>
      <c r="C60" s="105" t="s">
        <v>445</v>
      </c>
      <c r="D60" s="221">
        <v>2000</v>
      </c>
      <c r="E60" s="221">
        <v>2000</v>
      </c>
      <c r="F60" s="221">
        <v>0</v>
      </c>
      <c r="G60" s="221">
        <v>0</v>
      </c>
      <c r="H60" s="221">
        <v>0</v>
      </c>
      <c r="I60" s="221">
        <v>0</v>
      </c>
      <c r="J60" s="221"/>
      <c r="K60" s="221"/>
      <c r="L60" s="221"/>
      <c r="M60" s="221"/>
      <c r="N60" s="221"/>
      <c r="O60" s="221"/>
      <c r="P60" s="200">
        <f t="shared" si="23"/>
        <v>4000</v>
      </c>
      <c r="Q60" s="72">
        <v>1240</v>
      </c>
      <c r="R60" s="72">
        <v>0</v>
      </c>
      <c r="S60" s="72">
        <v>0</v>
      </c>
      <c r="T60" s="72">
        <v>4095.04</v>
      </c>
      <c r="U60" s="72">
        <v>0</v>
      </c>
      <c r="V60" s="72">
        <v>0</v>
      </c>
      <c r="W60" s="72">
        <v>0</v>
      </c>
      <c r="X60" s="72">
        <v>0</v>
      </c>
      <c r="Y60" s="72" t="s">
        <v>526</v>
      </c>
      <c r="Z60" s="72" t="s">
        <v>526</v>
      </c>
      <c r="AA60" s="72" t="s">
        <v>526</v>
      </c>
      <c r="AB60" s="72" t="s">
        <v>526</v>
      </c>
      <c r="AC60" s="127">
        <f t="shared" si="24"/>
        <v>5335.04</v>
      </c>
      <c r="AD60" s="72">
        <f t="shared" si="25"/>
        <v>-1335.04</v>
      </c>
      <c r="AE60" s="192">
        <f t="shared" si="26"/>
        <v>-0.25023992322456812</v>
      </c>
      <c r="AF60" s="129">
        <v>3679.95</v>
      </c>
      <c r="AG60" s="124">
        <f t="shared" si="17"/>
        <v>-320.05000000000018</v>
      </c>
    </row>
    <row r="61" spans="1:33">
      <c r="A61" s="105" t="s">
        <v>446</v>
      </c>
      <c r="B61" s="105" t="s">
        <v>379</v>
      </c>
      <c r="C61" s="105" t="s">
        <v>447</v>
      </c>
      <c r="D61" s="221">
        <v>500</v>
      </c>
      <c r="E61" s="221">
        <v>500</v>
      </c>
      <c r="F61" s="221">
        <v>500</v>
      </c>
      <c r="G61" s="221">
        <v>500</v>
      </c>
      <c r="H61" s="221">
        <v>500</v>
      </c>
      <c r="I61" s="221">
        <v>500</v>
      </c>
      <c r="J61" s="221">
        <v>500</v>
      </c>
      <c r="K61" s="221">
        <v>500</v>
      </c>
      <c r="L61" s="221">
        <v>500</v>
      </c>
      <c r="M61" s="221">
        <v>500</v>
      </c>
      <c r="N61" s="221">
        <v>500</v>
      </c>
      <c r="O61" s="221">
        <v>500</v>
      </c>
      <c r="P61" s="200">
        <f t="shared" si="23"/>
        <v>6000</v>
      </c>
      <c r="Q61" s="72">
        <v>0</v>
      </c>
      <c r="R61" s="72">
        <v>0</v>
      </c>
      <c r="S61" s="72">
        <v>231.46</v>
      </c>
      <c r="T61" s="72">
        <v>364.78</v>
      </c>
      <c r="U61" s="72">
        <v>364.78</v>
      </c>
      <c r="V61" s="72">
        <v>364.78</v>
      </c>
      <c r="W61" s="72">
        <v>691.58</v>
      </c>
      <c r="X61" s="72">
        <v>1164.67</v>
      </c>
      <c r="Y61" s="72">
        <v>300</v>
      </c>
      <c r="Z61" s="72">
        <v>300</v>
      </c>
      <c r="AA61" s="72">
        <v>300</v>
      </c>
      <c r="AB61" s="72">
        <v>300</v>
      </c>
      <c r="AC61" s="127">
        <f t="shared" si="24"/>
        <v>4382.05</v>
      </c>
      <c r="AD61" s="72">
        <f t="shared" si="25"/>
        <v>1617.9499999999998</v>
      </c>
      <c r="AE61" s="192">
        <f t="shared" si="26"/>
        <v>0.36922216770689514</v>
      </c>
      <c r="AF61" s="129">
        <v>237.59</v>
      </c>
      <c r="AG61" s="124">
        <f t="shared" si="17"/>
        <v>-5762.41</v>
      </c>
    </row>
    <row r="62" spans="1:33">
      <c r="A62" s="105" t="s">
        <v>273</v>
      </c>
      <c r="C62" s="105" t="s">
        <v>448</v>
      </c>
      <c r="D62" s="221">
        <v>0</v>
      </c>
      <c r="E62" s="221">
        <v>0</v>
      </c>
      <c r="F62" s="221">
        <v>0</v>
      </c>
      <c r="G62" s="221">
        <v>0</v>
      </c>
      <c r="H62" s="221">
        <v>0</v>
      </c>
      <c r="I62" s="221">
        <v>0</v>
      </c>
      <c r="J62" s="221">
        <v>0</v>
      </c>
      <c r="K62" s="221">
        <v>0</v>
      </c>
      <c r="L62" s="221">
        <v>0</v>
      </c>
      <c r="M62" s="221">
        <v>0</v>
      </c>
      <c r="N62" s="221">
        <v>0</v>
      </c>
      <c r="O62" s="221">
        <v>0</v>
      </c>
      <c r="P62" s="200">
        <f t="shared" si="23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4"/>
        <v>0</v>
      </c>
      <c r="AD62" s="72">
        <f t="shared" si="25"/>
        <v>0</v>
      </c>
      <c r="AE62" s="192" t="e">
        <f t="shared" si="26"/>
        <v>#DIV/0!</v>
      </c>
      <c r="AF62" s="129">
        <v>0</v>
      </c>
      <c r="AG62" s="124">
        <f t="shared" si="17"/>
        <v>0</v>
      </c>
    </row>
    <row r="63" spans="1:33">
      <c r="A63" s="105" t="s">
        <v>207</v>
      </c>
      <c r="B63" s="105" t="s">
        <v>379</v>
      </c>
      <c r="C63" s="105" t="s">
        <v>208</v>
      </c>
      <c r="D63" s="221">
        <v>3000</v>
      </c>
      <c r="E63" s="221">
        <v>3000</v>
      </c>
      <c r="F63" s="221">
        <v>2000</v>
      </c>
      <c r="G63" s="221">
        <v>3000</v>
      </c>
      <c r="H63" s="221">
        <v>2000</v>
      </c>
      <c r="I63" s="221">
        <v>1000</v>
      </c>
      <c r="J63" s="221">
        <v>2000</v>
      </c>
      <c r="K63" s="221">
        <v>2000</v>
      </c>
      <c r="L63" s="221">
        <v>1000</v>
      </c>
      <c r="M63" s="221">
        <v>2000</v>
      </c>
      <c r="N63" s="221">
        <v>2000</v>
      </c>
      <c r="O63" s="221">
        <v>2000</v>
      </c>
      <c r="P63" s="200">
        <f t="shared" si="23"/>
        <v>25000</v>
      </c>
      <c r="Q63" s="72">
        <v>3819.22</v>
      </c>
      <c r="R63" s="72">
        <v>5100.3100000000004</v>
      </c>
      <c r="S63" s="72">
        <v>1652.61</v>
      </c>
      <c r="T63" s="72">
        <v>2971.3</v>
      </c>
      <c r="U63" s="72">
        <v>1570.94</v>
      </c>
      <c r="V63" s="72">
        <v>732.28</v>
      </c>
      <c r="W63" s="72">
        <v>599.73</v>
      </c>
      <c r="X63" s="72">
        <v>776.31</v>
      </c>
      <c r="Y63" s="72">
        <v>1600</v>
      </c>
      <c r="Z63" s="72">
        <v>2000</v>
      </c>
      <c r="AA63" s="72">
        <v>2000</v>
      </c>
      <c r="AB63" s="72">
        <v>2000</v>
      </c>
      <c r="AC63" s="127">
        <f t="shared" si="24"/>
        <v>24822.700000000004</v>
      </c>
      <c r="AD63" s="72">
        <f t="shared" si="25"/>
        <v>177.29999999999563</v>
      </c>
      <c r="AE63" s="192">
        <f t="shared" si="26"/>
        <v>7.1426557143258228E-3</v>
      </c>
      <c r="AF63" s="129">
        <v>30049.17</v>
      </c>
      <c r="AG63" s="124">
        <f t="shared" si="17"/>
        <v>5049.1699999999983</v>
      </c>
    </row>
    <row r="64" spans="1:33">
      <c r="A64" s="105" t="s">
        <v>449</v>
      </c>
      <c r="B64" s="105" t="s">
        <v>379</v>
      </c>
      <c r="C64" s="105" t="s">
        <v>450</v>
      </c>
      <c r="D64" s="221">
        <v>122</v>
      </c>
      <c r="E64" s="221">
        <v>122</v>
      </c>
      <c r="F64" s="221">
        <v>122</v>
      </c>
      <c r="G64" s="221">
        <v>122</v>
      </c>
      <c r="H64" s="221">
        <v>122</v>
      </c>
      <c r="I64" s="221">
        <v>122</v>
      </c>
      <c r="J64" s="221">
        <v>122</v>
      </c>
      <c r="K64" s="221">
        <v>122</v>
      </c>
      <c r="L64" s="221">
        <v>122</v>
      </c>
      <c r="M64" s="221">
        <v>122</v>
      </c>
      <c r="N64" s="221">
        <v>122</v>
      </c>
      <c r="O64" s="221">
        <v>122</v>
      </c>
      <c r="P64" s="200">
        <f t="shared" si="23"/>
        <v>1464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122</v>
      </c>
      <c r="Z64" s="72">
        <v>122</v>
      </c>
      <c r="AA64" s="72">
        <v>122</v>
      </c>
      <c r="AB64" s="72">
        <v>122</v>
      </c>
      <c r="AC64" s="127">
        <f t="shared" si="24"/>
        <v>1222.5</v>
      </c>
      <c r="AD64" s="72">
        <f t="shared" si="25"/>
        <v>241.5</v>
      </c>
      <c r="AE64" s="192">
        <f t="shared" si="26"/>
        <v>0.19754601226993865</v>
      </c>
      <c r="AF64" s="129">
        <v>2015.1200000000003</v>
      </c>
      <c r="AG64" s="124">
        <f t="shared" si="17"/>
        <v>551.12000000000035</v>
      </c>
    </row>
    <row r="65" spans="1:33">
      <c r="A65" s="105" t="s">
        <v>273</v>
      </c>
      <c r="C65" s="105" t="s">
        <v>451</v>
      </c>
      <c r="D65" s="221">
        <v>0</v>
      </c>
      <c r="E65" s="221">
        <v>0</v>
      </c>
      <c r="F65" s="221">
        <v>0</v>
      </c>
      <c r="G65" s="221">
        <v>0</v>
      </c>
      <c r="H65" s="221">
        <v>0</v>
      </c>
      <c r="I65" s="221">
        <v>0</v>
      </c>
      <c r="J65" s="221">
        <v>0</v>
      </c>
      <c r="K65" s="221">
        <v>0</v>
      </c>
      <c r="L65" s="221">
        <v>0</v>
      </c>
      <c r="M65" s="221">
        <v>0</v>
      </c>
      <c r="N65" s="221">
        <v>0</v>
      </c>
      <c r="O65" s="221">
        <v>0</v>
      </c>
      <c r="P65" s="200">
        <f t="shared" si="23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4"/>
        <v>0</v>
      </c>
      <c r="AD65" s="72">
        <f t="shared" si="25"/>
        <v>0</v>
      </c>
      <c r="AE65" s="192" t="e">
        <f t="shared" si="26"/>
        <v>#DIV/0!</v>
      </c>
      <c r="AF65" s="129">
        <v>0</v>
      </c>
      <c r="AG65" s="124">
        <f t="shared" si="17"/>
        <v>0</v>
      </c>
    </row>
    <row r="66" spans="1:33">
      <c r="A66" s="105" t="s">
        <v>452</v>
      </c>
      <c r="B66" s="105" t="s">
        <v>379</v>
      </c>
      <c r="C66" s="105" t="s">
        <v>453</v>
      </c>
      <c r="D66" s="221">
        <v>0</v>
      </c>
      <c r="E66" s="221">
        <v>0</v>
      </c>
      <c r="F66" s="221">
        <v>0</v>
      </c>
      <c r="G66" s="221">
        <v>0</v>
      </c>
      <c r="H66" s="221">
        <v>0</v>
      </c>
      <c r="I66" s="221">
        <v>0</v>
      </c>
      <c r="J66" s="221">
        <v>0</v>
      </c>
      <c r="K66" s="221">
        <v>0</v>
      </c>
      <c r="L66" s="221">
        <v>0</v>
      </c>
      <c r="M66" s="221">
        <v>0</v>
      </c>
      <c r="N66" s="221">
        <v>0</v>
      </c>
      <c r="O66" s="221">
        <v>0</v>
      </c>
      <c r="P66" s="200">
        <f t="shared" si="23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4"/>
        <v>0</v>
      </c>
      <c r="AD66" s="72">
        <f t="shared" si="25"/>
        <v>0</v>
      </c>
      <c r="AE66" s="192" t="e">
        <f t="shared" si="26"/>
        <v>#DIV/0!</v>
      </c>
      <c r="AF66" s="129">
        <v>0</v>
      </c>
      <c r="AG66" s="124">
        <f t="shared" si="17"/>
        <v>0</v>
      </c>
    </row>
    <row r="67" spans="1:33">
      <c r="A67" s="105" t="s">
        <v>454</v>
      </c>
      <c r="B67" s="105" t="s">
        <v>379</v>
      </c>
      <c r="C67" s="105" t="s">
        <v>455</v>
      </c>
      <c r="D67" s="221">
        <v>0</v>
      </c>
      <c r="E67" s="221">
        <v>0</v>
      </c>
      <c r="F67" s="221">
        <v>0</v>
      </c>
      <c r="G67" s="221">
        <v>0</v>
      </c>
      <c r="H67" s="221">
        <v>0</v>
      </c>
      <c r="I67" s="221">
        <v>0</v>
      </c>
      <c r="J67" s="221">
        <v>0</v>
      </c>
      <c r="K67" s="221">
        <v>0</v>
      </c>
      <c r="L67" s="221">
        <v>0</v>
      </c>
      <c r="M67" s="221">
        <v>0</v>
      </c>
      <c r="N67" s="221">
        <v>0</v>
      </c>
      <c r="O67" s="221">
        <v>0</v>
      </c>
      <c r="P67" s="200">
        <f t="shared" si="23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4"/>
        <v>0</v>
      </c>
      <c r="AD67" s="136">
        <f t="shared" si="25"/>
        <v>0</v>
      </c>
      <c r="AE67" s="196" t="e">
        <f t="shared" si="26"/>
        <v>#DIV/0!</v>
      </c>
      <c r="AF67" s="133">
        <v>-11400</v>
      </c>
      <c r="AG67" s="124">
        <f t="shared" si="17"/>
        <v>-11400</v>
      </c>
    </row>
    <row r="68" spans="1:33">
      <c r="A68" s="105" t="s">
        <v>456</v>
      </c>
      <c r="B68" s="105" t="s">
        <v>379</v>
      </c>
      <c r="C68" s="105" t="s">
        <v>457</v>
      </c>
      <c r="D68" s="221">
        <v>0</v>
      </c>
      <c r="E68" s="221">
        <v>0</v>
      </c>
      <c r="F68" s="221">
        <v>0</v>
      </c>
      <c r="G68" s="221">
        <v>0</v>
      </c>
      <c r="H68" s="221">
        <v>0</v>
      </c>
      <c r="I68" s="221">
        <v>0</v>
      </c>
      <c r="J68" s="221">
        <v>0</v>
      </c>
      <c r="K68" s="221">
        <v>0</v>
      </c>
      <c r="L68" s="221">
        <v>0</v>
      </c>
      <c r="M68" s="221">
        <v>0</v>
      </c>
      <c r="N68" s="221">
        <v>0</v>
      </c>
      <c r="O68" s="221">
        <v>0</v>
      </c>
      <c r="P68" s="200">
        <f t="shared" si="23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4"/>
        <v>0</v>
      </c>
      <c r="AD68" s="136">
        <f t="shared" si="25"/>
        <v>0</v>
      </c>
      <c r="AE68" s="196" t="e">
        <f t="shared" si="26"/>
        <v>#DIV/0!</v>
      </c>
      <c r="AF68" s="133">
        <v>0</v>
      </c>
      <c r="AG68" s="124">
        <f t="shared" si="17"/>
        <v>0</v>
      </c>
    </row>
    <row r="69" spans="1:33">
      <c r="A69" s="105" t="s">
        <v>273</v>
      </c>
      <c r="C69" s="105" t="s">
        <v>458</v>
      </c>
      <c r="D69" s="221">
        <v>0</v>
      </c>
      <c r="E69" s="221">
        <v>0</v>
      </c>
      <c r="F69" s="221">
        <v>0</v>
      </c>
      <c r="G69" s="221">
        <v>0</v>
      </c>
      <c r="H69" s="221">
        <v>0</v>
      </c>
      <c r="I69" s="221">
        <v>0</v>
      </c>
      <c r="J69" s="221">
        <v>0</v>
      </c>
      <c r="K69" s="221">
        <v>0</v>
      </c>
      <c r="L69" s="221">
        <v>0</v>
      </c>
      <c r="M69" s="221">
        <v>0</v>
      </c>
      <c r="N69" s="221">
        <v>0</v>
      </c>
      <c r="O69" s="221">
        <v>0</v>
      </c>
      <c r="P69" s="200">
        <f t="shared" si="23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4"/>
        <v>0</v>
      </c>
      <c r="AD69" s="136">
        <f t="shared" si="25"/>
        <v>0</v>
      </c>
      <c r="AE69" s="196" t="e">
        <f t="shared" si="26"/>
        <v>#DIV/0!</v>
      </c>
      <c r="AF69" s="133">
        <v>0</v>
      </c>
      <c r="AG69" s="124">
        <f t="shared" si="17"/>
        <v>0</v>
      </c>
    </row>
    <row r="70" spans="1:33">
      <c r="A70" s="105" t="s">
        <v>209</v>
      </c>
      <c r="B70" s="105" t="s">
        <v>379</v>
      </c>
      <c r="C70" s="105" t="s">
        <v>210</v>
      </c>
      <c r="D70" s="221">
        <v>0</v>
      </c>
      <c r="E70" s="221">
        <v>0</v>
      </c>
      <c r="F70" s="221">
        <v>0</v>
      </c>
      <c r="G70" s="221">
        <v>0</v>
      </c>
      <c r="H70" s="221">
        <v>0</v>
      </c>
      <c r="I70" s="221">
        <v>0</v>
      </c>
      <c r="J70" s="221">
        <v>0</v>
      </c>
      <c r="K70" s="221">
        <v>0</v>
      </c>
      <c r="L70" s="221">
        <v>0</v>
      </c>
      <c r="M70" s="221">
        <v>0</v>
      </c>
      <c r="N70" s="221">
        <v>0</v>
      </c>
      <c r="O70" s="221">
        <v>0</v>
      </c>
      <c r="P70" s="200">
        <f t="shared" si="23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4"/>
        <v>0</v>
      </c>
      <c r="AD70" s="136">
        <f t="shared" si="25"/>
        <v>0</v>
      </c>
      <c r="AE70" s="196" t="e">
        <f t="shared" si="26"/>
        <v>#DIV/0!</v>
      </c>
      <c r="AF70" s="133">
        <v>0</v>
      </c>
      <c r="AG70" s="124">
        <f t="shared" si="17"/>
        <v>0</v>
      </c>
    </row>
    <row r="71" spans="1:33">
      <c r="A71" s="105" t="s">
        <v>211</v>
      </c>
      <c r="B71" s="105" t="s">
        <v>379</v>
      </c>
      <c r="C71" s="105" t="s">
        <v>212</v>
      </c>
      <c r="D71" s="221">
        <v>800</v>
      </c>
      <c r="E71" s="221">
        <v>800</v>
      </c>
      <c r="F71" s="221">
        <v>500</v>
      </c>
      <c r="G71" s="221">
        <v>500</v>
      </c>
      <c r="H71" s="221">
        <v>500</v>
      </c>
      <c r="I71" s="221">
        <v>500</v>
      </c>
      <c r="J71" s="221">
        <v>500</v>
      </c>
      <c r="K71" s="221">
        <v>500</v>
      </c>
      <c r="L71" s="221">
        <v>500</v>
      </c>
      <c r="M71" s="221">
        <v>500</v>
      </c>
      <c r="N71" s="221">
        <v>500</v>
      </c>
      <c r="O71" s="221">
        <v>500</v>
      </c>
      <c r="P71" s="200">
        <f t="shared" si="23"/>
        <v>6600</v>
      </c>
      <c r="Q71" s="136">
        <v>892.63</v>
      </c>
      <c r="R71" s="136">
        <v>3286.5</v>
      </c>
      <c r="S71" s="136">
        <v>212.54</v>
      </c>
      <c r="T71" s="136">
        <v>1071.02</v>
      </c>
      <c r="U71" s="136">
        <v>416.7</v>
      </c>
      <c r="V71" s="136">
        <v>351.3</v>
      </c>
      <c r="W71" s="72">
        <v>455</v>
      </c>
      <c r="X71" s="72">
        <v>691.58</v>
      </c>
      <c r="Y71" s="72">
        <v>500</v>
      </c>
      <c r="Z71" s="72">
        <v>500</v>
      </c>
      <c r="AA71" s="72">
        <v>500</v>
      </c>
      <c r="AB71" s="72">
        <v>500</v>
      </c>
      <c r="AC71" s="137">
        <f t="shared" si="24"/>
        <v>9377.27</v>
      </c>
      <c r="AD71" s="136">
        <f t="shared" si="25"/>
        <v>-2777.2700000000004</v>
      </c>
      <c r="AE71" s="196">
        <f t="shared" si="26"/>
        <v>-0.29617042060215826</v>
      </c>
      <c r="AF71" s="133">
        <v>9649.41</v>
      </c>
      <c r="AG71" s="124">
        <f t="shared" si="17"/>
        <v>3049.41</v>
      </c>
    </row>
    <row r="72" spans="1:33">
      <c r="A72" s="105" t="s">
        <v>213</v>
      </c>
      <c r="B72" s="105" t="s">
        <v>379</v>
      </c>
      <c r="C72" s="105" t="s">
        <v>214</v>
      </c>
      <c r="D72" s="222">
        <f>Laundry!E127</f>
        <v>3255</v>
      </c>
      <c r="E72" s="222">
        <f>Laundry!F127</f>
        <v>2967</v>
      </c>
      <c r="F72" s="222">
        <f>Laundry!G127</f>
        <v>3001</v>
      </c>
      <c r="G72" s="222">
        <f>Laundry!H127</f>
        <v>3084</v>
      </c>
      <c r="H72" s="222">
        <f>Laundry!I127</f>
        <v>3171</v>
      </c>
      <c r="I72" s="222">
        <f>Laundry!J127</f>
        <v>3030</v>
      </c>
      <c r="J72" s="222">
        <f>Laundry!K127</f>
        <v>3231</v>
      </c>
      <c r="K72" s="222">
        <f>Laundry!L127</f>
        <v>3215</v>
      </c>
      <c r="L72" s="222">
        <f>Laundry!M127</f>
        <v>3103</v>
      </c>
      <c r="M72" s="222">
        <f>Laundry!N127</f>
        <v>3531</v>
      </c>
      <c r="N72" s="222">
        <f>Laundry!O127</f>
        <v>3119</v>
      </c>
      <c r="O72" s="222">
        <f>Laundry!P127</f>
        <v>3104</v>
      </c>
      <c r="P72" s="200">
        <f t="shared" si="23"/>
        <v>37811</v>
      </c>
      <c r="Q72" s="136">
        <v>4255.6899999999996</v>
      </c>
      <c r="R72" s="136">
        <v>5506.73</v>
      </c>
      <c r="S72" s="136">
        <v>2995.17</v>
      </c>
      <c r="T72" s="136">
        <v>3906.43</v>
      </c>
      <c r="U72" s="136">
        <v>1007.75</v>
      </c>
      <c r="V72" s="136">
        <v>3251.22</v>
      </c>
      <c r="W72" s="72">
        <v>3172.42</v>
      </c>
      <c r="X72" s="72">
        <v>2639.41</v>
      </c>
      <c r="Y72" s="72">
        <v>2815</v>
      </c>
      <c r="Z72" s="72">
        <v>3149</v>
      </c>
      <c r="AA72" s="72">
        <v>2646</v>
      </c>
      <c r="AB72" s="72">
        <v>2705</v>
      </c>
      <c r="AC72" s="137">
        <f t="shared" si="24"/>
        <v>38049.819999999992</v>
      </c>
      <c r="AD72" s="136">
        <f t="shared" si="25"/>
        <v>-238.81999999999243</v>
      </c>
      <c r="AE72" s="196">
        <f t="shared" si="26"/>
        <v>-6.276508009761741E-3</v>
      </c>
      <c r="AF72" s="133">
        <v>30297.649999999994</v>
      </c>
      <c r="AG72" s="124">
        <f t="shared" si="17"/>
        <v>-7513.3500000000058</v>
      </c>
    </row>
    <row r="73" spans="1:33">
      <c r="A73" s="105" t="s">
        <v>306</v>
      </c>
      <c r="B73" s="105" t="s">
        <v>379</v>
      </c>
      <c r="C73" s="105" t="s">
        <v>206</v>
      </c>
      <c r="D73" s="221">
        <v>0</v>
      </c>
      <c r="E73" s="221">
        <v>0</v>
      </c>
      <c r="F73" s="221">
        <v>0</v>
      </c>
      <c r="G73" s="221">
        <v>0</v>
      </c>
      <c r="H73" s="221">
        <v>0</v>
      </c>
      <c r="I73" s="221">
        <v>0</v>
      </c>
      <c r="J73" s="221">
        <v>0</v>
      </c>
      <c r="K73" s="221">
        <v>0</v>
      </c>
      <c r="L73" s="221">
        <v>0</v>
      </c>
      <c r="M73" s="221">
        <v>0</v>
      </c>
      <c r="N73" s="221">
        <v>30000</v>
      </c>
      <c r="O73" s="221">
        <v>0</v>
      </c>
      <c r="P73" s="200">
        <f t="shared" si="23"/>
        <v>30000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30000</v>
      </c>
      <c r="AB73" s="72">
        <v>0</v>
      </c>
      <c r="AC73" s="137">
        <f t="shared" si="24"/>
        <v>30000</v>
      </c>
      <c r="AD73" s="136">
        <f t="shared" si="25"/>
        <v>0</v>
      </c>
      <c r="AE73" s="196">
        <f t="shared" si="26"/>
        <v>0</v>
      </c>
      <c r="AF73" s="133">
        <v>0</v>
      </c>
      <c r="AG73" s="124">
        <f t="shared" si="17"/>
        <v>-30000</v>
      </c>
    </row>
    <row r="74" spans="1:33">
      <c r="A74" s="105" t="s">
        <v>215</v>
      </c>
      <c r="B74" s="105" t="s">
        <v>379</v>
      </c>
      <c r="C74" s="105" t="s">
        <v>216</v>
      </c>
      <c r="D74" s="221">
        <v>103</v>
      </c>
      <c r="E74" s="221">
        <v>102</v>
      </c>
      <c r="F74" s="221">
        <v>103</v>
      </c>
      <c r="G74" s="221">
        <v>103</v>
      </c>
      <c r="H74" s="221">
        <v>103</v>
      </c>
      <c r="I74" s="221">
        <v>103</v>
      </c>
      <c r="J74" s="221">
        <v>103</v>
      </c>
      <c r="K74" s="221">
        <v>100</v>
      </c>
      <c r="L74" s="221">
        <v>100</v>
      </c>
      <c r="M74" s="221">
        <v>100</v>
      </c>
      <c r="N74" s="221">
        <v>100</v>
      </c>
      <c r="O74" s="221">
        <v>100</v>
      </c>
      <c r="P74" s="200">
        <f t="shared" si="23"/>
        <v>1220</v>
      </c>
      <c r="Q74" s="136">
        <v>102.58</v>
      </c>
      <c r="R74" s="136">
        <v>102.48</v>
      </c>
      <c r="S74" s="136">
        <v>95.52</v>
      </c>
      <c r="T74" s="136">
        <v>103</v>
      </c>
      <c r="U74" s="136">
        <v>103</v>
      </c>
      <c r="V74" s="136">
        <v>103</v>
      </c>
      <c r="W74" s="72">
        <v>103</v>
      </c>
      <c r="X74" s="72">
        <v>103</v>
      </c>
      <c r="Y74" s="72">
        <v>100</v>
      </c>
      <c r="Z74" s="72">
        <v>100</v>
      </c>
      <c r="AA74" s="72">
        <v>100</v>
      </c>
      <c r="AB74" s="72">
        <v>100</v>
      </c>
      <c r="AC74" s="137">
        <f t="shared" si="24"/>
        <v>1215.58</v>
      </c>
      <c r="AD74" s="136">
        <f t="shared" si="25"/>
        <v>4.4200000000000728</v>
      </c>
      <c r="AE74" s="196">
        <f t="shared" si="26"/>
        <v>3.6361243192550661E-3</v>
      </c>
      <c r="AF74" s="133">
        <v>837.7199999999998</v>
      </c>
      <c r="AG74" s="124">
        <f t="shared" si="17"/>
        <v>-382.2800000000002</v>
      </c>
    </row>
    <row r="75" spans="1:33">
      <c r="A75" s="105" t="s">
        <v>217</v>
      </c>
      <c r="B75" s="105" t="s">
        <v>379</v>
      </c>
      <c r="C75" s="105" t="s">
        <v>218</v>
      </c>
      <c r="D75" s="221">
        <v>0</v>
      </c>
      <c r="E75" s="221">
        <v>0</v>
      </c>
      <c r="F75" s="221">
        <v>0</v>
      </c>
      <c r="G75" s="221">
        <v>0</v>
      </c>
      <c r="H75" s="221">
        <v>0</v>
      </c>
      <c r="I75" s="221">
        <v>0</v>
      </c>
      <c r="J75" s="221">
        <v>0</v>
      </c>
      <c r="K75" s="221">
        <v>0</v>
      </c>
      <c r="L75" s="221">
        <v>0</v>
      </c>
      <c r="M75" s="221">
        <v>100</v>
      </c>
      <c r="N75" s="221">
        <v>100</v>
      </c>
      <c r="O75" s="221">
        <v>100</v>
      </c>
      <c r="P75" s="200">
        <f t="shared" si="23"/>
        <v>300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 t="s">
        <v>526</v>
      </c>
      <c r="Z75" s="72">
        <v>100</v>
      </c>
      <c r="AA75" s="72">
        <v>100</v>
      </c>
      <c r="AB75" s="72">
        <v>100</v>
      </c>
      <c r="AC75" s="137">
        <f t="shared" si="24"/>
        <v>300</v>
      </c>
      <c r="AD75" s="136">
        <f t="shared" si="25"/>
        <v>0</v>
      </c>
      <c r="AE75" s="196">
        <f t="shared" si="26"/>
        <v>0</v>
      </c>
      <c r="AF75" s="133">
        <v>0</v>
      </c>
      <c r="AG75" s="124">
        <f t="shared" si="17"/>
        <v>-300</v>
      </c>
    </row>
    <row r="76" spans="1:33">
      <c r="A76" s="105" t="s">
        <v>219</v>
      </c>
      <c r="B76" s="105" t="s">
        <v>379</v>
      </c>
      <c r="C76" s="105" t="s">
        <v>220</v>
      </c>
      <c r="D76" s="221">
        <v>0</v>
      </c>
      <c r="E76" s="221">
        <v>0</v>
      </c>
      <c r="F76" s="221">
        <v>0</v>
      </c>
      <c r="G76" s="221">
        <v>0</v>
      </c>
      <c r="H76" s="221">
        <v>0</v>
      </c>
      <c r="I76" s="221">
        <v>0</v>
      </c>
      <c r="J76" s="221">
        <v>0</v>
      </c>
      <c r="K76" s="221">
        <v>0</v>
      </c>
      <c r="L76" s="221">
        <v>0</v>
      </c>
      <c r="M76" s="221">
        <v>0</v>
      </c>
      <c r="N76" s="221">
        <v>0</v>
      </c>
      <c r="O76" s="221">
        <v>0</v>
      </c>
      <c r="P76" s="200">
        <f t="shared" si="23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4"/>
        <v>0</v>
      </c>
      <c r="AD76" s="136">
        <f t="shared" si="25"/>
        <v>0</v>
      </c>
      <c r="AE76" s="196" t="e">
        <f t="shared" si="26"/>
        <v>#DIV/0!</v>
      </c>
      <c r="AF76" s="133">
        <v>0</v>
      </c>
      <c r="AG76" s="124">
        <f t="shared" si="17"/>
        <v>0</v>
      </c>
    </row>
    <row r="77" spans="1:33">
      <c r="A77" s="105" t="s">
        <v>273</v>
      </c>
      <c r="C77" s="105" t="s">
        <v>459</v>
      </c>
      <c r="D77" s="221">
        <v>0</v>
      </c>
      <c r="E77" s="221">
        <v>0</v>
      </c>
      <c r="F77" s="221">
        <v>0</v>
      </c>
      <c r="G77" s="221">
        <v>0</v>
      </c>
      <c r="H77" s="221">
        <v>0</v>
      </c>
      <c r="I77" s="221">
        <v>0</v>
      </c>
      <c r="J77" s="221">
        <v>0</v>
      </c>
      <c r="K77" s="221">
        <v>0</v>
      </c>
      <c r="L77" s="221">
        <v>0</v>
      </c>
      <c r="M77" s="221">
        <v>0</v>
      </c>
      <c r="N77" s="221">
        <v>0</v>
      </c>
      <c r="O77" s="221">
        <v>0</v>
      </c>
      <c r="P77" s="200">
        <f t="shared" si="23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4"/>
        <v>0</v>
      </c>
      <c r="AD77" s="136">
        <f t="shared" si="25"/>
        <v>0</v>
      </c>
      <c r="AE77" s="196" t="e">
        <f t="shared" si="26"/>
        <v>#DIV/0!</v>
      </c>
      <c r="AF77" s="133">
        <v>0</v>
      </c>
      <c r="AG77" s="124">
        <f t="shared" si="17"/>
        <v>0</v>
      </c>
    </row>
    <row r="78" spans="1:33">
      <c r="A78" s="105" t="s">
        <v>221</v>
      </c>
      <c r="B78" s="105" t="s">
        <v>379</v>
      </c>
      <c r="C78" s="105" t="s">
        <v>222</v>
      </c>
      <c r="D78" s="221">
        <v>2000</v>
      </c>
      <c r="E78" s="221">
        <v>2000</v>
      </c>
      <c r="F78" s="221">
        <v>2000</v>
      </c>
      <c r="G78" s="221">
        <v>2000</v>
      </c>
      <c r="H78" s="221">
        <v>2000</v>
      </c>
      <c r="I78" s="221">
        <v>0</v>
      </c>
      <c r="J78" s="221">
        <v>2000</v>
      </c>
      <c r="K78" s="221">
        <v>2000</v>
      </c>
      <c r="L78" s="221">
        <v>0</v>
      </c>
      <c r="M78" s="221">
        <v>2000</v>
      </c>
      <c r="N78" s="221">
        <v>2000</v>
      </c>
      <c r="O78" s="221">
        <v>2000</v>
      </c>
      <c r="P78" s="200">
        <f t="shared" si="23"/>
        <v>20000</v>
      </c>
      <c r="Q78" s="136">
        <v>1109.7</v>
      </c>
      <c r="R78" s="136">
        <v>1725.4</v>
      </c>
      <c r="S78" s="136">
        <v>524.03</v>
      </c>
      <c r="T78" s="136">
        <v>4420</v>
      </c>
      <c r="U78" s="136">
        <v>-960.62</v>
      </c>
      <c r="V78" s="136">
        <v>1069.3</v>
      </c>
      <c r="W78" s="72">
        <v>547.70000000000005</v>
      </c>
      <c r="X78" s="72">
        <v>943.2</v>
      </c>
      <c r="Y78" s="72">
        <v>0</v>
      </c>
      <c r="Z78" s="72">
        <v>0</v>
      </c>
      <c r="AA78" s="72">
        <v>1000</v>
      </c>
      <c r="AB78" s="72">
        <v>1000</v>
      </c>
      <c r="AC78" s="137">
        <f t="shared" si="24"/>
        <v>11378.710000000001</v>
      </c>
      <c r="AD78" s="136">
        <f t="shared" si="25"/>
        <v>8621.2899999999991</v>
      </c>
      <c r="AE78" s="196">
        <f t="shared" si="26"/>
        <v>0.75766848790416474</v>
      </c>
      <c r="AF78" s="133">
        <v>20577.919999999998</v>
      </c>
      <c r="AG78" s="124">
        <f t="shared" si="17"/>
        <v>577.91999999999825</v>
      </c>
    </row>
    <row r="79" spans="1:33">
      <c r="A79" s="105" t="s">
        <v>505</v>
      </c>
      <c r="B79" s="105" t="s">
        <v>379</v>
      </c>
      <c r="C79" s="105" t="s">
        <v>506</v>
      </c>
      <c r="D79" s="223">
        <f>SUM('F&amp;B Admin:Main Kichen'!D159)</f>
        <v>97041</v>
      </c>
      <c r="E79" s="223">
        <f>SUM('F&amp;B Admin:Main Kichen'!E159)</f>
        <v>88364</v>
      </c>
      <c r="F79" s="223">
        <f>SUM('F&amp;B Admin:Main Kichen'!F159)</f>
        <v>52865</v>
      </c>
      <c r="G79" s="223">
        <f>SUM('F&amp;B Admin:Main Kichen'!G159)</f>
        <v>44272</v>
      </c>
      <c r="H79" s="223">
        <f>SUM('F&amp;B Admin:Main Kichen'!H159)</f>
        <v>45508</v>
      </c>
      <c r="I79" s="223">
        <f>SUM('F&amp;B Admin:Main Kichen'!I159)</f>
        <v>48312</v>
      </c>
      <c r="J79" s="223">
        <f>SUM('F&amp;B Admin:Main Kichen'!J159)</f>
        <v>55794</v>
      </c>
      <c r="K79" s="223">
        <f>SUM('F&amp;B Admin:Main Kichen'!K159)</f>
        <v>57069</v>
      </c>
      <c r="L79" s="223">
        <f>SUM('F&amp;B Admin:Main Kichen'!L159)</f>
        <v>44896</v>
      </c>
      <c r="M79" s="223">
        <f>SUM('F&amp;B Admin:Main Kichen'!M159)</f>
        <v>45524</v>
      </c>
      <c r="N79" s="223">
        <f>SUM('F&amp;B Admin:Main Kichen'!N159)</f>
        <v>44946</v>
      </c>
      <c r="O79" s="223">
        <f>SUM('F&amp;B Admin:Main Kichen'!O159)</f>
        <v>46161</v>
      </c>
      <c r="P79" s="135">
        <f>SUM(D79:O79)</f>
        <v>670752</v>
      </c>
      <c r="Q79" s="136">
        <v>80328.06</v>
      </c>
      <c r="R79" s="136">
        <v>176508.68</v>
      </c>
      <c r="S79" s="136">
        <v>58433</v>
      </c>
      <c r="T79" s="136">
        <v>78043.92</v>
      </c>
      <c r="U79" s="136">
        <v>36773.18</v>
      </c>
      <c r="V79" s="136">
        <v>33636.199999999997</v>
      </c>
      <c r="W79" s="72">
        <v>43967.05</v>
      </c>
      <c r="X79" s="72">
        <v>42629.8</v>
      </c>
      <c r="Y79" s="72">
        <v>58519</v>
      </c>
      <c r="Z79" s="72">
        <v>64882</v>
      </c>
      <c r="AA79" s="72">
        <v>52633</v>
      </c>
      <c r="AB79" s="72">
        <v>58735</v>
      </c>
      <c r="AC79" s="137">
        <f t="shared" si="24"/>
        <v>785088.89</v>
      </c>
      <c r="AD79" s="136">
        <f t="shared" si="25"/>
        <v>-114336.89000000001</v>
      </c>
      <c r="AE79" s="196">
        <f t="shared" si="26"/>
        <v>-0.14563559802763226</v>
      </c>
      <c r="AF79" s="133">
        <v>798762</v>
      </c>
      <c r="AG79" s="124">
        <f t="shared" si="17"/>
        <v>128010</v>
      </c>
    </row>
    <row r="80" spans="1:33">
      <c r="C80" s="109" t="s">
        <v>507</v>
      </c>
      <c r="D80" s="137">
        <f t="shared" ref="D80:O80" si="28">SUM(D38:D79)</f>
        <v>177798.3</v>
      </c>
      <c r="E80" s="137">
        <f t="shared" si="28"/>
        <v>155731.47999999998</v>
      </c>
      <c r="F80" s="137">
        <f t="shared" si="28"/>
        <v>104250.48</v>
      </c>
      <c r="G80" s="137">
        <f t="shared" si="28"/>
        <v>98999.44</v>
      </c>
      <c r="H80" s="137">
        <f t="shared" si="28"/>
        <v>100656.36</v>
      </c>
      <c r="I80" s="137">
        <f t="shared" si="28"/>
        <v>94718.48</v>
      </c>
      <c r="J80" s="137">
        <f t="shared" si="28"/>
        <v>118580.48</v>
      </c>
      <c r="K80" s="137">
        <f t="shared" si="28"/>
        <v>119903.48</v>
      </c>
      <c r="L80" s="137">
        <f t="shared" si="28"/>
        <v>92059.48</v>
      </c>
      <c r="M80" s="137">
        <f t="shared" si="28"/>
        <v>111399.3</v>
      </c>
      <c r="N80" s="137">
        <f t="shared" si="28"/>
        <v>127000.48</v>
      </c>
      <c r="O80" s="137">
        <f t="shared" si="28"/>
        <v>110186.48</v>
      </c>
      <c r="P80" s="135">
        <f>SUM(P38:P79)</f>
        <v>1411284.24</v>
      </c>
      <c r="Q80" s="137">
        <f t="shared" ref="Q80:AC80" si="29">SUM(Q38:Q79)</f>
        <v>133527.76999999999</v>
      </c>
      <c r="R80" s="137">
        <f t="shared" si="29"/>
        <v>291521.18999999994</v>
      </c>
      <c r="S80" s="137">
        <f t="shared" si="29"/>
        <v>94958.62</v>
      </c>
      <c r="T80" s="137">
        <f t="shared" si="29"/>
        <v>123091.5</v>
      </c>
      <c r="U80" s="137">
        <f t="shared" si="29"/>
        <v>67523.34</v>
      </c>
      <c r="V80" s="137">
        <f t="shared" si="29"/>
        <v>67895.75</v>
      </c>
      <c r="W80" s="137">
        <f t="shared" si="29"/>
        <v>97119.290000000008</v>
      </c>
      <c r="X80" s="137">
        <f t="shared" si="29"/>
        <v>105933.41</v>
      </c>
      <c r="Y80" s="137">
        <f t="shared" si="29"/>
        <v>80756</v>
      </c>
      <c r="Z80" s="137">
        <f t="shared" si="29"/>
        <v>91953</v>
      </c>
      <c r="AA80" s="137">
        <f t="shared" si="29"/>
        <v>110201</v>
      </c>
      <c r="AB80" s="137">
        <f t="shared" si="29"/>
        <v>88362</v>
      </c>
      <c r="AC80" s="137">
        <f t="shared" si="29"/>
        <v>1352842.8699999999</v>
      </c>
      <c r="AD80" s="136">
        <f t="shared" si="25"/>
        <v>58441.370000000112</v>
      </c>
      <c r="AE80" s="196">
        <f t="shared" si="26"/>
        <v>4.3198934108290135E-2</v>
      </c>
      <c r="AF80" s="133">
        <v>1027879.58</v>
      </c>
      <c r="AG80" s="124">
        <f t="shared" si="17"/>
        <v>-383404.66000000003</v>
      </c>
    </row>
    <row r="81" spans="1:33">
      <c r="C81" s="109" t="s">
        <v>508</v>
      </c>
      <c r="D81" s="137">
        <f t="shared" ref="D81:AC81" si="30">D27-D33-D35-D80</f>
        <v>386300.63999999996</v>
      </c>
      <c r="E81" s="137">
        <f t="shared" si="30"/>
        <v>472451.68000000005</v>
      </c>
      <c r="F81" s="137">
        <f t="shared" si="30"/>
        <v>31815.730000000025</v>
      </c>
      <c r="G81" s="137">
        <f t="shared" si="30"/>
        <v>-43719.549999999988</v>
      </c>
      <c r="H81" s="137">
        <f t="shared" si="30"/>
        <v>-50718.780000000013</v>
      </c>
      <c r="I81" s="137">
        <f t="shared" si="30"/>
        <v>-24262.839999999982</v>
      </c>
      <c r="J81" s="137">
        <f t="shared" si="30"/>
        <v>98216.11000000003</v>
      </c>
      <c r="K81" s="137">
        <f t="shared" si="30"/>
        <v>123550.48000000003</v>
      </c>
      <c r="L81" s="137">
        <f t="shared" si="30"/>
        <v>-36654.519999999975</v>
      </c>
      <c r="M81" s="137">
        <f t="shared" si="30"/>
        <v>-93311.39</v>
      </c>
      <c r="N81" s="137">
        <f t="shared" si="30"/>
        <v>-36556.319999999963</v>
      </c>
      <c r="O81" s="137">
        <f t="shared" si="30"/>
        <v>45170.050000000032</v>
      </c>
      <c r="P81" s="135">
        <f t="shared" si="30"/>
        <v>872281.2899999998</v>
      </c>
      <c r="Q81" s="137">
        <f t="shared" si="30"/>
        <v>132053.44999999998</v>
      </c>
      <c r="R81" s="137">
        <f t="shared" si="30"/>
        <v>908027.13000000035</v>
      </c>
      <c r="S81" s="137">
        <f t="shared" si="30"/>
        <v>58560.749999999942</v>
      </c>
      <c r="T81" s="137">
        <f t="shared" si="30"/>
        <v>117668.64999999991</v>
      </c>
      <c r="U81" s="137">
        <f t="shared" si="30"/>
        <v>58198.139999999985</v>
      </c>
      <c r="V81" s="137">
        <f t="shared" si="30"/>
        <v>-65454.889999999927</v>
      </c>
      <c r="W81" s="137">
        <f t="shared" si="30"/>
        <v>41758.999999999971</v>
      </c>
      <c r="X81" s="137">
        <f t="shared" si="30"/>
        <v>31849.989999999932</v>
      </c>
      <c r="Y81" s="137">
        <f t="shared" si="30"/>
        <v>-30958.169999999984</v>
      </c>
      <c r="Z81" s="137">
        <f t="shared" si="30"/>
        <v>38549.830000000016</v>
      </c>
      <c r="AA81" s="137">
        <f t="shared" si="30"/>
        <v>455.8300000000163</v>
      </c>
      <c r="AB81" s="137">
        <f t="shared" si="30"/>
        <v>120068.83000000002</v>
      </c>
      <c r="AC81" s="137">
        <f t="shared" si="30"/>
        <v>1410778.5400000007</v>
      </c>
      <c r="AD81" s="136">
        <f t="shared" si="25"/>
        <v>-538497.25000000093</v>
      </c>
      <c r="AE81" s="196">
        <f t="shared" si="26"/>
        <v>-0.38170218410041923</v>
      </c>
      <c r="AF81" s="133">
        <v>1468571.5699999975</v>
      </c>
      <c r="AG81" s="124">
        <f>P81-AF81</f>
        <v>-596290.2799999977</v>
      </c>
    </row>
    <row r="82" spans="1:33">
      <c r="C82" s="109" t="s">
        <v>509</v>
      </c>
      <c r="D82" s="213">
        <f t="shared" ref="D82:AC82" si="31">D81/D27</f>
        <v>0.34763025089089661</v>
      </c>
      <c r="E82" s="213">
        <f t="shared" si="31"/>
        <v>0.42039051822323464</v>
      </c>
      <c r="F82" s="213">
        <f t="shared" si="31"/>
        <v>7.2545900218898271E-2</v>
      </c>
      <c r="G82" s="213">
        <f t="shared" si="31"/>
        <v>-0.12828506455399058</v>
      </c>
      <c r="H82" s="213">
        <f t="shared" si="31"/>
        <v>-0.14747260990928127</v>
      </c>
      <c r="I82" s="213">
        <f t="shared" si="31"/>
        <v>-6.8678781702898498E-2</v>
      </c>
      <c r="J82" s="213">
        <f t="shared" si="31"/>
        <v>0.17764453407611061</v>
      </c>
      <c r="K82" s="213">
        <f t="shared" si="31"/>
        <v>0.20966345370621781</v>
      </c>
      <c r="L82" s="213">
        <f t="shared" si="31"/>
        <v>-0.11076550223618994</v>
      </c>
      <c r="M82" s="213">
        <f t="shared" si="31"/>
        <v>-0.27220358809801631</v>
      </c>
      <c r="N82" s="213">
        <f t="shared" si="31"/>
        <v>-9.5617074701820362E-2</v>
      </c>
      <c r="O82" s="213">
        <f t="shared" si="31"/>
        <v>9.5545414163634892E-2</v>
      </c>
      <c r="P82" s="213">
        <f t="shared" si="31"/>
        <v>0.13666551092031456</v>
      </c>
      <c r="Q82" s="213">
        <f t="shared" si="31"/>
        <v>0.18728768648182442</v>
      </c>
      <c r="R82" s="213">
        <f t="shared" si="31"/>
        <v>0.44819434409457937</v>
      </c>
      <c r="S82" s="213">
        <f t="shared" si="31"/>
        <v>0.12576133111510013</v>
      </c>
      <c r="T82" s="213">
        <f t="shared" si="31"/>
        <v>0.20318229919459133</v>
      </c>
      <c r="U82" s="213">
        <f t="shared" si="31"/>
        <v>0.15201821602123639</v>
      </c>
      <c r="V82" s="213">
        <f t="shared" si="31"/>
        <v>-0.24271995580416467</v>
      </c>
      <c r="W82" s="213">
        <f t="shared" si="31"/>
        <v>9.4932352827175159E-2</v>
      </c>
      <c r="X82" s="213">
        <f t="shared" si="31"/>
        <v>6.7866217892902939E-2</v>
      </c>
      <c r="Y82" s="213">
        <f t="shared" si="31"/>
        <v>-8.945870814682956E-2</v>
      </c>
      <c r="Z82" s="213">
        <f t="shared" si="31"/>
        <v>7.8576265175171855E-2</v>
      </c>
      <c r="AA82" s="213">
        <f t="shared" si="31"/>
        <v>1.1042393410853107E-3</v>
      </c>
      <c r="AB82" s="213">
        <f t="shared" si="31"/>
        <v>0.22076670613673807</v>
      </c>
      <c r="AC82" s="213">
        <f t="shared" si="31"/>
        <v>0.19784122185669151</v>
      </c>
      <c r="AD82" s="136">
        <f t="shared" si="25"/>
        <v>-6.1175710936376942E-2</v>
      </c>
      <c r="AE82" s="105">
        <f t="shared" si="26"/>
        <v>-0.30921620055849763</v>
      </c>
      <c r="AF82" s="133">
        <v>0.19566083338950035</v>
      </c>
      <c r="AG82" s="124">
        <f>P82-AF82</f>
        <v>-5.899532246918579E-2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>
        <f>P87/'Rooms+Summary'!Q52</f>
        <v>7.0688363281636579E-2</v>
      </c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214">
        <f>AC87/'Rooms+Summary'!AD52</f>
        <v>7.5710354960734833E-2</v>
      </c>
      <c r="AD84" s="136"/>
      <c r="AF84" s="133"/>
      <c r="AG84" s="123"/>
    </row>
    <row r="85" spans="1:33">
      <c r="A85" s="105" t="s">
        <v>510</v>
      </c>
      <c r="B85" s="105" t="s">
        <v>379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1</v>
      </c>
      <c r="W85" s="72">
        <v>0</v>
      </c>
      <c r="X85" s="72">
        <v>-1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136">
        <f t="shared" ref="AD85:AD90" si="32">P85-AC85</f>
        <v>0</v>
      </c>
      <c r="AE85" s="196" t="e">
        <f t="shared" ref="AE85:AE90" si="33">AD85/AC85</f>
        <v>#DIV/0!</v>
      </c>
      <c r="AF85" s="133">
        <v>7959</v>
      </c>
      <c r="AG85" s="124">
        <f t="shared" ref="AG85:AG98" si="34">P85-AF85</f>
        <v>-7959</v>
      </c>
    </row>
    <row r="86" spans="1:33">
      <c r="A86" s="105" t="s">
        <v>511</v>
      </c>
      <c r="B86" s="105" t="s">
        <v>379</v>
      </c>
      <c r="C86" s="105" t="s">
        <v>483</v>
      </c>
      <c r="D86" s="136">
        <v>1500</v>
      </c>
      <c r="E86" s="136">
        <v>1300</v>
      </c>
      <c r="F86" s="136">
        <v>1200</v>
      </c>
      <c r="G86" s="136">
        <v>1000</v>
      </c>
      <c r="H86" s="136">
        <v>1020</v>
      </c>
      <c r="I86" s="136">
        <v>1080</v>
      </c>
      <c r="J86" s="136">
        <v>1600</v>
      </c>
      <c r="K86" s="136">
        <v>1700</v>
      </c>
      <c r="L86" s="136">
        <v>1050</v>
      </c>
      <c r="M86" s="136">
        <v>1000</v>
      </c>
      <c r="N86" s="136">
        <v>1000</v>
      </c>
      <c r="O86" s="136">
        <v>1200</v>
      </c>
      <c r="P86" s="137">
        <f>SUM(D86:O86)</f>
        <v>14650</v>
      </c>
      <c r="Q86" s="136">
        <v>1241</v>
      </c>
      <c r="R86" s="136">
        <v>1504</v>
      </c>
      <c r="S86" s="136">
        <v>1211</v>
      </c>
      <c r="T86" s="136">
        <v>1396</v>
      </c>
      <c r="U86" s="136">
        <v>1064</v>
      </c>
      <c r="V86" s="136">
        <v>752</v>
      </c>
      <c r="W86" s="72">
        <v>1423</v>
      </c>
      <c r="X86" s="72">
        <v>1569</v>
      </c>
      <c r="Y86" s="72">
        <v>900</v>
      </c>
      <c r="Z86" s="72">
        <v>1200</v>
      </c>
      <c r="AA86" s="72">
        <v>1000</v>
      </c>
      <c r="AB86" s="72">
        <v>1300</v>
      </c>
      <c r="AC86" s="137">
        <f>SUM(Q86:AB86)</f>
        <v>14560</v>
      </c>
      <c r="AD86" s="136">
        <f t="shared" si="32"/>
        <v>90</v>
      </c>
      <c r="AE86" s="196">
        <f t="shared" si="33"/>
        <v>6.181318681318681E-3</v>
      </c>
      <c r="AF86" s="133">
        <v>14144</v>
      </c>
      <c r="AG86" s="124">
        <f t="shared" si="34"/>
        <v>506</v>
      </c>
    </row>
    <row r="87" spans="1:33">
      <c r="A87" s="105" t="s">
        <v>512</v>
      </c>
      <c r="B87" s="105" t="s">
        <v>379</v>
      </c>
      <c r="C87" s="105" t="s">
        <v>485</v>
      </c>
      <c r="D87" s="136">
        <v>1800</v>
      </c>
      <c r="E87" s="136">
        <v>1600</v>
      </c>
      <c r="F87" s="136">
        <v>1300</v>
      </c>
      <c r="G87" s="136">
        <v>1000</v>
      </c>
      <c r="H87" s="136">
        <v>1000</v>
      </c>
      <c r="I87" s="136">
        <v>1000</v>
      </c>
      <c r="J87" s="136">
        <v>1400</v>
      </c>
      <c r="K87" s="136">
        <v>1500</v>
      </c>
      <c r="L87" s="136">
        <v>900</v>
      </c>
      <c r="M87" s="136">
        <v>1000</v>
      </c>
      <c r="N87" s="136">
        <v>1100</v>
      </c>
      <c r="O87" s="136">
        <v>1400</v>
      </c>
      <c r="P87" s="137">
        <f>SUM(D87:O87)</f>
        <v>15000</v>
      </c>
      <c r="Q87" s="136">
        <v>1487</v>
      </c>
      <c r="R87" s="136">
        <v>2162</v>
      </c>
      <c r="S87" s="136">
        <v>1222</v>
      </c>
      <c r="T87" s="136">
        <v>1667</v>
      </c>
      <c r="U87" s="136">
        <v>1189</v>
      </c>
      <c r="V87" s="136">
        <v>1127</v>
      </c>
      <c r="W87" s="72">
        <v>1529</v>
      </c>
      <c r="X87" s="72">
        <v>1712</v>
      </c>
      <c r="Y87" s="72">
        <v>900</v>
      </c>
      <c r="Z87" s="72">
        <v>1300</v>
      </c>
      <c r="AA87" s="72">
        <v>1000</v>
      </c>
      <c r="AB87" s="72">
        <v>1297</v>
      </c>
      <c r="AC87" s="137">
        <f>SUM(Q87:AB87)</f>
        <v>16592</v>
      </c>
      <c r="AD87" s="136">
        <f t="shared" si="32"/>
        <v>-1592</v>
      </c>
      <c r="AE87" s="196">
        <f t="shared" si="33"/>
        <v>-9.5949855351976851E-2</v>
      </c>
      <c r="AF87" s="133">
        <v>13993</v>
      </c>
      <c r="AG87" s="124">
        <f t="shared" si="34"/>
        <v>1007</v>
      </c>
    </row>
    <row r="88" spans="1:33">
      <c r="A88" s="105" t="s">
        <v>513</v>
      </c>
      <c r="B88" s="105" t="s">
        <v>379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136">
        <f t="shared" si="32"/>
        <v>0</v>
      </c>
      <c r="AE88" s="196" t="e">
        <f t="shared" si="33"/>
        <v>#DIV/0!</v>
      </c>
      <c r="AF88" s="133">
        <v>55</v>
      </c>
      <c r="AG88" s="124">
        <f t="shared" si="34"/>
        <v>-55</v>
      </c>
    </row>
    <row r="89" spans="1:33">
      <c r="A89" s="105" t="s">
        <v>514</v>
      </c>
      <c r="B89" s="105" t="s">
        <v>379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136">
        <f t="shared" si="32"/>
        <v>0</v>
      </c>
      <c r="AE89" s="196" t="e">
        <f t="shared" si="33"/>
        <v>#DIV/0!</v>
      </c>
      <c r="AF89" s="133">
        <v>0</v>
      </c>
      <c r="AG89" s="124">
        <f t="shared" si="34"/>
        <v>0</v>
      </c>
    </row>
    <row r="90" spans="1:33">
      <c r="C90" s="109" t="s">
        <v>462</v>
      </c>
      <c r="D90" s="137">
        <f t="shared" ref="D90:AC90" si="35">SUM(D85:D89)</f>
        <v>3300</v>
      </c>
      <c r="E90" s="137">
        <f t="shared" si="35"/>
        <v>2900</v>
      </c>
      <c r="F90" s="137">
        <f t="shared" si="35"/>
        <v>2500</v>
      </c>
      <c r="G90" s="137">
        <f t="shared" si="35"/>
        <v>2000</v>
      </c>
      <c r="H90" s="137">
        <f t="shared" si="35"/>
        <v>2020</v>
      </c>
      <c r="I90" s="137">
        <f t="shared" si="35"/>
        <v>2080</v>
      </c>
      <c r="J90" s="137">
        <f t="shared" si="35"/>
        <v>3000</v>
      </c>
      <c r="K90" s="137">
        <f t="shared" si="35"/>
        <v>3200</v>
      </c>
      <c r="L90" s="137">
        <f t="shared" si="35"/>
        <v>1950</v>
      </c>
      <c r="M90" s="137">
        <f t="shared" si="35"/>
        <v>2000</v>
      </c>
      <c r="N90" s="137">
        <f t="shared" si="35"/>
        <v>2100</v>
      </c>
      <c r="O90" s="137">
        <f t="shared" si="35"/>
        <v>2600</v>
      </c>
      <c r="P90" s="137">
        <f t="shared" si="35"/>
        <v>29650</v>
      </c>
      <c r="Q90" s="137">
        <f t="shared" si="35"/>
        <v>2728</v>
      </c>
      <c r="R90" s="137">
        <f t="shared" si="35"/>
        <v>3666</v>
      </c>
      <c r="S90" s="137">
        <f t="shared" si="35"/>
        <v>2433</v>
      </c>
      <c r="T90" s="137">
        <f t="shared" si="35"/>
        <v>3063</v>
      </c>
      <c r="U90" s="137">
        <f t="shared" si="35"/>
        <v>2253</v>
      </c>
      <c r="V90" s="137">
        <f t="shared" si="35"/>
        <v>1880</v>
      </c>
      <c r="W90" s="137">
        <f t="shared" si="35"/>
        <v>2952</v>
      </c>
      <c r="X90" s="137">
        <f t="shared" si="35"/>
        <v>3280</v>
      </c>
      <c r="Y90" s="137">
        <f t="shared" si="35"/>
        <v>1800</v>
      </c>
      <c r="Z90" s="137">
        <f t="shared" si="35"/>
        <v>2500</v>
      </c>
      <c r="AA90" s="137">
        <f t="shared" si="35"/>
        <v>2000</v>
      </c>
      <c r="AB90" s="137">
        <f t="shared" si="35"/>
        <v>2597</v>
      </c>
      <c r="AC90" s="137">
        <f t="shared" si="35"/>
        <v>31152</v>
      </c>
      <c r="AD90" s="136">
        <f t="shared" si="32"/>
        <v>-1502</v>
      </c>
      <c r="AE90" s="196">
        <f t="shared" si="33"/>
        <v>-4.8215202876219825E-2</v>
      </c>
      <c r="AF90" s="133">
        <v>36151</v>
      </c>
      <c r="AG90" s="124">
        <f t="shared" si="34"/>
        <v>-6501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4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4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6">P9/P85</f>
        <v>#DIV/0!</v>
      </c>
      <c r="Q93" s="136" t="e">
        <f t="shared" si="36"/>
        <v>#DIV/0!</v>
      </c>
      <c r="R93" s="136" t="e">
        <f t="shared" si="36"/>
        <v>#DIV/0!</v>
      </c>
      <c r="S93" s="136" t="e">
        <f t="shared" si="36"/>
        <v>#DIV/0!</v>
      </c>
      <c r="T93" s="136" t="e">
        <f t="shared" si="36"/>
        <v>#DIV/0!</v>
      </c>
      <c r="U93" s="136" t="e">
        <f t="shared" si="36"/>
        <v>#DIV/0!</v>
      </c>
      <c r="V93" s="136">
        <f t="shared" si="36"/>
        <v>41.2</v>
      </c>
      <c r="W93" s="72" t="e">
        <v>#DIV/0!</v>
      </c>
      <c r="X93" s="72">
        <v>41.2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7">AC9/AC85</f>
        <v>#DIV/0!</v>
      </c>
      <c r="AD93" s="136" t="e">
        <f t="shared" ref="AD93:AD98" si="38">P93-AC93</f>
        <v>#DIV/0!</v>
      </c>
      <c r="AE93" s="196" t="e">
        <f t="shared" ref="AE93:AE98" si="39">AD93/AC93</f>
        <v>#DIV/0!</v>
      </c>
      <c r="AF93" s="133">
        <v>100.51398793818318</v>
      </c>
      <c r="AG93" s="124" t="e">
        <f t="shared" si="34"/>
        <v>#DIV/0!</v>
      </c>
    </row>
    <row r="94" spans="1:33">
      <c r="C94" s="105" t="s">
        <v>483</v>
      </c>
      <c r="D94" s="136">
        <v>200</v>
      </c>
      <c r="E94" s="136">
        <v>260</v>
      </c>
      <c r="F94" s="136">
        <v>150</v>
      </c>
      <c r="G94" s="136">
        <v>150</v>
      </c>
      <c r="H94" s="136">
        <v>150</v>
      </c>
      <c r="I94" s="136">
        <v>150</v>
      </c>
      <c r="J94" s="136">
        <v>160</v>
      </c>
      <c r="K94" s="136">
        <v>160</v>
      </c>
      <c r="L94" s="136">
        <v>150</v>
      </c>
      <c r="M94" s="136">
        <v>150</v>
      </c>
      <c r="N94" s="136">
        <v>160</v>
      </c>
      <c r="O94" s="136">
        <v>160</v>
      </c>
      <c r="P94" s="137">
        <f t="shared" si="36"/>
        <v>168.63481228668942</v>
      </c>
      <c r="Q94" s="136">
        <f t="shared" si="36"/>
        <v>212.68710717163577</v>
      </c>
      <c r="R94" s="136">
        <f t="shared" si="36"/>
        <v>405.16110372340427</v>
      </c>
      <c r="S94" s="136">
        <f t="shared" si="36"/>
        <v>169.77043765483072</v>
      </c>
      <c r="T94" s="136">
        <f t="shared" si="36"/>
        <v>161.00128939828079</v>
      </c>
      <c r="U94" s="136">
        <f t="shared" si="36"/>
        <v>154.61260338345863</v>
      </c>
      <c r="V94" s="136">
        <f t="shared" si="36"/>
        <v>121.64109042553193</v>
      </c>
      <c r="W94" s="72">
        <v>127.66929023190443</v>
      </c>
      <c r="X94" s="72">
        <v>118.71007010834927</v>
      </c>
      <c r="Y94" s="72">
        <v>160</v>
      </c>
      <c r="Z94" s="72">
        <v>172</v>
      </c>
      <c r="AA94" s="72">
        <v>180</v>
      </c>
      <c r="AB94" s="72">
        <v>180</v>
      </c>
      <c r="AC94" s="137">
        <f t="shared" si="37"/>
        <v>184.88792651098902</v>
      </c>
      <c r="AD94" s="136">
        <f t="shared" si="38"/>
        <v>-16.253114224299594</v>
      </c>
      <c r="AE94" s="196">
        <f t="shared" si="39"/>
        <v>-8.7907926336842621E-2</v>
      </c>
      <c r="AF94" s="133">
        <v>197.66930288461535</v>
      </c>
      <c r="AG94" s="124">
        <f t="shared" si="34"/>
        <v>-29.034490597925924</v>
      </c>
    </row>
    <row r="95" spans="1:33">
      <c r="C95" s="105" t="s">
        <v>485</v>
      </c>
      <c r="D95" s="136">
        <v>420</v>
      </c>
      <c r="E95" s="136">
        <v>380</v>
      </c>
      <c r="F95" s="136">
        <v>180</v>
      </c>
      <c r="G95" s="136">
        <v>170</v>
      </c>
      <c r="H95" s="136">
        <v>170</v>
      </c>
      <c r="I95" s="136">
        <v>170</v>
      </c>
      <c r="J95" s="136">
        <v>190</v>
      </c>
      <c r="K95" s="136">
        <v>190</v>
      </c>
      <c r="L95" s="136">
        <v>170</v>
      </c>
      <c r="M95" s="136">
        <v>170</v>
      </c>
      <c r="N95" s="136">
        <v>180</v>
      </c>
      <c r="O95" s="136">
        <v>180</v>
      </c>
      <c r="P95" s="137">
        <f t="shared" si="36"/>
        <v>228.8</v>
      </c>
      <c r="Q95" s="136">
        <f t="shared" si="36"/>
        <v>256.208984532616</v>
      </c>
      <c r="R95" s="136">
        <f t="shared" si="36"/>
        <v>512.91225716928773</v>
      </c>
      <c r="S95" s="136">
        <f t="shared" si="36"/>
        <v>186.10596563011455</v>
      </c>
      <c r="T95" s="136">
        <f t="shared" si="36"/>
        <v>189.95707858428315</v>
      </c>
      <c r="U95" s="136">
        <f t="shared" si="36"/>
        <v>161.77006728343144</v>
      </c>
      <c r="V95" s="136">
        <f t="shared" si="36"/>
        <v>142.6885270629991</v>
      </c>
      <c r="W95" s="72">
        <v>149.15863309352517</v>
      </c>
      <c r="X95" s="72">
        <v>149.47804322429906</v>
      </c>
      <c r="Y95" s="72">
        <v>190</v>
      </c>
      <c r="Z95" s="72">
        <v>190</v>
      </c>
      <c r="AA95" s="72">
        <v>200</v>
      </c>
      <c r="AB95" s="72">
        <v>200</v>
      </c>
      <c r="AC95" s="137">
        <f t="shared" si="37"/>
        <v>225.92234450337511</v>
      </c>
      <c r="AD95" s="136">
        <f t="shared" si="38"/>
        <v>2.8776554966248966</v>
      </c>
      <c r="AE95" s="196">
        <f t="shared" si="39"/>
        <v>1.273736558882916E-2</v>
      </c>
      <c r="AF95" s="133">
        <v>221.47744157793181</v>
      </c>
      <c r="AG95" s="124">
        <f t="shared" si="34"/>
        <v>7.3225584220681981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6"/>
        <v>#DIV/0!</v>
      </c>
      <c r="Q96" s="136" t="e">
        <f t="shared" si="36"/>
        <v>#DIV/0!</v>
      </c>
      <c r="R96" s="136" t="e">
        <f t="shared" si="36"/>
        <v>#DIV/0!</v>
      </c>
      <c r="S96" s="136" t="e">
        <f t="shared" si="36"/>
        <v>#DIV/0!</v>
      </c>
      <c r="T96" s="136" t="e">
        <f t="shared" si="36"/>
        <v>#DIV/0!</v>
      </c>
      <c r="U96" s="136" t="e">
        <f t="shared" si="36"/>
        <v>#DIV/0!</v>
      </c>
      <c r="V96" s="136" t="e">
        <f t="shared" si="36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7"/>
        <v>#DIV/0!</v>
      </c>
      <c r="AD96" s="136" t="e">
        <f t="shared" si="38"/>
        <v>#DIV/0!</v>
      </c>
      <c r="AE96" s="196" t="e">
        <f t="shared" si="39"/>
        <v>#DIV/0!</v>
      </c>
      <c r="AF96" s="133">
        <v>0</v>
      </c>
      <c r="AG96" s="124" t="e">
        <f t="shared" si="34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6"/>
        <v>#DIV/0!</v>
      </c>
      <c r="Q97" s="136" t="e">
        <f t="shared" si="36"/>
        <v>#DIV/0!</v>
      </c>
      <c r="R97" s="136" t="e">
        <f t="shared" si="36"/>
        <v>#DIV/0!</v>
      </c>
      <c r="S97" s="136" t="e">
        <f t="shared" si="36"/>
        <v>#DIV/0!</v>
      </c>
      <c r="T97" s="136" t="e">
        <f t="shared" si="36"/>
        <v>#DIV/0!</v>
      </c>
      <c r="U97" s="136" t="e">
        <f t="shared" si="36"/>
        <v>#DIV/0!</v>
      </c>
      <c r="V97" s="136" t="e">
        <f t="shared" si="36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7"/>
        <v>#DIV/0!</v>
      </c>
      <c r="AD97" s="136" t="e">
        <f t="shared" si="38"/>
        <v>#DIV/0!</v>
      </c>
      <c r="AE97" s="196" t="e">
        <f t="shared" si="39"/>
        <v>#DIV/0!</v>
      </c>
      <c r="AF97" s="133" t="e">
        <v>#DIV/0!</v>
      </c>
      <c r="AG97" s="124" t="e">
        <f t="shared" si="34"/>
        <v>#DIV/0!</v>
      </c>
    </row>
    <row r="98" spans="1:33" s="109" customFormat="1">
      <c r="C98" s="109" t="s">
        <v>463</v>
      </c>
      <c r="D98" s="137">
        <f t="shared" ref="D98:O98" si="40">D14/D90</f>
        <v>320</v>
      </c>
      <c r="E98" s="137">
        <f t="shared" si="40"/>
        <v>326.20689655172413</v>
      </c>
      <c r="F98" s="137">
        <f t="shared" si="40"/>
        <v>165.6</v>
      </c>
      <c r="G98" s="137">
        <f t="shared" si="40"/>
        <v>160</v>
      </c>
      <c r="H98" s="137">
        <f t="shared" si="40"/>
        <v>159.9009900990099</v>
      </c>
      <c r="I98" s="137">
        <f t="shared" si="40"/>
        <v>159.61538461538461</v>
      </c>
      <c r="J98" s="137">
        <f t="shared" si="40"/>
        <v>174</v>
      </c>
      <c r="K98" s="137">
        <f t="shared" si="40"/>
        <v>174.0625</v>
      </c>
      <c r="L98" s="137">
        <f t="shared" si="40"/>
        <v>159.23076923076923</v>
      </c>
      <c r="M98" s="137">
        <f t="shared" si="40"/>
        <v>160</v>
      </c>
      <c r="N98" s="137">
        <f t="shared" si="40"/>
        <v>170.47619047619048</v>
      </c>
      <c r="O98" s="137">
        <f t="shared" si="40"/>
        <v>170.76923076923077</v>
      </c>
      <c r="P98" s="137">
        <f t="shared" si="36"/>
        <v>199.07251264755482</v>
      </c>
      <c r="Q98" s="137">
        <f t="shared" si="36"/>
        <v>236.41035923753665</v>
      </c>
      <c r="R98" s="137">
        <f t="shared" si="36"/>
        <v>468.70665575559195</v>
      </c>
      <c r="S98" s="137">
        <f t="shared" si="36"/>
        <v>177.97512946979037</v>
      </c>
      <c r="T98" s="137">
        <f t="shared" si="36"/>
        <v>176.76012079660464</v>
      </c>
      <c r="U98" s="137">
        <f t="shared" si="36"/>
        <v>158.38988903683978</v>
      </c>
      <c r="V98" s="137">
        <f t="shared" si="36"/>
        <v>134.21556914893617</v>
      </c>
      <c r="W98" s="137">
        <f t="shared" si="36"/>
        <v>138.79977981029808</v>
      </c>
      <c r="X98" s="137">
        <f t="shared" si="36"/>
        <v>134.79308231707316</v>
      </c>
      <c r="Y98" s="137">
        <f t="shared" si="36"/>
        <v>175</v>
      </c>
      <c r="Z98" s="137">
        <f t="shared" si="36"/>
        <v>181.36</v>
      </c>
      <c r="AA98" s="137">
        <f t="shared" si="36"/>
        <v>190</v>
      </c>
      <c r="AB98" s="137">
        <f t="shared" si="36"/>
        <v>189.98844820947247</v>
      </c>
      <c r="AC98" s="137">
        <f t="shared" si="37"/>
        <v>206.74344343862353</v>
      </c>
      <c r="AD98" s="137">
        <f t="shared" si="38"/>
        <v>-7.670930791068713</v>
      </c>
      <c r="AE98" s="139">
        <f t="shared" si="39"/>
        <v>-3.7103623038696278E-2</v>
      </c>
      <c r="AF98" s="133">
        <v>185.19430416862602</v>
      </c>
      <c r="AG98" s="129">
        <f t="shared" si="34"/>
        <v>13.878208478928798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379</v>
      </c>
      <c r="C102" s="105" t="s">
        <v>250</v>
      </c>
      <c r="D102" s="215">
        <v>38574.959999999999</v>
      </c>
      <c r="E102" s="136">
        <v>38574.959999999999</v>
      </c>
      <c r="F102" s="136">
        <v>38574.959999999999</v>
      </c>
      <c r="G102" s="136">
        <v>38574.959999999999</v>
      </c>
      <c r="H102" s="136">
        <v>38574.959999999999</v>
      </c>
      <c r="I102" s="136">
        <v>38574.959999999999</v>
      </c>
      <c r="J102" s="136">
        <v>38574.959999999999</v>
      </c>
      <c r="K102" s="136">
        <v>38574.959999999999</v>
      </c>
      <c r="L102" s="136">
        <v>38574.959999999999</v>
      </c>
      <c r="M102" s="136">
        <v>38574.959999999999</v>
      </c>
      <c r="N102" s="136">
        <v>38574.959999999999</v>
      </c>
      <c r="O102" s="136">
        <v>38574.959999999999</v>
      </c>
      <c r="P102" s="135">
        <f>SUM(D102:O102)</f>
        <v>462899.52000000008</v>
      </c>
      <c r="Q102" s="136">
        <v>38768</v>
      </c>
      <c r="R102" s="136">
        <v>38768</v>
      </c>
      <c r="S102" s="136">
        <v>38768</v>
      </c>
      <c r="T102" s="136">
        <v>38768</v>
      </c>
      <c r="U102" s="136">
        <v>36009.379999999997</v>
      </c>
      <c r="V102" s="136">
        <v>38528.92</v>
      </c>
      <c r="W102" s="72">
        <v>39768</v>
      </c>
      <c r="X102" s="72">
        <v>39768</v>
      </c>
      <c r="Y102" s="72">
        <v>38768</v>
      </c>
      <c r="Z102" s="72">
        <v>38768</v>
      </c>
      <c r="AA102" s="72">
        <v>38768</v>
      </c>
      <c r="AB102" s="72">
        <v>38768</v>
      </c>
      <c r="AC102" s="137">
        <f>SUM(Q102:AB102)</f>
        <v>464218.3</v>
      </c>
      <c r="AD102" s="136">
        <f t="shared" ref="AD102:AD105" si="41">P102-AC102</f>
        <v>-1318.7799999999115</v>
      </c>
      <c r="AE102" s="196">
        <f t="shared" ref="AE102:AE105" si="42">AD102/AC102</f>
        <v>-2.8408617238913493E-3</v>
      </c>
      <c r="AF102" s="133">
        <v>746470.57</v>
      </c>
      <c r="AG102" s="124">
        <f t="shared" ref="AG102:AG136" si="43">AF102-P102</f>
        <v>283571.04999999987</v>
      </c>
    </row>
    <row r="103" spans="1:33">
      <c r="A103" s="105" t="s">
        <v>251</v>
      </c>
      <c r="B103" s="105" t="s">
        <v>527</v>
      </c>
      <c r="C103" s="105" t="s">
        <v>468</v>
      </c>
      <c r="D103" s="215">
        <v>15488</v>
      </c>
      <c r="E103" s="136">
        <v>15488</v>
      </c>
      <c r="F103" s="136">
        <v>16262.4</v>
      </c>
      <c r="G103" s="136">
        <v>16262.4</v>
      </c>
      <c r="H103" s="136">
        <v>16262.4</v>
      </c>
      <c r="I103" s="136">
        <v>16262.4</v>
      </c>
      <c r="J103" s="136">
        <v>16262.4</v>
      </c>
      <c r="K103" s="136">
        <v>16262.4</v>
      </c>
      <c r="L103" s="136">
        <v>16262.4</v>
      </c>
      <c r="M103" s="136">
        <v>16262.4</v>
      </c>
      <c r="N103" s="136">
        <v>16262.4</v>
      </c>
      <c r="O103" s="136">
        <v>16262.4</v>
      </c>
      <c r="P103" s="135">
        <f>SUM(D103:O103)</f>
        <v>193599.99999999997</v>
      </c>
      <c r="Q103" s="136">
        <v>20800</v>
      </c>
      <c r="R103" s="136">
        <v>13500</v>
      </c>
      <c r="S103" s="136">
        <v>13500</v>
      </c>
      <c r="T103" s="136">
        <v>13500</v>
      </c>
      <c r="U103" s="136">
        <v>8978.9599999999991</v>
      </c>
      <c r="V103" s="136">
        <v>10160.92</v>
      </c>
      <c r="W103" s="72">
        <v>10445.98</v>
      </c>
      <c r="X103" s="72">
        <v>13300</v>
      </c>
      <c r="Y103" s="72">
        <v>20800</v>
      </c>
      <c r="Z103" s="72">
        <v>20800</v>
      </c>
      <c r="AA103" s="72">
        <v>20800</v>
      </c>
      <c r="AB103" s="72">
        <v>20800</v>
      </c>
      <c r="AC103" s="137">
        <f>SUM(Q103:AB103)</f>
        <v>187385.86</v>
      </c>
      <c r="AD103" s="136">
        <f t="shared" si="41"/>
        <v>6214.1399999999849</v>
      </c>
      <c r="AE103" s="196">
        <f t="shared" si="42"/>
        <v>3.3162267419750806E-2</v>
      </c>
      <c r="AF103" s="133">
        <v>228540.31000000003</v>
      </c>
      <c r="AG103" s="124">
        <f t="shared" si="43"/>
        <v>34940.310000000056</v>
      </c>
    </row>
    <row r="104" spans="1:33">
      <c r="A104" s="105" t="s">
        <v>251</v>
      </c>
      <c r="B104" s="105" t="s">
        <v>528</v>
      </c>
      <c r="C104" s="105" t="s">
        <v>470</v>
      </c>
      <c r="D104" s="215">
        <v>29575</v>
      </c>
      <c r="E104" s="136">
        <v>29575</v>
      </c>
      <c r="F104" s="136">
        <v>29575</v>
      </c>
      <c r="G104" s="136">
        <v>29575</v>
      </c>
      <c r="H104" s="136">
        <v>29575</v>
      </c>
      <c r="I104" s="136">
        <v>29575</v>
      </c>
      <c r="J104" s="136">
        <v>29575</v>
      </c>
      <c r="K104" s="136">
        <v>29575</v>
      </c>
      <c r="L104" s="136">
        <v>29575</v>
      </c>
      <c r="M104" s="136">
        <v>29575</v>
      </c>
      <c r="N104" s="136">
        <v>29575</v>
      </c>
      <c r="O104" s="136">
        <v>29575</v>
      </c>
      <c r="P104" s="135">
        <f>SUM(D104:O104)</f>
        <v>354900</v>
      </c>
      <c r="Q104" s="136">
        <v>36500</v>
      </c>
      <c r="R104" s="136">
        <v>34281.03</v>
      </c>
      <c r="S104" s="136">
        <v>31515.51</v>
      </c>
      <c r="T104" s="136">
        <v>28700</v>
      </c>
      <c r="U104" s="136">
        <v>22300</v>
      </c>
      <c r="V104" s="136">
        <v>40044.83</v>
      </c>
      <c r="W104" s="72">
        <v>35148.28</v>
      </c>
      <c r="X104" s="72">
        <v>35222.42</v>
      </c>
      <c r="Y104" s="72">
        <v>25111</v>
      </c>
      <c r="Z104" s="72">
        <v>25111</v>
      </c>
      <c r="AA104" s="72">
        <v>25111</v>
      </c>
      <c r="AB104" s="72">
        <v>25111</v>
      </c>
      <c r="AC104" s="137">
        <f>SUM(Q104:AB104)</f>
        <v>364156.07</v>
      </c>
      <c r="AD104" s="136">
        <f t="shared" si="41"/>
        <v>-9256.070000000007</v>
      </c>
      <c r="AE104" s="196">
        <f t="shared" si="42"/>
        <v>-2.5417865477293862E-2</v>
      </c>
      <c r="AF104" s="133">
        <v>374556.07999999996</v>
      </c>
      <c r="AG104" s="124">
        <f t="shared" si="43"/>
        <v>19656.079999999958</v>
      </c>
    </row>
    <row r="105" spans="1:33">
      <c r="A105" s="105" t="s">
        <v>273</v>
      </c>
      <c r="C105" s="109" t="s">
        <v>520</v>
      </c>
      <c r="D105" s="137">
        <f t="shared" ref="D105:AC105" si="44">SUM(D102:D104)</f>
        <v>83637.959999999992</v>
      </c>
      <c r="E105" s="137">
        <f t="shared" si="44"/>
        <v>83637.959999999992</v>
      </c>
      <c r="F105" s="137">
        <f t="shared" si="44"/>
        <v>84412.36</v>
      </c>
      <c r="G105" s="137">
        <f t="shared" si="44"/>
        <v>84412.36</v>
      </c>
      <c r="H105" s="137">
        <f t="shared" si="44"/>
        <v>84412.36</v>
      </c>
      <c r="I105" s="137">
        <f t="shared" si="44"/>
        <v>84412.36</v>
      </c>
      <c r="J105" s="137">
        <f t="shared" si="44"/>
        <v>84412.36</v>
      </c>
      <c r="K105" s="137">
        <f t="shared" si="44"/>
        <v>84412.36</v>
      </c>
      <c r="L105" s="137">
        <f t="shared" si="44"/>
        <v>84412.36</v>
      </c>
      <c r="M105" s="137">
        <f t="shared" si="44"/>
        <v>84412.36</v>
      </c>
      <c r="N105" s="137">
        <f t="shared" si="44"/>
        <v>84412.36</v>
      </c>
      <c r="O105" s="137">
        <f t="shared" si="44"/>
        <v>84412.36</v>
      </c>
      <c r="P105" s="135">
        <f t="shared" si="44"/>
        <v>1011399.52</v>
      </c>
      <c r="Q105" s="137">
        <f t="shared" si="44"/>
        <v>96068</v>
      </c>
      <c r="R105" s="137">
        <f t="shared" si="44"/>
        <v>86549.03</v>
      </c>
      <c r="S105" s="137">
        <f t="shared" si="44"/>
        <v>83783.509999999995</v>
      </c>
      <c r="T105" s="137">
        <f t="shared" si="44"/>
        <v>80968</v>
      </c>
      <c r="U105" s="137">
        <f t="shared" si="44"/>
        <v>67288.34</v>
      </c>
      <c r="V105" s="137">
        <f t="shared" si="44"/>
        <v>88734.67</v>
      </c>
      <c r="W105" s="137">
        <f t="shared" si="44"/>
        <v>85362.26</v>
      </c>
      <c r="X105" s="137">
        <f t="shared" si="44"/>
        <v>88290.42</v>
      </c>
      <c r="Y105" s="137">
        <f t="shared" si="44"/>
        <v>84679</v>
      </c>
      <c r="Z105" s="137">
        <f t="shared" si="44"/>
        <v>84679</v>
      </c>
      <c r="AA105" s="137">
        <f t="shared" si="44"/>
        <v>84679</v>
      </c>
      <c r="AB105" s="137">
        <f t="shared" si="44"/>
        <v>84679</v>
      </c>
      <c r="AC105" s="137">
        <f t="shared" si="44"/>
        <v>1015760.23</v>
      </c>
      <c r="AD105" s="136">
        <f t="shared" si="41"/>
        <v>-4360.7099999999627</v>
      </c>
      <c r="AE105" s="196">
        <f t="shared" si="42"/>
        <v>-4.2930505361486373E-3</v>
      </c>
      <c r="AF105" s="133">
        <v>1349566.96</v>
      </c>
      <c r="AG105" s="124">
        <f t="shared" si="43"/>
        <v>338167.43999999994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3"/>
        <v>0</v>
      </c>
    </row>
    <row r="107" spans="1:33">
      <c r="A107" s="105" t="s">
        <v>119</v>
      </c>
      <c r="B107" s="105" t="s">
        <v>379</v>
      </c>
      <c r="C107" s="105" t="s">
        <v>260</v>
      </c>
      <c r="D107" s="215">
        <v>45058.22</v>
      </c>
      <c r="E107" s="215">
        <v>0</v>
      </c>
      <c r="F107" s="215">
        <v>0</v>
      </c>
      <c r="G107" s="215">
        <v>9264.32</v>
      </c>
      <c r="H107" s="215">
        <v>14941.57</v>
      </c>
      <c r="I107" s="215">
        <v>0</v>
      </c>
      <c r="J107" s="215">
        <v>0</v>
      </c>
      <c r="K107" s="215">
        <v>0</v>
      </c>
      <c r="L107" s="215">
        <v>0</v>
      </c>
      <c r="M107" s="215">
        <v>43306.479999999989</v>
      </c>
      <c r="N107" s="215">
        <v>0</v>
      </c>
      <c r="O107" s="215">
        <v>0</v>
      </c>
      <c r="P107" s="135">
        <f>SUM(D107:O107)</f>
        <v>112570.59</v>
      </c>
      <c r="Q107" s="136">
        <v>12078.36</v>
      </c>
      <c r="R107" s="136">
        <v>33205.03</v>
      </c>
      <c r="S107" s="136">
        <v>0</v>
      </c>
      <c r="T107" s="136">
        <v>4151.76</v>
      </c>
      <c r="U107" s="136">
        <v>5995.62</v>
      </c>
      <c r="V107" s="136">
        <v>5358.65</v>
      </c>
      <c r="W107" s="72">
        <v>0</v>
      </c>
      <c r="X107" s="72">
        <v>0</v>
      </c>
      <c r="Y107" s="72">
        <v>11261</v>
      </c>
      <c r="Z107" s="72">
        <v>33782</v>
      </c>
      <c r="AA107" s="72">
        <v>0</v>
      </c>
      <c r="AB107" s="72">
        <v>0</v>
      </c>
      <c r="AC107" s="137">
        <f>SUM(Q107:AB107)</f>
        <v>105832.42000000001</v>
      </c>
      <c r="AD107" s="136">
        <f t="shared" ref="AD107:AD112" si="45">P107-AC107</f>
        <v>6738.1699999999837</v>
      </c>
      <c r="AE107" s="196">
        <f t="shared" ref="AE107:AE112" si="46">AD107/AC107</f>
        <v>6.3668297483889941E-2</v>
      </c>
      <c r="AF107" s="133">
        <v>115188.38</v>
      </c>
      <c r="AG107" s="124">
        <f t="shared" si="43"/>
        <v>2617.7900000000081</v>
      </c>
    </row>
    <row r="108" spans="1:33">
      <c r="A108" s="105" t="s">
        <v>120</v>
      </c>
      <c r="B108" s="105" t="s">
        <v>379</v>
      </c>
      <c r="C108" s="105" t="s">
        <v>261</v>
      </c>
      <c r="D108" s="215">
        <v>14880.79</v>
      </c>
      <c r="E108" s="215">
        <v>14880.79</v>
      </c>
      <c r="F108" s="215">
        <v>15630.79</v>
      </c>
      <c r="G108" s="215">
        <v>15630.79</v>
      </c>
      <c r="H108" s="215">
        <v>15630.79</v>
      </c>
      <c r="I108" s="215">
        <v>15630.79</v>
      </c>
      <c r="J108" s="215">
        <v>15630.79</v>
      </c>
      <c r="K108" s="215">
        <v>15630.79</v>
      </c>
      <c r="L108" s="215">
        <v>15630.79</v>
      </c>
      <c r="M108" s="215">
        <v>15630.79</v>
      </c>
      <c r="N108" s="215">
        <v>15630.79</v>
      </c>
      <c r="O108" s="215">
        <v>15630.79</v>
      </c>
      <c r="P108" s="135">
        <f>SUM(D108:O108)</f>
        <v>186069.48000000007</v>
      </c>
      <c r="Q108" s="136">
        <v>24045.96</v>
      </c>
      <c r="R108" s="136">
        <v>22214.58</v>
      </c>
      <c r="S108" s="136">
        <v>22070.03</v>
      </c>
      <c r="T108" s="136">
        <v>13479.92</v>
      </c>
      <c r="U108" s="136">
        <v>10705.46</v>
      </c>
      <c r="V108" s="136">
        <v>15088.13</v>
      </c>
      <c r="W108" s="72">
        <v>14710.49</v>
      </c>
      <c r="X108" s="72">
        <v>14723.11</v>
      </c>
      <c r="Y108" s="72">
        <v>14113.17</v>
      </c>
      <c r="Z108" s="72">
        <v>14113.17</v>
      </c>
      <c r="AA108" s="72">
        <v>14113.17</v>
      </c>
      <c r="AB108" s="72">
        <v>14113.17</v>
      </c>
      <c r="AC108" s="137">
        <f>SUM(Q108:AB108)</f>
        <v>193490.36000000007</v>
      </c>
      <c r="AD108" s="136">
        <f t="shared" si="45"/>
        <v>-7420.8800000000047</v>
      </c>
      <c r="AE108" s="196">
        <f t="shared" si="46"/>
        <v>-3.8352711731995337E-2</v>
      </c>
      <c r="AF108" s="133">
        <v>175614.11</v>
      </c>
      <c r="AG108" s="124">
        <f t="shared" si="43"/>
        <v>-10455.370000000083</v>
      </c>
    </row>
    <row r="109" spans="1:33">
      <c r="A109" s="105" t="s">
        <v>121</v>
      </c>
      <c r="B109" s="105" t="s">
        <v>379</v>
      </c>
      <c r="C109" s="105" t="s">
        <v>262</v>
      </c>
      <c r="D109" s="215">
        <v>12040</v>
      </c>
      <c r="E109" s="215">
        <v>12040</v>
      </c>
      <c r="F109" s="215">
        <v>12370</v>
      </c>
      <c r="G109" s="215">
        <v>12370</v>
      </c>
      <c r="H109" s="215">
        <v>12370</v>
      </c>
      <c r="I109" s="215">
        <v>12370</v>
      </c>
      <c r="J109" s="215">
        <v>12370</v>
      </c>
      <c r="K109" s="215">
        <v>12370</v>
      </c>
      <c r="L109" s="215">
        <v>12370</v>
      </c>
      <c r="M109" s="215">
        <v>12370</v>
      </c>
      <c r="N109" s="215">
        <v>12370</v>
      </c>
      <c r="O109" s="215">
        <v>12370</v>
      </c>
      <c r="P109" s="135">
        <f>SUM(D109:O109)</f>
        <v>147780</v>
      </c>
      <c r="Q109" s="136">
        <v>12065</v>
      </c>
      <c r="R109" s="136">
        <v>10805.9</v>
      </c>
      <c r="S109" s="136">
        <v>9692.92</v>
      </c>
      <c r="T109" s="136">
        <v>10143.06</v>
      </c>
      <c r="U109" s="136">
        <v>8413.33</v>
      </c>
      <c r="V109" s="136">
        <v>11253.71</v>
      </c>
      <c r="W109" s="72">
        <v>11083</v>
      </c>
      <c r="X109" s="72">
        <v>11383.06</v>
      </c>
      <c r="Y109" s="72">
        <v>12348</v>
      </c>
      <c r="Z109" s="72">
        <v>12508</v>
      </c>
      <c r="AA109" s="72">
        <v>12508</v>
      </c>
      <c r="AB109" s="72">
        <v>12668</v>
      </c>
      <c r="AC109" s="137">
        <f>SUM(Q109:AB109)</f>
        <v>134871.97999999998</v>
      </c>
      <c r="AD109" s="136">
        <f t="shared" si="45"/>
        <v>12908.020000000019</v>
      </c>
      <c r="AE109" s="196">
        <f t="shared" si="46"/>
        <v>9.5705720343098849E-2</v>
      </c>
      <c r="AF109" s="133">
        <v>97399</v>
      </c>
      <c r="AG109" s="124">
        <f t="shared" si="43"/>
        <v>-50381</v>
      </c>
    </row>
    <row r="110" spans="1:33">
      <c r="A110" s="105" t="s">
        <v>122</v>
      </c>
      <c r="B110" s="105" t="s">
        <v>379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136">
        <f t="shared" si="45"/>
        <v>0</v>
      </c>
      <c r="AE110" s="196" t="e">
        <f t="shared" si="46"/>
        <v>#DIV/0!</v>
      </c>
      <c r="AF110" s="133">
        <v>0</v>
      </c>
      <c r="AG110" s="124">
        <f t="shared" si="43"/>
        <v>0</v>
      </c>
    </row>
    <row r="111" spans="1:33">
      <c r="A111" s="105" t="s">
        <v>123</v>
      </c>
      <c r="B111" s="105" t="s">
        <v>379</v>
      </c>
      <c r="C111" s="105" t="s">
        <v>264</v>
      </c>
      <c r="D111" s="215">
        <v>2600</v>
      </c>
      <c r="E111" s="215">
        <v>2600</v>
      </c>
      <c r="F111" s="215">
        <v>2800</v>
      </c>
      <c r="G111" s="215">
        <v>2800</v>
      </c>
      <c r="H111" s="215">
        <v>2800</v>
      </c>
      <c r="I111" s="215">
        <v>2800</v>
      </c>
      <c r="J111" s="215">
        <v>2800</v>
      </c>
      <c r="K111" s="215">
        <v>2800</v>
      </c>
      <c r="L111" s="215">
        <v>2800</v>
      </c>
      <c r="M111" s="215">
        <v>2800</v>
      </c>
      <c r="N111" s="215">
        <v>2800</v>
      </c>
      <c r="O111" s="215">
        <v>2800</v>
      </c>
      <c r="P111" s="135">
        <f>SUM(D111:O111)</f>
        <v>33200</v>
      </c>
      <c r="Q111" s="136">
        <v>6211.78</v>
      </c>
      <c r="R111" s="136">
        <v>11891.19</v>
      </c>
      <c r="S111" s="136">
        <v>2991.36</v>
      </c>
      <c r="T111" s="136">
        <v>4091.73</v>
      </c>
      <c r="U111" s="136">
        <v>2120.29</v>
      </c>
      <c r="V111" s="136">
        <v>2400</v>
      </c>
      <c r="W111" s="72">
        <v>2142.6</v>
      </c>
      <c r="X111" s="72">
        <v>4606.9399999999996</v>
      </c>
      <c r="Y111" s="72">
        <v>3400</v>
      </c>
      <c r="Z111" s="72">
        <v>3400</v>
      </c>
      <c r="AA111" s="72">
        <v>3400</v>
      </c>
      <c r="AB111" s="72">
        <v>3400</v>
      </c>
      <c r="AC111" s="137">
        <f>SUM(Q111:AB111)</f>
        <v>50055.89</v>
      </c>
      <c r="AD111" s="136">
        <f t="shared" si="45"/>
        <v>-16855.89</v>
      </c>
      <c r="AE111" s="196">
        <f t="shared" si="46"/>
        <v>-0.33674139047372847</v>
      </c>
      <c r="AF111" s="133">
        <v>67121.3</v>
      </c>
      <c r="AG111" s="124">
        <f t="shared" si="43"/>
        <v>33921.300000000003</v>
      </c>
    </row>
    <row r="112" spans="1:33">
      <c r="A112" s="105" t="s">
        <v>273</v>
      </c>
      <c r="C112" s="109" t="s">
        <v>521</v>
      </c>
      <c r="D112" s="137">
        <f t="shared" ref="D112:O112" si="47">SUM(D107:D111)</f>
        <v>74579.010000000009</v>
      </c>
      <c r="E112" s="137">
        <f t="shared" si="47"/>
        <v>29520.79</v>
      </c>
      <c r="F112" s="137">
        <f t="shared" si="47"/>
        <v>30800.79</v>
      </c>
      <c r="G112" s="137">
        <f t="shared" si="47"/>
        <v>40065.11</v>
      </c>
      <c r="H112" s="137">
        <f t="shared" si="47"/>
        <v>45742.36</v>
      </c>
      <c r="I112" s="137">
        <f t="shared" si="47"/>
        <v>30800.79</v>
      </c>
      <c r="J112" s="137">
        <f t="shared" si="47"/>
        <v>30800.79</v>
      </c>
      <c r="K112" s="137">
        <f t="shared" si="47"/>
        <v>30800.79</v>
      </c>
      <c r="L112" s="137">
        <f t="shared" si="47"/>
        <v>30800.79</v>
      </c>
      <c r="M112" s="137">
        <f t="shared" si="47"/>
        <v>74107.26999999999</v>
      </c>
      <c r="N112" s="137">
        <f t="shared" si="47"/>
        <v>30800.79</v>
      </c>
      <c r="O112" s="137">
        <f t="shared" si="47"/>
        <v>30800.79</v>
      </c>
      <c r="P112" s="135">
        <f>SUM(P107:P111)</f>
        <v>479620.07000000007</v>
      </c>
      <c r="Q112" s="137">
        <f t="shared" ref="Q112:AC112" si="48">SUM(Q107:Q111)</f>
        <v>54401.1</v>
      </c>
      <c r="R112" s="137">
        <f t="shared" si="48"/>
        <v>78116.7</v>
      </c>
      <c r="S112" s="137">
        <f t="shared" si="48"/>
        <v>34754.31</v>
      </c>
      <c r="T112" s="137">
        <f t="shared" si="48"/>
        <v>31866.469999999998</v>
      </c>
      <c r="U112" s="137">
        <f t="shared" si="48"/>
        <v>27234.699999999997</v>
      </c>
      <c r="V112" s="137">
        <f t="shared" si="48"/>
        <v>34100.49</v>
      </c>
      <c r="W112" s="137">
        <f t="shared" si="48"/>
        <v>27936.089999999997</v>
      </c>
      <c r="X112" s="137">
        <f t="shared" si="48"/>
        <v>30713.109999999997</v>
      </c>
      <c r="Y112" s="137">
        <f t="shared" si="48"/>
        <v>41122.17</v>
      </c>
      <c r="Z112" s="137">
        <f t="shared" si="48"/>
        <v>63803.17</v>
      </c>
      <c r="AA112" s="137">
        <f t="shared" si="48"/>
        <v>30021.17</v>
      </c>
      <c r="AB112" s="137">
        <f t="shared" si="48"/>
        <v>30181.17</v>
      </c>
      <c r="AC112" s="137">
        <f t="shared" si="48"/>
        <v>484250.65000000008</v>
      </c>
      <c r="AD112" s="136">
        <f t="shared" si="45"/>
        <v>-4630.5800000000163</v>
      </c>
      <c r="AE112" s="196">
        <f t="shared" si="46"/>
        <v>-9.5623619710164878E-3</v>
      </c>
      <c r="AF112" s="133">
        <v>455322.79</v>
      </c>
      <c r="AG112" s="124">
        <f t="shared" si="43"/>
        <v>-24297.280000000086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3"/>
        <v>0</v>
      </c>
    </row>
    <row r="114" spans="1:33">
      <c r="A114" s="105" t="s">
        <v>124</v>
      </c>
      <c r="B114" s="105" t="s">
        <v>379</v>
      </c>
      <c r="C114" s="105" t="s">
        <v>266</v>
      </c>
      <c r="D114" s="215">
        <v>20659.150000000001</v>
      </c>
      <c r="E114" s="215">
        <v>20659.150000000001</v>
      </c>
      <c r="F114" s="215">
        <v>21486.390000000003</v>
      </c>
      <c r="G114" s="215">
        <v>21486.390000000003</v>
      </c>
      <c r="H114" s="215">
        <v>21486.390000000003</v>
      </c>
      <c r="I114" s="215">
        <v>21486.390000000003</v>
      </c>
      <c r="J114" s="215">
        <v>21921.909999999996</v>
      </c>
      <c r="K114" s="215">
        <v>21921.909999999996</v>
      </c>
      <c r="L114" s="215">
        <v>21921.909999999996</v>
      </c>
      <c r="M114" s="215">
        <v>21921.909999999996</v>
      </c>
      <c r="N114" s="215">
        <v>21921.909999999996</v>
      </c>
      <c r="O114" s="215">
        <v>21921.909999999996</v>
      </c>
      <c r="P114" s="135">
        <f>SUM(D114:O114)</f>
        <v>258795.32</v>
      </c>
      <c r="Q114" s="136">
        <v>24016.18</v>
      </c>
      <c r="R114" s="136">
        <v>23148.62</v>
      </c>
      <c r="S114" s="136">
        <v>18624.89</v>
      </c>
      <c r="T114" s="136">
        <v>20170.490000000002</v>
      </c>
      <c r="U114" s="136">
        <v>16433.05</v>
      </c>
      <c r="V114" s="136">
        <v>21922.54</v>
      </c>
      <c r="W114" s="72">
        <v>20827.400000000001</v>
      </c>
      <c r="X114" s="72">
        <v>21600.2</v>
      </c>
      <c r="Y114" s="72">
        <v>21174</v>
      </c>
      <c r="Z114" s="181">
        <v>21174</v>
      </c>
      <c r="AA114" s="181">
        <v>21174</v>
      </c>
      <c r="AB114" s="181">
        <v>21174</v>
      </c>
      <c r="AC114" s="137">
        <f t="shared" ref="AC114:AC121" si="49">SUM(Q114:AB114)</f>
        <v>251439.37000000002</v>
      </c>
      <c r="AD114" s="136">
        <f t="shared" ref="AD114:AD122" si="50">P114-AC114</f>
        <v>7355.9499999999825</v>
      </c>
      <c r="AE114" s="196">
        <f t="shared" ref="AE114:AE122" si="51">AD114/AC114</f>
        <v>2.9255362833592775E-2</v>
      </c>
      <c r="AF114" s="133">
        <v>253232.84000000003</v>
      </c>
      <c r="AG114" s="124">
        <f t="shared" si="43"/>
        <v>-5562.4799999999814</v>
      </c>
    </row>
    <row r="115" spans="1:33">
      <c r="A115" s="105" t="s">
        <v>125</v>
      </c>
      <c r="B115" s="105" t="s">
        <v>379</v>
      </c>
      <c r="C115" s="105" t="s">
        <v>267</v>
      </c>
      <c r="D115" s="215">
        <v>8038.8899999999994</v>
      </c>
      <c r="E115" s="215">
        <v>8038.8899999999994</v>
      </c>
      <c r="F115" s="215">
        <v>8371.5299999999988</v>
      </c>
      <c r="G115" s="215">
        <v>8371.5299999999988</v>
      </c>
      <c r="H115" s="215">
        <v>8371.5299999999988</v>
      </c>
      <c r="I115" s="215">
        <v>8371.5299999999988</v>
      </c>
      <c r="J115" s="215">
        <v>8499.6299999999992</v>
      </c>
      <c r="K115" s="215">
        <v>8499.6299999999992</v>
      </c>
      <c r="L115" s="215">
        <v>8499.6299999999992</v>
      </c>
      <c r="M115" s="215">
        <v>8499.6299999999992</v>
      </c>
      <c r="N115" s="215">
        <v>8499.6299999999992</v>
      </c>
      <c r="O115" s="215">
        <v>8499.6299999999992</v>
      </c>
      <c r="P115" s="135">
        <f t="shared" ref="P115:P121" si="52">SUM(D115:O115)</f>
        <v>100561.68000000001</v>
      </c>
      <c r="Q115" s="136">
        <v>12758.56</v>
      </c>
      <c r="R115" s="136">
        <v>12297.67</v>
      </c>
      <c r="S115" s="136">
        <v>9894.44</v>
      </c>
      <c r="T115" s="136">
        <v>10715.54</v>
      </c>
      <c r="U115" s="136">
        <v>8730.0400000000009</v>
      </c>
      <c r="V115" s="136">
        <v>11646.32</v>
      </c>
      <c r="W115" s="72">
        <v>8461.14</v>
      </c>
      <c r="X115" s="72">
        <v>8775.09</v>
      </c>
      <c r="Y115" s="72">
        <v>10637</v>
      </c>
      <c r="Z115" s="181">
        <v>10637</v>
      </c>
      <c r="AA115" s="181">
        <v>10637</v>
      </c>
      <c r="AB115" s="181">
        <v>10637</v>
      </c>
      <c r="AC115" s="137">
        <f t="shared" si="49"/>
        <v>125826.8</v>
      </c>
      <c r="AD115" s="136">
        <f t="shared" si="50"/>
        <v>-25265.119999999995</v>
      </c>
      <c r="AE115" s="196">
        <f t="shared" si="51"/>
        <v>-0.20079283586644495</v>
      </c>
      <c r="AF115" s="133">
        <v>124470.25</v>
      </c>
      <c r="AG115" s="124">
        <f t="shared" si="43"/>
        <v>23908.569999999992</v>
      </c>
    </row>
    <row r="116" spans="1:33">
      <c r="A116" s="105" t="s">
        <v>126</v>
      </c>
      <c r="B116" s="105" t="s">
        <v>379</v>
      </c>
      <c r="C116" s="105" t="s">
        <v>268</v>
      </c>
      <c r="D116" s="215">
        <v>643.98</v>
      </c>
      <c r="E116" s="215">
        <v>643.98</v>
      </c>
      <c r="F116" s="215">
        <v>669.57</v>
      </c>
      <c r="G116" s="215">
        <v>669.57</v>
      </c>
      <c r="H116" s="215">
        <v>669.57</v>
      </c>
      <c r="I116" s="215">
        <v>669.57</v>
      </c>
      <c r="J116" s="215">
        <v>680.88</v>
      </c>
      <c r="K116" s="215">
        <v>680.88</v>
      </c>
      <c r="L116" s="215">
        <v>680.88</v>
      </c>
      <c r="M116" s="215">
        <v>680.88</v>
      </c>
      <c r="N116" s="215">
        <v>680.88</v>
      </c>
      <c r="O116" s="215">
        <v>680.88</v>
      </c>
      <c r="P116" s="135">
        <f t="shared" si="52"/>
        <v>8051.5200000000013</v>
      </c>
      <c r="Q116" s="136">
        <v>750.52</v>
      </c>
      <c r="R116" s="136">
        <v>723.41</v>
      </c>
      <c r="S116" s="136">
        <v>582.04</v>
      </c>
      <c r="T116" s="136">
        <v>630.34</v>
      </c>
      <c r="U116" s="136">
        <v>513.55999999999995</v>
      </c>
      <c r="V116" s="136">
        <v>685.09</v>
      </c>
      <c r="W116" s="72">
        <v>650.87</v>
      </c>
      <c r="X116" s="72">
        <v>675.02</v>
      </c>
      <c r="Y116" s="72">
        <v>665</v>
      </c>
      <c r="Z116" s="181">
        <v>665</v>
      </c>
      <c r="AA116" s="181">
        <v>665</v>
      </c>
      <c r="AB116" s="181">
        <v>665</v>
      </c>
      <c r="AC116" s="137">
        <f t="shared" si="49"/>
        <v>7870.85</v>
      </c>
      <c r="AD116" s="136">
        <f t="shared" si="50"/>
        <v>180.67000000000098</v>
      </c>
      <c r="AE116" s="196">
        <f t="shared" si="51"/>
        <v>2.2954318783867177E-2</v>
      </c>
      <c r="AF116" s="133">
        <v>7613.54</v>
      </c>
      <c r="AG116" s="124">
        <f t="shared" si="43"/>
        <v>-437.98000000000138</v>
      </c>
    </row>
    <row r="117" spans="1:33">
      <c r="A117" s="105" t="s">
        <v>127</v>
      </c>
      <c r="B117" s="105" t="s">
        <v>379</v>
      </c>
      <c r="C117" s="105" t="s">
        <v>269</v>
      </c>
      <c r="D117" s="215">
        <v>154.53999999999996</v>
      </c>
      <c r="E117" s="215">
        <v>154.53999999999996</v>
      </c>
      <c r="F117" s="215">
        <v>160.67999999999998</v>
      </c>
      <c r="G117" s="215">
        <v>160.67999999999998</v>
      </c>
      <c r="H117" s="215">
        <v>160.67999999999998</v>
      </c>
      <c r="I117" s="215">
        <v>160.67999999999998</v>
      </c>
      <c r="J117" s="215">
        <v>163.43</v>
      </c>
      <c r="K117" s="215">
        <v>163.43</v>
      </c>
      <c r="L117" s="215">
        <v>163.43</v>
      </c>
      <c r="M117" s="215">
        <v>163.43</v>
      </c>
      <c r="N117" s="215">
        <v>163.43</v>
      </c>
      <c r="O117" s="215">
        <v>163.43</v>
      </c>
      <c r="P117" s="135">
        <f t="shared" si="52"/>
        <v>1932.38</v>
      </c>
      <c r="Q117" s="136">
        <v>180.16</v>
      </c>
      <c r="R117" s="136">
        <v>173.65</v>
      </c>
      <c r="S117" s="136">
        <v>139.71</v>
      </c>
      <c r="T117" s="136">
        <v>151.31</v>
      </c>
      <c r="U117" s="136">
        <v>123.28</v>
      </c>
      <c r="V117" s="136">
        <v>164.45</v>
      </c>
      <c r="W117" s="72">
        <v>156.24</v>
      </c>
      <c r="X117" s="72">
        <v>162.04</v>
      </c>
      <c r="Y117" s="72">
        <v>190</v>
      </c>
      <c r="Z117" s="72">
        <v>190</v>
      </c>
      <c r="AA117" s="72">
        <v>190</v>
      </c>
      <c r="AB117" s="72">
        <v>190</v>
      </c>
      <c r="AC117" s="137">
        <f t="shared" si="49"/>
        <v>2010.84</v>
      </c>
      <c r="AD117" s="136">
        <f t="shared" si="50"/>
        <v>-78.459999999999809</v>
      </c>
      <c r="AE117" s="196">
        <f t="shared" si="51"/>
        <v>-3.901851962363978E-2</v>
      </c>
      <c r="AF117" s="133">
        <v>2436.61</v>
      </c>
      <c r="AG117" s="124">
        <f t="shared" si="43"/>
        <v>504.23</v>
      </c>
    </row>
    <row r="118" spans="1:33">
      <c r="A118" s="105" t="s">
        <v>128</v>
      </c>
      <c r="B118" s="105" t="s">
        <v>379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52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9"/>
        <v>0</v>
      </c>
      <c r="AD118" s="136">
        <f t="shared" si="50"/>
        <v>0</v>
      </c>
      <c r="AE118" s="196" t="e">
        <f t="shared" si="51"/>
        <v>#DIV/0!</v>
      </c>
      <c r="AF118" s="133">
        <v>5002.3900000000003</v>
      </c>
      <c r="AG118" s="124">
        <f t="shared" si="43"/>
        <v>5002.3900000000003</v>
      </c>
    </row>
    <row r="119" spans="1:33">
      <c r="A119" s="105" t="s">
        <v>129</v>
      </c>
      <c r="B119" s="105" t="s">
        <v>379</v>
      </c>
      <c r="C119" s="105" t="s">
        <v>271</v>
      </c>
      <c r="D119" s="215">
        <v>6089.1100000000006</v>
      </c>
      <c r="E119" s="215">
        <v>6089.1100000000006</v>
      </c>
      <c r="F119" s="215">
        <v>6314.1100000000006</v>
      </c>
      <c r="G119" s="215">
        <v>6314.1100000000006</v>
      </c>
      <c r="H119" s="215">
        <v>6314.1100000000006</v>
      </c>
      <c r="I119" s="215">
        <v>6314.1100000000006</v>
      </c>
      <c r="J119" s="215">
        <v>6808.4800000000014</v>
      </c>
      <c r="K119" s="215">
        <v>6314.1100000000006</v>
      </c>
      <c r="L119" s="215">
        <v>6314.1100000000006</v>
      </c>
      <c r="M119" s="215">
        <v>6314.1100000000006</v>
      </c>
      <c r="N119" s="215">
        <v>6808.4800000000014</v>
      </c>
      <c r="O119" s="215">
        <v>6314.1100000000006</v>
      </c>
      <c r="P119" s="135">
        <f t="shared" si="52"/>
        <v>76308.060000000012</v>
      </c>
      <c r="Q119" s="136">
        <v>7478</v>
      </c>
      <c r="R119" s="136">
        <v>7207</v>
      </c>
      <c r="S119" s="136">
        <v>5820</v>
      </c>
      <c r="T119" s="136">
        <v>6100</v>
      </c>
      <c r="U119" s="136">
        <v>4931.6099999999997</v>
      </c>
      <c r="V119" s="136">
        <v>6611.23</v>
      </c>
      <c r="W119" s="72">
        <v>6269</v>
      </c>
      <c r="X119" s="72">
        <v>6444</v>
      </c>
      <c r="Y119" s="72">
        <v>6107</v>
      </c>
      <c r="Z119" s="72">
        <v>6107</v>
      </c>
      <c r="AA119" s="72">
        <v>6107</v>
      </c>
      <c r="AB119" s="72">
        <v>6107</v>
      </c>
      <c r="AC119" s="137">
        <f t="shared" si="49"/>
        <v>75288.84</v>
      </c>
      <c r="AD119" s="136">
        <f t="shared" si="50"/>
        <v>1019.2200000000157</v>
      </c>
      <c r="AE119" s="196">
        <f t="shared" si="51"/>
        <v>1.3537464516653674E-2</v>
      </c>
      <c r="AF119" s="133">
        <v>71797.010000000009</v>
      </c>
      <c r="AG119" s="124">
        <f t="shared" si="43"/>
        <v>-4511.0500000000029</v>
      </c>
    </row>
    <row r="120" spans="1:33">
      <c r="A120" s="105" t="s">
        <v>130</v>
      </c>
      <c r="B120" s="105" t="s">
        <v>379</v>
      </c>
      <c r="C120" s="105" t="s">
        <v>272</v>
      </c>
      <c r="D120" s="215">
        <v>3164</v>
      </c>
      <c r="E120" s="215">
        <v>2263</v>
      </c>
      <c r="F120" s="215">
        <v>2304</v>
      </c>
      <c r="G120" s="215">
        <v>2490</v>
      </c>
      <c r="H120" s="215">
        <v>2603</v>
      </c>
      <c r="I120" s="215">
        <v>2304</v>
      </c>
      <c r="J120" s="215">
        <v>2304</v>
      </c>
      <c r="K120" s="215">
        <v>2304</v>
      </c>
      <c r="L120" s="215">
        <v>2304</v>
      </c>
      <c r="M120" s="215">
        <v>3170</v>
      </c>
      <c r="N120" s="215">
        <v>2304</v>
      </c>
      <c r="O120" s="215">
        <v>2304</v>
      </c>
      <c r="P120" s="135">
        <f t="shared" si="52"/>
        <v>29818</v>
      </c>
      <c r="Q120" s="136">
        <v>2519.4299999999998</v>
      </c>
      <c r="R120" s="136">
        <v>2590.29</v>
      </c>
      <c r="S120" s="136">
        <v>4314.17</v>
      </c>
      <c r="T120" s="136">
        <v>3514.56</v>
      </c>
      <c r="U120" s="136">
        <v>1982.48</v>
      </c>
      <c r="V120" s="136">
        <v>2072.0700000000002</v>
      </c>
      <c r="W120" s="72">
        <v>1969.71</v>
      </c>
      <c r="X120" s="72">
        <v>2045.36</v>
      </c>
      <c r="Y120" s="72">
        <v>2894</v>
      </c>
      <c r="Z120" s="72">
        <v>2894</v>
      </c>
      <c r="AA120" s="72">
        <v>2894</v>
      </c>
      <c r="AB120" s="72">
        <v>2894</v>
      </c>
      <c r="AC120" s="137">
        <f t="shared" si="49"/>
        <v>32584.07</v>
      </c>
      <c r="AD120" s="136">
        <f t="shared" si="50"/>
        <v>-2766.0699999999997</v>
      </c>
      <c r="AE120" s="196">
        <f t="shared" si="51"/>
        <v>-8.4890254655112143E-2</v>
      </c>
      <c r="AF120" s="133">
        <v>38692.130000000005</v>
      </c>
      <c r="AG120" s="124">
        <f t="shared" si="43"/>
        <v>8874.1300000000047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52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9"/>
        <v>0</v>
      </c>
      <c r="AD121" s="136">
        <f t="shared" si="50"/>
        <v>0</v>
      </c>
      <c r="AE121" s="196" t="e">
        <f t="shared" si="51"/>
        <v>#DIV/0!</v>
      </c>
      <c r="AF121" s="133">
        <v>0</v>
      </c>
      <c r="AG121" s="124">
        <f t="shared" si="43"/>
        <v>0</v>
      </c>
    </row>
    <row r="122" spans="1:33">
      <c r="A122" s="105" t="s">
        <v>273</v>
      </c>
      <c r="C122" s="109" t="s">
        <v>522</v>
      </c>
      <c r="D122" s="137">
        <f t="shared" ref="D122:AC122" si="53">SUM(D114:D121)</f>
        <v>38749.67</v>
      </c>
      <c r="E122" s="137">
        <f t="shared" si="53"/>
        <v>37848.67</v>
      </c>
      <c r="F122" s="137">
        <f t="shared" si="53"/>
        <v>39306.28</v>
      </c>
      <c r="G122" s="137">
        <f t="shared" si="53"/>
        <v>39492.28</v>
      </c>
      <c r="H122" s="137">
        <f t="shared" si="53"/>
        <v>39605.279999999999</v>
      </c>
      <c r="I122" s="137">
        <f t="shared" si="53"/>
        <v>39306.28</v>
      </c>
      <c r="J122" s="137">
        <f t="shared" si="53"/>
        <v>40378.329999999994</v>
      </c>
      <c r="K122" s="137">
        <f t="shared" si="53"/>
        <v>39883.959999999992</v>
      </c>
      <c r="L122" s="137">
        <f t="shared" si="53"/>
        <v>39883.959999999992</v>
      </c>
      <c r="M122" s="137">
        <f t="shared" si="53"/>
        <v>40749.959999999992</v>
      </c>
      <c r="N122" s="137">
        <f t="shared" si="53"/>
        <v>40378.329999999994</v>
      </c>
      <c r="O122" s="137">
        <f t="shared" si="53"/>
        <v>39883.959999999992</v>
      </c>
      <c r="P122" s="135">
        <f t="shared" si="53"/>
        <v>475466.96</v>
      </c>
      <c r="Q122" s="137">
        <f t="shared" si="53"/>
        <v>47702.85</v>
      </c>
      <c r="R122" s="137">
        <f t="shared" si="53"/>
        <v>46140.640000000007</v>
      </c>
      <c r="S122" s="137">
        <f t="shared" si="53"/>
        <v>39375.25</v>
      </c>
      <c r="T122" s="137">
        <f t="shared" si="53"/>
        <v>41282.240000000005</v>
      </c>
      <c r="U122" s="137">
        <f t="shared" si="53"/>
        <v>32714.02</v>
      </c>
      <c r="V122" s="137">
        <f t="shared" si="53"/>
        <v>43101.69999999999</v>
      </c>
      <c r="W122" s="137">
        <f t="shared" si="53"/>
        <v>38334.36</v>
      </c>
      <c r="X122" s="137">
        <f t="shared" si="53"/>
        <v>39701.710000000006</v>
      </c>
      <c r="Y122" s="137">
        <f t="shared" si="53"/>
        <v>41667</v>
      </c>
      <c r="Z122" s="137">
        <f t="shared" si="53"/>
        <v>41667</v>
      </c>
      <c r="AA122" s="137">
        <f t="shared" si="53"/>
        <v>41667</v>
      </c>
      <c r="AB122" s="137">
        <f t="shared" si="53"/>
        <v>41667</v>
      </c>
      <c r="AC122" s="137">
        <f t="shared" si="53"/>
        <v>495020.77000000008</v>
      </c>
      <c r="AD122" s="136">
        <f t="shared" si="50"/>
        <v>-19553.810000000056</v>
      </c>
      <c r="AE122" s="196">
        <f t="shared" si="51"/>
        <v>-3.9500989019107327E-2</v>
      </c>
      <c r="AF122" s="133">
        <v>503244.77</v>
      </c>
      <c r="AG122" s="124">
        <f t="shared" si="43"/>
        <v>27777.809999999998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3"/>
        <v>0</v>
      </c>
    </row>
    <row r="124" spans="1:33">
      <c r="A124" s="105" t="s">
        <v>131</v>
      </c>
      <c r="B124" s="105" t="s">
        <v>379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54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5">SUM(Q124:AB124)</f>
        <v>0</v>
      </c>
      <c r="AD124" s="136">
        <f t="shared" ref="AD124:AD134" si="56">P124-AC124</f>
        <v>0</v>
      </c>
      <c r="AE124" s="196" t="e">
        <f t="shared" ref="AE124:AE134" si="57">AD124/AC124</f>
        <v>#DIV/0!</v>
      </c>
      <c r="AF124" s="133">
        <v>0</v>
      </c>
      <c r="AG124" s="124">
        <f t="shared" si="43"/>
        <v>0</v>
      </c>
    </row>
    <row r="125" spans="1:33">
      <c r="A125" s="105" t="s">
        <v>132</v>
      </c>
      <c r="B125" s="105" t="s">
        <v>379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54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5"/>
        <v>0</v>
      </c>
      <c r="AD125" s="136">
        <f t="shared" si="56"/>
        <v>0</v>
      </c>
      <c r="AE125" s="196" t="e">
        <f t="shared" si="57"/>
        <v>#DIV/0!</v>
      </c>
      <c r="AF125" s="133">
        <v>0</v>
      </c>
      <c r="AG125" s="124">
        <f t="shared" si="43"/>
        <v>0</v>
      </c>
    </row>
    <row r="126" spans="1:33">
      <c r="A126" s="105" t="s">
        <v>133</v>
      </c>
      <c r="B126" s="105" t="s">
        <v>379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54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5"/>
        <v>0</v>
      </c>
      <c r="AD126" s="136">
        <f t="shared" si="56"/>
        <v>0</v>
      </c>
      <c r="AE126" s="196" t="e">
        <f t="shared" si="57"/>
        <v>#DIV/0!</v>
      </c>
      <c r="AF126" s="133">
        <v>0</v>
      </c>
      <c r="AG126" s="124">
        <f t="shared" si="43"/>
        <v>0</v>
      </c>
    </row>
    <row r="127" spans="1:33">
      <c r="A127" s="105" t="s">
        <v>134</v>
      </c>
      <c r="B127" s="105" t="s">
        <v>379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00">
        <f t="shared" si="54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5"/>
        <v>0</v>
      </c>
      <c r="AD127" s="136">
        <f t="shared" si="56"/>
        <v>0</v>
      </c>
      <c r="AE127" s="196" t="e">
        <f t="shared" si="57"/>
        <v>#DIV/0!</v>
      </c>
      <c r="AF127" s="133">
        <v>0</v>
      </c>
      <c r="AG127" s="124">
        <f t="shared" si="43"/>
        <v>0</v>
      </c>
    </row>
    <row r="128" spans="1:33">
      <c r="A128" s="105" t="s">
        <v>135</v>
      </c>
      <c r="B128" s="105" t="s">
        <v>379</v>
      </c>
      <c r="C128" s="105" t="s">
        <v>280</v>
      </c>
      <c r="D128" s="215">
        <v>431.52</v>
      </c>
      <c r="E128" s="215">
        <v>431.52</v>
      </c>
      <c r="F128" s="215">
        <v>431.52</v>
      </c>
      <c r="G128" s="215">
        <v>431.52</v>
      </c>
      <c r="H128" s="215">
        <v>431.52</v>
      </c>
      <c r="I128" s="215">
        <v>431.52</v>
      </c>
      <c r="J128" s="215">
        <v>431.52</v>
      </c>
      <c r="K128" s="215">
        <v>431.52</v>
      </c>
      <c r="L128" s="215">
        <v>431.52</v>
      </c>
      <c r="M128" s="215">
        <v>431.52</v>
      </c>
      <c r="N128" s="215">
        <v>431.52</v>
      </c>
      <c r="O128" s="215">
        <v>431.52</v>
      </c>
      <c r="P128" s="200">
        <f t="shared" si="54"/>
        <v>5178.24</v>
      </c>
      <c r="Q128" s="136">
        <v>358.17</v>
      </c>
      <c r="R128" s="136">
        <v>323.17</v>
      </c>
      <c r="S128" s="136">
        <v>339.32</v>
      </c>
      <c r="T128" s="136">
        <v>301.62</v>
      </c>
      <c r="U128" s="136">
        <v>314.77999999999997</v>
      </c>
      <c r="V128" s="136">
        <v>335.92</v>
      </c>
      <c r="W128" s="72">
        <v>384.63</v>
      </c>
      <c r="X128" s="72">
        <v>352.59</v>
      </c>
      <c r="Y128" s="72">
        <v>320</v>
      </c>
      <c r="Z128" s="72">
        <v>320</v>
      </c>
      <c r="AA128" s="72">
        <v>320</v>
      </c>
      <c r="AB128" s="72">
        <v>320</v>
      </c>
      <c r="AC128" s="137">
        <f t="shared" si="55"/>
        <v>3990.2000000000003</v>
      </c>
      <c r="AD128" s="136">
        <f t="shared" si="56"/>
        <v>1188.0399999999995</v>
      </c>
      <c r="AE128" s="196">
        <f t="shared" si="57"/>
        <v>0.29773946168111859</v>
      </c>
      <c r="AF128" s="133">
        <v>9104.5299999999988</v>
      </c>
      <c r="AG128" s="124">
        <f t="shared" si="43"/>
        <v>3926.2899999999991</v>
      </c>
    </row>
    <row r="129" spans="1:33">
      <c r="A129" s="105" t="s">
        <v>136</v>
      </c>
      <c r="B129" s="105" t="s">
        <v>379</v>
      </c>
      <c r="C129" s="105" t="s">
        <v>282</v>
      </c>
      <c r="D129" s="164">
        <v>4760</v>
      </c>
      <c r="E129" s="164">
        <v>4376</v>
      </c>
      <c r="F129" s="164">
        <v>4435</v>
      </c>
      <c r="G129" s="164">
        <v>5001</v>
      </c>
      <c r="H129" s="164">
        <v>5172</v>
      </c>
      <c r="I129" s="164">
        <v>4903</v>
      </c>
      <c r="J129" s="164">
        <v>4928</v>
      </c>
      <c r="K129" s="164">
        <v>5031</v>
      </c>
      <c r="L129" s="164">
        <v>5032</v>
      </c>
      <c r="M129" s="164">
        <v>5055</v>
      </c>
      <c r="N129" s="164">
        <v>4693</v>
      </c>
      <c r="O129" s="164">
        <v>4681</v>
      </c>
      <c r="P129" s="200">
        <f t="shared" si="54"/>
        <v>58067</v>
      </c>
      <c r="Q129" s="136">
        <v>5836.73</v>
      </c>
      <c r="R129" s="136">
        <v>6149.3</v>
      </c>
      <c r="S129" s="136">
        <v>5423.41</v>
      </c>
      <c r="T129" s="136">
        <v>7060.04</v>
      </c>
      <c r="U129" s="136">
        <v>7726.56</v>
      </c>
      <c r="V129" s="136">
        <v>7882.04</v>
      </c>
      <c r="W129" s="72">
        <v>7170.73</v>
      </c>
      <c r="X129" s="72">
        <v>8178.27</v>
      </c>
      <c r="Y129" s="72">
        <v>10017</v>
      </c>
      <c r="Z129" s="72">
        <v>9525</v>
      </c>
      <c r="AA129" s="72">
        <v>8909</v>
      </c>
      <c r="AB129" s="72">
        <v>8911</v>
      </c>
      <c r="AC129" s="137">
        <f t="shared" si="55"/>
        <v>92789.08</v>
      </c>
      <c r="AD129" s="136">
        <f t="shared" si="56"/>
        <v>-34722.080000000002</v>
      </c>
      <c r="AE129" s="196">
        <f t="shared" si="57"/>
        <v>-0.37420437836003978</v>
      </c>
      <c r="AF129" s="133">
        <v>124229.67000000001</v>
      </c>
      <c r="AG129" s="124">
        <f t="shared" si="43"/>
        <v>66162.670000000013</v>
      </c>
    </row>
    <row r="130" spans="1:33">
      <c r="A130" s="105" t="s">
        <v>137</v>
      </c>
      <c r="B130" s="105" t="s">
        <v>379</v>
      </c>
      <c r="C130" s="105" t="s">
        <v>283</v>
      </c>
      <c r="D130" s="164">
        <v>24932.9</v>
      </c>
      <c r="E130" s="164">
        <v>21041.9</v>
      </c>
      <c r="F130" s="164">
        <v>21047.84</v>
      </c>
      <c r="G130" s="164">
        <v>21317.84</v>
      </c>
      <c r="H130" s="164">
        <v>22948.9</v>
      </c>
      <c r="I130" s="164">
        <v>21370.41</v>
      </c>
      <c r="J130" s="164">
        <v>21252.41</v>
      </c>
      <c r="K130" s="164">
        <v>21236.41</v>
      </c>
      <c r="L130" s="164">
        <v>21356.41</v>
      </c>
      <c r="M130" s="164">
        <v>24655.98</v>
      </c>
      <c r="N130" s="164">
        <v>21259.84</v>
      </c>
      <c r="O130" s="164">
        <v>21243.84</v>
      </c>
      <c r="P130" s="200">
        <f t="shared" si="54"/>
        <v>263664.68000000005</v>
      </c>
      <c r="Q130" s="136">
        <v>20391.95</v>
      </c>
      <c r="R130" s="136">
        <v>20653.580000000002</v>
      </c>
      <c r="S130" s="136">
        <v>20833.46</v>
      </c>
      <c r="T130" s="136">
        <v>17892.41</v>
      </c>
      <c r="U130" s="136">
        <v>13240.71</v>
      </c>
      <c r="V130" s="136">
        <v>15974.75</v>
      </c>
      <c r="W130" s="72">
        <v>16513.79</v>
      </c>
      <c r="X130" s="72">
        <v>17190.79</v>
      </c>
      <c r="Y130" s="72">
        <v>23533</v>
      </c>
      <c r="Z130" s="72">
        <v>26121</v>
      </c>
      <c r="AA130" s="72">
        <v>23847</v>
      </c>
      <c r="AB130" s="72">
        <v>23847</v>
      </c>
      <c r="AC130" s="137">
        <f t="shared" si="55"/>
        <v>240039.44</v>
      </c>
      <c r="AD130" s="136">
        <f t="shared" si="56"/>
        <v>23625.240000000049</v>
      </c>
      <c r="AE130" s="196">
        <f t="shared" si="57"/>
        <v>9.8422325931105531E-2</v>
      </c>
      <c r="AF130" s="133">
        <v>477568.9</v>
      </c>
      <c r="AG130" s="124">
        <f t="shared" si="43"/>
        <v>213904.21999999997</v>
      </c>
    </row>
    <row r="131" spans="1:33">
      <c r="A131" s="105" t="s">
        <v>138</v>
      </c>
      <c r="B131" s="105" t="s">
        <v>379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54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5"/>
        <v>0</v>
      </c>
      <c r="AD131" s="136">
        <f t="shared" si="56"/>
        <v>0</v>
      </c>
      <c r="AE131" s="196" t="e">
        <f t="shared" si="57"/>
        <v>#DIV/0!</v>
      </c>
      <c r="AF131" s="133">
        <v>0</v>
      </c>
      <c r="AG131" s="124">
        <f t="shared" si="43"/>
        <v>0</v>
      </c>
    </row>
    <row r="132" spans="1:33">
      <c r="A132" s="105" t="s">
        <v>140</v>
      </c>
      <c r="B132" s="105" t="s">
        <v>379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54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5"/>
        <v>0</v>
      </c>
      <c r="AD132" s="136">
        <f t="shared" si="56"/>
        <v>0</v>
      </c>
      <c r="AE132" s="196" t="e">
        <f t="shared" si="57"/>
        <v>#DIV/0!</v>
      </c>
      <c r="AF132" s="133">
        <v>0</v>
      </c>
      <c r="AG132" s="124">
        <f t="shared" si="43"/>
        <v>0</v>
      </c>
    </row>
    <row r="133" spans="1:33">
      <c r="A133" s="105" t="s">
        <v>273</v>
      </c>
      <c r="C133" s="109" t="s">
        <v>523</v>
      </c>
      <c r="D133" s="137">
        <f t="shared" ref="D133:AC133" si="58">SUM(D124:D132)</f>
        <v>30124.420000000002</v>
      </c>
      <c r="E133" s="137">
        <f t="shared" si="58"/>
        <v>25849.420000000002</v>
      </c>
      <c r="F133" s="137">
        <f t="shared" si="58"/>
        <v>25914.36</v>
      </c>
      <c r="G133" s="137">
        <f t="shared" si="58"/>
        <v>26750.36</v>
      </c>
      <c r="H133" s="137">
        <f t="shared" si="58"/>
        <v>28552.420000000002</v>
      </c>
      <c r="I133" s="137">
        <f t="shared" si="58"/>
        <v>26704.93</v>
      </c>
      <c r="J133" s="137">
        <f t="shared" si="58"/>
        <v>26611.93</v>
      </c>
      <c r="K133" s="137">
        <f t="shared" si="58"/>
        <v>26698.93</v>
      </c>
      <c r="L133" s="137">
        <f t="shared" si="58"/>
        <v>26819.93</v>
      </c>
      <c r="M133" s="137">
        <f t="shared" si="58"/>
        <v>30142.5</v>
      </c>
      <c r="N133" s="137">
        <f t="shared" si="58"/>
        <v>26384.36</v>
      </c>
      <c r="O133" s="137">
        <f t="shared" si="58"/>
        <v>26356.36</v>
      </c>
      <c r="P133" s="135">
        <f t="shared" si="58"/>
        <v>326909.92000000004</v>
      </c>
      <c r="Q133" s="137">
        <f t="shared" si="58"/>
        <v>26586.85</v>
      </c>
      <c r="R133" s="137">
        <f t="shared" si="58"/>
        <v>27126.050000000003</v>
      </c>
      <c r="S133" s="137">
        <f t="shared" si="58"/>
        <v>26596.19</v>
      </c>
      <c r="T133" s="137">
        <f t="shared" si="58"/>
        <v>25254.07</v>
      </c>
      <c r="U133" s="137">
        <f t="shared" si="58"/>
        <v>21282.05</v>
      </c>
      <c r="V133" s="137">
        <f t="shared" si="58"/>
        <v>24192.71</v>
      </c>
      <c r="W133" s="137">
        <f t="shared" si="58"/>
        <v>24069.15</v>
      </c>
      <c r="X133" s="137">
        <f t="shared" si="58"/>
        <v>25721.65</v>
      </c>
      <c r="Y133" s="137">
        <f t="shared" si="58"/>
        <v>33870</v>
      </c>
      <c r="Z133" s="137">
        <f t="shared" si="58"/>
        <v>35966</v>
      </c>
      <c r="AA133" s="137">
        <f t="shared" si="58"/>
        <v>33076</v>
      </c>
      <c r="AB133" s="137">
        <f t="shared" si="58"/>
        <v>33078</v>
      </c>
      <c r="AC133" s="137">
        <f t="shared" si="58"/>
        <v>336818.72</v>
      </c>
      <c r="AD133" s="136">
        <f t="shared" si="56"/>
        <v>-9908.7999999999302</v>
      </c>
      <c r="AE133" s="196">
        <f t="shared" si="57"/>
        <v>-2.9418792399662143E-2</v>
      </c>
      <c r="AF133" s="133">
        <v>610903.10000000009</v>
      </c>
      <c r="AG133" s="124">
        <f t="shared" si="43"/>
        <v>283993.18000000005</v>
      </c>
    </row>
    <row r="134" spans="1:33">
      <c r="A134" s="105" t="s">
        <v>273</v>
      </c>
      <c r="C134" s="109" t="s">
        <v>524</v>
      </c>
      <c r="D134" s="137">
        <f t="shared" ref="D134:AC134" si="59">D105+D112+D122+D133</f>
        <v>227091.06000000003</v>
      </c>
      <c r="E134" s="137">
        <f t="shared" si="59"/>
        <v>176856.84</v>
      </c>
      <c r="F134" s="137">
        <f t="shared" si="59"/>
        <v>180433.78999999998</v>
      </c>
      <c r="G134" s="137">
        <f t="shared" si="59"/>
        <v>190720.11</v>
      </c>
      <c r="H134" s="137">
        <f t="shared" si="59"/>
        <v>198312.42</v>
      </c>
      <c r="I134" s="137">
        <f t="shared" si="59"/>
        <v>181224.36</v>
      </c>
      <c r="J134" s="137">
        <f t="shared" si="59"/>
        <v>182203.40999999997</v>
      </c>
      <c r="K134" s="137">
        <f t="shared" si="59"/>
        <v>181796.03999999998</v>
      </c>
      <c r="L134" s="137">
        <f t="shared" si="59"/>
        <v>181917.03999999998</v>
      </c>
      <c r="M134" s="137">
        <f t="shared" si="59"/>
        <v>229412.09</v>
      </c>
      <c r="N134" s="137">
        <f t="shared" si="59"/>
        <v>181975.83999999997</v>
      </c>
      <c r="O134" s="137">
        <f t="shared" si="59"/>
        <v>181453.46999999997</v>
      </c>
      <c r="P134" s="135">
        <f t="shared" si="59"/>
        <v>2293396.4700000002</v>
      </c>
      <c r="Q134" s="137">
        <f t="shared" si="59"/>
        <v>224758.80000000002</v>
      </c>
      <c r="R134" s="137">
        <f t="shared" si="59"/>
        <v>237932.41999999998</v>
      </c>
      <c r="S134" s="137">
        <f t="shared" si="59"/>
        <v>184509.26</v>
      </c>
      <c r="T134" s="137">
        <f t="shared" si="59"/>
        <v>179370.78000000003</v>
      </c>
      <c r="U134" s="137">
        <f t="shared" si="59"/>
        <v>148519.10999999999</v>
      </c>
      <c r="V134" s="137">
        <f t="shared" si="59"/>
        <v>190129.56999999998</v>
      </c>
      <c r="W134" s="137">
        <f t="shared" si="59"/>
        <v>175701.86</v>
      </c>
      <c r="X134" s="137">
        <f t="shared" si="59"/>
        <v>184426.88999999998</v>
      </c>
      <c r="Y134" s="137">
        <f t="shared" si="59"/>
        <v>201338.16999999998</v>
      </c>
      <c r="Z134" s="137">
        <f t="shared" si="59"/>
        <v>226115.16999999998</v>
      </c>
      <c r="AA134" s="137">
        <f t="shared" si="59"/>
        <v>189443.16999999998</v>
      </c>
      <c r="AB134" s="137">
        <f t="shared" si="59"/>
        <v>189605.16999999998</v>
      </c>
      <c r="AC134" s="137">
        <f t="shared" si="59"/>
        <v>2331850.37</v>
      </c>
      <c r="AD134" s="136">
        <f t="shared" si="56"/>
        <v>-38453.899999999907</v>
      </c>
      <c r="AE134" s="196">
        <f t="shared" si="57"/>
        <v>-1.6490723630779063E-2</v>
      </c>
      <c r="AF134" s="133">
        <v>2919037.62</v>
      </c>
      <c r="AG134" s="124">
        <f t="shared" si="43"/>
        <v>625641.14999999991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3"/>
        <v>0</v>
      </c>
    </row>
    <row r="136" spans="1:33" s="224" customFormat="1">
      <c r="A136" s="224" t="s">
        <v>141</v>
      </c>
      <c r="B136" s="224" t="s">
        <v>379</v>
      </c>
      <c r="C136" s="224" t="s">
        <v>142</v>
      </c>
      <c r="D136" s="215">
        <v>19</v>
      </c>
      <c r="E136" s="215">
        <v>19</v>
      </c>
      <c r="F136" s="215">
        <v>19</v>
      </c>
      <c r="G136" s="215">
        <v>19</v>
      </c>
      <c r="H136" s="215">
        <v>19</v>
      </c>
      <c r="I136" s="215">
        <v>19</v>
      </c>
      <c r="J136" s="215">
        <v>19</v>
      </c>
      <c r="K136" s="215">
        <v>19</v>
      </c>
      <c r="L136" s="215">
        <v>19</v>
      </c>
      <c r="M136" s="215">
        <v>19</v>
      </c>
      <c r="N136" s="215">
        <v>19</v>
      </c>
      <c r="O136" s="215">
        <v>19</v>
      </c>
      <c r="P136" s="225">
        <f>SUM(D136:O136)/12</f>
        <v>19</v>
      </c>
      <c r="Q136" s="225">
        <v>19</v>
      </c>
      <c r="R136" s="225">
        <v>17</v>
      </c>
      <c r="S136" s="225">
        <v>18</v>
      </c>
      <c r="T136" s="225">
        <v>16</v>
      </c>
      <c r="U136" s="225">
        <v>16</v>
      </c>
      <c r="V136" s="225">
        <v>17</v>
      </c>
      <c r="W136" s="127">
        <v>18</v>
      </c>
      <c r="X136" s="127">
        <v>18</v>
      </c>
      <c r="Y136" s="127">
        <v>20</v>
      </c>
      <c r="Z136" s="127">
        <v>20</v>
      </c>
      <c r="AA136" s="127">
        <v>20</v>
      </c>
      <c r="AB136" s="127">
        <v>20</v>
      </c>
      <c r="AC136" s="225">
        <f>SUM(Q136:AB136)/12</f>
        <v>18.25</v>
      </c>
      <c r="AD136" s="225">
        <f t="shared" ref="AD136" si="60">P136-AC136</f>
        <v>0.75</v>
      </c>
      <c r="AE136" s="226">
        <f t="shared" ref="AE136" si="61">AD136/AC136</f>
        <v>4.1095890410958902E-2</v>
      </c>
      <c r="AF136" s="227">
        <v>29.5</v>
      </c>
      <c r="AG136" s="228">
        <f t="shared" si="43"/>
        <v>10.5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229">
        <v>2036</v>
      </c>
      <c r="E138" s="229">
        <v>2036</v>
      </c>
      <c r="F138" s="229">
        <v>2036</v>
      </c>
      <c r="G138" s="229">
        <v>2036</v>
      </c>
      <c r="H138" s="229">
        <v>2036</v>
      </c>
      <c r="I138" s="229">
        <v>2036</v>
      </c>
      <c r="J138" s="229">
        <v>2036</v>
      </c>
      <c r="K138" s="229">
        <v>2036</v>
      </c>
      <c r="L138" s="229">
        <v>2036</v>
      </c>
      <c r="M138" s="229">
        <v>2036</v>
      </c>
      <c r="N138" s="229">
        <v>2036</v>
      </c>
      <c r="O138" s="229">
        <v>2036</v>
      </c>
      <c r="P138" s="200">
        <f t="shared" ref="P138:P140" si="62">SUM(D138:O138)</f>
        <v>24432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16">
        <v>0</v>
      </c>
      <c r="E139" s="116">
        <v>0</v>
      </c>
      <c r="F139" s="116">
        <v>0</v>
      </c>
      <c r="G139" s="116">
        <v>0</v>
      </c>
      <c r="H139" s="116">
        <v>0</v>
      </c>
      <c r="I139" s="116">
        <v>0</v>
      </c>
      <c r="J139" s="116">
        <v>0</v>
      </c>
      <c r="K139" s="116">
        <v>0</v>
      </c>
      <c r="L139" s="116">
        <v>0</v>
      </c>
      <c r="M139" s="116">
        <v>0</v>
      </c>
      <c r="N139" s="116">
        <v>0</v>
      </c>
      <c r="O139" s="116">
        <v>0</v>
      </c>
      <c r="P139" s="200">
        <f t="shared" si="62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16">
        <v>36124.300000000003</v>
      </c>
      <c r="E140" s="116">
        <v>27773.48</v>
      </c>
      <c r="F140" s="116">
        <v>27856.48</v>
      </c>
      <c r="G140" s="116">
        <v>29615.440000000002</v>
      </c>
      <c r="H140" s="116">
        <v>32449.360000000001</v>
      </c>
      <c r="I140" s="116">
        <v>28248.48</v>
      </c>
      <c r="J140" s="116">
        <v>28227.48</v>
      </c>
      <c r="K140" s="116">
        <v>28294.48</v>
      </c>
      <c r="L140" s="116">
        <v>28335.48</v>
      </c>
      <c r="M140" s="116">
        <v>36519.300000000003</v>
      </c>
      <c r="N140" s="116">
        <v>28110.48</v>
      </c>
      <c r="O140" s="116">
        <v>28096.48</v>
      </c>
      <c r="P140" s="200">
        <f t="shared" si="62"/>
        <v>359651.24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3"/>
      <c r="AD140" s="136"/>
      <c r="AG140" s="123"/>
    </row>
    <row r="141" spans="1:33">
      <c r="C141" s="109" t="s">
        <v>476</v>
      </c>
      <c r="D141" s="117">
        <f>SUM(D138:D140)</f>
        <v>38160.300000000003</v>
      </c>
      <c r="E141" s="117">
        <f t="shared" ref="E141:P141" si="63">SUM(E138:E140)</f>
        <v>29809.48</v>
      </c>
      <c r="F141" s="117">
        <f t="shared" si="63"/>
        <v>29892.48</v>
      </c>
      <c r="G141" s="117">
        <f t="shared" si="63"/>
        <v>31651.440000000002</v>
      </c>
      <c r="H141" s="117">
        <f t="shared" si="63"/>
        <v>34485.360000000001</v>
      </c>
      <c r="I141" s="117">
        <f t="shared" si="63"/>
        <v>30284.48</v>
      </c>
      <c r="J141" s="117">
        <f t="shared" si="63"/>
        <v>30263.48</v>
      </c>
      <c r="K141" s="117">
        <f t="shared" si="63"/>
        <v>30330.48</v>
      </c>
      <c r="L141" s="117">
        <f t="shared" si="63"/>
        <v>30371.48</v>
      </c>
      <c r="M141" s="117">
        <f t="shared" si="63"/>
        <v>38555.300000000003</v>
      </c>
      <c r="N141" s="117">
        <f t="shared" si="63"/>
        <v>30146.48</v>
      </c>
      <c r="O141" s="117">
        <f t="shared" si="63"/>
        <v>30132.48</v>
      </c>
      <c r="P141" s="117">
        <f t="shared" si="63"/>
        <v>384083.24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67">
    <dataValidation type="textLength" errorStyle="information" allowBlank="1" showInputMessage="1" showErrorMessage="1" error="XLBVal:6=18_x000d__x000a_" sqref="S136">
      <formula1>0</formula1>
      <formula2>300</formula2>
    </dataValidation>
    <dataValidation type="textLength" errorStyle="information" allowBlank="1" showInputMessage="1" showErrorMessage="1" error="XLBVal:6=4931.61_x000d__x000a_" sqref="U119">
      <formula1>0</formula1>
      <formula2>300</formula2>
    </dataValidation>
    <dataValidation type="textLength" errorStyle="information" allowBlank="1" showInputMessage="1" showErrorMessage="1" error="XLBVal:6=7478_x000d__x000a_" sqref="Q119">
      <formula1>0</formula1>
      <formula2>300</formula2>
    </dataValidation>
    <dataValidation type="textLength" errorStyle="information" allowBlank="1" showInputMessage="1" showErrorMessage="1" error="XLBVal:6=24045.96_x000d__x000a_" sqref="Q108">
      <formula1>0</formula1>
      <formula2>300</formula2>
    </dataValidation>
    <dataValidation type="textLength" errorStyle="information" allowBlank="1" showInputMessage="1" showErrorMessage="1" error="XLBVal:6=5358.65_x000d__x000a_" sqref="V107">
      <formula1>0</formula1>
      <formula2>300</formula2>
    </dataValidation>
    <dataValidation type="textLength" errorStyle="information" allowBlank="1" showInputMessage="1" showErrorMessage="1" error="XLBVal:6=28700_x000d__x000a_" sqref="T104">
      <formula1>0</formula1>
      <formula2>300</formula2>
    </dataValidation>
    <dataValidation type="textLength" errorStyle="information" allowBlank="1" showInputMessage="1" showErrorMessage="1" error="XLBVal:6=38528.92_x000d__x000a_" sqref="V102">
      <formula1>0</formula1>
      <formula2>300</formula2>
    </dataValidation>
    <dataValidation type="textLength" errorStyle="information" allowBlank="1" showInputMessage="1" showErrorMessage="1" error="XLBVal:6=36009.38_x000d__x000a_" sqref="U102">
      <formula1>0</formula1>
      <formula2>300</formula2>
    </dataValidation>
    <dataValidation type="textLength" errorStyle="information" allowBlank="1" showInputMessage="1" showErrorMessage="1" error="XLBVal:6=1_x000d__x000a_" sqref="V85">
      <formula1>0</formula1>
      <formula2>300</formula2>
    </dataValidation>
    <dataValidation type="textLength" errorStyle="information" allowBlank="1" showInputMessage="1" showErrorMessage="1" error="XLBVal:6=80328.06_x000d__x000a_" sqref="Q79">
      <formula1>0</formula1>
      <formula2>300</formula2>
    </dataValidation>
    <dataValidation type="textLength" errorStyle="information" allowBlank="1" showInputMessage="1" showErrorMessage="1" error="XLBVal:6=524.03_x000d__x000a_" sqref="S78">
      <formula1>0</formula1>
      <formula2>300</formula2>
    </dataValidation>
    <dataValidation type="textLength" errorStyle="information" allowBlank="1" showInputMessage="1" showErrorMessage="1" error="XLBVal:6=1725.4_x000d__x000a_" sqref="R78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-102.4_x000d__x000a_" sqref="U59">
      <formula1>0</formula1>
      <formula2>300</formula2>
    </dataValidation>
    <dataValidation type="textLength" errorStyle="information" allowBlank="1" showInputMessage="1" showErrorMessage="1" error="XLBVal:6=1809_x000d__x000a_" sqref="S59">
      <formula1>0</formula1>
      <formula2>300</formula2>
    </dataValidation>
    <dataValidation type="textLength" errorStyle="information" allowBlank="1" showInputMessage="1" showErrorMessage="1" error="XLBVal:6=1737.32_x000d__x000a_" sqref="Q59">
      <formula1>0</formula1>
      <formula2>300</formula2>
    </dataValidation>
    <dataValidation type="textLength" errorStyle="information" allowBlank="1" showInputMessage="1" showErrorMessage="1" error="XLBVal:6=228.14_x000d__x000a_" sqref="T58">
      <formula1>0</formula1>
      <formula2>300</formula2>
    </dataValidation>
    <dataValidation type="textLength" errorStyle="information" allowBlank="1" showInputMessage="1" showErrorMessage="1" error="XLBVal:6=3347.57_x000d__x000a_" sqref="R56">
      <formula1>0</formula1>
      <formula2>300</formula2>
    </dataValidation>
    <dataValidation type="textLength" errorStyle="information" allowBlank="1" showInputMessage="1" showErrorMessage="1" error="XLBVal:6=1321.6_x000d__x000a_" sqref="Q56">
      <formula1>0</formula1>
      <formula2>300</formula2>
    </dataValidation>
    <dataValidation type="textLength" errorStyle="information" allowBlank="1" showInputMessage="1" showErrorMessage="1" error="XLBVal:6=13000_x000d__x000a_" sqref="R54">
      <formula1>0</formula1>
      <formula2>300</formula2>
    </dataValidation>
    <dataValidation type="textLength" errorStyle="information" allowBlank="1" showInputMessage="1" showErrorMessage="1" error="XLBVal:6=140_x000d__x000a_" sqref="U51">
      <formula1>0</formula1>
      <formula2>300</formula2>
    </dataValidation>
    <dataValidation type="textLength" errorStyle="information" allowBlank="1" showInputMessage="1" showErrorMessage="1" error="XLBVal:6=531.04_x000d__x000a_" sqref="R48">
      <formula1>0</formula1>
      <formula2>300</formula2>
    </dataValidation>
    <dataValidation type="textLength" errorStyle="information" allowBlank="1" showInputMessage="1" showErrorMessage="1" error="XLBVal:6=1050.11_x000d__x000a_" sqref="Q44">
      <formula1>0</formula1>
      <formula2>300</formula2>
    </dataValidation>
    <dataValidation type="textLength" errorStyle="information" allowBlank="1" showInputMessage="1" showErrorMessage="1" error="XLBVal:6=20330.56_x000d__x000a_" sqref="Q43">
      <formula1>0</formula1>
      <formula2>300</formula2>
    </dataValidation>
    <dataValidation type="textLength" errorStyle="information" allowBlank="1" showInputMessage="1" showErrorMessage="1" error="XLBVal:6=16.5_x000d__x000a_" sqref="U25">
      <formula1>0</formula1>
      <formula2>300</formula2>
    </dataValidation>
    <dataValidation type="textLength" errorStyle="information" allowBlank="1" showInputMessage="1" showErrorMessage="1" error="XLBVal:6=468.4_x000d__x000a_" sqref="T25">
      <formula1>0</formula1>
      <formula2>300</formula2>
    </dataValidation>
    <dataValidation type="textLength" errorStyle="information" allowBlank="1" showInputMessage="1" showErrorMessage="1" error="XLBVal:6=41.2_x000d__x000a_" sqref="V9">
      <formula1>0</formula1>
      <formula2>300</formula2>
    </dataValidation>
    <dataValidation type="textLength" errorStyle="information" allowBlank="1" showInputMessage="1" showErrorMessage="1" error="XLBVal:6=34143_x000d__x000a_" sqref="D102">
      <formula1>0</formula1>
      <formula2>300</formula2>
    </dataValidation>
    <dataValidation type="textLength" errorStyle="information" allowBlank="1" showInputMessage="1" showErrorMessage="1" error="XLBVal:6=61308.36_x000d__x000a_" sqref="D103:D104 D107:O111 D114:O121 D124:O128 D136:O136">
      <formula1>0</formula1>
      <formula2>300</formula2>
    </dataValidation>
    <dataValidation type="textLength" errorStyle="information" allowBlank="1" showInputMessage="1" showErrorMessage="1" error="XLBVal:6=15088.13_x000d__x000a_" sqref="V108">
      <formula1>0</formula1>
      <formula2>300</formula2>
    </dataValidation>
    <dataValidation type="textLength" errorStyle="information" allowBlank="1" showInputMessage="1" showErrorMessage="1" error="XLBVal:6=10705.46_x000d__x000a_" sqref="U108">
      <formula1>0</formula1>
      <formula2>300</formula2>
    </dataValidation>
    <dataValidation type="textLength" errorStyle="information" allowBlank="1" showInputMessage="1" showErrorMessage="1" error="XLBVal:6=364.78_x000d__x000a_" sqref="T61:V61">
      <formula1>0</formula1>
      <formula2>300</formula2>
    </dataValidation>
    <dataValidation type="textLength" errorStyle="information" allowBlank="1" showInputMessage="1" showErrorMessage="1" error="XLBVal:6=4095.04_x000d__x000a_" sqref="T60">
      <formula1>0</formula1>
      <formula2>300</formula2>
    </dataValidation>
    <dataValidation type="textLength" errorStyle="information" allowBlank="1" showInputMessage="1" showErrorMessage="1" error="XLBVal:6=1240_x000d__x000a_" sqref="Q60">
      <formula1>0</formula1>
      <formula2>300</formula2>
    </dataValidation>
    <dataValidation type="textLength" errorStyle="information" allowBlank="1" showInputMessage="1" showErrorMessage="1" error="XLBVal:6=1773.15_x000d__x000a_" sqref="R59">
      <formula1>0</formula1>
      <formula2>300</formula2>
    </dataValidation>
    <dataValidation type="textLength" errorStyle="information" allowBlank="1" showInputMessage="1" showErrorMessage="1" error="XLBVal:6=12000_x000d__x000a_" sqref="R53">
      <formula1>0</formula1>
      <formula2>300</formula2>
    </dataValidation>
    <dataValidation type="textLength" errorStyle="information" allowBlank="1" showInputMessage="1" showErrorMessage="1" error="XLBVal:6=265.52_x000d__x000a_" sqref="S48:V48">
      <formula1>0</formula1>
      <formula2>300</formula2>
    </dataValidation>
    <dataValidation type="textLength" errorStyle="information" allowBlank="1" showInputMessage="1" showErrorMessage="1" error="XLBVal:6=280_x000d__x000a_" sqref="V51">
      <formula1>0</formula1>
      <formula2>300</formula2>
    </dataValidation>
    <dataValidation type="textLength" errorStyle="information" allowBlank="1" showInputMessage="1" showErrorMessage="1" error="XLBVal:6=72899.8_x000d__x000a_" sqref="X11">
      <formula1>0</formula1>
      <formula2>300</formula2>
    </dataValidation>
    <dataValidation type="textLength" errorStyle="information" allowBlank="1" showInputMessage="1" showErrorMessage="1" error="XLBVal:6=82977.64_x000d__x000a_" sqref="X10">
      <formula1>0</formula1>
      <formula2>300</formula2>
    </dataValidation>
    <dataValidation type="textLength" errorStyle="information" allowBlank="1" showInputMessage="1" showErrorMessage="1" error="XLBVal:6=231.46_x000d__x000a_" sqref="S61">
      <formula1>0</formula1>
      <formula2>300</formula2>
    </dataValidation>
    <dataValidation type="textLength" errorStyle="information" allowBlank="1" showInputMessage="1" showErrorMessage="1" error="XLBVal:6=36_x000d__x000a_" sqref="U58 Q58">
      <formula1>0</formula1>
      <formula2>300</formula2>
    </dataValidation>
    <dataValidation type="textLength" errorStyle="information" allowBlank="1" showInputMessage="1" showErrorMessage="1" error="XLBVal:6=4987.9_x000d__x000a_" sqref="V19">
      <formula1>0</formula1>
      <formula2>300</formula2>
    </dataValidation>
    <dataValidation type="textLength" errorStyle="information" allowBlank="1" showInputMessage="1" showErrorMessage="1" error="XLBVal:6=330.8_x000d__x000a_" sqref="V18">
      <formula1>0</formula1>
      <formula2>300</formula2>
    </dataValidation>
    <dataValidation type="textLength" errorStyle="information" allowBlank="1" showInputMessage="1" showErrorMessage="1" error="XLBVal:6=2102213.42_x000d__x000a_" sqref="D9:O13">
      <formula1>0</formula1>
      <formula2>300</formula2>
    </dataValidation>
    <dataValidation type="textLength" errorStyle="information" allowBlank="1" showInputMessage="1" showErrorMessage="1" error="XLBVal:6=334373.5_x000d__x000a_" sqref="W11 W17:AB21 W24:AB26 W30:AB32 W38:AB79 W85:AB89 W93:AB97 W102:AB104 W107:AB111 W136:AB136 W124:AB132 W114:AB121">
      <formula1>0</formula1>
      <formula2>300</formula2>
    </dataValidation>
    <dataValidation type="textLength" errorStyle="information" allowBlank="1" showInputMessage="1" showErrorMessage="1" error="XLBVal:6=304207.6_x000d__x000a_" sqref="W10">
      <formula1>0</formula1>
      <formula2>300</formula2>
    </dataValidation>
    <dataValidation type="textLength" errorStyle="information" allowBlank="1" showInputMessage="1" showErrorMessage="1" error="XLBVal:6=10160.92_x000d__x000a_" sqref="V103">
      <formula1>0</formula1>
      <formula2>300</formula2>
    </dataValidation>
    <dataValidation type="textLength" errorStyle="information" allowBlank="1" showInputMessage="1" showErrorMessage="1" error="XLBVal:6=1127_x000d__x000a_" sqref="V87">
      <formula1>0</formula1>
      <formula2>300</formula2>
    </dataValidation>
    <dataValidation type="textLength" errorStyle="information" allowBlank="1" showInputMessage="1" showErrorMessage="1" error="XLBVal:6=752_x000d__x000a_" sqref="V86">
      <formula1>0</formula1>
      <formula2>300</formula2>
    </dataValidation>
    <dataValidation type="textLength" errorStyle="information" allowBlank="1" showInputMessage="1" showErrorMessage="1" error="XLBVal:6=33636.2_x000d__x000a_" sqref="V79">
      <formula1>0</formula1>
      <formula2>300</formula2>
    </dataValidation>
    <dataValidation type="textLength" errorStyle="information" allowBlank="1" showInputMessage="1" showErrorMessage="1" error="XLBVal:6=732.28_x000d__x000a_" sqref="V63">
      <formula1>0</formula1>
      <formula2>300</formula2>
    </dataValidation>
    <dataValidation type="textLength" errorStyle="information" allowBlank="1" showInputMessage="1" showErrorMessage="1" error="XLBVal:6=407.6_x000d__x000a_" sqref="V49">
      <formula1>0</formula1>
      <formula2>300</formula2>
    </dataValidation>
    <dataValidation type="textLength" errorStyle="information" allowBlank="1" showInputMessage="1" showErrorMessage="1" error="XLBVal:6=8437.71_x000d__x000a_" sqref="V38">
      <formula1>0</formula1>
      <formula2>300</formula2>
    </dataValidation>
    <dataValidation type="textLength" errorStyle="information" allowBlank="1" showInputMessage="1" showErrorMessage="1" error="XLBVal:6=1252.65_x000d__x000a_" sqref="V31">
      <formula1>0</formula1>
      <formula2>300</formula2>
    </dataValidation>
    <dataValidation type="textLength" errorStyle="information" allowBlank="1" showInputMessage="1" showErrorMessage="1" error="XLBVal:6=75849.39_x000d__x000a_" sqref="V30">
      <formula1>0</formula1>
      <formula2>300</formula2>
    </dataValidation>
    <dataValidation type="textLength" errorStyle="information" allowBlank="1" showInputMessage="1" showErrorMessage="1" error="XLBVal:6=12028.5_x000d__x000a_" sqref="V26">
      <formula1>0</formula1>
      <formula2>300</formula2>
    </dataValidation>
    <dataValidation type="textLength" errorStyle="information" allowBlank="1" showInputMessage="1" showErrorMessage="1" error="XLBVal:6=1896_x000d__x000a_" sqref="I19">
      <formula1>0</formula1>
      <formula2>300</formula2>
    </dataValidation>
    <dataValidation type="textLength" errorStyle="information" allowBlank="1" showInputMessage="1" showErrorMessage="1" error="XLBVal:6=1596_x000d__x000a_" sqref="I18">
      <formula1>0</formula1>
      <formula2>300</formula2>
    </dataValidation>
    <dataValidation type="textLength" errorStyle="information" allowBlank="1" showInputMessage="1" showErrorMessage="1" error="XLBVal:6=100_x000d__x000a_" sqref="I17">
      <formula1>0</formula1>
      <formula2>300</formula2>
    </dataValidation>
    <dataValidation type="textLength" errorStyle="information" allowBlank="1" showInputMessage="1" showErrorMessage="1" error="XLBVal:6=160809.97_x000d__x000a_" sqref="V11">
      <formula1>0</formula1>
      <formula2>300</formula2>
    </dataValidation>
    <dataValidation type="textLength" errorStyle="information" allowBlank="1" showInputMessage="1" showErrorMessage="1" error="XLBVal:6=91474.1_x000d__x000a_" sqref="V10">
      <formula1>0</formula1>
      <formula2>300</formula2>
    </dataValidation>
    <dataValidation type="textLength" errorStyle="information" allowBlank="1" showInputMessage="1" showErrorMessage="1" error="XLBVal:6=14609_x000d__x000a_" sqref="H19">
      <formula1>0</formula1>
      <formula2>300</formula2>
    </dataValidation>
    <dataValidation type="textLength" errorStyle="information" allowBlank="1" showInputMessage="1" showErrorMessage="1" error="XLBVal:6=1202_x000d__x000a_" sqref="H18">
      <formula1>0</formula1>
      <formula2>300</formula2>
    </dataValidation>
    <dataValidation type="textLength" errorStyle="information" allowBlank="1" showInputMessage="1" showErrorMessage="1" error="XLBVal:6=47_x000d__x000a_" sqref="G85">
      <formula1>0</formula1>
      <formula2>300</formula2>
    </dataValidation>
    <dataValidation type="textLength" errorStyle="information" allowBlank="1" showInputMessage="1" showErrorMessage="1" error="XLBVal:6=1286.5_x000d__x000a_" sqref="G25">
      <formula1>0</formula1>
      <formula2>300</formula2>
    </dataValidation>
    <dataValidation type="textLength" errorStyle="information" allowBlank="1" showInputMessage="1" showErrorMessage="1" error="XLBVal:6=5012_x000d__x000a_" sqref="G19">
      <formula1>0</formula1>
      <formula2>300</formula2>
    </dataValidation>
    <dataValidation type="textLength" errorStyle="information" allowBlank="1" showInputMessage="1" showErrorMessage="1" error="XLBVal:6=3264_x000d__x000a_" sqref="G18">
      <formula1>0</formula1>
      <formula2>300</formula2>
    </dataValidation>
    <dataValidation type="textLength" errorStyle="information" allowBlank="1" showInputMessage="1" showErrorMessage="1" error="XLBVal:6=22070.03_x000d__x000a_" sqref="S108">
      <formula1>0</formula1>
      <formula2>300</formula2>
    </dataValidation>
    <dataValidation type="textLength" errorStyle="information" allowBlank="1" showInputMessage="1" showErrorMessage="1" error="XLBVal:6=22214.58_x000d__x000a_" sqref="R108">
      <formula1>0</formula1>
      <formula2>300</formula2>
    </dataValidation>
    <dataValidation type="textLength" errorStyle="information" allowBlank="1" showInputMessage="1" showErrorMessage="1" error="XLBVal:6=39875.34_x000d__x000a_" sqref="E102:O104">
      <formula1>0</formula1>
      <formula2>300</formula2>
    </dataValidation>
    <dataValidation type="textLength" errorStyle="information" allowBlank="1" showInputMessage="1" showErrorMessage="1" error="XLBVal:6=834_x000d__x000a_" sqref="D86:O87">
      <formula1>0</formula1>
      <formula2>300</formula2>
    </dataValidation>
    <dataValidation type="textLength" errorStyle="information" allowBlank="1" showInputMessage="1" showErrorMessage="1" error="XLBVal:6=9_x000d__x000a_" sqref="E85">
      <formula1>0</formula1>
      <formula2>300</formula2>
    </dataValidation>
    <dataValidation type="textLength" errorStyle="information" allowBlank="1" showInputMessage="1" showErrorMessage="1" error="XLBVal:6=3738.41_x000d__x000a_" sqref="D38:O42 D73:O78 D44:O71">
      <formula1>0</formula1>
      <formula2>300</formula2>
    </dataValidation>
    <dataValidation type="textLength" errorStyle="information" allowBlank="1" showInputMessage="1" showErrorMessage="1" error="XLBVal:6=6784.33_x000d__x000a_" sqref="D31:O31">
      <formula1>0</formula1>
      <formula2>300</formula2>
    </dataValidation>
    <dataValidation type="textLength" errorStyle="information" allowBlank="1" showInputMessage="1" showErrorMessage="1" error="XLBVal:6=551967.33_x000d__x000a_" sqref="R30">
      <formula1>0</formula1>
      <formula2>300</formula2>
    </dataValidation>
    <dataValidation type="textLength" errorStyle="information" allowBlank="1" showInputMessage="1" showErrorMessage="1" error="XLBVal:6=42725.7_x000d__x000a_" sqref="D26:O26">
      <formula1>0</formula1>
      <formula2>300</formula2>
    </dataValidation>
    <dataValidation type="textLength" errorStyle="information" allowBlank="1" showInputMessage="1" showErrorMessage="1" error="XLBVal:6=361.2_x000d__x000a_" sqref="E25">
      <formula1>0</formula1>
      <formula2>300</formula2>
    </dataValidation>
    <dataValidation type="textLength" errorStyle="information" allowBlank="1" showInputMessage="1" showErrorMessage="1" error="XLBVal:6=200_x000d__x000a_" sqref="D25">
      <formula1>0</formula1>
      <formula2>300</formula2>
    </dataValidation>
    <dataValidation type="textLength" errorStyle="information" allowBlank="1" showInputMessage="1" showErrorMessage="1" error="XLBVal:6=20086_x000d__x000a_" sqref="F19">
      <formula1>0</formula1>
      <formula2>300</formula2>
    </dataValidation>
    <dataValidation type="textLength" errorStyle="information" allowBlank="1" showInputMessage="1" showErrorMessage="1" error="XLBVal:6=79198.56_x000d__x000a_" sqref="E19">
      <formula1>0</formula1>
      <formula2>300</formula2>
    </dataValidation>
    <dataValidation type="textLength" errorStyle="information" allowBlank="1" showInputMessage="1" showErrorMessage="1" error="XLBVal:6=16760_x000d__x000a_" sqref="D19">
      <formula1>0</formula1>
      <formula2>300</formula2>
    </dataValidation>
    <dataValidation type="textLength" errorStyle="information" allowBlank="1" showInputMessage="1" showErrorMessage="1" error="XLBVal:6=1690_x000d__x000a_" sqref="F18">
      <formula1>0</formula1>
      <formula2>300</formula2>
    </dataValidation>
    <dataValidation type="textLength" errorStyle="information" allowBlank="1" showInputMessage="1" showErrorMessage="1" error="XLBVal:6=5019.4_x000d__x000a_" sqref="E18">
      <formula1>0</formula1>
      <formula2>300</formula2>
    </dataValidation>
    <dataValidation type="textLength" errorStyle="information" allowBlank="1" showInputMessage="1" showErrorMessage="1" error="XLBVal:6=3066_x000d__x000a_" sqref="D18">
      <formula1>0</formula1>
      <formula2>300</formula2>
    </dataValidation>
    <dataValidation type="textLength" errorStyle="information" allowBlank="1" showInputMessage="1" showErrorMessage="1" error="XLBVal:6=2_x000d__x000a_" sqref="H85">
      <formula1>0</formula1>
      <formula2>300</formula2>
    </dataValidation>
    <dataValidation type="textLength" errorStyle="information" allowBlank="1" showInputMessage="1" showErrorMessage="1" error="XLBVal:6=24_x000d__x000a_" sqref="V58">
      <formula1>0</formula1>
      <formula2>300</formula2>
    </dataValidation>
    <dataValidation type="textLength" errorStyle="information" allowBlank="1" showInputMessage="1" showErrorMessage="1" error="XLBVal:6=685.09_x000d__x000a_" sqref="V116">
      <formula1>0</formula1>
      <formula2>300</formula2>
    </dataValidation>
    <dataValidation type="textLength" errorStyle="information" allowBlank="1" showInputMessage="1" showErrorMessage="1" error="XLBVal:6=513.56_x000d__x000a_" sqref="U116">
      <formula1>0</formula1>
      <formula2>300</formula2>
    </dataValidation>
    <dataValidation type="textLength" errorStyle="information" allowBlank="1" showInputMessage="1" showErrorMessage="1" error="XLBVal:6=630.34_x000d__x000a_" sqref="T116">
      <formula1>0</formula1>
      <formula2>300</formula2>
    </dataValidation>
    <dataValidation type="textLength" errorStyle="information" allowBlank="1" showInputMessage="1" showErrorMessage="1" error="XLBVal:6=582.04_x000d__x000a_" sqref="S116">
      <formula1>0</formula1>
      <formula2>300</formula2>
    </dataValidation>
    <dataValidation type="textLength" errorStyle="information" allowBlank="1" showInputMessage="1" showErrorMessage="1" error="XLBVal:6=723.41_x000d__x000a_" sqref="R116">
      <formula1>0</formula1>
      <formula2>300</formula2>
    </dataValidation>
    <dataValidation type="textLength" errorStyle="information" allowBlank="1" showInputMessage="1" showErrorMessage="1" error="XLBVal:6=750.52_x000d__x000a_" sqref="Q116">
      <formula1>0</formula1>
      <formula2>300</formula2>
    </dataValidation>
    <dataValidation type="textLength" errorStyle="information" allowBlank="1" showInputMessage="1" showErrorMessage="1" error="XLBVal:6=13479.92_x000d__x000a_" sqref="T108">
      <formula1>0</formula1>
      <formula2>300</formula2>
    </dataValidation>
    <dataValidation type="textLength" errorStyle="information" allowBlank="1" showInputMessage="1" showErrorMessage="1" error="XLBVal:6=103_x000d__x000a_" sqref="T74:V74">
      <formula1>0</formula1>
      <formula2>300</formula2>
    </dataValidation>
    <dataValidation type="textLength" errorStyle="information" allowBlank="1" showInputMessage="1" showErrorMessage="1" error="XLBVal:6=95.52_x000d__x000a_" sqref="S74">
      <formula1>0</formula1>
      <formula2>300</formula2>
    </dataValidation>
    <dataValidation type="textLength" errorStyle="information" allowBlank="1" showInputMessage="1" showErrorMessage="1" error="XLBVal:6=102.48_x000d__x000a_" sqref="R74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7_x000d__x000a_" sqref="V136 R136">
      <formula1>0</formula1>
      <formula2>300</formula2>
    </dataValidation>
    <dataValidation type="textLength" errorStyle="information" allowBlank="1" showInputMessage="1" showErrorMessage="1" error="XLBVal:6=19_x000d__x000a_" sqref="Q136">
      <formula1>0</formula1>
      <formula2>300</formula2>
    </dataValidation>
    <dataValidation type="textLength" errorStyle="information" allowBlank="1" showInputMessage="1" showErrorMessage="1" error="XLBVal:6=16_x000d__x000a_" sqref="T136:U136">
      <formula1>0</formula1>
      <formula2>300</formula2>
    </dataValidation>
    <dataValidation type="textLength" errorStyle="information" allowBlank="1" showInputMessage="1" showErrorMessage="1" error="XLBVal:6=15974.75_x000d__x000a_" sqref="V130">
      <formula1>0</formula1>
      <formula2>300</formula2>
    </dataValidation>
    <dataValidation type="textLength" errorStyle="information" allowBlank="1" showInputMessage="1" showErrorMessage="1" error="XLBVal:6=13240.71_x000d__x000a_" sqref="U130">
      <formula1>0</formula1>
      <formula2>300</formula2>
    </dataValidation>
    <dataValidation type="textLength" errorStyle="information" allowBlank="1" showInputMessage="1" showErrorMessage="1" error="XLBVal:6=17892.41_x000d__x000a_" sqref="T130">
      <formula1>0</formula1>
      <formula2>300</formula2>
    </dataValidation>
    <dataValidation type="textLength" errorStyle="information" allowBlank="1" showInputMessage="1" showErrorMessage="1" error="XLBVal:6=20833.46_x000d__x000a_" sqref="S130">
      <formula1>0</formula1>
      <formula2>300</formula2>
    </dataValidation>
    <dataValidation type="textLength" errorStyle="information" allowBlank="1" showInputMessage="1" showErrorMessage="1" error="XLBVal:6=20653.58_x000d__x000a_" sqref="R130">
      <formula1>0</formula1>
      <formula2>300</formula2>
    </dataValidation>
    <dataValidation type="textLength" errorStyle="information" allowBlank="1" showInputMessage="1" showErrorMessage="1" error="XLBVal:6=20391.95_x000d__x000a_" sqref="Q130">
      <formula1>0</formula1>
      <formula2>300</formula2>
    </dataValidation>
    <dataValidation type="textLength" errorStyle="information" allowBlank="1" showInputMessage="1" showErrorMessage="1" error="XLBVal:6=7882.04_x000d__x000a_" sqref="V129">
      <formula1>0</formula1>
      <formula2>300</formula2>
    </dataValidation>
    <dataValidation type="textLength" errorStyle="information" allowBlank="1" showInputMessage="1" showErrorMessage="1" error="XLBVal:6=7726.56_x000d__x000a_" sqref="U129">
      <formula1>0</formula1>
      <formula2>300</formula2>
    </dataValidation>
    <dataValidation type="textLength" errorStyle="information" allowBlank="1" showInputMessage="1" showErrorMessage="1" error="XLBVal:6=7060.04_x000d__x000a_" sqref="T129">
      <formula1>0</formula1>
      <formula2>300</formula2>
    </dataValidation>
    <dataValidation type="textLength" errorStyle="information" allowBlank="1" showInputMessage="1" showErrorMessage="1" error="XLBVal:6=5423.41_x000d__x000a_" sqref="S129">
      <formula1>0</formula1>
      <formula2>300</formula2>
    </dataValidation>
    <dataValidation type="textLength" errorStyle="information" allowBlank="1" showInputMessage="1" showErrorMessage="1" error="XLBVal:6=6149.3_x000d__x000a_" sqref="R129">
      <formula1>0</formula1>
      <formula2>300</formula2>
    </dataValidation>
    <dataValidation type="textLength" errorStyle="information" allowBlank="1" showInputMessage="1" showErrorMessage="1" error="XLBVal:6=5836.73_x000d__x000a_" sqref="Q129">
      <formula1>0</formula1>
      <formula2>300</formula2>
    </dataValidation>
    <dataValidation type="textLength" errorStyle="information" allowBlank="1" showInputMessage="1" showErrorMessage="1" error="XLBVal:6=335.92_x000d__x000a_" sqref="V128">
      <formula1>0</formula1>
      <formula2>300</formula2>
    </dataValidation>
    <dataValidation type="textLength" errorStyle="information" allowBlank="1" showInputMessage="1" showErrorMessage="1" error="XLBVal:6=314.78_x000d__x000a_" sqref="U128">
      <formula1>0</formula1>
      <formula2>300</formula2>
    </dataValidation>
    <dataValidation type="textLength" errorStyle="information" allowBlank="1" showInputMessage="1" showErrorMessage="1" error="XLBVal:6=301.62_x000d__x000a_" sqref="T128">
      <formula1>0</formula1>
      <formula2>300</formula2>
    </dataValidation>
    <dataValidation type="textLength" errorStyle="information" allowBlank="1" showInputMessage="1" showErrorMessage="1" error="XLBVal:6=339.32_x000d__x000a_" sqref="S128">
      <formula1>0</formula1>
      <formula2>300</formula2>
    </dataValidation>
    <dataValidation type="textLength" errorStyle="information" allowBlank="1" showInputMessage="1" showErrorMessage="1" error="XLBVal:6=323.17_x000d__x000a_" sqref="R128">
      <formula1>0</formula1>
      <formula2>300</formula2>
    </dataValidation>
    <dataValidation type="textLength" errorStyle="information" allowBlank="1" showInputMessage="1" showErrorMessage="1" error="XLBVal:6=358.17_x000d__x000a_" sqref="Q128">
      <formula1>0</formula1>
      <formula2>300</formula2>
    </dataValidation>
    <dataValidation type="textLength" errorStyle="information" allowBlank="1" showInputMessage="1" showErrorMessage="1" error="XLBVal:6=2072.07_x000d__x000a_" sqref="V120">
      <formula1>0</formula1>
      <formula2>300</formula2>
    </dataValidation>
    <dataValidation type="textLength" errorStyle="information" allowBlank="1" showInputMessage="1" showErrorMessage="1" error="XLBVal:6=1982.48_x000d__x000a_" sqref="U120">
      <formula1>0</formula1>
      <formula2>300</formula2>
    </dataValidation>
    <dataValidation type="textLength" errorStyle="information" allowBlank="1" showInputMessage="1" showErrorMessage="1" error="XLBVal:6=3514.56_x000d__x000a_" sqref="T120">
      <formula1>0</formula1>
      <formula2>300</formula2>
    </dataValidation>
    <dataValidation type="textLength" errorStyle="information" allowBlank="1" showInputMessage="1" showErrorMessage="1" error="XLBVal:6=4314.17_x000d__x000a_" sqref="S120">
      <formula1>0</formula1>
      <formula2>300</formula2>
    </dataValidation>
    <dataValidation type="textLength" errorStyle="information" allowBlank="1" showInputMessage="1" showErrorMessage="1" error="XLBVal:6=2590.29_x000d__x000a_" sqref="R120">
      <formula1>0</formula1>
      <formula2>300</formula2>
    </dataValidation>
    <dataValidation type="textLength" errorStyle="information" allowBlank="1" showInputMessage="1" showErrorMessage="1" error="XLBVal:6=2519.43_x000d__x000a_" sqref="Q120">
      <formula1>0</formula1>
      <formula2>300</formula2>
    </dataValidation>
    <dataValidation type="textLength" errorStyle="information" allowBlank="1" showInputMessage="1" showErrorMessage="1" error="XLBVal:6=6611.23_x000d__x000a_" sqref="V119">
      <formula1>0</formula1>
      <formula2>300</formula2>
    </dataValidation>
    <dataValidation type="textLength" errorStyle="information" allowBlank="1" showInputMessage="1" showErrorMessage="1" error="XLBVal:6=6100_x000d__x000a_" sqref="T119">
      <formula1>0</formula1>
      <formula2>300</formula2>
    </dataValidation>
    <dataValidation type="textLength" errorStyle="information" allowBlank="1" showInputMessage="1" showErrorMessage="1" error="XLBVal:6=5820_x000d__x000a_" sqref="S119">
      <formula1>0</formula1>
      <formula2>300</formula2>
    </dataValidation>
    <dataValidation type="textLength" errorStyle="information" allowBlank="1" showInputMessage="1" showErrorMessage="1" error="XLBVal:6=7207_x000d__x000a_" sqref="R119">
      <formula1>0</formula1>
      <formula2>300</formula2>
    </dataValidation>
    <dataValidation type="textLength" errorStyle="information" allowBlank="1" showInputMessage="1" showErrorMessage="1" error="XLBVal:6=164.45_x000d__x000a_" sqref="V117">
      <formula1>0</formula1>
      <formula2>300</formula2>
    </dataValidation>
    <dataValidation type="textLength" errorStyle="information" allowBlank="1" showInputMessage="1" showErrorMessage="1" error="XLBVal:6=123.28_x000d__x000a_" sqref="U117">
      <formula1>0</formula1>
      <formula2>300</formula2>
    </dataValidation>
    <dataValidation type="textLength" errorStyle="information" allowBlank="1" showInputMessage="1" showErrorMessage="1" error="XLBVal:6=151.31_x000d__x000a_" sqref="T117">
      <formula1>0</formula1>
      <formula2>300</formula2>
    </dataValidation>
    <dataValidation type="textLength" errorStyle="information" allowBlank="1" showInputMessage="1" showErrorMessage="1" error="XLBVal:6=139.71_x000d__x000a_" sqref="S117">
      <formula1>0</formula1>
      <formula2>300</formula2>
    </dataValidation>
    <dataValidation type="textLength" errorStyle="information" allowBlank="1" showInputMessage="1" showErrorMessage="1" error="XLBVal:6=173.65_x000d__x000a_" sqref="R117">
      <formula1>0</formula1>
      <formula2>300</formula2>
    </dataValidation>
    <dataValidation type="textLength" errorStyle="information" allowBlank="1" showInputMessage="1" showErrorMessage="1" error="XLBVal:6=180.16_x000d__x000a_" sqref="Q117">
      <formula1>0</formula1>
      <formula2>300</formula2>
    </dataValidation>
    <dataValidation type="textLength" errorStyle="information" allowBlank="1" showInputMessage="1" showErrorMessage="1" error="XLBVal:6=11646.32_x000d__x000a_" sqref="V115">
      <formula1>0</formula1>
      <formula2>300</formula2>
    </dataValidation>
    <dataValidation type="textLength" errorStyle="information" allowBlank="1" showInputMessage="1" showErrorMessage="1" error="XLBVal:6=8730.04_x000d__x000a_" sqref="U115">
      <formula1>0</formula1>
      <formula2>300</formula2>
    </dataValidation>
    <dataValidation type="textLength" errorStyle="information" allowBlank="1" showInputMessage="1" showErrorMessage="1" error="XLBVal:6=10715.54_x000d__x000a_" sqref="T115">
      <formula1>0</formula1>
      <formula2>300</formula2>
    </dataValidation>
    <dataValidation type="textLength" errorStyle="information" allowBlank="1" showInputMessage="1" showErrorMessage="1" error="XLBVal:6=9894.44_x000d__x000a_" sqref="S115">
      <formula1>0</formula1>
      <formula2>300</formula2>
    </dataValidation>
    <dataValidation type="textLength" errorStyle="information" allowBlank="1" showInputMessage="1" showErrorMessage="1" error="XLBVal:6=12297.67_x000d__x000a_" sqref="R115">
      <formula1>0</formula1>
      <formula2>300</formula2>
    </dataValidation>
    <dataValidation type="textLength" errorStyle="information" allowBlank="1" showInputMessage="1" showErrorMessage="1" error="XLBVal:6=12758.56_x000d__x000a_" sqref="Q115">
      <formula1>0</formula1>
      <formula2>300</formula2>
    </dataValidation>
    <dataValidation type="textLength" errorStyle="information" allowBlank="1" showInputMessage="1" showErrorMessage="1" error="XLBVal:6=21922.54_x000d__x000a_" sqref="V114">
      <formula1>0</formula1>
      <formula2>300</formula2>
    </dataValidation>
    <dataValidation type="textLength" errorStyle="information" allowBlank="1" showInputMessage="1" showErrorMessage="1" error="XLBVal:6=16433.05_x000d__x000a_" sqref="U114">
      <formula1>0</formula1>
      <formula2>300</formula2>
    </dataValidation>
    <dataValidation type="textLength" errorStyle="information" allowBlank="1" showInputMessage="1" showErrorMessage="1" error="XLBVal:6=20170.49_x000d__x000a_" sqref="T114">
      <formula1>0</formula1>
      <formula2>300</formula2>
    </dataValidation>
    <dataValidation type="textLength" errorStyle="information" allowBlank="1" showInputMessage="1" showErrorMessage="1" error="XLBVal:6=18624.89_x000d__x000a_" sqref="S114">
      <formula1>0</formula1>
      <formula2>300</formula2>
    </dataValidation>
    <dataValidation type="textLength" errorStyle="information" allowBlank="1" showInputMessage="1" showErrorMessage="1" error="XLBVal:6=23148.62_x000d__x000a_" sqref="R114">
      <formula1>0</formula1>
      <formula2>300</formula2>
    </dataValidation>
    <dataValidation type="textLength" errorStyle="information" allowBlank="1" showInputMessage="1" showErrorMessage="1" error="XLBVal:6=24016.18_x000d__x000a_" sqref="Q114">
      <formula1>0</formula1>
      <formula2>300</formula2>
    </dataValidation>
    <dataValidation type="textLength" errorStyle="information" allowBlank="1" showInputMessage="1" showErrorMessage="1" error="XLBVal:6=2400_x000d__x000a_" sqref="V111">
      <formula1>0</formula1>
      <formula2>300</formula2>
    </dataValidation>
    <dataValidation type="textLength" errorStyle="information" allowBlank="1" showInputMessage="1" showErrorMessage="1" error="XLBVal:6=2120.29_x000d__x000a_" sqref="U111">
      <formula1>0</formula1>
      <formula2>300</formula2>
    </dataValidation>
    <dataValidation type="textLength" errorStyle="information" allowBlank="1" showInputMessage="1" showErrorMessage="1" error="XLBVal:6=4091.73_x000d__x000a_" sqref="T111">
      <formula1>0</formula1>
      <formula2>300</formula2>
    </dataValidation>
    <dataValidation type="textLength" errorStyle="information" allowBlank="1" showInputMessage="1" showErrorMessage="1" error="XLBVal:6=2991.36_x000d__x000a_" sqref="S111">
      <formula1>0</formula1>
      <formula2>300</formula2>
    </dataValidation>
    <dataValidation type="textLength" errorStyle="information" allowBlank="1" showInputMessage="1" showErrorMessage="1" error="XLBVal:6=11891.19_x000d__x000a_" sqref="R111">
      <formula1>0</formula1>
      <formula2>300</formula2>
    </dataValidation>
    <dataValidation type="textLength" errorStyle="information" allowBlank="1" showInputMessage="1" showErrorMessage="1" error="XLBVal:6=6211.78_x000d__x000a_" sqref="Q111">
      <formula1>0</formula1>
      <formula2>300</formula2>
    </dataValidation>
    <dataValidation type="textLength" errorStyle="information" allowBlank="1" showInputMessage="1" showErrorMessage="1" error="XLBVal:6=11253.71_x000d__x000a_" sqref="V109">
      <formula1>0</formula1>
      <formula2>300</formula2>
    </dataValidation>
    <dataValidation type="textLength" errorStyle="information" allowBlank="1" showInputMessage="1" showErrorMessage="1" error="XLBVal:6=8413.33_x000d__x000a_" sqref="U109">
      <formula1>0</formula1>
      <formula2>300</formula2>
    </dataValidation>
    <dataValidation type="textLength" errorStyle="information" allowBlank="1" showInputMessage="1" showErrorMessage="1" error="XLBVal:6=10143.06_x000d__x000a_" sqref="T109">
      <formula1>0</formula1>
      <formula2>300</formula2>
    </dataValidation>
    <dataValidation type="textLength" errorStyle="information" allowBlank="1" showInputMessage="1" showErrorMessage="1" error="XLBVal:6=9692.92_x000d__x000a_" sqref="S109">
      <formula1>0</formula1>
      <formula2>300</formula2>
    </dataValidation>
    <dataValidation type="textLength" errorStyle="information" allowBlank="1" showInputMessage="1" showErrorMessage="1" error="XLBVal:6=10805.9_x000d__x000a_" sqref="R109">
      <formula1>0</formula1>
      <formula2>300</formula2>
    </dataValidation>
    <dataValidation type="textLength" errorStyle="information" allowBlank="1" showInputMessage="1" showErrorMessage="1" error="XLBVal:6=12065_x000d__x000a_" sqref="Q109">
      <formula1>0</formula1>
      <formula2>300</formula2>
    </dataValidation>
    <dataValidation type="textLength" errorStyle="information" allowBlank="1" showInputMessage="1" showErrorMessage="1" error="XLBVal:6=5995.62_x000d__x000a_" sqref="U107">
      <formula1>0</formula1>
      <formula2>300</formula2>
    </dataValidation>
    <dataValidation type="textLength" errorStyle="information" allowBlank="1" showInputMessage="1" showErrorMessage="1" error="XLBVal:6=4151.76_x000d__x000a_" sqref="T107">
      <formula1>0</formula1>
      <formula2>300</formula2>
    </dataValidation>
    <dataValidation type="textLength" errorStyle="information" allowBlank="1" showInputMessage="1" showErrorMessage="1" error="XLBVal:6=33205.03_x000d__x000a_" sqref="R107">
      <formula1>0</formula1>
      <formula2>300</formula2>
    </dataValidation>
    <dataValidation type="textLength" errorStyle="information" allowBlank="1" showInputMessage="1" showErrorMessage="1" error="XLBVal:6=12078.36_x000d__x000a_" sqref="Q107">
      <formula1>0</formula1>
      <formula2>300</formula2>
    </dataValidation>
    <dataValidation type="textLength" errorStyle="information" allowBlank="1" showInputMessage="1" showErrorMessage="1" error="XLBVal:6=40044.83_x000d__x000a_" sqref="V104">
      <formula1>0</formula1>
      <formula2>300</formula2>
    </dataValidation>
    <dataValidation type="textLength" errorStyle="information" allowBlank="1" showInputMessage="1" showErrorMessage="1" error="XLBVal:6=22300_x000d__x000a_" sqref="U104">
      <formula1>0</formula1>
      <formula2>300</formula2>
    </dataValidation>
    <dataValidation type="textLength" errorStyle="information" allowBlank="1" showInputMessage="1" showErrorMessage="1" error="XLBVal:6=31515.51_x000d__x000a_" sqref="S104">
      <formula1>0</formula1>
      <formula2>300</formula2>
    </dataValidation>
    <dataValidation type="textLength" errorStyle="information" allowBlank="1" showInputMessage="1" showErrorMessage="1" error="XLBVal:6=34281.03_x000d__x000a_" sqref="R104">
      <formula1>0</formula1>
      <formula2>300</formula2>
    </dataValidation>
    <dataValidation type="textLength" errorStyle="information" allowBlank="1" showInputMessage="1" showErrorMessage="1" error="XLBVal:6=36500_x000d__x000a_" sqref="Q104">
      <formula1>0</formula1>
      <formula2>300</formula2>
    </dataValidation>
    <dataValidation type="textLength" errorStyle="information" allowBlank="1" showInputMessage="1" showErrorMessage="1" error="XLBVal:6=8978.96_x000d__x000a_" sqref="U103">
      <formula1>0</formula1>
      <formula2>300</formula2>
    </dataValidation>
    <dataValidation type="textLength" errorStyle="information" allowBlank="1" showInputMessage="1" showErrorMessage="1" error="XLBVal:6=13500_x000d__x000a_" sqref="R103:T103">
      <formula1>0</formula1>
      <formula2>300</formula2>
    </dataValidation>
    <dataValidation type="textLength" errorStyle="information" allowBlank="1" showInputMessage="1" showErrorMessage="1" error="XLBVal:6=20800_x000d__x000a_" sqref="Q103">
      <formula1>0</formula1>
      <formula2>300</formula2>
    </dataValidation>
    <dataValidation type="textLength" errorStyle="information" allowBlank="1" showInputMessage="1" showErrorMessage="1" error="XLBVal:6=38768_x000d__x000a_" sqref="Q102:T102">
      <formula1>0</formula1>
      <formula2>300</formula2>
    </dataValidation>
    <dataValidation type="textLength" errorStyle="information" allowBlank="1" showInputMessage="1" showErrorMessage="1" error="XLBVal:6=1189_x000d__x000a_" sqref="U87">
      <formula1>0</formula1>
      <formula2>300</formula2>
    </dataValidation>
    <dataValidation type="textLength" errorStyle="information" allowBlank="1" showInputMessage="1" showErrorMessage="1" error="XLBVal:6=1667_x000d__x000a_" sqref="T87">
      <formula1>0</formula1>
      <formula2>300</formula2>
    </dataValidation>
    <dataValidation type="textLength" errorStyle="information" allowBlank="1" showInputMessage="1" showErrorMessage="1" error="XLBVal:6=1222_x000d__x000a_" sqref="S87">
      <formula1>0</formula1>
      <formula2>300</formula2>
    </dataValidation>
    <dataValidation type="textLength" errorStyle="information" allowBlank="1" showInputMessage="1" showErrorMessage="1" error="XLBVal:6=2162_x000d__x000a_" sqref="R87">
      <formula1>0</formula1>
      <formula2>300</formula2>
    </dataValidation>
    <dataValidation type="textLength" errorStyle="information" allowBlank="1" showInputMessage="1" showErrorMessage="1" error="XLBVal:6=1487_x000d__x000a_" sqref="Q87">
      <formula1>0</formula1>
      <formula2>300</formula2>
    </dataValidation>
    <dataValidation type="textLength" errorStyle="information" allowBlank="1" showInputMessage="1" showErrorMessage="1" error="XLBVal:6=1064_x000d__x000a_" sqref="U86">
      <formula1>0</formula1>
      <formula2>300</formula2>
    </dataValidation>
    <dataValidation type="textLength" errorStyle="information" allowBlank="1" showInputMessage="1" showErrorMessage="1" error="XLBVal:6=1396_x000d__x000a_" sqref="T86">
      <formula1>0</formula1>
      <formula2>300</formula2>
    </dataValidation>
    <dataValidation type="textLength" errorStyle="information" allowBlank="1" showInputMessage="1" showErrorMessage="1" error="XLBVal:6=1211_x000d__x000a_" sqref="S86">
      <formula1>0</formula1>
      <formula2>300</formula2>
    </dataValidation>
    <dataValidation type="textLength" errorStyle="information" allowBlank="1" showInputMessage="1" showErrorMessage="1" error="XLBVal:6=1504_x000d__x000a_" sqref="R86">
      <formula1>0</formula1>
      <formula2>300</formula2>
    </dataValidation>
    <dataValidation type="textLength" errorStyle="information" allowBlank="1" showInputMessage="1" showErrorMessage="1" error="XLBVal:6=1241_x000d__x000a_" sqref="Q86">
      <formula1>0</formula1>
      <formula2>300</formula2>
    </dataValidation>
    <dataValidation type="textLength" errorStyle="information" allowBlank="1" showInputMessage="1" showErrorMessage="1" error="XLBVal:6=36773.18_x000d__x000a_" sqref="U79">
      <formula1>0</formula1>
      <formula2>300</formula2>
    </dataValidation>
    <dataValidation type="textLength" errorStyle="information" allowBlank="1" showInputMessage="1" showErrorMessage="1" error="XLBVal:6=78043.92_x000d__x000a_" sqref="T79">
      <formula1>0</formula1>
      <formula2>300</formula2>
    </dataValidation>
    <dataValidation type="textLength" errorStyle="information" allowBlank="1" showInputMessage="1" showErrorMessage="1" error="XLBVal:6=58433_x000d__x000a_" sqref="S79">
      <formula1>0</formula1>
      <formula2>300</formula2>
    </dataValidation>
    <dataValidation type="textLength" errorStyle="information" allowBlank="1" showInputMessage="1" showErrorMessage="1" error="XLBVal:6=176508.68_x000d__x000a_" sqref="R79">
      <formula1>0</formula1>
      <formula2>300</formula2>
    </dataValidation>
    <dataValidation type="textLength" errorStyle="information" allowBlank="1" showInputMessage="1" showErrorMessage="1" error="XLBVal:6=-960.62_x000d__x000a_" sqref="U78">
      <formula1>0</formula1>
      <formula2>300</formula2>
    </dataValidation>
    <dataValidation type="textLength" errorStyle="information" allowBlank="1" showInputMessage="1" showErrorMessage="1" error="XLBVal:6=4420_x000d__x000a_" sqref="T78">
      <formula1>0</formula1>
      <formula2>300</formula2>
    </dataValidation>
    <dataValidation type="textLength" errorStyle="information" allowBlank="1" showInputMessage="1" showErrorMessage="1" error="XLBVal:6=1069.3_x000d__x000a_" sqref="V78">
      <formula1>0</formula1>
      <formula2>300</formula2>
    </dataValidation>
    <dataValidation type="textLength" errorStyle="information" allowBlank="1" showInputMessage="1" showErrorMessage="1" error="XLBVal:6=1109.7_x000d__x000a_" sqref="Q78">
      <formula1>0</formula1>
      <formula2>300</formula2>
    </dataValidation>
    <dataValidation type="textLength" errorStyle="information" allowBlank="1" showInputMessage="1" showErrorMessage="1" error="XLBVal:6=3251.22_x000d__x000a_" sqref="V72">
      <formula1>0</formula1>
      <formula2>300</formula2>
    </dataValidation>
    <dataValidation type="textLength" errorStyle="information" allowBlank="1" showInputMessage="1" showErrorMessage="1" error="XLBVal:6=1007.75_x000d__x000a_" sqref="U72">
      <formula1>0</formula1>
      <formula2>300</formula2>
    </dataValidation>
    <dataValidation type="textLength" errorStyle="information" allowBlank="1" showInputMessage="1" showErrorMessage="1" error="XLBVal:6=3906.43_x000d__x000a_" sqref="T72">
      <formula1>0</formula1>
      <formula2>300</formula2>
    </dataValidation>
    <dataValidation type="textLength" errorStyle="information" allowBlank="1" showInputMessage="1" showErrorMessage="1" error="XLBVal:6=2995.17_x000d__x000a_" sqref="S72">
      <formula1>0</formula1>
      <formula2>300</formula2>
    </dataValidation>
    <dataValidation type="textLength" errorStyle="information" allowBlank="1" showInputMessage="1" showErrorMessage="1" error="XLBVal:6=5506.73_x000d__x000a_" sqref="R72">
      <formula1>0</formula1>
      <formula2>300</formula2>
    </dataValidation>
    <dataValidation type="textLength" errorStyle="information" allowBlank="1" showInputMessage="1" showErrorMessage="1" error="XLBVal:6=4255.69_x000d__x000a_" sqref="Q72">
      <formula1>0</formula1>
      <formula2>300</formula2>
    </dataValidation>
    <dataValidation type="textLength" errorStyle="information" allowBlank="1" showInputMessage="1" showErrorMessage="1" error="XLBVal:6=351.3_x000d__x000a_" sqref="V71">
      <formula1>0</formula1>
      <formula2>300</formula2>
    </dataValidation>
    <dataValidation type="textLength" errorStyle="information" allowBlank="1" showInputMessage="1" showErrorMessage="1" error="XLBVal:6=416.7_x000d__x000a_" sqref="U71">
      <formula1>0</formula1>
      <formula2>300</formula2>
    </dataValidation>
    <dataValidation type="textLength" errorStyle="information" allowBlank="1" showInputMessage="1" showErrorMessage="1" error="XLBVal:6=1071.02_x000d__x000a_" sqref="T71">
      <formula1>0</formula1>
      <formula2>300</formula2>
    </dataValidation>
    <dataValidation type="textLength" errorStyle="information" allowBlank="1" showInputMessage="1" showErrorMessage="1" error="XLBVal:6=212.54_x000d__x000a_" sqref="S71">
      <formula1>0</formula1>
      <formula2>300</formula2>
    </dataValidation>
    <dataValidation type="textLength" errorStyle="information" allowBlank="1" showInputMessage="1" showErrorMessage="1" error="XLBVal:6=3286.5_x000d__x000a_" sqref="R71">
      <formula1>0</formula1>
      <formula2>300</formula2>
    </dataValidation>
    <dataValidation type="textLength" errorStyle="information" allowBlank="1" showInputMessage="1" showErrorMessage="1" error="XLBVal:6=892.63_x000d__x000a_" sqref="Q71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1570.94_x000d__x000a_" sqref="U63">
      <formula1>0</formula1>
      <formula2>300</formula2>
    </dataValidation>
    <dataValidation type="textLength" errorStyle="information" allowBlank="1" showInputMessage="1" showErrorMessage="1" error="XLBVal:6=2971.3_x000d__x000a_" sqref="T63">
      <formula1>0</formula1>
      <formula2>300</formula2>
    </dataValidation>
    <dataValidation type="textLength" errorStyle="information" allowBlank="1" showInputMessage="1" showErrorMessage="1" error="XLBVal:6=1652.61_x000d__x000a_" sqref="S63">
      <formula1>0</formula1>
      <formula2>300</formula2>
    </dataValidation>
    <dataValidation type="textLength" errorStyle="information" allowBlank="1" showInputMessage="1" showErrorMessage="1" error="XLBVal:6=5100.31_x000d__x000a_" sqref="R63">
      <formula1>0</formula1>
      <formula2>300</formula2>
    </dataValidation>
    <dataValidation type="textLength" errorStyle="information" allowBlank="1" showInputMessage="1" showErrorMessage="1" error="XLBVal:6=3819.22_x000d__x000a_" sqref="Q63">
      <formula1>0</formula1>
      <formula2>300</formula2>
    </dataValidation>
    <dataValidation type="textLength" errorStyle="information" allowBlank="1" showInputMessage="1" showErrorMessage="1" error="XLBVal:6=96_x000d__x000a_" sqref="R58">
      <formula1>0</formula1>
      <formula2>300</formula2>
    </dataValidation>
    <dataValidation type="textLength" errorStyle="information" allowBlank="1" showInputMessage="1" showErrorMessage="1" error="XLBVal:6=245_x000d__x000a_" sqref="T51">
      <formula1>0</formula1>
      <formula2>300</formula2>
    </dataValidation>
    <dataValidation type="textLength" errorStyle="information" allowBlank="1" showInputMessage="1" showErrorMessage="1" error="XLBVal:6=121_x000d__x000a_" sqref="S51">
      <formula1>0</formula1>
      <formula2>300</formula2>
    </dataValidation>
    <dataValidation type="textLength" errorStyle="information" allowBlank="1" showInputMessage="1" showErrorMessage="1" error="XLBVal:6=690.9_x000d__x000a_" sqref="R51">
      <formula1>0</formula1>
      <formula2>300</formula2>
    </dataValidation>
    <dataValidation type="textLength" errorStyle="information" allowBlank="1" showInputMessage="1" showErrorMessage="1" error="XLBVal:6=210_x000d__x000a_" sqref="Q51">
      <formula1>0</formula1>
      <formula2>300</formula2>
    </dataValidation>
    <dataValidation type="textLength" errorStyle="information" allowBlank="1" showInputMessage="1" showErrorMessage="1" error="XLBVal:6=1183.72_x000d__x000a_" sqref="U49">
      <formula1>0</formula1>
      <formula2>300</formula2>
    </dataValidation>
    <dataValidation type="textLength" errorStyle="information" allowBlank="1" showInputMessage="1" showErrorMessage="1" error="XLBVal:6=2691.5_x000d__x000a_" sqref="T49">
      <formula1>0</formula1>
      <formula2>300</formula2>
    </dataValidation>
    <dataValidation type="textLength" errorStyle="information" allowBlank="1" showInputMessage="1" showErrorMessage="1" error="XLBVal:6=1181.31_x000d__x000a_" sqref="S49">
      <formula1>0</formula1>
      <formula2>300</formula2>
    </dataValidation>
    <dataValidation type="textLength" errorStyle="information" allowBlank="1" showInputMessage="1" showErrorMessage="1" error="XLBVal:6=3626.23_x000d__x000a_" sqref="R49">
      <formula1>0</formula1>
      <formula2>300</formula2>
    </dataValidation>
    <dataValidation type="textLength" errorStyle="information" allowBlank="1" showInputMessage="1" showErrorMessage="1" error="XLBVal:6=1736.12_x000d__x000a_" sqref="Q49">
      <formula1>0</formula1>
      <formula2>300</formula2>
    </dataValidation>
    <dataValidation type="textLength" errorStyle="information" allowBlank="1" showInputMessage="1" showErrorMessage="1" error="XLBVal:6=18918.59_x000d__x000a_" sqref="V43">
      <formula1>0</formula1>
      <formula2>300</formula2>
    </dataValidation>
    <dataValidation type="textLength" errorStyle="information" allowBlank="1" showInputMessage="1" showErrorMessage="1" error="XLBVal:6=16942_x000d__x000a_" sqref="U43">
      <formula1>0</formula1>
      <formula2>300</formula2>
    </dataValidation>
    <dataValidation type="textLength" errorStyle="information" allowBlank="1" showInputMessage="1" showErrorMessage="1" error="XLBVal:6=8902.28_x000d__x000a_" sqref="T43">
      <formula1>0</formula1>
      <formula2>300</formula2>
    </dataValidation>
    <dataValidation type="textLength" errorStyle="information" allowBlank="1" showInputMessage="1" showErrorMessage="1" error="XLBVal:6=14716.32_x000d__x000a_" sqref="S43">
      <formula1>0</formula1>
      <formula2>300</formula2>
    </dataValidation>
    <dataValidation type="textLength" errorStyle="information" allowBlank="1" showInputMessage="1" showErrorMessage="1" error="XLBVal:6=58310.38_x000d__x000a_" sqref="R43">
      <formula1>0</formula1>
      <formula2>300</formula2>
    </dataValidation>
    <dataValidation type="textLength" errorStyle="information" allowBlank="1" showInputMessage="1" showErrorMessage="1" error="XLBVal:6=9668.42_x000d__x000a_" sqref="U38">
      <formula1>0</formula1>
      <formula2>300</formula2>
    </dataValidation>
    <dataValidation type="textLength" errorStyle="information" allowBlank="1" showInputMessage="1" showErrorMessage="1" error="XLBVal:6=15669.22_x000d__x000a_" sqref="T38">
      <formula1>0</formula1>
      <formula2>300</formula2>
    </dataValidation>
    <dataValidation type="textLength" errorStyle="information" allowBlank="1" showInputMessage="1" showErrorMessage="1" error="XLBVal:6=12606.79_x000d__x000a_" sqref="S38">
      <formula1>0</formula1>
      <formula2>300</formula2>
    </dataValidation>
    <dataValidation type="textLength" errorStyle="information" allowBlank="1" showInputMessage="1" showErrorMessage="1" error="XLBVal:6=5801.47_x000d__x000a_" sqref="R38">
      <formula1>0</formula1>
      <formula2>300</formula2>
    </dataValidation>
    <dataValidation type="textLength" errorStyle="information" allowBlank="1" showInputMessage="1" showErrorMessage="1" error="XLBVal:6=15243.83_x000d__x000a_" sqref="Q38">
      <formula1>0</formula1>
      <formula2>300</formula2>
    </dataValidation>
    <dataValidation type="textLength" errorStyle="information" allowBlank="1" showInputMessage="1" showErrorMessage="1" error="XLBVal:6=1729.17_x000d__x000a_" sqref="U31">
      <formula1>0</formula1>
      <formula2>300</formula2>
    </dataValidation>
    <dataValidation type="textLength" errorStyle="information" allowBlank="1" showInputMessage="1" showErrorMessage="1" error="XLBVal:6=1720.02_x000d__x000a_" sqref="T31">
      <formula1>0</formula1>
      <formula2>300</formula2>
    </dataValidation>
    <dataValidation type="textLength" errorStyle="information" allowBlank="1" showInputMessage="1" showErrorMessage="1" error="XLBVal:6=2057.15_x000d__x000a_" sqref="S31">
      <formula1>0</formula1>
      <formula2>300</formula2>
    </dataValidation>
    <dataValidation type="textLength" errorStyle="information" allowBlank="1" showInputMessage="1" showErrorMessage="1" error="XLBVal:6=36519.33_x000d__x000a_" sqref="R31">
      <formula1>0</formula1>
      <formula2>300</formula2>
    </dataValidation>
    <dataValidation type="textLength" errorStyle="information" allowBlank="1" showInputMessage="1" showErrorMessage="1" error="XLBVal:6=6479.16_x000d__x000a_" sqref="Q31">
      <formula1>0</formula1>
      <formula2>300</formula2>
    </dataValidation>
    <dataValidation type="textLength" errorStyle="information" allowBlank="1" showInputMessage="1" showErrorMessage="1" error="XLBVal:6=106866.86_x000d__x000a_" sqref="U30">
      <formula1>0</formula1>
      <formula2>300</formula2>
    </dataValidation>
    <dataValidation type="textLength" errorStyle="information" allowBlank="1" showInputMessage="1" showErrorMessage="1" error="XLBVal:6=157277.5_x000d__x000a_" sqref="T30">
      <formula1>0</formula1>
      <formula2>300</formula2>
    </dataValidation>
    <dataValidation type="textLength" errorStyle="information" allowBlank="1" showInputMessage="1" showErrorMessage="1" error="XLBVal:6=125564.11_x000d__x000a_" sqref="S30">
      <formula1>0</formula1>
      <formula2>300</formula2>
    </dataValidation>
    <dataValidation type="textLength" errorStyle="information" allowBlank="1" showInputMessage="1" showErrorMessage="1" error="XLBVal:6=0_x000d__x000a_" sqref="I85 T59">
      <formula1>0</formula1>
      <formula2>300</formula2>
    </dataValidation>
    <dataValidation type="textLength" errorStyle="information" allowBlank="1" showInputMessage="1" showErrorMessage="1" error="XLBVal:6=208264.28_x000d__x000a_" sqref="Q30">
      <formula1>0</formula1>
      <formula2>300</formula2>
    </dataValidation>
    <dataValidation type="textLength" errorStyle="information" allowBlank="1" showInputMessage="1" showErrorMessage="1" error="XLBVal:6=19481.7_x000d__x000a_" sqref="U26">
      <formula1>0</formula1>
      <formula2>300</formula2>
    </dataValidation>
    <dataValidation type="textLength" errorStyle="information" allowBlank="1" showInputMessage="1" showErrorMessage="1" error="XLBVal:6=29297.8_x000d__x000a_" sqref="T26">
      <formula1>0</formula1>
      <formula2>300</formula2>
    </dataValidation>
    <dataValidation type="textLength" errorStyle="information" allowBlank="1" showInputMessage="1" showErrorMessage="1" error="XLBVal:6=23603.6_x000d__x000a_" sqref="S26">
      <formula1>0</formula1>
      <formula2>300</formula2>
    </dataValidation>
    <dataValidation type="textLength" errorStyle="information" allowBlank="1" showInputMessage="1" showErrorMessage="1" error="XLBVal:6=181024_x000d__x000a_" sqref="R26">
      <formula1>0</formula1>
      <formula2>300</formula2>
    </dataValidation>
    <dataValidation type="textLength" errorStyle="information" allowBlank="1" showInputMessage="1" showErrorMessage="1" error="XLBVal:6=39317.6_x000d__x000a_" sqref="Q26">
      <formula1>0</formula1>
      <formula2>300</formula2>
    </dataValidation>
    <dataValidation type="textLength" errorStyle="information" allowBlank="1" showInputMessage="1" showErrorMessage="1" error="XLBVal:6=5044_x000d__x000a_" sqref="U19">
      <formula1>0</formula1>
      <formula2>300</formula2>
    </dataValidation>
    <dataValidation type="textLength" errorStyle="information" allowBlank="1" showInputMessage="1" showErrorMessage="1" error="XLBVal:6=5944_x000d__x000a_" sqref="T19">
      <formula1>0</formula1>
      <formula2>300</formula2>
    </dataValidation>
    <dataValidation type="textLength" errorStyle="information" allowBlank="1" showInputMessage="1" showErrorMessage="1" error="XLBVal:6=7363_x000d__x000a_" sqref="S19">
      <formula1>0</formula1>
      <formula2>300</formula2>
    </dataValidation>
    <dataValidation type="textLength" errorStyle="information" allowBlank="1" showInputMessage="1" showErrorMessage="1" error="XLBVal:6=93329.8_x000d__x000a_" sqref="R19">
      <formula1>0</formula1>
      <formula2>300</formula2>
    </dataValidation>
    <dataValidation type="textLength" errorStyle="information" allowBlank="1" showInputMessage="1" showErrorMessage="1" error="XLBVal:6=11320.4_x000d__x000a_" sqref="Q19">
      <formula1>0</formula1>
      <formula2>300</formula2>
    </dataValidation>
    <dataValidation type="textLength" errorStyle="information" allowBlank="1" showInputMessage="1" showErrorMessage="1" error="XLBVal:6=1442_x000d__x000a_" sqref="U18">
      <formula1>0</formula1>
      <formula2>300</formula2>
    </dataValidation>
    <dataValidation type="textLength" errorStyle="information" allowBlank="1" showInputMessage="1" showErrorMessage="1" error="XLBVal:6=2002_x000d__x000a_" sqref="T18">
      <formula1>0</formula1>
      <formula2>300</formula2>
    </dataValidation>
    <dataValidation type="textLength" errorStyle="information" allowBlank="1" showInputMessage="1" showErrorMessage="1" error="XLBVal:6=1669.8_x000d__x000a_" sqref="S18">
      <formula1>0</formula1>
      <formula2>300</formula2>
    </dataValidation>
    <dataValidation type="textLength" errorStyle="information" allowBlank="1" showInputMessage="1" showErrorMessage="1" error="XLBVal:6=33335_x000d__x000a_" sqref="R18">
      <formula1>0</formula1>
      <formula2>300</formula2>
    </dataValidation>
    <dataValidation type="textLength" errorStyle="information" allowBlank="1" showInputMessage="1" showErrorMessage="1" error="XLBVal:6=9518_x000d__x000a_" sqref="Q18">
      <formula1>0</formula1>
      <formula2>300</formula2>
    </dataValidation>
    <dataValidation type="textLength" errorStyle="information" allowBlank="1" showInputMessage="1" showErrorMessage="1" error="XLBVal:6=192344.61_x000d__x000a_" sqref="U11">
      <formula1>0</formula1>
      <formula2>300</formula2>
    </dataValidation>
    <dataValidation type="textLength" errorStyle="information" allowBlank="1" showInputMessage="1" showErrorMessage="1" error="XLBVal:6=316658.45_x000d__x000a_" sqref="T11">
      <formula1>0</formula1>
      <formula2>300</formula2>
    </dataValidation>
    <dataValidation type="textLength" errorStyle="information" allowBlank="1" showInputMessage="1" showErrorMessage="1" error="XLBVal:6=227421.49_x000d__x000a_" sqref="S11">
      <formula1>0</formula1>
      <formula2>300</formula2>
    </dataValidation>
    <dataValidation type="textLength" errorStyle="information" allowBlank="1" showInputMessage="1" showErrorMessage="1" error="XLBVal:6=1108916.3_x000d__x000a_" sqref="R11">
      <formula1>0</formula1>
      <formula2>300</formula2>
    </dataValidation>
    <dataValidation type="textLength" errorStyle="information" allowBlank="1" showInputMessage="1" showErrorMessage="1" error="XLBVal:6=380982.76_x000d__x000a_" sqref="Q11">
      <formula1>0</formula1>
      <formula2>300</formula2>
    </dataValidation>
    <dataValidation type="textLength" errorStyle="information" allowBlank="1" showInputMessage="1" showErrorMessage="1" error="XLBVal:6=164507.81_x000d__x000a_" sqref="U10">
      <formula1>0</formula1>
      <formula2>300</formula2>
    </dataValidation>
    <dataValidation type="textLength" errorStyle="information" allowBlank="1" showInputMessage="1" showErrorMessage="1" error="XLBVal:6=224757.8_x000d__x000a_" sqref="T10">
      <formula1>0</formula1>
      <formula2>300</formula2>
    </dataValidation>
    <dataValidation type="textLength" errorStyle="information" allowBlank="1" showInputMessage="1" showErrorMessage="1" error="XLBVal:6=205592_x000d__x000a_" sqref="S10">
      <formula1>0</formula1>
      <formula2>300</formula2>
    </dataValidation>
    <dataValidation type="textLength" errorStyle="information" allowBlank="1" showInputMessage="1" showErrorMessage="1" error="XLBVal:6=609362.3_x000d__x000a_" sqref="R10">
      <formula1>0</formula1>
      <formula2>300</formula2>
    </dataValidation>
    <dataValidation type="textLength" errorStyle="information" allowBlank="1" showInputMessage="1" showErrorMessage="1" error="XLBVal:6=263944.7_x000d__x000a_" sqref="Q10">
      <formula1>0</formula1>
      <formula2>300</formula2>
    </dataValidation>
    <dataValidation type="textLength" errorStyle="information" allowBlank="1" showInputMessage="1" showErrorMessage="1" error="XLBVal:6=102.58_x000d__x000a_" sqref="Q7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2=0_x000d__x000a_" sqref="S107 Q124:V127 Q118:V118 Q85:U85 Q110:V110 H25:I25 D20:I21 D32:I32 D85 F85 D131:I132 Q65:V70 D88:I89 D24:E24 R60:S60 G24:I24 R55 F24:F25 V25 R44:V47 D17:H17 Q75:V77 Q53:Q55 Q24:V24 V52:V57 Q9:U9 Q20:V21 Q88:V89 Q32:V32 Q131:V132 W9:AB9 Y10:AB11 Q17:V17 S58 Q12:AB13 Q121:V121 Q62:V62 Q52:U52 Q61:R61 U60 Q57:R57 Q50:V50 Q45:Q48 Q39:V42 Q73:V73 S53:U57 V59:V60 Q25:S25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AG161"/>
  <sheetViews>
    <sheetView view="pageBreakPreview" zoomScaleNormal="100" zoomScaleSheetLayoutView="100" workbookViewId="0">
      <pane xSplit="4" ySplit="6" topLeftCell="L67" activePane="bottomRight" state="frozen"/>
      <selection activeCell="AP43" sqref="AP43"/>
      <selection pane="topRight" activeCell="AP43" sqref="AP43"/>
      <selection pane="bottomLeft" activeCell="AP43" sqref="AP43"/>
      <selection pane="bottomRight" activeCell="AD65" sqref="AD65"/>
    </sheetView>
  </sheetViews>
  <sheetFormatPr defaultColWidth="9" defaultRowHeight="14.25" outlineLevelCol="2"/>
  <cols>
    <col min="1" max="2" width="9" style="105" hidden="1" customWidth="1" outlineLevel="1"/>
    <col min="3" max="3" width="40.25" style="105" customWidth="1" collapsed="1"/>
    <col min="4" max="15" width="14.5" style="72" bestFit="1" customWidth="1"/>
    <col min="16" max="16" width="19.5" style="127" bestFit="1" customWidth="1"/>
    <col min="17" max="21" width="14.5" style="72" hidden="1" customWidth="1" outlineLevel="1"/>
    <col min="22" max="22" width="12" style="72" hidden="1" customWidth="1" outlineLevel="1"/>
    <col min="23" max="23" width="14.5" style="72" hidden="1" customWidth="1" outlineLevel="1"/>
    <col min="24" max="25" width="14.5" style="72" hidden="1" customWidth="1" outlineLevel="2"/>
    <col min="26" max="28" width="12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529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377</v>
      </c>
      <c r="C9" s="105" t="s">
        <v>481</v>
      </c>
      <c r="D9" s="210">
        <f>ROUND(D85*D93,0)</f>
        <v>511500</v>
      </c>
      <c r="E9" s="210">
        <f t="shared" ref="E9:O9" si="0">ROUND(E85*E93,0)</f>
        <v>394800</v>
      </c>
      <c r="F9" s="210">
        <f t="shared" si="0"/>
        <v>348000</v>
      </c>
      <c r="G9" s="210">
        <f t="shared" si="0"/>
        <v>348000</v>
      </c>
      <c r="H9" s="210">
        <f t="shared" si="0"/>
        <v>369600</v>
      </c>
      <c r="I9" s="210">
        <f t="shared" si="0"/>
        <v>204000</v>
      </c>
      <c r="J9" s="210">
        <f t="shared" si="0"/>
        <v>418500</v>
      </c>
      <c r="K9" s="210">
        <f t="shared" si="0"/>
        <v>450000</v>
      </c>
      <c r="L9" s="210">
        <f t="shared" si="0"/>
        <v>204000</v>
      </c>
      <c r="M9" s="210">
        <f t="shared" si="0"/>
        <v>324000</v>
      </c>
      <c r="N9" s="210">
        <f t="shared" si="0"/>
        <v>255000</v>
      </c>
      <c r="O9" s="210">
        <f t="shared" si="0"/>
        <v>405000</v>
      </c>
      <c r="P9" s="127">
        <f>SUM(D9:O9)</f>
        <v>4232400</v>
      </c>
      <c r="Q9" s="72">
        <v>478937.5</v>
      </c>
      <c r="R9" s="72">
        <v>493024.3</v>
      </c>
      <c r="S9" s="72">
        <v>511018.2</v>
      </c>
      <c r="T9" s="72">
        <v>259272.9</v>
      </c>
      <c r="U9" s="72">
        <v>489572.4</v>
      </c>
      <c r="V9" s="72">
        <v>513062.8</v>
      </c>
      <c r="W9" s="72">
        <v>549408.4</v>
      </c>
      <c r="X9" s="72">
        <v>612972</v>
      </c>
      <c r="Y9" s="72">
        <v>135000</v>
      </c>
      <c r="Z9" s="72">
        <v>135000</v>
      </c>
      <c r="AA9" s="72">
        <v>288000</v>
      </c>
      <c r="AB9" s="72">
        <v>368000</v>
      </c>
      <c r="AC9" s="127">
        <f>SUM(Q9:AB9)</f>
        <v>4833268.5</v>
      </c>
      <c r="AD9" s="72">
        <f t="shared" ref="AD9:AD14" si="1">P9-AC9</f>
        <v>-600868.5</v>
      </c>
      <c r="AE9" s="192">
        <f t="shared" ref="AE9:AE14" si="2">AD9/AC9</f>
        <v>-0.12431928828286697</v>
      </c>
      <c r="AF9" s="129">
        <v>4735536.5599999996</v>
      </c>
      <c r="AG9" s="124">
        <f t="shared" ref="AG9:AG27" si="3">P9-AF9</f>
        <v>-503136.55999999959</v>
      </c>
    </row>
    <row r="10" spans="1:33">
      <c r="A10" s="105" t="s">
        <v>482</v>
      </c>
      <c r="B10" s="105" t="s">
        <v>377</v>
      </c>
      <c r="C10" s="105" t="s">
        <v>483</v>
      </c>
      <c r="D10" s="210">
        <f t="shared" ref="D10:O13" si="4">ROUND(D86*D94,0)</f>
        <v>450000</v>
      </c>
      <c r="E10" s="210">
        <f t="shared" si="4"/>
        <v>377000</v>
      </c>
      <c r="F10" s="210">
        <f t="shared" si="4"/>
        <v>237300</v>
      </c>
      <c r="G10" s="210">
        <f t="shared" si="4"/>
        <v>226000</v>
      </c>
      <c r="H10" s="210">
        <f t="shared" si="4"/>
        <v>237300</v>
      </c>
      <c r="I10" s="210">
        <f t="shared" si="4"/>
        <v>203400</v>
      </c>
      <c r="J10" s="210">
        <f t="shared" si="4"/>
        <v>354000</v>
      </c>
      <c r="K10" s="210">
        <f t="shared" si="4"/>
        <v>365800</v>
      </c>
      <c r="L10" s="210">
        <f t="shared" si="4"/>
        <v>203400</v>
      </c>
      <c r="M10" s="210">
        <f t="shared" si="4"/>
        <v>195500</v>
      </c>
      <c r="N10" s="210">
        <f t="shared" si="4"/>
        <v>212400</v>
      </c>
      <c r="O10" s="210">
        <f t="shared" si="4"/>
        <v>236000</v>
      </c>
      <c r="P10" s="127">
        <f>SUM(D10:O10)</f>
        <v>3298100</v>
      </c>
      <c r="Q10" s="72">
        <v>399707.49</v>
      </c>
      <c r="R10" s="72">
        <v>528268.43999999994</v>
      </c>
      <c r="S10" s="72">
        <v>247180.64</v>
      </c>
      <c r="T10" s="72">
        <v>144705.22</v>
      </c>
      <c r="U10" s="72">
        <v>231874.8</v>
      </c>
      <c r="V10" s="72">
        <v>173057.09</v>
      </c>
      <c r="W10" s="72">
        <v>231120.12</v>
      </c>
      <c r="X10" s="72">
        <v>299327.99</v>
      </c>
      <c r="Y10" s="72">
        <v>195000</v>
      </c>
      <c r="Z10" s="72">
        <v>234000</v>
      </c>
      <c r="AA10" s="72">
        <v>234000</v>
      </c>
      <c r="AB10" s="72">
        <v>260000</v>
      </c>
      <c r="AC10" s="127">
        <f>SUM(Q10:AB10)</f>
        <v>3178241.79</v>
      </c>
      <c r="AD10" s="72">
        <f t="shared" si="1"/>
        <v>119858.20999999996</v>
      </c>
      <c r="AE10" s="192">
        <f t="shared" si="2"/>
        <v>3.7712111890643774E-2</v>
      </c>
      <c r="AF10" s="129">
        <v>3775641.16</v>
      </c>
      <c r="AG10" s="124">
        <f t="shared" si="3"/>
        <v>-477541.16000000015</v>
      </c>
    </row>
    <row r="11" spans="1:33">
      <c r="A11" s="105" t="s">
        <v>484</v>
      </c>
      <c r="B11" s="105" t="s">
        <v>377</v>
      </c>
      <c r="C11" s="105" t="s">
        <v>485</v>
      </c>
      <c r="D11" s="210">
        <f t="shared" si="4"/>
        <v>540000</v>
      </c>
      <c r="E11" s="210">
        <f t="shared" si="4"/>
        <v>486000</v>
      </c>
      <c r="F11" s="210">
        <f t="shared" si="4"/>
        <v>241500</v>
      </c>
      <c r="G11" s="210">
        <f t="shared" si="4"/>
        <v>230000</v>
      </c>
      <c r="H11" s="210">
        <f t="shared" si="4"/>
        <v>241500</v>
      </c>
      <c r="I11" s="210">
        <f t="shared" si="4"/>
        <v>230000</v>
      </c>
      <c r="J11" s="210">
        <f t="shared" si="4"/>
        <v>360000</v>
      </c>
      <c r="K11" s="210">
        <f t="shared" si="4"/>
        <v>372000</v>
      </c>
      <c r="L11" s="210">
        <f t="shared" si="4"/>
        <v>200560</v>
      </c>
      <c r="M11" s="210">
        <f t="shared" si="4"/>
        <v>226000</v>
      </c>
      <c r="N11" s="210">
        <f t="shared" si="4"/>
        <v>240000</v>
      </c>
      <c r="O11" s="210">
        <f t="shared" si="4"/>
        <v>252000</v>
      </c>
      <c r="P11" s="127">
        <f>SUM(D11:O11)</f>
        <v>3619560</v>
      </c>
      <c r="Q11" s="72">
        <v>431101.55</v>
      </c>
      <c r="R11" s="72">
        <v>713136.4</v>
      </c>
      <c r="S11" s="72">
        <v>296990.71000000002</v>
      </c>
      <c r="T11" s="72">
        <v>140508.51999999999</v>
      </c>
      <c r="U11" s="72">
        <v>274894.67</v>
      </c>
      <c r="V11" s="72">
        <v>203281.8</v>
      </c>
      <c r="W11" s="72">
        <v>318165.45</v>
      </c>
      <c r="X11" s="72">
        <v>366128.5</v>
      </c>
      <c r="Y11" s="72">
        <v>208000</v>
      </c>
      <c r="Z11" s="72">
        <v>243000</v>
      </c>
      <c r="AA11" s="72">
        <v>239400</v>
      </c>
      <c r="AB11" s="72">
        <v>266000</v>
      </c>
      <c r="AC11" s="127">
        <f>SUM(Q11:AB11)</f>
        <v>3700607.6</v>
      </c>
      <c r="AD11" s="72">
        <f t="shared" si="1"/>
        <v>-81047.600000000093</v>
      </c>
      <c r="AE11" s="192">
        <f t="shared" si="2"/>
        <v>-2.1901160231092887E-2</v>
      </c>
      <c r="AF11" s="129">
        <v>5135190.5</v>
      </c>
      <c r="AG11" s="124">
        <f t="shared" si="3"/>
        <v>-1515630.5</v>
      </c>
    </row>
    <row r="12" spans="1:33">
      <c r="A12" s="105" t="s">
        <v>486</v>
      </c>
      <c r="B12" s="105" t="s">
        <v>377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377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1501500</v>
      </c>
      <c r="E14" s="127">
        <f t="shared" si="5"/>
        <v>1257800</v>
      </c>
      <c r="F14" s="127">
        <f t="shared" si="5"/>
        <v>826800</v>
      </c>
      <c r="G14" s="127">
        <f t="shared" si="5"/>
        <v>804000</v>
      </c>
      <c r="H14" s="127">
        <f t="shared" si="5"/>
        <v>848400</v>
      </c>
      <c r="I14" s="127">
        <f t="shared" si="5"/>
        <v>637400</v>
      </c>
      <c r="J14" s="127">
        <f t="shared" si="5"/>
        <v>1132500</v>
      </c>
      <c r="K14" s="127">
        <f t="shared" si="5"/>
        <v>1187800</v>
      </c>
      <c r="L14" s="127">
        <f t="shared" si="5"/>
        <v>607960</v>
      </c>
      <c r="M14" s="127">
        <f t="shared" si="5"/>
        <v>745500</v>
      </c>
      <c r="N14" s="127">
        <f t="shared" si="5"/>
        <v>707400</v>
      </c>
      <c r="O14" s="127">
        <f t="shared" si="5"/>
        <v>893000</v>
      </c>
      <c r="P14" s="127">
        <f t="shared" si="5"/>
        <v>11150060</v>
      </c>
      <c r="Q14" s="127">
        <f t="shared" si="5"/>
        <v>1309746.54</v>
      </c>
      <c r="R14" s="127">
        <f t="shared" si="5"/>
        <v>1734429.1400000001</v>
      </c>
      <c r="S14" s="127">
        <f t="shared" si="5"/>
        <v>1055189.55</v>
      </c>
      <c r="T14" s="127">
        <f t="shared" si="5"/>
        <v>544486.64</v>
      </c>
      <c r="U14" s="127">
        <f t="shared" si="5"/>
        <v>996341.86999999988</v>
      </c>
      <c r="V14" s="127">
        <f t="shared" si="5"/>
        <v>889401.69</v>
      </c>
      <c r="W14" s="127">
        <f t="shared" si="5"/>
        <v>1098693.97</v>
      </c>
      <c r="X14" s="127">
        <f t="shared" si="5"/>
        <v>1278428.49</v>
      </c>
      <c r="Y14" s="127">
        <f t="shared" si="5"/>
        <v>538000</v>
      </c>
      <c r="Z14" s="127">
        <f t="shared" si="5"/>
        <v>612000</v>
      </c>
      <c r="AA14" s="127">
        <f t="shared" si="5"/>
        <v>761400</v>
      </c>
      <c r="AB14" s="127">
        <f t="shared" si="5"/>
        <v>894000</v>
      </c>
      <c r="AC14" s="127">
        <f t="shared" si="5"/>
        <v>11712117.890000001</v>
      </c>
      <c r="AD14" s="72">
        <f t="shared" si="1"/>
        <v>-562057.8900000006</v>
      </c>
      <c r="AE14" s="192">
        <f t="shared" si="2"/>
        <v>-4.798943242194436E-2</v>
      </c>
      <c r="AF14" s="129">
        <v>13646368.219999999</v>
      </c>
      <c r="AG14" s="124">
        <f t="shared" si="3"/>
        <v>-2496308.2199999988</v>
      </c>
    </row>
    <row r="15" spans="1:33">
      <c r="C15" s="105" t="s">
        <v>154</v>
      </c>
      <c r="AF15" s="129"/>
      <c r="AG15" s="124">
        <f t="shared" si="3"/>
        <v>0</v>
      </c>
    </row>
    <row r="16" spans="1:33">
      <c r="C16" s="105" t="s">
        <v>491</v>
      </c>
      <c r="AF16" s="129"/>
      <c r="AG16" s="124">
        <f t="shared" si="3"/>
        <v>0</v>
      </c>
    </row>
    <row r="17" spans="1:33">
      <c r="A17" s="105" t="s">
        <v>492</v>
      </c>
      <c r="B17" s="105" t="s">
        <v>377</v>
      </c>
      <c r="C17" s="105" t="s">
        <v>481</v>
      </c>
      <c r="P17" s="12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112</v>
      </c>
      <c r="AG17" s="124">
        <f t="shared" si="3"/>
        <v>-112</v>
      </c>
    </row>
    <row r="18" spans="1:33">
      <c r="A18" s="105" t="s">
        <v>493</v>
      </c>
      <c r="B18" s="105" t="s">
        <v>377</v>
      </c>
      <c r="C18" s="105" t="s">
        <v>483</v>
      </c>
      <c r="D18" s="72">
        <v>3000</v>
      </c>
      <c r="E18" s="72">
        <v>5000</v>
      </c>
      <c r="F18" s="72">
        <v>3000</v>
      </c>
      <c r="G18" s="72">
        <v>3000</v>
      </c>
      <c r="H18" s="72">
        <v>3000</v>
      </c>
      <c r="I18" s="72">
        <v>3000</v>
      </c>
      <c r="J18" s="72">
        <v>4000</v>
      </c>
      <c r="K18" s="72">
        <v>4000</v>
      </c>
      <c r="L18" s="72">
        <v>3000</v>
      </c>
      <c r="M18" s="72">
        <v>4000</v>
      </c>
      <c r="N18" s="72">
        <v>4000</v>
      </c>
      <c r="O18" s="72">
        <v>4000</v>
      </c>
      <c r="P18" s="127">
        <f>SUM(D18:O18)</f>
        <v>43000</v>
      </c>
      <c r="Q18" s="72">
        <v>2142</v>
      </c>
      <c r="R18" s="72">
        <v>5239.2</v>
      </c>
      <c r="S18" s="72">
        <v>1660</v>
      </c>
      <c r="T18" s="72">
        <v>2330.9</v>
      </c>
      <c r="U18" s="72">
        <v>1008.1</v>
      </c>
      <c r="V18" s="72">
        <v>1281.8</v>
      </c>
      <c r="W18" s="72">
        <v>2504.8000000000002</v>
      </c>
      <c r="X18" s="72">
        <v>1684.5</v>
      </c>
      <c r="Y18" s="72">
        <v>3000</v>
      </c>
      <c r="Z18" s="72">
        <v>4000</v>
      </c>
      <c r="AA18" s="72">
        <v>4000</v>
      </c>
      <c r="AB18" s="72">
        <v>4000</v>
      </c>
      <c r="AC18" s="127">
        <f>SUM(Q18:AB18)</f>
        <v>32851.300000000003</v>
      </c>
      <c r="AD18" s="72">
        <f t="shared" si="6"/>
        <v>10148.699999999997</v>
      </c>
      <c r="AE18" s="192">
        <f t="shared" si="7"/>
        <v>0.30892841379184371</v>
      </c>
      <c r="AF18" s="129">
        <v>58481.85</v>
      </c>
      <c r="AG18" s="124">
        <f t="shared" si="3"/>
        <v>-15481.849999999999</v>
      </c>
    </row>
    <row r="19" spans="1:33">
      <c r="A19" s="105" t="s">
        <v>494</v>
      </c>
      <c r="B19" s="105" t="s">
        <v>377</v>
      </c>
      <c r="C19" s="105" t="s">
        <v>485</v>
      </c>
      <c r="D19" s="72">
        <v>7000</v>
      </c>
      <c r="E19" s="72">
        <v>35000</v>
      </c>
      <c r="F19" s="72">
        <v>5000</v>
      </c>
      <c r="G19" s="72">
        <v>5000</v>
      </c>
      <c r="H19" s="72">
        <v>5000</v>
      </c>
      <c r="I19" s="72">
        <v>5000</v>
      </c>
      <c r="J19" s="72">
        <v>6000</v>
      </c>
      <c r="K19" s="72">
        <v>6000</v>
      </c>
      <c r="L19" s="72">
        <v>5000</v>
      </c>
      <c r="M19" s="72">
        <v>7000</v>
      </c>
      <c r="N19" s="72">
        <v>7000</v>
      </c>
      <c r="O19" s="72">
        <v>7000</v>
      </c>
      <c r="P19" s="127">
        <f>SUM(D19:O19)</f>
        <v>100000</v>
      </c>
      <c r="Q19" s="72">
        <v>8650</v>
      </c>
      <c r="R19" s="72">
        <v>39504.6</v>
      </c>
      <c r="S19" s="72">
        <v>5166</v>
      </c>
      <c r="T19" s="72">
        <v>2764</v>
      </c>
      <c r="U19" s="72">
        <v>4322</v>
      </c>
      <c r="V19" s="72">
        <v>2270.8000000000002</v>
      </c>
      <c r="W19" s="72">
        <v>6002.4</v>
      </c>
      <c r="X19" s="72">
        <v>6744.9</v>
      </c>
      <c r="Y19" s="72">
        <v>5000</v>
      </c>
      <c r="Z19" s="72">
        <v>7000</v>
      </c>
      <c r="AA19" s="72">
        <v>7000</v>
      </c>
      <c r="AB19" s="72">
        <v>7000</v>
      </c>
      <c r="AC19" s="127">
        <f>SUM(Q19:AB19)</f>
        <v>101424.7</v>
      </c>
      <c r="AD19" s="72">
        <f t="shared" si="6"/>
        <v>-1424.6999999999971</v>
      </c>
      <c r="AE19" s="192">
        <f t="shared" si="7"/>
        <v>-1.404687418350754E-2</v>
      </c>
      <c r="AF19" s="129">
        <v>178466.73999999996</v>
      </c>
      <c r="AG19" s="124">
        <f t="shared" si="3"/>
        <v>-78466.739999999962</v>
      </c>
    </row>
    <row r="20" spans="1:33">
      <c r="A20" s="105" t="s">
        <v>495</v>
      </c>
      <c r="B20" s="105" t="s">
        <v>377</v>
      </c>
      <c r="C20" s="105" t="s">
        <v>487</v>
      </c>
      <c r="P20" s="12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</row>
    <row r="21" spans="1:33">
      <c r="A21" s="105" t="s">
        <v>497</v>
      </c>
      <c r="B21" s="105" t="s">
        <v>377</v>
      </c>
      <c r="C21" s="105" t="s">
        <v>489</v>
      </c>
      <c r="P21" s="12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10000</v>
      </c>
      <c r="E22" s="127">
        <f t="shared" si="8"/>
        <v>40000</v>
      </c>
      <c r="F22" s="127">
        <f t="shared" si="8"/>
        <v>8000</v>
      </c>
      <c r="G22" s="127">
        <f t="shared" si="8"/>
        <v>8000</v>
      </c>
      <c r="H22" s="127">
        <f t="shared" si="8"/>
        <v>8000</v>
      </c>
      <c r="I22" s="127">
        <f t="shared" si="8"/>
        <v>8000</v>
      </c>
      <c r="J22" s="127">
        <f t="shared" si="8"/>
        <v>10000</v>
      </c>
      <c r="K22" s="127">
        <f t="shared" si="8"/>
        <v>10000</v>
      </c>
      <c r="L22" s="127">
        <f t="shared" si="8"/>
        <v>8000</v>
      </c>
      <c r="M22" s="127">
        <f t="shared" si="8"/>
        <v>11000</v>
      </c>
      <c r="N22" s="127">
        <f t="shared" si="8"/>
        <v>11000</v>
      </c>
      <c r="O22" s="127">
        <f t="shared" si="8"/>
        <v>11000</v>
      </c>
      <c r="P22" s="127">
        <f>SUM(P17:P21)</f>
        <v>143000</v>
      </c>
      <c r="Q22" s="127">
        <f t="shared" ref="Q22:AC22" si="9">SUM(Q17:Q21)</f>
        <v>10792</v>
      </c>
      <c r="R22" s="127">
        <f t="shared" si="9"/>
        <v>44743.799999999996</v>
      </c>
      <c r="S22" s="127">
        <f t="shared" si="9"/>
        <v>6826</v>
      </c>
      <c r="T22" s="127">
        <f t="shared" si="9"/>
        <v>5094.8999999999996</v>
      </c>
      <c r="U22" s="127">
        <f t="shared" si="9"/>
        <v>5330.1</v>
      </c>
      <c r="V22" s="127">
        <f t="shared" si="9"/>
        <v>3552.6000000000004</v>
      </c>
      <c r="W22" s="127">
        <f t="shared" si="9"/>
        <v>8507.2000000000007</v>
      </c>
      <c r="X22" s="127">
        <f t="shared" si="9"/>
        <v>8429.4</v>
      </c>
      <c r="Y22" s="127">
        <f t="shared" si="9"/>
        <v>8000</v>
      </c>
      <c r="Z22" s="127">
        <f t="shared" si="9"/>
        <v>11000</v>
      </c>
      <c r="AA22" s="127">
        <f t="shared" si="9"/>
        <v>11000</v>
      </c>
      <c r="AB22" s="127">
        <f t="shared" si="9"/>
        <v>11000</v>
      </c>
      <c r="AC22" s="127">
        <f t="shared" si="9"/>
        <v>134276</v>
      </c>
      <c r="AD22" s="72">
        <f t="shared" si="6"/>
        <v>8724</v>
      </c>
      <c r="AE22" s="192">
        <f t="shared" si="7"/>
        <v>6.4970657451815669E-2</v>
      </c>
      <c r="AF22" s="129">
        <v>237060.58999999997</v>
      </c>
      <c r="AG22" s="124">
        <f t="shared" si="3"/>
        <v>-94060.589999999967</v>
      </c>
    </row>
    <row r="23" spans="1:33">
      <c r="C23" s="105" t="s">
        <v>154</v>
      </c>
      <c r="AF23" s="129"/>
      <c r="AG23" s="124">
        <f t="shared" si="3"/>
        <v>0</v>
      </c>
    </row>
    <row r="24" spans="1:33">
      <c r="A24" s="105" t="s">
        <v>406</v>
      </c>
      <c r="B24" s="105" t="s">
        <v>377</v>
      </c>
      <c r="C24" s="105" t="s">
        <v>408</v>
      </c>
      <c r="J24" s="123"/>
      <c r="K24" s="123"/>
      <c r="L24" s="123"/>
      <c r="M24" s="123"/>
      <c r="N24" s="123"/>
      <c r="O24" s="123"/>
      <c r="P24" s="12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377</v>
      </c>
      <c r="C25" s="105" t="s">
        <v>499</v>
      </c>
      <c r="P25" s="127">
        <f>SUM(D25:O25)</f>
        <v>0</v>
      </c>
      <c r="Q25" s="72">
        <v>1918.92</v>
      </c>
      <c r="R25" s="72">
        <v>4413.28</v>
      </c>
      <c r="S25" s="72">
        <v>2485.3000000000002</v>
      </c>
      <c r="T25" s="72">
        <v>2005.51</v>
      </c>
      <c r="U25" s="72">
        <v>224.5</v>
      </c>
      <c r="V25" s="72">
        <v>898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11945.51</v>
      </c>
      <c r="AD25" s="72">
        <f>P25-AC25</f>
        <v>-11945.51</v>
      </c>
      <c r="AE25" s="192">
        <f>AD25/AC25</f>
        <v>-1</v>
      </c>
      <c r="AF25" s="129">
        <v>100.32</v>
      </c>
      <c r="AG25" s="124">
        <f t="shared" si="3"/>
        <v>-100.32</v>
      </c>
    </row>
    <row r="26" spans="1:33">
      <c r="A26" s="105" t="s">
        <v>169</v>
      </c>
      <c r="B26" s="105" t="s">
        <v>377</v>
      </c>
      <c r="C26" s="105" t="s">
        <v>170</v>
      </c>
      <c r="D26" s="111">
        <f>ROUND((D10+D11)*0.035,0)</f>
        <v>34650</v>
      </c>
      <c r="E26" s="111">
        <f t="shared" ref="E26:O26" si="10">ROUND((E10+E11)*0.035,0)</f>
        <v>30205</v>
      </c>
      <c r="F26" s="111">
        <f t="shared" si="10"/>
        <v>16758</v>
      </c>
      <c r="G26" s="111">
        <f t="shared" si="10"/>
        <v>15960</v>
      </c>
      <c r="H26" s="111">
        <f t="shared" si="10"/>
        <v>16758</v>
      </c>
      <c r="I26" s="111">
        <f t="shared" si="10"/>
        <v>15169</v>
      </c>
      <c r="J26" s="111">
        <f t="shared" si="10"/>
        <v>24990</v>
      </c>
      <c r="K26" s="111">
        <f t="shared" si="10"/>
        <v>25823</v>
      </c>
      <c r="L26" s="111">
        <f t="shared" si="10"/>
        <v>14139</v>
      </c>
      <c r="M26" s="111">
        <f t="shared" si="10"/>
        <v>14753</v>
      </c>
      <c r="N26" s="111">
        <f t="shared" si="10"/>
        <v>15834</v>
      </c>
      <c r="O26" s="111">
        <f t="shared" si="10"/>
        <v>17080</v>
      </c>
      <c r="P26" s="127">
        <f>SUM(D26:O26)</f>
        <v>242119</v>
      </c>
      <c r="Q26" s="72">
        <v>50743.7</v>
      </c>
      <c r="R26" s="72">
        <v>128472.1</v>
      </c>
      <c r="S26" s="72">
        <v>30419.5</v>
      </c>
      <c r="T26" s="72">
        <v>12559.1</v>
      </c>
      <c r="U26" s="72">
        <v>27720.6</v>
      </c>
      <c r="V26" s="72">
        <v>17704.7</v>
      </c>
      <c r="W26" s="72">
        <v>26952.7</v>
      </c>
      <c r="X26" s="72">
        <v>41187.47</v>
      </c>
      <c r="Y26" s="72">
        <v>34474</v>
      </c>
      <c r="Z26" s="72">
        <v>30000</v>
      </c>
      <c r="AA26" s="72">
        <v>30000</v>
      </c>
      <c r="AB26" s="72">
        <v>40000</v>
      </c>
      <c r="AC26" s="127">
        <f>SUM(Q26:AB26)</f>
        <v>470233.87</v>
      </c>
      <c r="AD26" s="72">
        <f>P26-AC26</f>
        <v>-228114.87</v>
      </c>
      <c r="AE26" s="192">
        <f>AD26/AC26</f>
        <v>-0.48510939886146442</v>
      </c>
      <c r="AF26" s="129">
        <v>690801.49</v>
      </c>
      <c r="AG26" s="124">
        <f t="shared" si="3"/>
        <v>-448682.49</v>
      </c>
    </row>
    <row r="27" spans="1:33">
      <c r="C27" s="109" t="s">
        <v>500</v>
      </c>
      <c r="D27" s="127">
        <f t="shared" ref="D27:P27" si="11">SUM(D24:D26)+D14+D22</f>
        <v>1546150</v>
      </c>
      <c r="E27" s="127">
        <f t="shared" si="11"/>
        <v>1328005</v>
      </c>
      <c r="F27" s="127">
        <f t="shared" si="11"/>
        <v>851558</v>
      </c>
      <c r="G27" s="127">
        <f t="shared" si="11"/>
        <v>827960</v>
      </c>
      <c r="H27" s="127">
        <f t="shared" si="11"/>
        <v>873158</v>
      </c>
      <c r="I27" s="127">
        <f t="shared" si="11"/>
        <v>660569</v>
      </c>
      <c r="J27" s="127">
        <f t="shared" si="11"/>
        <v>1167490</v>
      </c>
      <c r="K27" s="127">
        <f t="shared" si="11"/>
        <v>1223623</v>
      </c>
      <c r="L27" s="127">
        <f t="shared" si="11"/>
        <v>630099</v>
      </c>
      <c r="M27" s="127">
        <f t="shared" si="11"/>
        <v>771253</v>
      </c>
      <c r="N27" s="127">
        <f t="shared" si="11"/>
        <v>734234</v>
      </c>
      <c r="O27" s="127">
        <f t="shared" si="11"/>
        <v>921080</v>
      </c>
      <c r="P27" s="127">
        <f t="shared" si="11"/>
        <v>11535179</v>
      </c>
      <c r="Q27" s="127">
        <f t="shared" ref="Q27:V27" si="12">SUM(Q24:Q26)+Q14+Q22</f>
        <v>1373201.1600000001</v>
      </c>
      <c r="R27" s="127">
        <f t="shared" si="12"/>
        <v>1912058.32</v>
      </c>
      <c r="S27" s="127">
        <f t="shared" si="12"/>
        <v>1094920.3500000001</v>
      </c>
      <c r="T27" s="127">
        <f t="shared" si="12"/>
        <v>564146.15</v>
      </c>
      <c r="U27" s="127">
        <f t="shared" si="12"/>
        <v>1029617.0699999998</v>
      </c>
      <c r="V27" s="127">
        <f t="shared" si="12"/>
        <v>911556.98999999987</v>
      </c>
      <c r="W27" s="127">
        <f t="shared" ref="W27:AC27" si="13">SUM(W24:W26)+W14+W22</f>
        <v>1134153.8699999999</v>
      </c>
      <c r="X27" s="127">
        <f t="shared" si="13"/>
        <v>1328045.3599999999</v>
      </c>
      <c r="Y27" s="127">
        <f t="shared" si="13"/>
        <v>580474</v>
      </c>
      <c r="Z27" s="127">
        <f t="shared" si="13"/>
        <v>653000</v>
      </c>
      <c r="AA27" s="127">
        <f t="shared" si="13"/>
        <v>802400</v>
      </c>
      <c r="AB27" s="127">
        <f t="shared" si="13"/>
        <v>945000</v>
      </c>
      <c r="AC27" s="127">
        <f t="shared" si="13"/>
        <v>12328573.270000001</v>
      </c>
      <c r="AD27" s="72">
        <f>P27-AC27</f>
        <v>-793394.27000000142</v>
      </c>
      <c r="AE27" s="192">
        <f>AD27/AC27</f>
        <v>-6.4354102670632976E-2</v>
      </c>
      <c r="AF27" s="129">
        <v>14574330.619999999</v>
      </c>
      <c r="AG27" s="124">
        <f t="shared" si="3"/>
        <v>-3039151.6199999992</v>
      </c>
    </row>
    <row r="28" spans="1:33">
      <c r="C28" s="105" t="s">
        <v>154</v>
      </c>
      <c r="AF28" s="129"/>
    </row>
    <row r="29" spans="1:33">
      <c r="C29" s="105" t="s">
        <v>414</v>
      </c>
      <c r="D29" s="211">
        <f t="shared" ref="D29:O29" si="14">D30/D14</f>
        <v>0.275000333000333</v>
      </c>
      <c r="E29" s="211">
        <f t="shared" si="14"/>
        <v>0.28000000000000003</v>
      </c>
      <c r="F29" s="211">
        <f t="shared" si="14"/>
        <v>0.27500000000000002</v>
      </c>
      <c r="G29" s="211">
        <f t="shared" si="14"/>
        <v>0.27500000000000002</v>
      </c>
      <c r="H29" s="211">
        <f t="shared" si="14"/>
        <v>0.28000000000000003</v>
      </c>
      <c r="I29" s="211">
        <f t="shared" si="14"/>
        <v>0.28000000000000003</v>
      </c>
      <c r="J29" s="211">
        <f t="shared" si="14"/>
        <v>0.27500044150110375</v>
      </c>
      <c r="K29" s="211">
        <f t="shared" si="14"/>
        <v>0.27500000000000002</v>
      </c>
      <c r="L29" s="211">
        <f t="shared" si="14"/>
        <v>0.28000032896901111</v>
      </c>
      <c r="M29" s="211">
        <f t="shared" si="14"/>
        <v>0.28000000000000003</v>
      </c>
      <c r="N29" s="211">
        <f t="shared" si="14"/>
        <v>0.28000000000000003</v>
      </c>
      <c r="O29" s="211">
        <f t="shared" si="14"/>
        <v>0.28000000000000003</v>
      </c>
      <c r="P29" s="211">
        <f>P30/P14</f>
        <v>0.27755500867259908</v>
      </c>
      <c r="AC29" s="211">
        <f>AC30/AC14</f>
        <v>0.28352639387580481</v>
      </c>
      <c r="AF29" s="129">
        <v>0.27468979581733727</v>
      </c>
    </row>
    <row r="30" spans="1:33">
      <c r="A30" s="105" t="s">
        <v>415</v>
      </c>
      <c r="B30" s="105" t="s">
        <v>377</v>
      </c>
      <c r="C30" s="105" t="s">
        <v>416</v>
      </c>
      <c r="D30" s="72">
        <f>ROUND(D14*0.275,0)</f>
        <v>412913</v>
      </c>
      <c r="E30" s="72">
        <f>ROUND(E14*0.28,0)</f>
        <v>352184</v>
      </c>
      <c r="F30" s="72">
        <f>ROUND(F14*0.275,0)</f>
        <v>227370</v>
      </c>
      <c r="G30" s="72">
        <f>ROUND(G14*0.275,0)</f>
        <v>221100</v>
      </c>
      <c r="H30" s="72">
        <f>ROUND(H14*0.28,0)</f>
        <v>237552</v>
      </c>
      <c r="I30" s="72">
        <f>ROUND(I14*0.28,0)</f>
        <v>178472</v>
      </c>
      <c r="J30" s="72">
        <f>ROUND(J14*0.275,0)</f>
        <v>311438</v>
      </c>
      <c r="K30" s="72">
        <f>ROUND(K14*0.275,0)</f>
        <v>326645</v>
      </c>
      <c r="L30" s="72">
        <f>ROUND(L14*0.28,0)</f>
        <v>170229</v>
      </c>
      <c r="M30" s="72">
        <f>ROUND(M14*0.28,0)</f>
        <v>208740</v>
      </c>
      <c r="N30" s="72">
        <f>ROUND(N14*0.28,0)</f>
        <v>198072</v>
      </c>
      <c r="O30" s="72">
        <f>ROUND(O14*0.28,0)</f>
        <v>250040</v>
      </c>
      <c r="P30" s="127">
        <f>SUM(D30:O30)</f>
        <v>3094755</v>
      </c>
      <c r="Q30" s="72">
        <v>370922.45</v>
      </c>
      <c r="R30" s="72">
        <v>517096.13</v>
      </c>
      <c r="S30" s="72">
        <v>294723.78999999998</v>
      </c>
      <c r="T30" s="72">
        <v>151697.24</v>
      </c>
      <c r="U30" s="72">
        <v>281503.34000000003</v>
      </c>
      <c r="V30" s="72">
        <v>252344.06</v>
      </c>
      <c r="W30" s="72">
        <v>304698.12</v>
      </c>
      <c r="X30" s="72">
        <v>362197.42</v>
      </c>
      <c r="Y30" s="72">
        <v>150640</v>
      </c>
      <c r="Z30" s="72">
        <v>171360</v>
      </c>
      <c r="AA30" s="72">
        <v>213192</v>
      </c>
      <c r="AB30" s="72">
        <v>250320</v>
      </c>
      <c r="AC30" s="127">
        <f>SUM(Q30:AB30)</f>
        <v>3320694.5500000003</v>
      </c>
      <c r="AD30" s="72">
        <f t="shared" ref="AD30:AD33" si="15">P30-AC30</f>
        <v>-225939.55000000028</v>
      </c>
      <c r="AE30" s="192">
        <f t="shared" ref="AE30:AE33" si="16">AD30/AC30</f>
        <v>-6.8039847266289602E-2</v>
      </c>
      <c r="AF30" s="129">
        <v>3748518.1</v>
      </c>
      <c r="AG30" s="124">
        <f t="shared" ref="AG30:AG80" si="17">AF30-P30</f>
        <v>653763.10000000009</v>
      </c>
    </row>
    <row r="31" spans="1:33">
      <c r="A31" s="105" t="s">
        <v>417</v>
      </c>
      <c r="B31" s="105" t="s">
        <v>377</v>
      </c>
      <c r="C31" s="105" t="s">
        <v>418</v>
      </c>
      <c r="D31" s="72">
        <f>ROUND(D22*0.23,0)</f>
        <v>2300</v>
      </c>
      <c r="E31" s="72">
        <f t="shared" ref="E31:O31" si="18">ROUND(E22*0.23,0)</f>
        <v>9200</v>
      </c>
      <c r="F31" s="72">
        <f t="shared" si="18"/>
        <v>1840</v>
      </c>
      <c r="G31" s="72">
        <f t="shared" si="18"/>
        <v>1840</v>
      </c>
      <c r="H31" s="72">
        <f t="shared" si="18"/>
        <v>1840</v>
      </c>
      <c r="I31" s="72">
        <f t="shared" si="18"/>
        <v>1840</v>
      </c>
      <c r="J31" s="72">
        <f t="shared" si="18"/>
        <v>2300</v>
      </c>
      <c r="K31" s="72">
        <f t="shared" si="18"/>
        <v>2300</v>
      </c>
      <c r="L31" s="72">
        <f t="shared" si="18"/>
        <v>1840</v>
      </c>
      <c r="M31" s="72">
        <f t="shared" si="18"/>
        <v>2530</v>
      </c>
      <c r="N31" s="72">
        <f t="shared" si="18"/>
        <v>2530</v>
      </c>
      <c r="O31" s="72">
        <f t="shared" si="18"/>
        <v>2530</v>
      </c>
      <c r="P31" s="127">
        <f>SUM(D31:O31)</f>
        <v>32890</v>
      </c>
      <c r="Q31" s="72">
        <v>2333.52</v>
      </c>
      <c r="R31" s="72">
        <v>12046.08</v>
      </c>
      <c r="S31" s="72">
        <v>1456.67</v>
      </c>
      <c r="T31" s="72">
        <v>1016.01</v>
      </c>
      <c r="U31" s="72">
        <v>1055.79</v>
      </c>
      <c r="V31" s="72">
        <v>684.27</v>
      </c>
      <c r="W31" s="72">
        <v>1722.3</v>
      </c>
      <c r="X31" s="72">
        <v>1877.12</v>
      </c>
      <c r="Y31" s="72">
        <v>1840</v>
      </c>
      <c r="Z31" s="72">
        <v>2530</v>
      </c>
      <c r="AA31" s="72">
        <v>2530</v>
      </c>
      <c r="AB31" s="72">
        <v>2530</v>
      </c>
      <c r="AC31" s="127">
        <f>SUM(Q31:AB31)</f>
        <v>31621.759999999998</v>
      </c>
      <c r="AD31" s="72">
        <f t="shared" si="15"/>
        <v>1268.2400000000016</v>
      </c>
      <c r="AE31" s="192">
        <f t="shared" si="16"/>
        <v>4.0106559533688246E-2</v>
      </c>
      <c r="AF31" s="129">
        <v>38263.49</v>
      </c>
      <c r="AG31" s="124">
        <f t="shared" si="17"/>
        <v>5373.489999999998</v>
      </c>
    </row>
    <row r="32" spans="1:33">
      <c r="A32" s="105" t="s">
        <v>421</v>
      </c>
      <c r="B32" s="105" t="s">
        <v>377</v>
      </c>
      <c r="C32" s="105" t="s">
        <v>422</v>
      </c>
      <c r="P32" s="127">
        <f>SUM(D32:O32)</f>
        <v>0</v>
      </c>
      <c r="Q32" s="72">
        <v>0</v>
      </c>
      <c r="R32" s="72">
        <v>91</v>
      </c>
      <c r="S32" s="72">
        <v>307.98</v>
      </c>
      <c r="T32" s="72">
        <v>206</v>
      </c>
      <c r="U32" s="72">
        <v>97.9</v>
      </c>
      <c r="V32" s="72">
        <v>509.85</v>
      </c>
      <c r="W32" s="72">
        <v>-102.97</v>
      </c>
      <c r="X32" s="72">
        <v>0.02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1109.78</v>
      </c>
      <c r="AD32" s="72">
        <f t="shared" si="15"/>
        <v>-1109.78</v>
      </c>
      <c r="AE32" s="192">
        <f t="shared" si="16"/>
        <v>-1</v>
      </c>
      <c r="AF32" s="129">
        <v>0</v>
      </c>
      <c r="AG32" s="124">
        <f t="shared" si="17"/>
        <v>0</v>
      </c>
    </row>
    <row r="33" spans="1:33">
      <c r="C33" s="109" t="s">
        <v>501</v>
      </c>
      <c r="D33" s="127">
        <f t="shared" ref="D33:AC33" si="19">SUM(D30:D32)</f>
        <v>415213</v>
      </c>
      <c r="E33" s="127">
        <f t="shared" si="19"/>
        <v>361384</v>
      </c>
      <c r="F33" s="127">
        <f t="shared" si="19"/>
        <v>229210</v>
      </c>
      <c r="G33" s="127">
        <f t="shared" si="19"/>
        <v>222940</v>
      </c>
      <c r="H33" s="127">
        <f t="shared" si="19"/>
        <v>239392</v>
      </c>
      <c r="I33" s="127">
        <f t="shared" si="19"/>
        <v>180312</v>
      </c>
      <c r="J33" s="127">
        <f t="shared" si="19"/>
        <v>313738</v>
      </c>
      <c r="K33" s="127">
        <f t="shared" si="19"/>
        <v>328945</v>
      </c>
      <c r="L33" s="127">
        <f t="shared" si="19"/>
        <v>172069</v>
      </c>
      <c r="M33" s="127">
        <f t="shared" si="19"/>
        <v>211270</v>
      </c>
      <c r="N33" s="127">
        <f t="shared" si="19"/>
        <v>200602</v>
      </c>
      <c r="O33" s="127">
        <f t="shared" si="19"/>
        <v>252570</v>
      </c>
      <c r="P33" s="129">
        <f t="shared" si="19"/>
        <v>3127645</v>
      </c>
      <c r="Q33" s="127">
        <f t="shared" si="19"/>
        <v>373255.97000000003</v>
      </c>
      <c r="R33" s="127">
        <f t="shared" si="19"/>
        <v>529233.21</v>
      </c>
      <c r="S33" s="127">
        <f t="shared" si="19"/>
        <v>296488.43999999994</v>
      </c>
      <c r="T33" s="127">
        <f t="shared" si="19"/>
        <v>152919.25</v>
      </c>
      <c r="U33" s="127">
        <f t="shared" si="19"/>
        <v>282657.03000000003</v>
      </c>
      <c r="V33" s="127">
        <f t="shared" si="19"/>
        <v>253538.18</v>
      </c>
      <c r="W33" s="127">
        <f t="shared" si="19"/>
        <v>306317.45</v>
      </c>
      <c r="X33" s="127">
        <f t="shared" si="19"/>
        <v>364074.56</v>
      </c>
      <c r="Y33" s="127">
        <f t="shared" si="19"/>
        <v>152480</v>
      </c>
      <c r="Z33" s="127">
        <f t="shared" si="19"/>
        <v>173890</v>
      </c>
      <c r="AA33" s="127">
        <f t="shared" si="19"/>
        <v>215722</v>
      </c>
      <c r="AB33" s="127">
        <f t="shared" si="19"/>
        <v>252850</v>
      </c>
      <c r="AC33" s="127">
        <f t="shared" si="19"/>
        <v>3353426.09</v>
      </c>
      <c r="AD33" s="72">
        <f t="shared" si="15"/>
        <v>-225781.08999999985</v>
      </c>
      <c r="AE33" s="192">
        <f t="shared" si="16"/>
        <v>-6.7328482554985983E-2</v>
      </c>
      <c r="AF33" s="129">
        <v>3786781.5900000003</v>
      </c>
      <c r="AG33" s="124">
        <f t="shared" si="17"/>
        <v>659136.59000000032</v>
      </c>
    </row>
    <row r="34" spans="1:33">
      <c r="C34" s="105" t="s">
        <v>154</v>
      </c>
      <c r="P34" s="129"/>
      <c r="AF34" s="129"/>
      <c r="AG34" s="124">
        <f t="shared" si="17"/>
        <v>0</v>
      </c>
    </row>
    <row r="35" spans="1:33" s="109" customFormat="1">
      <c r="C35" s="109" t="s">
        <v>289</v>
      </c>
      <c r="D35" s="127">
        <f t="shared" ref="D35:AB35" si="20">D134</f>
        <v>233344.81</v>
      </c>
      <c r="E35" s="127">
        <f t="shared" si="20"/>
        <v>186699.03</v>
      </c>
      <c r="F35" s="127">
        <f t="shared" si="20"/>
        <v>189654.31999999998</v>
      </c>
      <c r="G35" s="127">
        <f t="shared" si="20"/>
        <v>199977.09</v>
      </c>
      <c r="H35" s="127">
        <f t="shared" si="20"/>
        <v>209504.01</v>
      </c>
      <c r="I35" s="127">
        <f t="shared" si="20"/>
        <v>201654.94999999998</v>
      </c>
      <c r="J35" s="127">
        <f t="shared" si="20"/>
        <v>203290.47999999998</v>
      </c>
      <c r="K35" s="127">
        <f t="shared" si="20"/>
        <v>202523.22</v>
      </c>
      <c r="L35" s="127">
        <f t="shared" si="20"/>
        <v>202663.22</v>
      </c>
      <c r="M35" s="127">
        <f t="shared" si="20"/>
        <v>248851.53</v>
      </c>
      <c r="N35" s="127">
        <f t="shared" si="20"/>
        <v>203066.90999999997</v>
      </c>
      <c r="O35" s="127">
        <f t="shared" si="20"/>
        <v>202177.65</v>
      </c>
      <c r="P35" s="129">
        <f t="shared" si="20"/>
        <v>2483407.2200000002</v>
      </c>
      <c r="Q35" s="127">
        <f t="shared" si="20"/>
        <v>226079.97999999998</v>
      </c>
      <c r="R35" s="127">
        <f t="shared" si="20"/>
        <v>257963.96</v>
      </c>
      <c r="S35" s="127">
        <f t="shared" si="20"/>
        <v>226722.78999999998</v>
      </c>
      <c r="T35" s="127">
        <f t="shared" si="20"/>
        <v>200277.55000000002</v>
      </c>
      <c r="U35" s="127">
        <f t="shared" si="20"/>
        <v>179339.37</v>
      </c>
      <c r="V35" s="127">
        <f t="shared" si="20"/>
        <v>176136.70999999996</v>
      </c>
      <c r="W35" s="127">
        <f t="shared" si="20"/>
        <v>174597.90000000002</v>
      </c>
      <c r="X35" s="127">
        <f t="shared" si="20"/>
        <v>198120.19</v>
      </c>
      <c r="Y35" s="127">
        <f t="shared" si="20"/>
        <v>287507</v>
      </c>
      <c r="Z35" s="127">
        <f t="shared" si="20"/>
        <v>332996</v>
      </c>
      <c r="AA35" s="127">
        <f t="shared" si="20"/>
        <v>279848</v>
      </c>
      <c r="AB35" s="127">
        <f t="shared" si="20"/>
        <v>280192</v>
      </c>
      <c r="AC35" s="127">
        <f>SUM(Q35:AB35)</f>
        <v>2819781.4499999997</v>
      </c>
      <c r="AD35" s="127">
        <f t="shared" ref="AD35" si="21">P35-AC35</f>
        <v>-336374.22999999952</v>
      </c>
      <c r="AE35" s="132">
        <f t="shared" ref="AE35" si="22">AD35/AC35</f>
        <v>-0.11929088688770527</v>
      </c>
      <c r="AF35" s="129">
        <v>3494229.7800000003</v>
      </c>
      <c r="AG35" s="124">
        <f t="shared" si="17"/>
        <v>1010822.56</v>
      </c>
    </row>
    <row r="36" spans="1:33">
      <c r="C36" s="105" t="s">
        <v>154</v>
      </c>
      <c r="P36" s="129"/>
      <c r="AF36" s="129"/>
      <c r="AG36" s="124">
        <f t="shared" si="17"/>
        <v>0</v>
      </c>
    </row>
    <row r="37" spans="1:33">
      <c r="C37" s="109" t="s">
        <v>502</v>
      </c>
      <c r="P37" s="129"/>
      <c r="AF37" s="129"/>
      <c r="AG37" s="124">
        <f t="shared" si="17"/>
        <v>0</v>
      </c>
    </row>
    <row r="38" spans="1:33">
      <c r="A38" s="105" t="s">
        <v>424</v>
      </c>
      <c r="B38" s="105" t="s">
        <v>377</v>
      </c>
      <c r="C38" s="105" t="s">
        <v>425</v>
      </c>
      <c r="D38" s="221">
        <v>15000</v>
      </c>
      <c r="E38" s="221">
        <v>15000</v>
      </c>
      <c r="F38" s="221">
        <v>10000</v>
      </c>
      <c r="G38" s="221">
        <v>10000</v>
      </c>
      <c r="H38" s="221">
        <v>10000</v>
      </c>
      <c r="I38" s="221">
        <v>10000</v>
      </c>
      <c r="J38" s="221">
        <v>22000</v>
      </c>
      <c r="K38" s="221">
        <v>22000</v>
      </c>
      <c r="L38" s="221">
        <v>10000</v>
      </c>
      <c r="M38" s="221">
        <v>13000</v>
      </c>
      <c r="N38" s="221">
        <v>10000</v>
      </c>
      <c r="O38" s="221">
        <v>15000</v>
      </c>
      <c r="P38" s="133">
        <f t="shared" ref="P38:P78" si="23">SUM(D38:O38)</f>
        <v>162000</v>
      </c>
      <c r="Q38" s="72">
        <v>10125.43</v>
      </c>
      <c r="R38" s="72">
        <v>4906.6099999999997</v>
      </c>
      <c r="S38" s="72">
        <v>11488.14</v>
      </c>
      <c r="T38" s="72">
        <v>7267.06</v>
      </c>
      <c r="U38" s="72">
        <v>12084.26</v>
      </c>
      <c r="V38" s="72">
        <v>14483.83</v>
      </c>
      <c r="W38" s="72">
        <v>21006.49</v>
      </c>
      <c r="X38" s="72">
        <v>27895.5</v>
      </c>
      <c r="Y38" s="72">
        <v>10000</v>
      </c>
      <c r="Z38" s="72">
        <v>13000</v>
      </c>
      <c r="AA38" s="72">
        <v>10000</v>
      </c>
      <c r="AB38" s="72">
        <v>18000</v>
      </c>
      <c r="AC38" s="127">
        <f t="shared" ref="AC38:AC79" si="24">SUM(Q38:AB38)</f>
        <v>160257.32</v>
      </c>
      <c r="AD38" s="72">
        <f t="shared" ref="AD38:AD82" si="25">P38-AC38</f>
        <v>1742.679999999993</v>
      </c>
      <c r="AE38" s="192">
        <f t="shared" ref="AE38:AE82" si="26">AD38/AC38</f>
        <v>1.0874261468992449E-2</v>
      </c>
      <c r="AF38" s="129">
        <v>81164.530000000013</v>
      </c>
      <c r="AG38" s="124">
        <f t="shared" si="17"/>
        <v>-80835.469999999987</v>
      </c>
    </row>
    <row r="39" spans="1:33">
      <c r="A39" s="105" t="s">
        <v>273</v>
      </c>
      <c r="C39" s="105" t="s">
        <v>426</v>
      </c>
      <c r="D39" s="221">
        <v>0</v>
      </c>
      <c r="E39" s="221">
        <v>0</v>
      </c>
      <c r="F39" s="221">
        <v>0</v>
      </c>
      <c r="G39" s="221">
        <v>0</v>
      </c>
      <c r="H39" s="221">
        <v>0</v>
      </c>
      <c r="I39" s="221">
        <v>0</v>
      </c>
      <c r="J39" s="221">
        <v>0</v>
      </c>
      <c r="K39" s="221">
        <v>0</v>
      </c>
      <c r="L39" s="221">
        <v>0</v>
      </c>
      <c r="M39" s="221">
        <v>0</v>
      </c>
      <c r="N39" s="221">
        <v>0</v>
      </c>
      <c r="O39" s="221">
        <v>0</v>
      </c>
      <c r="P39" s="133">
        <f t="shared" si="23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4"/>
        <v>0</v>
      </c>
      <c r="AD39" s="72">
        <f t="shared" si="25"/>
        <v>0</v>
      </c>
      <c r="AE39" s="192" t="e">
        <f t="shared" si="26"/>
        <v>#DIV/0!</v>
      </c>
      <c r="AF39" s="129">
        <v>0</v>
      </c>
      <c r="AG39" s="124">
        <f t="shared" si="17"/>
        <v>0</v>
      </c>
    </row>
    <row r="40" spans="1:33">
      <c r="A40" s="105" t="s">
        <v>273</v>
      </c>
      <c r="C40" s="105" t="s">
        <v>427</v>
      </c>
      <c r="D40" s="221">
        <v>0</v>
      </c>
      <c r="E40" s="221">
        <v>0</v>
      </c>
      <c r="F40" s="221">
        <v>0</v>
      </c>
      <c r="G40" s="221">
        <v>0</v>
      </c>
      <c r="H40" s="221">
        <v>0</v>
      </c>
      <c r="I40" s="221">
        <v>0</v>
      </c>
      <c r="J40" s="221">
        <v>0</v>
      </c>
      <c r="K40" s="221">
        <v>0</v>
      </c>
      <c r="L40" s="221">
        <v>0</v>
      </c>
      <c r="M40" s="221">
        <v>0</v>
      </c>
      <c r="N40" s="221">
        <v>0</v>
      </c>
      <c r="O40" s="221">
        <v>0</v>
      </c>
      <c r="P40" s="133">
        <f t="shared" si="23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4"/>
        <v>0</v>
      </c>
      <c r="AD40" s="72">
        <f t="shared" si="25"/>
        <v>0</v>
      </c>
      <c r="AE40" s="192" t="e">
        <f t="shared" si="26"/>
        <v>#DIV/0!</v>
      </c>
      <c r="AF40" s="129">
        <v>0</v>
      </c>
      <c r="AG40" s="124">
        <f t="shared" si="17"/>
        <v>0</v>
      </c>
    </row>
    <row r="41" spans="1:33">
      <c r="A41" s="105" t="s">
        <v>273</v>
      </c>
      <c r="C41" s="105" t="s">
        <v>428</v>
      </c>
      <c r="D41" s="221">
        <v>0</v>
      </c>
      <c r="E41" s="221">
        <v>0</v>
      </c>
      <c r="F41" s="221">
        <v>0</v>
      </c>
      <c r="G41" s="221">
        <v>0</v>
      </c>
      <c r="H41" s="221">
        <v>0</v>
      </c>
      <c r="I41" s="221">
        <v>0</v>
      </c>
      <c r="J41" s="221">
        <v>0</v>
      </c>
      <c r="K41" s="221">
        <v>0</v>
      </c>
      <c r="L41" s="221">
        <v>0</v>
      </c>
      <c r="M41" s="221">
        <v>0</v>
      </c>
      <c r="N41" s="221">
        <v>0</v>
      </c>
      <c r="O41" s="221">
        <v>0</v>
      </c>
      <c r="P41" s="133">
        <f t="shared" si="23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4"/>
        <v>0</v>
      </c>
      <c r="AD41" s="72">
        <f t="shared" si="25"/>
        <v>0</v>
      </c>
      <c r="AE41" s="192" t="e">
        <f t="shared" si="26"/>
        <v>#DIV/0!</v>
      </c>
      <c r="AF41" s="129">
        <v>0</v>
      </c>
      <c r="AG41" s="124">
        <f t="shared" si="17"/>
        <v>0</v>
      </c>
    </row>
    <row r="42" spans="1:33">
      <c r="A42" s="105" t="s">
        <v>429</v>
      </c>
      <c r="B42" s="105" t="s">
        <v>377</v>
      </c>
      <c r="C42" s="105" t="s">
        <v>143</v>
      </c>
      <c r="D42" s="221">
        <v>0</v>
      </c>
      <c r="E42" s="221">
        <v>0</v>
      </c>
      <c r="F42" s="221">
        <v>0</v>
      </c>
      <c r="G42" s="221">
        <v>0</v>
      </c>
      <c r="H42" s="221">
        <v>0</v>
      </c>
      <c r="I42" s="221">
        <v>0</v>
      </c>
      <c r="J42" s="221">
        <v>0</v>
      </c>
      <c r="K42" s="221">
        <v>0</v>
      </c>
      <c r="L42" s="221">
        <v>0</v>
      </c>
      <c r="M42" s="221">
        <v>0</v>
      </c>
      <c r="N42" s="221">
        <v>0</v>
      </c>
      <c r="O42" s="221">
        <v>0</v>
      </c>
      <c r="P42" s="133">
        <f t="shared" si="23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4"/>
        <v>0</v>
      </c>
      <c r="AD42" s="72">
        <f t="shared" si="25"/>
        <v>0</v>
      </c>
      <c r="AE42" s="192" t="e">
        <f t="shared" si="26"/>
        <v>#DIV/0!</v>
      </c>
      <c r="AF42" s="129">
        <v>0</v>
      </c>
      <c r="AG42" s="124">
        <f t="shared" si="17"/>
        <v>0</v>
      </c>
    </row>
    <row r="43" spans="1:33">
      <c r="A43" s="105" t="s">
        <v>180</v>
      </c>
      <c r="B43" s="105" t="s">
        <v>377</v>
      </c>
      <c r="C43" s="105" t="s">
        <v>144</v>
      </c>
      <c r="D43" s="174">
        <f t="shared" ref="D43:O43" si="27">+D138+D139+D140</f>
        <v>123931.23999999999</v>
      </c>
      <c r="E43" s="174">
        <f t="shared" si="27"/>
        <v>102144.03</v>
      </c>
      <c r="F43" s="174">
        <f t="shared" si="27"/>
        <v>102628.53</v>
      </c>
      <c r="G43" s="174">
        <f t="shared" si="27"/>
        <v>107559.59</v>
      </c>
      <c r="H43" s="174">
        <f t="shared" si="27"/>
        <v>114963.88</v>
      </c>
      <c r="I43" s="174">
        <f t="shared" si="27"/>
        <v>105616.52</v>
      </c>
      <c r="J43" s="174">
        <f t="shared" si="27"/>
        <v>105917.79000000001</v>
      </c>
      <c r="K43" s="174">
        <f t="shared" si="27"/>
        <v>105694.52</v>
      </c>
      <c r="L43" s="174">
        <f t="shared" si="27"/>
        <v>105796.52</v>
      </c>
      <c r="M43" s="174">
        <f t="shared" si="27"/>
        <v>125282.53</v>
      </c>
      <c r="N43" s="174">
        <f t="shared" si="27"/>
        <v>105694.79000000001</v>
      </c>
      <c r="O43" s="174">
        <f t="shared" si="27"/>
        <v>105299.52</v>
      </c>
      <c r="P43" s="133">
        <f t="shared" si="23"/>
        <v>1310529.4600000002</v>
      </c>
      <c r="Q43" s="72">
        <v>134465.19</v>
      </c>
      <c r="R43" s="72">
        <v>171353.86</v>
      </c>
      <c r="S43" s="72">
        <v>110993.1</v>
      </c>
      <c r="T43" s="72">
        <v>86500.76</v>
      </c>
      <c r="U43" s="72">
        <v>109536.14</v>
      </c>
      <c r="V43" s="72">
        <v>107160.71</v>
      </c>
      <c r="W43" s="72">
        <v>98883.39</v>
      </c>
      <c r="X43" s="72">
        <v>89500.01</v>
      </c>
      <c r="Y43" s="72">
        <v>25800</v>
      </c>
      <c r="Z43" s="72">
        <v>15800</v>
      </c>
      <c r="AA43" s="72">
        <v>15800</v>
      </c>
      <c r="AB43" s="72">
        <v>20800</v>
      </c>
      <c r="AC43" s="127">
        <f t="shared" si="24"/>
        <v>986593.16</v>
      </c>
      <c r="AD43" s="72">
        <f t="shared" si="25"/>
        <v>323936.30000000016</v>
      </c>
      <c r="AE43" s="192">
        <f t="shared" si="26"/>
        <v>0.32833827876933602</v>
      </c>
      <c r="AF43" s="129">
        <v>45216.119999999995</v>
      </c>
      <c r="AG43" s="124">
        <f t="shared" si="17"/>
        <v>-1265313.3400000003</v>
      </c>
    </row>
    <row r="44" spans="1:33">
      <c r="A44" s="105" t="s">
        <v>181</v>
      </c>
      <c r="B44" s="105" t="s">
        <v>377</v>
      </c>
      <c r="C44" s="105" t="s">
        <v>182</v>
      </c>
      <c r="D44" s="221">
        <v>0</v>
      </c>
      <c r="E44" s="221">
        <v>0</v>
      </c>
      <c r="F44" s="221">
        <v>0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  <c r="O44" s="221">
        <v>0</v>
      </c>
      <c r="P44" s="133">
        <f t="shared" si="23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4"/>
        <v>0</v>
      </c>
      <c r="AD44" s="72">
        <f t="shared" si="25"/>
        <v>0</v>
      </c>
      <c r="AE44" s="192" t="e">
        <f t="shared" si="26"/>
        <v>#DIV/0!</v>
      </c>
      <c r="AF44" s="129">
        <v>0</v>
      </c>
      <c r="AG44" s="124">
        <f t="shared" si="17"/>
        <v>0</v>
      </c>
    </row>
    <row r="45" spans="1:33">
      <c r="A45" s="105" t="s">
        <v>430</v>
      </c>
      <c r="B45" s="105" t="s">
        <v>377</v>
      </c>
      <c r="C45" s="105" t="s">
        <v>431</v>
      </c>
      <c r="D45" s="221">
        <v>0</v>
      </c>
      <c r="E45" s="221">
        <v>0</v>
      </c>
      <c r="F45" s="221">
        <v>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0</v>
      </c>
      <c r="O45" s="221">
        <v>0</v>
      </c>
      <c r="P45" s="133">
        <f t="shared" si="23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4"/>
        <v>0</v>
      </c>
      <c r="AD45" s="72">
        <f t="shared" si="25"/>
        <v>0</v>
      </c>
      <c r="AE45" s="192" t="e">
        <f t="shared" si="26"/>
        <v>#DIV/0!</v>
      </c>
      <c r="AF45" s="129">
        <v>0</v>
      </c>
      <c r="AG45" s="124">
        <f t="shared" si="17"/>
        <v>0</v>
      </c>
    </row>
    <row r="46" spans="1:33">
      <c r="A46" s="105" t="s">
        <v>183</v>
      </c>
      <c r="B46" s="105" t="s">
        <v>377</v>
      </c>
      <c r="C46" s="105" t="s">
        <v>184</v>
      </c>
      <c r="D46" s="221">
        <v>0</v>
      </c>
      <c r="E46" s="221">
        <v>0</v>
      </c>
      <c r="F46" s="221">
        <v>0</v>
      </c>
      <c r="G46" s="221">
        <v>0</v>
      </c>
      <c r="H46" s="221">
        <v>0</v>
      </c>
      <c r="I46" s="221">
        <v>0</v>
      </c>
      <c r="J46" s="221">
        <v>0</v>
      </c>
      <c r="K46" s="221">
        <v>0</v>
      </c>
      <c r="L46" s="221">
        <v>0</v>
      </c>
      <c r="M46" s="221">
        <v>0</v>
      </c>
      <c r="N46" s="221">
        <v>0</v>
      </c>
      <c r="O46" s="221">
        <v>0</v>
      </c>
      <c r="P46" s="133">
        <f t="shared" si="23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4"/>
        <v>0</v>
      </c>
      <c r="AD46" s="72">
        <f t="shared" si="25"/>
        <v>0</v>
      </c>
      <c r="AE46" s="192" t="e">
        <f t="shared" si="26"/>
        <v>#DIV/0!</v>
      </c>
      <c r="AF46" s="129">
        <v>0</v>
      </c>
      <c r="AG46" s="124">
        <f t="shared" si="17"/>
        <v>0</v>
      </c>
    </row>
    <row r="47" spans="1:33">
      <c r="A47" s="105" t="s">
        <v>273</v>
      </c>
      <c r="C47" s="105" t="s">
        <v>432</v>
      </c>
      <c r="D47" s="221">
        <v>0</v>
      </c>
      <c r="E47" s="221">
        <v>0</v>
      </c>
      <c r="F47" s="221">
        <v>0</v>
      </c>
      <c r="G47" s="221">
        <v>0</v>
      </c>
      <c r="H47" s="221">
        <v>0</v>
      </c>
      <c r="I47" s="221">
        <v>0</v>
      </c>
      <c r="J47" s="221">
        <v>0</v>
      </c>
      <c r="K47" s="221">
        <v>0</v>
      </c>
      <c r="L47" s="221">
        <v>0</v>
      </c>
      <c r="M47" s="221">
        <v>0</v>
      </c>
      <c r="N47" s="221">
        <v>0</v>
      </c>
      <c r="O47" s="221">
        <v>0</v>
      </c>
      <c r="P47" s="133">
        <f t="shared" si="23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4"/>
        <v>0</v>
      </c>
      <c r="AD47" s="72">
        <f t="shared" si="25"/>
        <v>0</v>
      </c>
      <c r="AE47" s="192" t="e">
        <f t="shared" si="26"/>
        <v>#DIV/0!</v>
      </c>
      <c r="AF47" s="129">
        <v>0</v>
      </c>
      <c r="AG47" s="124">
        <f t="shared" si="17"/>
        <v>0</v>
      </c>
    </row>
    <row r="48" spans="1:33">
      <c r="A48" s="105" t="s">
        <v>185</v>
      </c>
      <c r="B48" s="105" t="s">
        <v>377</v>
      </c>
      <c r="C48" s="105" t="s">
        <v>186</v>
      </c>
      <c r="D48" s="221">
        <v>200</v>
      </c>
      <c r="E48" s="221">
        <v>200</v>
      </c>
      <c r="F48" s="221">
        <v>200</v>
      </c>
      <c r="G48" s="221">
        <v>200</v>
      </c>
      <c r="H48" s="221">
        <v>200</v>
      </c>
      <c r="I48" s="221">
        <v>200</v>
      </c>
      <c r="J48" s="221">
        <v>200</v>
      </c>
      <c r="K48" s="221">
        <v>200</v>
      </c>
      <c r="L48" s="221">
        <v>200</v>
      </c>
      <c r="M48" s="221">
        <v>200</v>
      </c>
      <c r="N48" s="221">
        <v>200</v>
      </c>
      <c r="O48" s="221">
        <v>200</v>
      </c>
      <c r="P48" s="133">
        <f t="shared" si="23"/>
        <v>2400</v>
      </c>
      <c r="Q48" s="72">
        <v>0</v>
      </c>
      <c r="R48" s="72">
        <v>591.6</v>
      </c>
      <c r="S48" s="72">
        <v>295.8</v>
      </c>
      <c r="T48" s="72">
        <v>295.8</v>
      </c>
      <c r="U48" s="72">
        <v>295.8</v>
      </c>
      <c r="V48" s="72">
        <v>295.8</v>
      </c>
      <c r="W48" s="72">
        <v>295.8</v>
      </c>
      <c r="X48" s="72">
        <v>295.8</v>
      </c>
      <c r="Y48" s="72">
        <v>277</v>
      </c>
      <c r="Z48" s="72">
        <v>277</v>
      </c>
      <c r="AA48" s="72">
        <v>277</v>
      </c>
      <c r="AB48" s="72">
        <v>277</v>
      </c>
      <c r="AC48" s="127">
        <f t="shared" si="24"/>
        <v>3474.4</v>
      </c>
      <c r="AD48" s="72">
        <f t="shared" si="25"/>
        <v>-1074.4000000000001</v>
      </c>
      <c r="AE48" s="192">
        <f t="shared" si="26"/>
        <v>-0.30923324890628601</v>
      </c>
      <c r="AF48" s="129">
        <v>3360</v>
      </c>
      <c r="AG48" s="124">
        <f t="shared" si="17"/>
        <v>960</v>
      </c>
    </row>
    <row r="49" spans="1:33">
      <c r="A49" s="105" t="s">
        <v>187</v>
      </c>
      <c r="B49" s="105" t="s">
        <v>377</v>
      </c>
      <c r="C49" s="105" t="s">
        <v>188</v>
      </c>
      <c r="D49" s="221">
        <v>5000</v>
      </c>
      <c r="E49" s="221">
        <v>6000</v>
      </c>
      <c r="F49" s="221">
        <v>4000</v>
      </c>
      <c r="G49" s="221">
        <v>4000</v>
      </c>
      <c r="H49" s="221">
        <v>4000</v>
      </c>
      <c r="I49" s="221">
        <v>3500</v>
      </c>
      <c r="J49" s="221">
        <v>4500</v>
      </c>
      <c r="K49" s="221">
        <v>4500</v>
      </c>
      <c r="L49" s="221">
        <v>3500</v>
      </c>
      <c r="M49" s="221">
        <v>4000</v>
      </c>
      <c r="N49" s="221">
        <v>4000</v>
      </c>
      <c r="O49" s="221">
        <v>4000</v>
      </c>
      <c r="P49" s="133">
        <f t="shared" si="23"/>
        <v>51000</v>
      </c>
      <c r="Q49" s="72">
        <v>6205.65</v>
      </c>
      <c r="R49" s="72">
        <v>7582.99</v>
      </c>
      <c r="S49" s="72">
        <v>4973.71</v>
      </c>
      <c r="T49" s="72">
        <v>2382.37</v>
      </c>
      <c r="U49" s="72">
        <v>3126.1</v>
      </c>
      <c r="V49" s="72">
        <v>3227.63</v>
      </c>
      <c r="W49" s="72">
        <v>4835.04</v>
      </c>
      <c r="X49" s="72">
        <v>4627.04</v>
      </c>
      <c r="Y49" s="72">
        <v>3500</v>
      </c>
      <c r="Z49" s="72">
        <v>4000</v>
      </c>
      <c r="AA49" s="72">
        <v>4000</v>
      </c>
      <c r="AB49" s="72">
        <v>4000</v>
      </c>
      <c r="AC49" s="127">
        <f t="shared" si="24"/>
        <v>52460.53</v>
      </c>
      <c r="AD49" s="72">
        <f t="shared" si="25"/>
        <v>-1460.5299999999988</v>
      </c>
      <c r="AE49" s="192">
        <f t="shared" si="26"/>
        <v>-2.7840549838135428E-2</v>
      </c>
      <c r="AF49" s="129">
        <v>31552.19</v>
      </c>
      <c r="AG49" s="124">
        <f t="shared" si="17"/>
        <v>-19447.810000000001</v>
      </c>
    </row>
    <row r="50" spans="1:33">
      <c r="A50" s="105" t="s">
        <v>195</v>
      </c>
      <c r="B50" s="105" t="s">
        <v>377</v>
      </c>
      <c r="C50" s="105" t="s">
        <v>196</v>
      </c>
      <c r="D50" s="221">
        <v>10000</v>
      </c>
      <c r="E50" s="221">
        <v>10000</v>
      </c>
      <c r="F50" s="221">
        <v>10000</v>
      </c>
      <c r="G50" s="221">
        <v>0</v>
      </c>
      <c r="H50" s="221">
        <v>0</v>
      </c>
      <c r="I50" s="221">
        <v>0</v>
      </c>
      <c r="J50" s="221">
        <v>0</v>
      </c>
      <c r="K50" s="221">
        <v>0</v>
      </c>
      <c r="L50" s="221">
        <v>0</v>
      </c>
      <c r="M50" s="221">
        <v>0</v>
      </c>
      <c r="N50" s="221">
        <v>0</v>
      </c>
      <c r="O50" s="221">
        <v>0</v>
      </c>
      <c r="P50" s="133">
        <f t="shared" si="23"/>
        <v>30000</v>
      </c>
      <c r="Q50" s="72">
        <v>10000</v>
      </c>
      <c r="R50" s="72">
        <v>10000</v>
      </c>
      <c r="S50" s="72">
        <v>10000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4"/>
        <v>30000</v>
      </c>
      <c r="AD50" s="72">
        <f t="shared" si="25"/>
        <v>0</v>
      </c>
      <c r="AE50" s="192">
        <f t="shared" si="26"/>
        <v>0</v>
      </c>
      <c r="AF50" s="129">
        <v>25016</v>
      </c>
      <c r="AG50" s="124">
        <f t="shared" si="17"/>
        <v>-4984</v>
      </c>
    </row>
    <row r="51" spans="1:33">
      <c r="A51" s="105" t="s">
        <v>197</v>
      </c>
      <c r="B51" s="105" t="s">
        <v>377</v>
      </c>
      <c r="C51" s="105" t="s">
        <v>305</v>
      </c>
      <c r="D51" s="221">
        <v>500</v>
      </c>
      <c r="E51" s="221">
        <v>1200</v>
      </c>
      <c r="F51" s="221">
        <v>500</v>
      </c>
      <c r="G51" s="221">
        <v>500</v>
      </c>
      <c r="H51" s="221">
        <v>500</v>
      </c>
      <c r="I51" s="221">
        <v>500</v>
      </c>
      <c r="J51" s="221">
        <v>500</v>
      </c>
      <c r="K51" s="221">
        <v>500</v>
      </c>
      <c r="L51" s="221">
        <v>500</v>
      </c>
      <c r="M51" s="221">
        <v>500</v>
      </c>
      <c r="N51" s="221">
        <v>500</v>
      </c>
      <c r="O51" s="221">
        <v>500</v>
      </c>
      <c r="P51" s="133">
        <f t="shared" si="23"/>
        <v>6700</v>
      </c>
      <c r="Q51" s="72">
        <v>385</v>
      </c>
      <c r="R51" s="72">
        <v>1190</v>
      </c>
      <c r="S51" s="72">
        <v>315</v>
      </c>
      <c r="T51" s="72">
        <v>175</v>
      </c>
      <c r="U51" s="72">
        <v>595</v>
      </c>
      <c r="V51" s="72">
        <v>385</v>
      </c>
      <c r="W51" s="72">
        <v>443.86</v>
      </c>
      <c r="X51" s="72">
        <v>653.91999999999996</v>
      </c>
      <c r="Y51" s="72">
        <v>800</v>
      </c>
      <c r="Z51" s="72">
        <v>800</v>
      </c>
      <c r="AA51" s="72">
        <v>800</v>
      </c>
      <c r="AB51" s="72">
        <v>800</v>
      </c>
      <c r="AC51" s="127">
        <f t="shared" si="24"/>
        <v>7342.78</v>
      </c>
      <c r="AD51" s="72">
        <f t="shared" si="25"/>
        <v>-642.77999999999975</v>
      </c>
      <c r="AE51" s="192">
        <f t="shared" si="26"/>
        <v>-8.7539051966693787E-2</v>
      </c>
      <c r="AF51" s="129">
        <v>8028.18</v>
      </c>
      <c r="AG51" s="124">
        <f t="shared" si="17"/>
        <v>1328.1800000000003</v>
      </c>
    </row>
    <row r="52" spans="1:33">
      <c r="A52" s="105" t="s">
        <v>434</v>
      </c>
      <c r="B52" s="105" t="s">
        <v>377</v>
      </c>
      <c r="C52" s="105" t="s">
        <v>435</v>
      </c>
      <c r="D52" s="221">
        <v>0</v>
      </c>
      <c r="E52" s="221">
        <v>0</v>
      </c>
      <c r="F52" s="221">
        <v>0</v>
      </c>
      <c r="G52" s="221">
        <v>0</v>
      </c>
      <c r="H52" s="221">
        <v>0</v>
      </c>
      <c r="I52" s="221">
        <v>0</v>
      </c>
      <c r="J52" s="221">
        <v>0</v>
      </c>
      <c r="K52" s="221">
        <v>0</v>
      </c>
      <c r="L52" s="221">
        <v>0</v>
      </c>
      <c r="M52" s="221">
        <v>0</v>
      </c>
      <c r="N52" s="221">
        <v>0</v>
      </c>
      <c r="O52" s="221">
        <v>0</v>
      </c>
      <c r="P52" s="133">
        <f t="shared" si="23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4"/>
        <v>0</v>
      </c>
      <c r="AD52" s="72">
        <f t="shared" si="25"/>
        <v>0</v>
      </c>
      <c r="AE52" s="192" t="e">
        <f t="shared" si="26"/>
        <v>#DIV/0!</v>
      </c>
      <c r="AF52" s="129">
        <v>0</v>
      </c>
      <c r="AG52" s="124">
        <f t="shared" si="17"/>
        <v>0</v>
      </c>
    </row>
    <row r="53" spans="1:33">
      <c r="A53" s="105" t="s">
        <v>436</v>
      </c>
      <c r="B53" s="105" t="s">
        <v>377</v>
      </c>
      <c r="C53" s="105" t="s">
        <v>437</v>
      </c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133">
        <f t="shared" si="23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4"/>
        <v>0</v>
      </c>
      <c r="AD53" s="72">
        <f t="shared" si="25"/>
        <v>0</v>
      </c>
      <c r="AE53" s="192" t="e">
        <f t="shared" si="26"/>
        <v>#DIV/0!</v>
      </c>
      <c r="AF53" s="129">
        <v>0</v>
      </c>
      <c r="AG53" s="124">
        <f t="shared" si="17"/>
        <v>0</v>
      </c>
    </row>
    <row r="54" spans="1:33">
      <c r="A54" s="105" t="s">
        <v>199</v>
      </c>
      <c r="B54" s="105" t="s">
        <v>377</v>
      </c>
      <c r="C54" s="105" t="s">
        <v>200</v>
      </c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133">
        <f t="shared" si="23"/>
        <v>0</v>
      </c>
      <c r="Q54" s="72">
        <v>3000</v>
      </c>
      <c r="R54" s="72">
        <v>3000</v>
      </c>
      <c r="S54" s="72">
        <v>3000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4"/>
        <v>9000</v>
      </c>
      <c r="AD54" s="72">
        <f t="shared" si="25"/>
        <v>-9000</v>
      </c>
      <c r="AE54" s="192">
        <f t="shared" si="26"/>
        <v>-1</v>
      </c>
      <c r="AF54" s="129">
        <v>48065</v>
      </c>
      <c r="AG54" s="124">
        <f t="shared" si="17"/>
        <v>48065</v>
      </c>
    </row>
    <row r="55" spans="1:33">
      <c r="A55" s="105" t="s">
        <v>438</v>
      </c>
      <c r="B55" s="105" t="s">
        <v>377</v>
      </c>
      <c r="C55" s="105" t="s">
        <v>439</v>
      </c>
      <c r="D55" s="221">
        <v>0</v>
      </c>
      <c r="E55" s="221">
        <v>0</v>
      </c>
      <c r="F55" s="221">
        <v>0</v>
      </c>
      <c r="G55" s="221">
        <v>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0</v>
      </c>
      <c r="N55" s="221">
        <v>0</v>
      </c>
      <c r="O55" s="221">
        <v>0</v>
      </c>
      <c r="P55" s="133">
        <f t="shared" si="23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4"/>
        <v>0</v>
      </c>
      <c r="AD55" s="72">
        <f t="shared" si="25"/>
        <v>0</v>
      </c>
      <c r="AE55" s="192" t="e">
        <f t="shared" si="26"/>
        <v>#DIV/0!</v>
      </c>
      <c r="AF55" s="129">
        <v>0</v>
      </c>
      <c r="AG55" s="124">
        <f t="shared" si="17"/>
        <v>0</v>
      </c>
    </row>
    <row r="56" spans="1:33">
      <c r="A56" s="105" t="s">
        <v>201</v>
      </c>
      <c r="B56" s="105" t="s">
        <v>377</v>
      </c>
      <c r="C56" s="105" t="s">
        <v>202</v>
      </c>
      <c r="D56" s="221">
        <v>5000</v>
      </c>
      <c r="E56" s="221">
        <v>10000</v>
      </c>
      <c r="F56" s="221">
        <v>0</v>
      </c>
      <c r="G56" s="221">
        <v>0</v>
      </c>
      <c r="H56" s="221">
        <v>0</v>
      </c>
      <c r="I56" s="221">
        <v>0</v>
      </c>
      <c r="J56" s="221">
        <v>5000</v>
      </c>
      <c r="K56" s="221">
        <v>5000</v>
      </c>
      <c r="L56" s="221">
        <v>0</v>
      </c>
      <c r="M56" s="221">
        <v>0</v>
      </c>
      <c r="N56" s="221">
        <v>2000</v>
      </c>
      <c r="O56" s="221">
        <v>2000</v>
      </c>
      <c r="P56" s="133">
        <f t="shared" si="23"/>
        <v>29000</v>
      </c>
      <c r="Q56" s="72">
        <v>162</v>
      </c>
      <c r="R56" s="72">
        <v>690.2</v>
      </c>
      <c r="S56" s="72">
        <v>10257.02</v>
      </c>
      <c r="T56" s="72">
        <v>1035</v>
      </c>
      <c r="U56" s="72">
        <v>0</v>
      </c>
      <c r="V56" s="72">
        <v>407.3</v>
      </c>
      <c r="W56" s="72">
        <v>523.1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24"/>
        <v>13074.62</v>
      </c>
      <c r="AD56" s="72">
        <f t="shared" si="25"/>
        <v>15925.38</v>
      </c>
      <c r="AE56" s="192">
        <f t="shared" si="26"/>
        <v>1.2180376944033553</v>
      </c>
      <c r="AF56" s="129">
        <v>9416.2000000000007</v>
      </c>
      <c r="AG56" s="124">
        <f t="shared" si="17"/>
        <v>-19583.8</v>
      </c>
    </row>
    <row r="57" spans="1:33">
      <c r="A57" s="105" t="s">
        <v>440</v>
      </c>
      <c r="B57" s="105" t="s">
        <v>377</v>
      </c>
      <c r="C57" s="105" t="s">
        <v>441</v>
      </c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133">
        <f t="shared" si="23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4"/>
        <v>0</v>
      </c>
      <c r="AD57" s="72">
        <f t="shared" si="25"/>
        <v>0</v>
      </c>
      <c r="AE57" s="192" t="e">
        <f t="shared" si="26"/>
        <v>#DIV/0!</v>
      </c>
      <c r="AF57" s="129">
        <v>2387.69</v>
      </c>
      <c r="AG57" s="124">
        <f t="shared" si="17"/>
        <v>2387.69</v>
      </c>
    </row>
    <row r="58" spans="1:33">
      <c r="A58" s="105" t="s">
        <v>442</v>
      </c>
      <c r="B58" s="105" t="s">
        <v>377</v>
      </c>
      <c r="C58" s="105" t="s">
        <v>443</v>
      </c>
      <c r="D58" s="221">
        <v>500</v>
      </c>
      <c r="E58" s="221">
        <v>500</v>
      </c>
      <c r="F58" s="221">
        <v>500</v>
      </c>
      <c r="G58" s="221">
        <v>500</v>
      </c>
      <c r="H58" s="221">
        <v>500</v>
      </c>
      <c r="I58" s="221">
        <v>500</v>
      </c>
      <c r="J58" s="221">
        <v>500</v>
      </c>
      <c r="K58" s="221">
        <v>500</v>
      </c>
      <c r="L58" s="221">
        <v>500</v>
      </c>
      <c r="M58" s="221">
        <v>500</v>
      </c>
      <c r="N58" s="221">
        <v>500</v>
      </c>
      <c r="O58" s="221">
        <v>500</v>
      </c>
      <c r="P58" s="133">
        <f t="shared" si="23"/>
        <v>6000</v>
      </c>
      <c r="Q58" s="72">
        <v>672.56</v>
      </c>
      <c r="R58" s="72">
        <v>336.28</v>
      </c>
      <c r="S58" s="72">
        <v>336.28</v>
      </c>
      <c r="T58" s="72">
        <v>0</v>
      </c>
      <c r="U58" s="72">
        <v>504.42</v>
      </c>
      <c r="V58" s="72">
        <v>336.28</v>
      </c>
      <c r="W58" s="72">
        <v>336.28</v>
      </c>
      <c r="X58" s="72">
        <v>504.42</v>
      </c>
      <c r="Y58" s="72">
        <v>500</v>
      </c>
      <c r="Z58" s="72">
        <v>500</v>
      </c>
      <c r="AA58" s="72">
        <v>500</v>
      </c>
      <c r="AB58" s="72">
        <v>500</v>
      </c>
      <c r="AC58" s="127">
        <f t="shared" si="24"/>
        <v>5026.5199999999995</v>
      </c>
      <c r="AD58" s="72">
        <f t="shared" si="25"/>
        <v>973.48000000000047</v>
      </c>
      <c r="AE58" s="192">
        <f t="shared" si="26"/>
        <v>0.19366878078670741</v>
      </c>
      <c r="AF58" s="129">
        <v>18763.189999999995</v>
      </c>
      <c r="AG58" s="124">
        <f t="shared" si="17"/>
        <v>12763.189999999995</v>
      </c>
    </row>
    <row r="59" spans="1:33">
      <c r="A59" s="105" t="s">
        <v>203</v>
      </c>
      <c r="B59" s="105" t="s">
        <v>377</v>
      </c>
      <c r="C59" s="105" t="s">
        <v>204</v>
      </c>
      <c r="D59" s="221">
        <v>1269</v>
      </c>
      <c r="E59" s="221">
        <v>1269</v>
      </c>
      <c r="F59" s="221">
        <v>1269</v>
      </c>
      <c r="G59" s="221">
        <v>1269</v>
      </c>
      <c r="H59" s="221">
        <v>1269</v>
      </c>
      <c r="I59" s="221">
        <v>1269</v>
      </c>
      <c r="J59" s="221">
        <v>1269</v>
      </c>
      <c r="K59" s="221">
        <v>1269</v>
      </c>
      <c r="L59" s="221">
        <v>1269</v>
      </c>
      <c r="M59" s="221">
        <v>1269</v>
      </c>
      <c r="N59" s="221">
        <v>1269</v>
      </c>
      <c r="O59" s="221">
        <v>1269</v>
      </c>
      <c r="P59" s="133">
        <f t="shared" si="23"/>
        <v>15228</v>
      </c>
      <c r="Q59" s="72">
        <v>2818</v>
      </c>
      <c r="R59" s="72">
        <v>2818</v>
      </c>
      <c r="S59" s="72">
        <v>2818</v>
      </c>
      <c r="T59" s="72">
        <v>0</v>
      </c>
      <c r="U59" s="72">
        <v>0</v>
      </c>
      <c r="V59" s="72">
        <v>-29.66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4"/>
        <v>8424.34</v>
      </c>
      <c r="AD59" s="72">
        <f t="shared" si="25"/>
        <v>6803.66</v>
      </c>
      <c r="AE59" s="192">
        <f t="shared" si="26"/>
        <v>0.80761935059601109</v>
      </c>
      <c r="AF59" s="129">
        <v>15116.91</v>
      </c>
      <c r="AG59" s="124">
        <f t="shared" si="17"/>
        <v>-111.09000000000015</v>
      </c>
    </row>
    <row r="60" spans="1:33">
      <c r="A60" s="105" t="s">
        <v>444</v>
      </c>
      <c r="B60" s="105" t="s">
        <v>377</v>
      </c>
      <c r="C60" s="105" t="s">
        <v>445</v>
      </c>
      <c r="D60" s="221">
        <v>0</v>
      </c>
      <c r="E60" s="221"/>
      <c r="F60" s="221">
        <v>3344</v>
      </c>
      <c r="G60" s="221">
        <v>0</v>
      </c>
      <c r="H60" s="221">
        <v>350</v>
      </c>
      <c r="I60" s="221">
        <v>0</v>
      </c>
      <c r="J60" s="221">
        <v>0</v>
      </c>
      <c r="K60" s="221">
        <v>0</v>
      </c>
      <c r="L60" s="221">
        <v>0</v>
      </c>
      <c r="M60" s="221">
        <v>0</v>
      </c>
      <c r="N60" s="221">
        <v>0</v>
      </c>
      <c r="O60" s="221">
        <v>0</v>
      </c>
      <c r="P60" s="133">
        <f t="shared" si="23"/>
        <v>3694</v>
      </c>
      <c r="Q60" s="72">
        <v>0</v>
      </c>
      <c r="R60" s="72">
        <v>349.51</v>
      </c>
      <c r="S60" s="72">
        <v>0</v>
      </c>
      <c r="T60" s="72">
        <v>0</v>
      </c>
      <c r="U60" s="72">
        <v>349.51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4"/>
        <v>699.02</v>
      </c>
      <c r="AD60" s="72">
        <f t="shared" si="25"/>
        <v>2994.98</v>
      </c>
      <c r="AE60" s="192">
        <f t="shared" si="26"/>
        <v>4.2845412148436388</v>
      </c>
      <c r="AF60" s="129">
        <v>565</v>
      </c>
      <c r="AG60" s="124">
        <f t="shared" si="17"/>
        <v>-3129</v>
      </c>
    </row>
    <row r="61" spans="1:33">
      <c r="A61" s="105" t="s">
        <v>446</v>
      </c>
      <c r="B61" s="105" t="s">
        <v>377</v>
      </c>
      <c r="C61" s="105" t="s">
        <v>447</v>
      </c>
      <c r="D61" s="221">
        <v>500</v>
      </c>
      <c r="E61" s="221">
        <v>500</v>
      </c>
      <c r="F61" s="221">
        <v>500</v>
      </c>
      <c r="G61" s="221">
        <v>500</v>
      </c>
      <c r="H61" s="221">
        <v>500</v>
      </c>
      <c r="I61" s="221">
        <v>500</v>
      </c>
      <c r="J61" s="221">
        <v>500</v>
      </c>
      <c r="K61" s="221">
        <v>500</v>
      </c>
      <c r="L61" s="221">
        <v>500</v>
      </c>
      <c r="M61" s="221">
        <v>500</v>
      </c>
      <c r="N61" s="221">
        <v>500</v>
      </c>
      <c r="O61" s="221">
        <v>500</v>
      </c>
      <c r="P61" s="133">
        <f t="shared" si="23"/>
        <v>6000</v>
      </c>
      <c r="Q61" s="72">
        <v>364.78</v>
      </c>
      <c r="R61" s="72">
        <v>364.78</v>
      </c>
      <c r="S61" s="72">
        <v>364.78</v>
      </c>
      <c r="T61" s="72">
        <v>364.78</v>
      </c>
      <c r="U61" s="72">
        <v>364.78</v>
      </c>
      <c r="V61" s="72">
        <v>364.78</v>
      </c>
      <c r="W61" s="72">
        <v>873.3</v>
      </c>
      <c r="X61" s="72">
        <v>1662.21</v>
      </c>
      <c r="Y61" s="72">
        <v>500</v>
      </c>
      <c r="Z61" s="72">
        <v>500</v>
      </c>
      <c r="AA61" s="72">
        <v>500</v>
      </c>
      <c r="AB61" s="72">
        <v>500</v>
      </c>
      <c r="AC61" s="127">
        <f t="shared" si="24"/>
        <v>6724.19</v>
      </c>
      <c r="AD61" s="72">
        <f t="shared" si="25"/>
        <v>-724.1899999999996</v>
      </c>
      <c r="AE61" s="192">
        <f t="shared" si="26"/>
        <v>-0.10769921730349673</v>
      </c>
      <c r="AF61" s="129">
        <v>0</v>
      </c>
      <c r="AG61" s="124">
        <f t="shared" si="17"/>
        <v>-6000</v>
      </c>
    </row>
    <row r="62" spans="1:33">
      <c r="A62" s="105" t="s">
        <v>273</v>
      </c>
      <c r="C62" s="105" t="s">
        <v>448</v>
      </c>
      <c r="D62" s="221">
        <v>0</v>
      </c>
      <c r="E62" s="221">
        <v>0</v>
      </c>
      <c r="F62" s="221">
        <v>0</v>
      </c>
      <c r="G62" s="221">
        <v>0</v>
      </c>
      <c r="H62" s="221">
        <v>0</v>
      </c>
      <c r="I62" s="221">
        <v>0</v>
      </c>
      <c r="J62" s="221">
        <v>0</v>
      </c>
      <c r="K62" s="221">
        <v>0</v>
      </c>
      <c r="L62" s="221">
        <v>0</v>
      </c>
      <c r="M62" s="221">
        <v>0</v>
      </c>
      <c r="N62" s="221">
        <v>0</v>
      </c>
      <c r="O62" s="221">
        <v>0</v>
      </c>
      <c r="P62" s="133">
        <f t="shared" si="23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4"/>
        <v>0</v>
      </c>
      <c r="AD62" s="72">
        <f t="shared" si="25"/>
        <v>0</v>
      </c>
      <c r="AE62" s="192" t="e">
        <f t="shared" si="26"/>
        <v>#DIV/0!</v>
      </c>
      <c r="AF62" s="129">
        <v>0</v>
      </c>
      <c r="AG62" s="124">
        <f t="shared" si="17"/>
        <v>0</v>
      </c>
    </row>
    <row r="63" spans="1:33">
      <c r="A63" s="105" t="s">
        <v>207</v>
      </c>
      <c r="B63" s="105" t="s">
        <v>377</v>
      </c>
      <c r="C63" s="105" t="s">
        <v>208</v>
      </c>
      <c r="D63" s="221">
        <v>1500</v>
      </c>
      <c r="E63" s="221">
        <v>1500</v>
      </c>
      <c r="F63" s="221">
        <v>1000</v>
      </c>
      <c r="G63" s="221">
        <v>1000</v>
      </c>
      <c r="H63" s="221">
        <v>1500</v>
      </c>
      <c r="I63" s="221">
        <v>1000</v>
      </c>
      <c r="J63" s="221">
        <v>1500</v>
      </c>
      <c r="K63" s="221">
        <v>1500</v>
      </c>
      <c r="L63" s="221">
        <v>1000</v>
      </c>
      <c r="M63" s="221">
        <v>1000</v>
      </c>
      <c r="N63" s="221">
        <v>1000</v>
      </c>
      <c r="O63" s="221">
        <v>1800</v>
      </c>
      <c r="P63" s="133">
        <f t="shared" si="23"/>
        <v>15300</v>
      </c>
      <c r="Q63" s="72">
        <v>1476.53</v>
      </c>
      <c r="R63" s="72">
        <v>2173.38</v>
      </c>
      <c r="S63" s="72">
        <v>1908.21</v>
      </c>
      <c r="T63" s="72">
        <v>997.9</v>
      </c>
      <c r="U63" s="72">
        <v>1384.74</v>
      </c>
      <c r="V63" s="72">
        <v>737.73</v>
      </c>
      <c r="W63" s="72">
        <v>905.48</v>
      </c>
      <c r="X63" s="72">
        <v>885.71</v>
      </c>
      <c r="Y63" s="72">
        <v>1500</v>
      </c>
      <c r="Z63" s="72">
        <v>1500</v>
      </c>
      <c r="AA63" s="72">
        <v>1800</v>
      </c>
      <c r="AB63" s="72">
        <v>1800</v>
      </c>
      <c r="AC63" s="127">
        <f t="shared" si="24"/>
        <v>17069.68</v>
      </c>
      <c r="AD63" s="72">
        <f t="shared" si="25"/>
        <v>-1769.6800000000003</v>
      </c>
      <c r="AE63" s="192">
        <f t="shared" si="26"/>
        <v>-0.10367388258010697</v>
      </c>
      <c r="AF63" s="129">
        <v>26469.640000000003</v>
      </c>
      <c r="AG63" s="124">
        <f t="shared" si="17"/>
        <v>11169.640000000003</v>
      </c>
    </row>
    <row r="64" spans="1:33">
      <c r="A64" s="105" t="s">
        <v>449</v>
      </c>
      <c r="B64" s="105" t="s">
        <v>377</v>
      </c>
      <c r="C64" s="105" t="s">
        <v>450</v>
      </c>
      <c r="D64" s="221">
        <v>114</v>
      </c>
      <c r="E64" s="221">
        <v>114</v>
      </c>
      <c r="F64" s="221">
        <v>114</v>
      </c>
      <c r="G64" s="221">
        <v>114</v>
      </c>
      <c r="H64" s="221">
        <v>114</v>
      </c>
      <c r="I64" s="221">
        <v>54</v>
      </c>
      <c r="J64" s="221">
        <v>54</v>
      </c>
      <c r="K64" s="221">
        <v>115</v>
      </c>
      <c r="L64" s="221">
        <v>115</v>
      </c>
      <c r="M64" s="221">
        <v>115</v>
      </c>
      <c r="N64" s="221">
        <v>115</v>
      </c>
      <c r="O64" s="221">
        <v>115</v>
      </c>
      <c r="P64" s="133">
        <f t="shared" si="23"/>
        <v>1253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115</v>
      </c>
      <c r="Z64" s="72">
        <v>115</v>
      </c>
      <c r="AA64" s="72">
        <v>115</v>
      </c>
      <c r="AB64" s="72">
        <v>115</v>
      </c>
      <c r="AC64" s="127">
        <f t="shared" si="24"/>
        <v>1194.5</v>
      </c>
      <c r="AD64" s="72">
        <f t="shared" si="25"/>
        <v>58.5</v>
      </c>
      <c r="AE64" s="192">
        <f t="shared" si="26"/>
        <v>4.8974466303892843E-2</v>
      </c>
      <c r="AF64" s="129">
        <v>2015.1200000000003</v>
      </c>
      <c r="AG64" s="124">
        <f t="shared" si="17"/>
        <v>762.12000000000035</v>
      </c>
    </row>
    <row r="65" spans="1:33">
      <c r="A65" s="105" t="s">
        <v>273</v>
      </c>
      <c r="C65" s="105" t="s">
        <v>451</v>
      </c>
      <c r="D65" s="221">
        <v>0</v>
      </c>
      <c r="E65" s="221">
        <v>0</v>
      </c>
      <c r="F65" s="221">
        <v>0</v>
      </c>
      <c r="G65" s="221">
        <v>0</v>
      </c>
      <c r="H65" s="221">
        <v>0</v>
      </c>
      <c r="I65" s="221">
        <v>0</v>
      </c>
      <c r="J65" s="221">
        <v>0</v>
      </c>
      <c r="K65" s="221">
        <v>0</v>
      </c>
      <c r="L65" s="221">
        <v>0</v>
      </c>
      <c r="M65" s="221">
        <v>0</v>
      </c>
      <c r="N65" s="221">
        <v>0</v>
      </c>
      <c r="O65" s="221">
        <v>0</v>
      </c>
      <c r="P65" s="133">
        <f t="shared" si="23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4"/>
        <v>0</v>
      </c>
      <c r="AD65" s="72">
        <f t="shared" si="25"/>
        <v>0</v>
      </c>
      <c r="AE65" s="192" t="e">
        <f t="shared" si="26"/>
        <v>#DIV/0!</v>
      </c>
      <c r="AF65" s="129">
        <v>0</v>
      </c>
      <c r="AG65" s="124">
        <f t="shared" si="17"/>
        <v>0</v>
      </c>
    </row>
    <row r="66" spans="1:33">
      <c r="A66" s="105" t="s">
        <v>452</v>
      </c>
      <c r="B66" s="105" t="s">
        <v>377</v>
      </c>
      <c r="C66" s="105" t="s">
        <v>453</v>
      </c>
      <c r="D66" s="221">
        <v>0</v>
      </c>
      <c r="E66" s="221">
        <v>0</v>
      </c>
      <c r="F66" s="221">
        <v>0</v>
      </c>
      <c r="G66" s="221">
        <v>0</v>
      </c>
      <c r="H66" s="221">
        <v>0</v>
      </c>
      <c r="I66" s="221">
        <v>0</v>
      </c>
      <c r="J66" s="221">
        <v>0</v>
      </c>
      <c r="K66" s="221">
        <v>0</v>
      </c>
      <c r="L66" s="221">
        <v>0</v>
      </c>
      <c r="M66" s="221">
        <v>0</v>
      </c>
      <c r="N66" s="221">
        <v>0</v>
      </c>
      <c r="O66" s="221">
        <v>0</v>
      </c>
      <c r="P66" s="133">
        <f t="shared" si="23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4"/>
        <v>0</v>
      </c>
      <c r="AD66" s="72">
        <f t="shared" si="25"/>
        <v>0</v>
      </c>
      <c r="AE66" s="192" t="e">
        <f t="shared" si="26"/>
        <v>#DIV/0!</v>
      </c>
      <c r="AF66" s="129">
        <v>0</v>
      </c>
      <c r="AG66" s="124">
        <f t="shared" si="17"/>
        <v>0</v>
      </c>
    </row>
    <row r="67" spans="1:33">
      <c r="A67" s="105" t="s">
        <v>454</v>
      </c>
      <c r="B67" s="105" t="s">
        <v>377</v>
      </c>
      <c r="C67" s="105" t="s">
        <v>455</v>
      </c>
      <c r="D67" s="221">
        <v>0</v>
      </c>
      <c r="E67" s="221">
        <v>0</v>
      </c>
      <c r="F67" s="221">
        <v>0</v>
      </c>
      <c r="G67" s="221">
        <v>0</v>
      </c>
      <c r="H67" s="221">
        <v>0</v>
      </c>
      <c r="I67" s="221">
        <v>0</v>
      </c>
      <c r="J67" s="221">
        <v>0</v>
      </c>
      <c r="K67" s="221">
        <v>0</v>
      </c>
      <c r="L67" s="221">
        <v>0</v>
      </c>
      <c r="M67" s="221">
        <v>0</v>
      </c>
      <c r="N67" s="221">
        <v>0</v>
      </c>
      <c r="O67" s="221">
        <v>0</v>
      </c>
      <c r="P67" s="133">
        <f t="shared" si="23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4"/>
        <v>0</v>
      </c>
      <c r="AD67" s="136">
        <f t="shared" si="25"/>
        <v>0</v>
      </c>
      <c r="AE67" s="196" t="e">
        <f t="shared" si="26"/>
        <v>#DIV/0!</v>
      </c>
      <c r="AF67" s="133">
        <v>24580</v>
      </c>
      <c r="AG67" s="124">
        <f t="shared" si="17"/>
        <v>24580</v>
      </c>
    </row>
    <row r="68" spans="1:33">
      <c r="A68" s="105" t="s">
        <v>456</v>
      </c>
      <c r="B68" s="105" t="s">
        <v>377</v>
      </c>
      <c r="C68" s="105" t="s">
        <v>457</v>
      </c>
      <c r="D68" s="221">
        <v>0</v>
      </c>
      <c r="E68" s="221">
        <v>0</v>
      </c>
      <c r="F68" s="221">
        <v>0</v>
      </c>
      <c r="G68" s="221">
        <v>0</v>
      </c>
      <c r="H68" s="221">
        <v>0</v>
      </c>
      <c r="I68" s="221">
        <v>0</v>
      </c>
      <c r="J68" s="221">
        <v>0</v>
      </c>
      <c r="K68" s="221">
        <v>0</v>
      </c>
      <c r="L68" s="221">
        <v>0</v>
      </c>
      <c r="M68" s="221">
        <v>0</v>
      </c>
      <c r="N68" s="221">
        <v>0</v>
      </c>
      <c r="O68" s="221">
        <v>0</v>
      </c>
      <c r="P68" s="133">
        <f t="shared" si="23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4"/>
        <v>0</v>
      </c>
      <c r="AD68" s="136">
        <f t="shared" si="25"/>
        <v>0</v>
      </c>
      <c r="AE68" s="196" t="e">
        <f t="shared" si="26"/>
        <v>#DIV/0!</v>
      </c>
      <c r="AF68" s="133">
        <v>0</v>
      </c>
      <c r="AG68" s="124">
        <f t="shared" si="17"/>
        <v>0</v>
      </c>
    </row>
    <row r="69" spans="1:33">
      <c r="A69" s="105" t="s">
        <v>273</v>
      </c>
      <c r="C69" s="105" t="s">
        <v>458</v>
      </c>
      <c r="D69" s="221">
        <v>0</v>
      </c>
      <c r="E69" s="221">
        <v>0</v>
      </c>
      <c r="F69" s="221">
        <v>0</v>
      </c>
      <c r="G69" s="221">
        <v>0</v>
      </c>
      <c r="H69" s="221">
        <v>0</v>
      </c>
      <c r="I69" s="221">
        <v>0</v>
      </c>
      <c r="J69" s="221">
        <v>0</v>
      </c>
      <c r="K69" s="221">
        <v>0</v>
      </c>
      <c r="L69" s="221">
        <v>0</v>
      </c>
      <c r="M69" s="221">
        <v>0</v>
      </c>
      <c r="N69" s="221">
        <v>0</v>
      </c>
      <c r="O69" s="221">
        <v>0</v>
      </c>
      <c r="P69" s="133">
        <f t="shared" si="23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4"/>
        <v>0</v>
      </c>
      <c r="AD69" s="136">
        <f t="shared" si="25"/>
        <v>0</v>
      </c>
      <c r="AE69" s="196" t="e">
        <f t="shared" si="26"/>
        <v>#DIV/0!</v>
      </c>
      <c r="AF69" s="133">
        <v>0</v>
      </c>
      <c r="AG69" s="124">
        <f t="shared" si="17"/>
        <v>0</v>
      </c>
    </row>
    <row r="70" spans="1:33">
      <c r="A70" s="105" t="s">
        <v>209</v>
      </c>
      <c r="B70" s="105" t="s">
        <v>377</v>
      </c>
      <c r="C70" s="105" t="s">
        <v>210</v>
      </c>
      <c r="D70" s="221">
        <v>0</v>
      </c>
      <c r="E70" s="221">
        <v>0</v>
      </c>
      <c r="F70" s="221">
        <v>0</v>
      </c>
      <c r="G70" s="221">
        <v>0</v>
      </c>
      <c r="H70" s="221">
        <v>0</v>
      </c>
      <c r="I70" s="221">
        <v>0</v>
      </c>
      <c r="J70" s="221">
        <v>0</v>
      </c>
      <c r="K70" s="221">
        <v>0</v>
      </c>
      <c r="L70" s="221">
        <v>0</v>
      </c>
      <c r="M70" s="221">
        <v>0</v>
      </c>
      <c r="N70" s="221">
        <v>0</v>
      </c>
      <c r="O70" s="221">
        <v>0</v>
      </c>
      <c r="P70" s="133">
        <f t="shared" si="23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4"/>
        <v>0</v>
      </c>
      <c r="AD70" s="136">
        <f t="shared" si="25"/>
        <v>0</v>
      </c>
      <c r="AE70" s="196" t="e">
        <f t="shared" si="26"/>
        <v>#DIV/0!</v>
      </c>
      <c r="AF70" s="133">
        <v>0</v>
      </c>
      <c r="AG70" s="124">
        <f t="shared" si="17"/>
        <v>0</v>
      </c>
    </row>
    <row r="71" spans="1:33">
      <c r="A71" s="105" t="s">
        <v>211</v>
      </c>
      <c r="B71" s="105" t="s">
        <v>377</v>
      </c>
      <c r="C71" s="105" t="s">
        <v>212</v>
      </c>
      <c r="D71" s="221">
        <v>500</v>
      </c>
      <c r="E71" s="221">
        <v>800</v>
      </c>
      <c r="F71" s="221">
        <v>500</v>
      </c>
      <c r="G71" s="221">
        <v>500</v>
      </c>
      <c r="H71" s="221">
        <v>500</v>
      </c>
      <c r="I71" s="221">
        <v>500</v>
      </c>
      <c r="J71" s="221">
        <v>500</v>
      </c>
      <c r="K71" s="221">
        <v>500</v>
      </c>
      <c r="L71" s="221">
        <v>500</v>
      </c>
      <c r="M71" s="221">
        <v>500</v>
      </c>
      <c r="N71" s="221">
        <v>500</v>
      </c>
      <c r="O71" s="221">
        <v>500</v>
      </c>
      <c r="P71" s="133">
        <f t="shared" si="23"/>
        <v>6300</v>
      </c>
      <c r="Q71" s="136">
        <v>915.65</v>
      </c>
      <c r="R71" s="136">
        <v>3879.74</v>
      </c>
      <c r="S71" s="136">
        <v>695</v>
      </c>
      <c r="T71" s="136">
        <v>606.1</v>
      </c>
      <c r="U71" s="136">
        <v>922.2</v>
      </c>
      <c r="V71" s="136">
        <v>177.56</v>
      </c>
      <c r="W71" s="72">
        <v>869.42</v>
      </c>
      <c r="X71" s="72">
        <v>1098.44</v>
      </c>
      <c r="Y71" s="72">
        <v>500</v>
      </c>
      <c r="Z71" s="72">
        <v>500</v>
      </c>
      <c r="AA71" s="72">
        <v>500</v>
      </c>
      <c r="AB71" s="72">
        <v>500</v>
      </c>
      <c r="AC71" s="137">
        <f t="shared" si="24"/>
        <v>11164.11</v>
      </c>
      <c r="AD71" s="136">
        <f t="shared" si="25"/>
        <v>-4864.1100000000006</v>
      </c>
      <c r="AE71" s="196">
        <f t="shared" si="26"/>
        <v>-0.43569169418789322</v>
      </c>
      <c r="AF71" s="133">
        <v>9682.09</v>
      </c>
      <c r="AG71" s="124">
        <f t="shared" si="17"/>
        <v>3382.09</v>
      </c>
    </row>
    <row r="72" spans="1:33">
      <c r="A72" s="105" t="s">
        <v>213</v>
      </c>
      <c r="B72" s="105" t="s">
        <v>377</v>
      </c>
      <c r="C72" s="105" t="s">
        <v>214</v>
      </c>
      <c r="D72" s="222">
        <f>Laundry!E126</f>
        <v>6239</v>
      </c>
      <c r="E72" s="222">
        <f>Laundry!F126</f>
        <v>5687</v>
      </c>
      <c r="F72" s="222">
        <f>Laundry!G126</f>
        <v>5753</v>
      </c>
      <c r="G72" s="222">
        <f>Laundry!H126</f>
        <v>5911</v>
      </c>
      <c r="H72" s="222">
        <f>Laundry!I126</f>
        <v>6077</v>
      </c>
      <c r="I72" s="222">
        <f>Laundry!J126</f>
        <v>5807</v>
      </c>
      <c r="J72" s="222">
        <f>Laundry!K126</f>
        <v>6192</v>
      </c>
      <c r="K72" s="222">
        <f>Laundry!L126</f>
        <v>6162</v>
      </c>
      <c r="L72" s="222">
        <f>Laundry!M126</f>
        <v>5948</v>
      </c>
      <c r="M72" s="222">
        <f>Laundry!N126</f>
        <v>6768</v>
      </c>
      <c r="N72" s="222">
        <f>Laundry!O126</f>
        <v>5978</v>
      </c>
      <c r="O72" s="222">
        <f>Laundry!P126</f>
        <v>5949</v>
      </c>
      <c r="P72" s="133">
        <f t="shared" si="23"/>
        <v>72471</v>
      </c>
      <c r="Q72" s="136">
        <v>8914.93</v>
      </c>
      <c r="R72" s="136">
        <v>9928.7999999999993</v>
      </c>
      <c r="S72" s="136">
        <v>6652.73</v>
      </c>
      <c r="T72" s="136">
        <v>3798.66</v>
      </c>
      <c r="U72" s="136">
        <v>2237.19</v>
      </c>
      <c r="V72" s="136">
        <v>6773.37</v>
      </c>
      <c r="W72" s="72">
        <v>5843.93</v>
      </c>
      <c r="X72" s="72">
        <v>5775.12</v>
      </c>
      <c r="Y72" s="72">
        <v>5948</v>
      </c>
      <c r="Z72" s="72">
        <v>6654</v>
      </c>
      <c r="AA72" s="72">
        <v>5591</v>
      </c>
      <c r="AB72" s="72">
        <v>5717</v>
      </c>
      <c r="AC72" s="137">
        <f t="shared" si="24"/>
        <v>73834.73000000001</v>
      </c>
      <c r="AD72" s="136">
        <f t="shared" si="25"/>
        <v>-1363.7300000000105</v>
      </c>
      <c r="AE72" s="196">
        <f t="shared" si="26"/>
        <v>-1.8470034359169597E-2</v>
      </c>
      <c r="AF72" s="133">
        <v>52483.33</v>
      </c>
      <c r="AG72" s="124">
        <f t="shared" si="17"/>
        <v>-19987.669999999998</v>
      </c>
    </row>
    <row r="73" spans="1:33">
      <c r="A73" s="105" t="s">
        <v>306</v>
      </c>
      <c r="B73" s="105" t="s">
        <v>377</v>
      </c>
      <c r="C73" s="105" t="s">
        <v>206</v>
      </c>
      <c r="D73" s="221">
        <v>0</v>
      </c>
      <c r="E73" s="221">
        <v>0</v>
      </c>
      <c r="F73" s="221">
        <v>0</v>
      </c>
      <c r="G73" s="221">
        <v>0</v>
      </c>
      <c r="H73" s="221">
        <v>0</v>
      </c>
      <c r="I73" s="221">
        <v>0</v>
      </c>
      <c r="J73" s="221">
        <v>0</v>
      </c>
      <c r="K73" s="221">
        <v>0</v>
      </c>
      <c r="L73" s="221">
        <v>0</v>
      </c>
      <c r="M73" s="221">
        <v>0</v>
      </c>
      <c r="N73" s="221">
        <v>0</v>
      </c>
      <c r="O73" s="221">
        <v>0</v>
      </c>
      <c r="P73" s="133">
        <f t="shared" si="23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4"/>
        <v>0</v>
      </c>
      <c r="AD73" s="136">
        <f t="shared" si="25"/>
        <v>0</v>
      </c>
      <c r="AE73" s="196" t="e">
        <f t="shared" si="26"/>
        <v>#DIV/0!</v>
      </c>
      <c r="AF73" s="133">
        <v>0</v>
      </c>
      <c r="AG73" s="124">
        <f t="shared" si="17"/>
        <v>0</v>
      </c>
    </row>
    <row r="74" spans="1:33">
      <c r="A74" s="105" t="s">
        <v>215</v>
      </c>
      <c r="B74" s="105" t="s">
        <v>377</v>
      </c>
      <c r="C74" s="105" t="s">
        <v>216</v>
      </c>
      <c r="D74" s="221">
        <v>100</v>
      </c>
      <c r="E74" s="221">
        <v>100</v>
      </c>
      <c r="F74" s="221">
        <v>100</v>
      </c>
      <c r="G74" s="221">
        <v>100</v>
      </c>
      <c r="H74" s="221">
        <v>100</v>
      </c>
      <c r="I74" s="221">
        <v>100</v>
      </c>
      <c r="J74" s="221">
        <v>100</v>
      </c>
      <c r="K74" s="221">
        <v>100</v>
      </c>
      <c r="L74" s="221">
        <v>100</v>
      </c>
      <c r="M74" s="221">
        <v>100</v>
      </c>
      <c r="N74" s="221">
        <v>100</v>
      </c>
      <c r="O74" s="221">
        <v>100</v>
      </c>
      <c r="P74" s="133">
        <f t="shared" si="23"/>
        <v>1200</v>
      </c>
      <c r="Q74" s="136">
        <v>23</v>
      </c>
      <c r="R74" s="136">
        <v>23</v>
      </c>
      <c r="S74" s="136">
        <v>23</v>
      </c>
      <c r="T74" s="136">
        <v>23</v>
      </c>
      <c r="U74" s="136">
        <v>23</v>
      </c>
      <c r="V74" s="136">
        <v>23</v>
      </c>
      <c r="W74" s="72">
        <v>23</v>
      </c>
      <c r="X74" s="72">
        <v>23</v>
      </c>
      <c r="Y74" s="72">
        <v>100</v>
      </c>
      <c r="Z74" s="72">
        <v>100</v>
      </c>
      <c r="AA74" s="72">
        <v>100</v>
      </c>
      <c r="AB74" s="72">
        <v>100</v>
      </c>
      <c r="AC74" s="137">
        <f t="shared" si="24"/>
        <v>584</v>
      </c>
      <c r="AD74" s="136">
        <f t="shared" si="25"/>
        <v>616</v>
      </c>
      <c r="AE74" s="196">
        <f t="shared" si="26"/>
        <v>1.0547945205479452</v>
      </c>
      <c r="AF74" s="133">
        <v>251.32</v>
      </c>
      <c r="AG74" s="124">
        <f t="shared" si="17"/>
        <v>-948.68000000000006</v>
      </c>
    </row>
    <row r="75" spans="1:33">
      <c r="A75" s="105" t="s">
        <v>217</v>
      </c>
      <c r="B75" s="105" t="s">
        <v>377</v>
      </c>
      <c r="C75" s="105" t="s">
        <v>218</v>
      </c>
      <c r="D75" s="221">
        <v>0</v>
      </c>
      <c r="E75" s="221">
        <v>0</v>
      </c>
      <c r="F75" s="221">
        <v>0</v>
      </c>
      <c r="G75" s="221">
        <v>0</v>
      </c>
      <c r="H75" s="221">
        <v>0</v>
      </c>
      <c r="I75" s="221">
        <v>0</v>
      </c>
      <c r="J75" s="221">
        <v>0</v>
      </c>
      <c r="K75" s="221">
        <v>100</v>
      </c>
      <c r="L75" s="221">
        <v>100</v>
      </c>
      <c r="M75" s="221">
        <v>100</v>
      </c>
      <c r="N75" s="221">
        <v>100</v>
      </c>
      <c r="O75" s="221">
        <v>100</v>
      </c>
      <c r="P75" s="133">
        <f t="shared" si="23"/>
        <v>500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100</v>
      </c>
      <c r="Z75" s="72">
        <v>100</v>
      </c>
      <c r="AA75" s="72">
        <v>100</v>
      </c>
      <c r="AB75" s="72">
        <v>100</v>
      </c>
      <c r="AC75" s="137">
        <f t="shared" si="24"/>
        <v>400</v>
      </c>
      <c r="AD75" s="136">
        <f t="shared" si="25"/>
        <v>100</v>
      </c>
      <c r="AE75" s="196">
        <f t="shared" si="26"/>
        <v>0.25</v>
      </c>
      <c r="AF75" s="133">
        <v>0</v>
      </c>
      <c r="AG75" s="124">
        <f t="shared" si="17"/>
        <v>-500</v>
      </c>
    </row>
    <row r="76" spans="1:33">
      <c r="A76" s="105" t="s">
        <v>219</v>
      </c>
      <c r="B76" s="105" t="s">
        <v>377</v>
      </c>
      <c r="C76" s="105" t="s">
        <v>220</v>
      </c>
      <c r="D76" s="221">
        <v>0</v>
      </c>
      <c r="E76" s="221">
        <v>0</v>
      </c>
      <c r="F76" s="221">
        <v>0</v>
      </c>
      <c r="G76" s="221">
        <v>0</v>
      </c>
      <c r="H76" s="221">
        <v>0</v>
      </c>
      <c r="I76" s="221">
        <v>0</v>
      </c>
      <c r="J76" s="221">
        <v>0</v>
      </c>
      <c r="K76" s="221">
        <v>0</v>
      </c>
      <c r="L76" s="221">
        <v>0</v>
      </c>
      <c r="M76" s="221">
        <v>0</v>
      </c>
      <c r="N76" s="221">
        <v>0</v>
      </c>
      <c r="O76" s="221">
        <v>0</v>
      </c>
      <c r="P76" s="133">
        <f t="shared" si="23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4"/>
        <v>0</v>
      </c>
      <c r="AD76" s="136">
        <f t="shared" si="25"/>
        <v>0</v>
      </c>
      <c r="AE76" s="196" t="e">
        <f t="shared" si="26"/>
        <v>#DIV/0!</v>
      </c>
      <c r="AF76" s="133">
        <v>0</v>
      </c>
      <c r="AG76" s="124">
        <f t="shared" si="17"/>
        <v>0</v>
      </c>
    </row>
    <row r="77" spans="1:33">
      <c r="A77" s="105" t="s">
        <v>273</v>
      </c>
      <c r="C77" s="105" t="s">
        <v>459</v>
      </c>
      <c r="D77" s="221">
        <v>0</v>
      </c>
      <c r="E77" s="221">
        <v>0</v>
      </c>
      <c r="F77" s="221">
        <v>0</v>
      </c>
      <c r="G77" s="221">
        <v>0</v>
      </c>
      <c r="H77" s="221">
        <v>0</v>
      </c>
      <c r="I77" s="221">
        <v>0</v>
      </c>
      <c r="J77" s="221">
        <v>0</v>
      </c>
      <c r="K77" s="221">
        <v>0</v>
      </c>
      <c r="L77" s="221">
        <v>0</v>
      </c>
      <c r="M77" s="221">
        <v>0</v>
      </c>
      <c r="N77" s="221">
        <v>0</v>
      </c>
      <c r="O77" s="221">
        <v>0</v>
      </c>
      <c r="P77" s="133">
        <f t="shared" si="23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4"/>
        <v>0</v>
      </c>
      <c r="AD77" s="136">
        <f t="shared" si="25"/>
        <v>0</v>
      </c>
      <c r="AE77" s="196" t="e">
        <f t="shared" si="26"/>
        <v>#DIV/0!</v>
      </c>
      <c r="AF77" s="133">
        <v>0</v>
      </c>
      <c r="AG77" s="124">
        <f t="shared" si="17"/>
        <v>0</v>
      </c>
    </row>
    <row r="78" spans="1:33">
      <c r="A78" s="105" t="s">
        <v>221</v>
      </c>
      <c r="B78" s="105" t="s">
        <v>377</v>
      </c>
      <c r="C78" s="105" t="s">
        <v>222</v>
      </c>
      <c r="D78" s="221">
        <v>2000</v>
      </c>
      <c r="E78" s="221">
        <v>2000</v>
      </c>
      <c r="F78" s="221">
        <v>2000</v>
      </c>
      <c r="G78" s="221">
        <v>2000</v>
      </c>
      <c r="H78" s="221">
        <v>2000</v>
      </c>
      <c r="I78" s="221">
        <v>2000</v>
      </c>
      <c r="J78" s="221">
        <v>2000</v>
      </c>
      <c r="K78" s="221">
        <v>2000</v>
      </c>
      <c r="L78" s="221">
        <v>2000</v>
      </c>
      <c r="M78" s="221">
        <v>2000</v>
      </c>
      <c r="N78" s="221">
        <v>2000</v>
      </c>
      <c r="O78" s="221">
        <v>2000</v>
      </c>
      <c r="P78" s="133">
        <f t="shared" si="23"/>
        <v>24000</v>
      </c>
      <c r="Q78" s="136">
        <v>1098.32</v>
      </c>
      <c r="R78" s="136">
        <v>2030</v>
      </c>
      <c r="S78" s="136">
        <v>560</v>
      </c>
      <c r="T78" s="136">
        <v>8168</v>
      </c>
      <c r="U78" s="136">
        <v>1730.84</v>
      </c>
      <c r="V78" s="136">
        <v>844.48</v>
      </c>
      <c r="W78" s="72">
        <v>1037.5999999999999</v>
      </c>
      <c r="X78" s="72">
        <v>833</v>
      </c>
      <c r="Y78" s="72">
        <v>0</v>
      </c>
      <c r="Z78" s="72">
        <v>0</v>
      </c>
      <c r="AA78" s="72">
        <v>3000</v>
      </c>
      <c r="AB78" s="72">
        <v>5000</v>
      </c>
      <c r="AC78" s="137">
        <f t="shared" si="24"/>
        <v>24302.239999999998</v>
      </c>
      <c r="AD78" s="136">
        <f t="shared" si="25"/>
        <v>-302.23999999999796</v>
      </c>
      <c r="AE78" s="196">
        <f t="shared" si="26"/>
        <v>-1.2436713652733163E-2</v>
      </c>
      <c r="AF78" s="133">
        <v>48066.18</v>
      </c>
      <c r="AG78" s="124">
        <f t="shared" si="17"/>
        <v>24066.18</v>
      </c>
    </row>
    <row r="79" spans="1:33">
      <c r="A79" s="105" t="s">
        <v>505</v>
      </c>
      <c r="B79" s="105" t="s">
        <v>377</v>
      </c>
      <c r="C79" s="105" t="s">
        <v>506</v>
      </c>
      <c r="D79" s="223">
        <f>SUM('F&amp;B Admin:Main Kichen'!D158)</f>
        <v>137980</v>
      </c>
      <c r="E79" s="223">
        <f>SUM('F&amp;B Admin:Main Kichen'!E158)</f>
        <v>117488</v>
      </c>
      <c r="F79" s="223">
        <f>SUM('F&amp;B Admin:Main Kichen'!F158)</f>
        <v>105578</v>
      </c>
      <c r="G79" s="223">
        <f>SUM('F&amp;B Admin:Main Kichen'!G158)</f>
        <v>111233</v>
      </c>
      <c r="H79" s="223">
        <f>SUM('F&amp;B Admin:Main Kichen'!H158)</f>
        <v>119532</v>
      </c>
      <c r="I79" s="223">
        <f>SUM('F&amp;B Admin:Main Kichen'!I158)</f>
        <v>92753</v>
      </c>
      <c r="J79" s="223">
        <f>SUM('F&amp;B Admin:Main Kichen'!J158)</f>
        <v>121048</v>
      </c>
      <c r="K79" s="223">
        <f>SUM('F&amp;B Admin:Main Kichen'!K158)</f>
        <v>121699</v>
      </c>
      <c r="L79" s="223">
        <f>SUM('F&amp;B Admin:Main Kichen'!L158)</f>
        <v>87907</v>
      </c>
      <c r="M79" s="223">
        <f>SUM('F&amp;B Admin:Main Kichen'!M158)</f>
        <v>106058</v>
      </c>
      <c r="N79" s="223">
        <f>SUM('F&amp;B Admin:Main Kichen'!N158)</f>
        <v>88812</v>
      </c>
      <c r="O79" s="223">
        <f>SUM('F&amp;B Admin:Main Kichen'!O158)</f>
        <v>92842</v>
      </c>
      <c r="P79" s="133">
        <f>SUM(D79:O79)</f>
        <v>1302930</v>
      </c>
      <c r="Q79" s="136">
        <v>162984.79999999999</v>
      </c>
      <c r="R79" s="136">
        <v>176992.91</v>
      </c>
      <c r="S79" s="136">
        <v>141980.17000000001</v>
      </c>
      <c r="T79" s="136">
        <v>74146.16</v>
      </c>
      <c r="U79" s="136">
        <v>102618.61</v>
      </c>
      <c r="V79" s="136">
        <v>118411.53</v>
      </c>
      <c r="W79" s="72">
        <v>116903.48</v>
      </c>
      <c r="X79" s="72">
        <v>123203.58</v>
      </c>
      <c r="Y79" s="72">
        <v>99946</v>
      </c>
      <c r="Z79" s="72">
        <v>87578</v>
      </c>
      <c r="AA79" s="72">
        <v>105459</v>
      </c>
      <c r="AB79" s="72">
        <v>106423</v>
      </c>
      <c r="AC79" s="137">
        <f t="shared" si="24"/>
        <v>1416647.24</v>
      </c>
      <c r="AD79" s="136">
        <f t="shared" si="25"/>
        <v>-113717.23999999999</v>
      </c>
      <c r="AE79" s="196">
        <f t="shared" si="26"/>
        <v>-8.0272093707675587E-2</v>
      </c>
      <c r="AF79" s="133">
        <v>1657624.44</v>
      </c>
      <c r="AG79" s="124">
        <f t="shared" si="17"/>
        <v>354694.43999999994</v>
      </c>
    </row>
    <row r="80" spans="1:33">
      <c r="C80" s="109" t="s">
        <v>507</v>
      </c>
      <c r="D80" s="137">
        <f t="shared" ref="D80:O80" si="28">SUM(D38:D79)</f>
        <v>310333.24</v>
      </c>
      <c r="E80" s="137">
        <f t="shared" si="28"/>
        <v>274502.03000000003</v>
      </c>
      <c r="F80" s="137">
        <f t="shared" si="28"/>
        <v>247986.53</v>
      </c>
      <c r="G80" s="137">
        <f t="shared" si="28"/>
        <v>245386.59</v>
      </c>
      <c r="H80" s="137">
        <f t="shared" si="28"/>
        <v>262105.88</v>
      </c>
      <c r="I80" s="137">
        <f t="shared" si="28"/>
        <v>224299.52000000002</v>
      </c>
      <c r="J80" s="137">
        <f t="shared" si="28"/>
        <v>271780.79000000004</v>
      </c>
      <c r="K80" s="137">
        <f t="shared" si="28"/>
        <v>272339.52</v>
      </c>
      <c r="L80" s="137">
        <f t="shared" si="28"/>
        <v>219935.52000000002</v>
      </c>
      <c r="M80" s="137">
        <f t="shared" si="28"/>
        <v>261892.53</v>
      </c>
      <c r="N80" s="137">
        <f t="shared" si="28"/>
        <v>223268.79</v>
      </c>
      <c r="O80" s="137">
        <f t="shared" si="28"/>
        <v>232674.52000000002</v>
      </c>
      <c r="P80" s="133">
        <f>SUM(P38:P79)</f>
        <v>3046505.46</v>
      </c>
      <c r="Q80" s="137">
        <f t="shared" ref="Q80:AC80" si="29">SUM(Q38:Q79)</f>
        <v>343726.18999999994</v>
      </c>
      <c r="R80" s="137">
        <f t="shared" si="29"/>
        <v>398326.01</v>
      </c>
      <c r="S80" s="137">
        <f t="shared" si="29"/>
        <v>306775.29000000004</v>
      </c>
      <c r="T80" s="137">
        <f t="shared" si="29"/>
        <v>185874.94</v>
      </c>
      <c r="U80" s="137">
        <f t="shared" si="29"/>
        <v>235886.94</v>
      </c>
      <c r="V80" s="137">
        <f t="shared" si="29"/>
        <v>253653.59000000003</v>
      </c>
      <c r="W80" s="137">
        <f t="shared" si="29"/>
        <v>252834.41999999998</v>
      </c>
      <c r="X80" s="137">
        <f t="shared" si="29"/>
        <v>257012</v>
      </c>
      <c r="Y80" s="137">
        <f t="shared" si="29"/>
        <v>149586</v>
      </c>
      <c r="Z80" s="137">
        <f t="shared" si="29"/>
        <v>131424</v>
      </c>
      <c r="AA80" s="137">
        <f t="shared" si="29"/>
        <v>148542</v>
      </c>
      <c r="AB80" s="137">
        <f t="shared" si="29"/>
        <v>164632</v>
      </c>
      <c r="AC80" s="137">
        <f t="shared" si="29"/>
        <v>2828273.38</v>
      </c>
      <c r="AD80" s="136">
        <f t="shared" si="25"/>
        <v>218232.08000000007</v>
      </c>
      <c r="AE80" s="196">
        <f t="shared" si="26"/>
        <v>7.7160886052677152E-2</v>
      </c>
      <c r="AF80" s="133">
        <v>2109823.13</v>
      </c>
      <c r="AG80" s="124">
        <f t="shared" si="17"/>
        <v>-936682.33000000007</v>
      </c>
    </row>
    <row r="81" spans="1:33">
      <c r="C81" s="109" t="s">
        <v>508</v>
      </c>
      <c r="D81" s="137">
        <f t="shared" ref="D81:AC81" si="30">D27-D33-D35-D80</f>
        <v>587258.94999999995</v>
      </c>
      <c r="E81" s="137">
        <f t="shared" si="30"/>
        <v>505419.93999999994</v>
      </c>
      <c r="F81" s="137">
        <f t="shared" si="30"/>
        <v>184707.15000000005</v>
      </c>
      <c r="G81" s="137">
        <f t="shared" si="30"/>
        <v>159656.32000000004</v>
      </c>
      <c r="H81" s="137">
        <f t="shared" si="30"/>
        <v>162156.10999999999</v>
      </c>
      <c r="I81" s="137">
        <f t="shared" si="30"/>
        <v>54302.530000000028</v>
      </c>
      <c r="J81" s="137">
        <f t="shared" si="30"/>
        <v>378680.73</v>
      </c>
      <c r="K81" s="137">
        <f t="shared" si="30"/>
        <v>419815.26</v>
      </c>
      <c r="L81" s="137">
        <f t="shared" si="30"/>
        <v>35431.25999999998</v>
      </c>
      <c r="M81" s="137">
        <f t="shared" si="30"/>
        <v>49238.939999999973</v>
      </c>
      <c r="N81" s="137">
        <f t="shared" si="30"/>
        <v>107296.30000000002</v>
      </c>
      <c r="O81" s="137">
        <f t="shared" si="30"/>
        <v>233657.82999999996</v>
      </c>
      <c r="P81" s="133">
        <f t="shared" si="30"/>
        <v>2877621.3199999994</v>
      </c>
      <c r="Q81" s="137">
        <f t="shared" si="30"/>
        <v>430139.02000000025</v>
      </c>
      <c r="R81" s="137">
        <f t="shared" si="30"/>
        <v>726535.14000000013</v>
      </c>
      <c r="S81" s="137">
        <f t="shared" si="30"/>
        <v>264933.83000000007</v>
      </c>
      <c r="T81" s="137">
        <f t="shared" si="30"/>
        <v>25074.410000000003</v>
      </c>
      <c r="U81" s="137">
        <f t="shared" si="30"/>
        <v>331733.72999999981</v>
      </c>
      <c r="V81" s="137">
        <f t="shared" si="30"/>
        <v>228228.50999999983</v>
      </c>
      <c r="W81" s="137">
        <f t="shared" si="30"/>
        <v>400404.09999999992</v>
      </c>
      <c r="X81" s="137">
        <f t="shared" si="30"/>
        <v>508838.60999999987</v>
      </c>
      <c r="Y81" s="137">
        <f t="shared" si="30"/>
        <v>-9099</v>
      </c>
      <c r="Z81" s="137">
        <f t="shared" si="30"/>
        <v>14690</v>
      </c>
      <c r="AA81" s="137">
        <f t="shared" si="30"/>
        <v>158288</v>
      </c>
      <c r="AB81" s="137">
        <f t="shared" si="30"/>
        <v>247326</v>
      </c>
      <c r="AC81" s="137">
        <f t="shared" si="30"/>
        <v>3327092.3500000024</v>
      </c>
      <c r="AD81" s="136">
        <f t="shared" si="25"/>
        <v>-449471.03000000305</v>
      </c>
      <c r="AE81" s="196">
        <f t="shared" si="26"/>
        <v>-0.13509424527996727</v>
      </c>
      <c r="AF81" s="133">
        <v>5183496.1199999992</v>
      </c>
      <c r="AG81" s="124">
        <f>P81-AF81</f>
        <v>-2305874.7999999998</v>
      </c>
    </row>
    <row r="82" spans="1:33">
      <c r="C82" s="109" t="s">
        <v>509</v>
      </c>
      <c r="D82" s="213">
        <f t="shared" ref="D82:AC82" si="31">D81/D27</f>
        <v>0.37982016621931891</v>
      </c>
      <c r="E82" s="213">
        <f t="shared" si="31"/>
        <v>0.38058587128813515</v>
      </c>
      <c r="F82" s="213">
        <f t="shared" si="31"/>
        <v>0.21690495538765422</v>
      </c>
      <c r="G82" s="213">
        <f t="shared" si="31"/>
        <v>0.19283095801729558</v>
      </c>
      <c r="H82" s="213">
        <f t="shared" si="31"/>
        <v>0.18571221932342141</v>
      </c>
      <c r="I82" s="213">
        <f t="shared" si="31"/>
        <v>8.2205689337525714E-2</v>
      </c>
      <c r="J82" s="213">
        <f t="shared" si="31"/>
        <v>0.32435458119555627</v>
      </c>
      <c r="K82" s="213">
        <f t="shared" si="31"/>
        <v>0.34309199810726015</v>
      </c>
      <c r="L82" s="213">
        <f t="shared" si="31"/>
        <v>5.6231258897411325E-2</v>
      </c>
      <c r="M82" s="213">
        <f t="shared" si="31"/>
        <v>6.3842785700671464E-2</v>
      </c>
      <c r="N82" s="213">
        <f t="shared" si="31"/>
        <v>0.14613365766227118</v>
      </c>
      <c r="O82" s="213">
        <f t="shared" si="31"/>
        <v>0.25367810613627478</v>
      </c>
      <c r="P82" s="213">
        <f t="shared" si="31"/>
        <v>0.2494648171476142</v>
      </c>
      <c r="Q82" s="213">
        <f t="shared" si="31"/>
        <v>0.31323817116495895</v>
      </c>
      <c r="R82" s="213">
        <f t="shared" si="31"/>
        <v>0.37997540786308237</v>
      </c>
      <c r="S82" s="213">
        <f t="shared" si="31"/>
        <v>0.24196630375899036</v>
      </c>
      <c r="T82" s="213">
        <f t="shared" si="31"/>
        <v>4.4446656243244773E-2</v>
      </c>
      <c r="U82" s="213">
        <f t="shared" si="31"/>
        <v>0.32219136576669216</v>
      </c>
      <c r="V82" s="213">
        <f t="shared" si="31"/>
        <v>0.25037217914373061</v>
      </c>
      <c r="W82" s="213">
        <f t="shared" si="31"/>
        <v>0.3530421317523697</v>
      </c>
      <c r="X82" s="213">
        <f t="shared" si="31"/>
        <v>0.38314851685487605</v>
      </c>
      <c r="Y82" s="213">
        <f t="shared" si="31"/>
        <v>-1.5675120677239637E-2</v>
      </c>
      <c r="Z82" s="213">
        <f t="shared" si="31"/>
        <v>2.2496171516079633E-2</v>
      </c>
      <c r="AA82" s="213">
        <f t="shared" si="31"/>
        <v>0.19726819541375873</v>
      </c>
      <c r="AB82" s="213">
        <f t="shared" si="31"/>
        <v>0.26172063492063491</v>
      </c>
      <c r="AC82" s="213">
        <f t="shared" si="31"/>
        <v>0.26986840059555423</v>
      </c>
      <c r="AD82" s="138">
        <f t="shared" si="25"/>
        <v>-2.0403583447940021E-2</v>
      </c>
      <c r="AE82" s="105">
        <f t="shared" si="26"/>
        <v>-7.5605678185785147E-2</v>
      </c>
      <c r="AF82" s="133">
        <v>0.3556592927078801</v>
      </c>
      <c r="AG82" s="124">
        <f>P82-AF82</f>
        <v>-0.1061944755602659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>
        <f>P85/'Rooms+Summary'!Q55</f>
        <v>0.22215355515915933</v>
      </c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214">
        <f>AC85/'Rooms+Summary'!AD55</f>
        <v>0.23349332947291754</v>
      </c>
      <c r="AD84" s="136"/>
      <c r="AF84" s="133"/>
      <c r="AG84" s="123"/>
    </row>
    <row r="85" spans="1:33">
      <c r="A85" s="105" t="s">
        <v>510</v>
      </c>
      <c r="B85" s="105" t="s">
        <v>377</v>
      </c>
      <c r="C85" s="105" t="s">
        <v>481</v>
      </c>
      <c r="D85" s="136">
        <v>5500</v>
      </c>
      <c r="E85" s="136">
        <v>4200</v>
      </c>
      <c r="F85" s="136">
        <v>4000</v>
      </c>
      <c r="G85" s="136">
        <v>4000</v>
      </c>
      <c r="H85" s="136">
        <v>4200</v>
      </c>
      <c r="I85" s="136">
        <v>2400</v>
      </c>
      <c r="J85" s="136">
        <v>4650</v>
      </c>
      <c r="K85" s="136">
        <v>5000</v>
      </c>
      <c r="L85" s="136">
        <v>2400</v>
      </c>
      <c r="M85" s="136">
        <v>3600</v>
      </c>
      <c r="N85" s="136">
        <v>3000</v>
      </c>
      <c r="O85" s="136">
        <v>4500</v>
      </c>
      <c r="P85" s="135">
        <f>SUM(D85:O85)</f>
        <v>47450</v>
      </c>
      <c r="Q85" s="136">
        <v>5210</v>
      </c>
      <c r="R85" s="136">
        <v>4792</v>
      </c>
      <c r="S85" s="136">
        <v>5553</v>
      </c>
      <c r="T85" s="136">
        <v>2760</v>
      </c>
      <c r="U85" s="136">
        <v>5386</v>
      </c>
      <c r="V85" s="136">
        <v>5442</v>
      </c>
      <c r="W85" s="72">
        <v>5781</v>
      </c>
      <c r="X85" s="72">
        <v>6489</v>
      </c>
      <c r="Y85" s="72">
        <v>1500</v>
      </c>
      <c r="Z85" s="72">
        <v>1500</v>
      </c>
      <c r="AA85" s="72">
        <v>3200</v>
      </c>
      <c r="AB85" s="72">
        <v>4000</v>
      </c>
      <c r="AC85" s="137">
        <f>SUM(Q85:AB85)</f>
        <v>51613</v>
      </c>
      <c r="AD85" s="136">
        <f t="shared" ref="AD85:AD90" si="32">P85-AC85</f>
        <v>-4163</v>
      </c>
      <c r="AE85" s="196">
        <f t="shared" ref="AE85:AE90" si="33">AD85/AC85</f>
        <v>-8.0657973766299185E-2</v>
      </c>
      <c r="AF85" s="133">
        <v>51941</v>
      </c>
      <c r="AG85" s="124">
        <f t="shared" ref="AG85:AG98" si="34">P85-AF85</f>
        <v>-4491</v>
      </c>
    </row>
    <row r="86" spans="1:33">
      <c r="A86" s="105" t="s">
        <v>511</v>
      </c>
      <c r="B86" s="105" t="s">
        <v>377</v>
      </c>
      <c r="C86" s="105" t="s">
        <v>483</v>
      </c>
      <c r="D86" s="136">
        <v>3000</v>
      </c>
      <c r="E86" s="136">
        <v>2600</v>
      </c>
      <c r="F86" s="136">
        <v>2100</v>
      </c>
      <c r="G86" s="136">
        <v>2000</v>
      </c>
      <c r="H86" s="136">
        <v>2100</v>
      </c>
      <c r="I86" s="136">
        <v>1800</v>
      </c>
      <c r="J86" s="136">
        <v>3000</v>
      </c>
      <c r="K86" s="136">
        <v>3100</v>
      </c>
      <c r="L86" s="136">
        <v>1800</v>
      </c>
      <c r="M86" s="136">
        <v>1700</v>
      </c>
      <c r="N86" s="136">
        <v>1800</v>
      </c>
      <c r="O86" s="136">
        <v>2000</v>
      </c>
      <c r="P86" s="135">
        <f>SUM(D86:O86)</f>
        <v>27000</v>
      </c>
      <c r="Q86" s="136">
        <v>2689</v>
      </c>
      <c r="R86" s="136">
        <v>2948</v>
      </c>
      <c r="S86" s="136">
        <v>1865</v>
      </c>
      <c r="T86" s="136">
        <v>1106</v>
      </c>
      <c r="U86" s="136">
        <v>1493</v>
      </c>
      <c r="V86" s="136">
        <v>1414</v>
      </c>
      <c r="W86" s="72">
        <v>1930</v>
      </c>
      <c r="X86" s="72">
        <v>2807</v>
      </c>
      <c r="Y86" s="72">
        <v>1500</v>
      </c>
      <c r="Z86" s="72">
        <v>1800</v>
      </c>
      <c r="AA86" s="72">
        <v>1800</v>
      </c>
      <c r="AB86" s="72">
        <v>2000</v>
      </c>
      <c r="AC86" s="137">
        <f>SUM(Q86:AB86)</f>
        <v>23352</v>
      </c>
      <c r="AD86" s="136">
        <f t="shared" si="32"/>
        <v>3648</v>
      </c>
      <c r="AE86" s="196">
        <f t="shared" si="33"/>
        <v>0.15621788283658788</v>
      </c>
      <c r="AF86" s="133">
        <v>28280</v>
      </c>
      <c r="AG86" s="124">
        <f t="shared" si="34"/>
        <v>-1280</v>
      </c>
    </row>
    <row r="87" spans="1:33">
      <c r="A87" s="105" t="s">
        <v>512</v>
      </c>
      <c r="B87" s="105" t="s">
        <v>377</v>
      </c>
      <c r="C87" s="105" t="s">
        <v>485</v>
      </c>
      <c r="D87" s="136">
        <v>3000</v>
      </c>
      <c r="E87" s="136">
        <v>2700</v>
      </c>
      <c r="F87" s="136">
        <v>2100</v>
      </c>
      <c r="G87" s="136">
        <v>2000</v>
      </c>
      <c r="H87" s="136">
        <v>2100</v>
      </c>
      <c r="I87" s="136">
        <v>2000</v>
      </c>
      <c r="J87" s="136">
        <v>3000</v>
      </c>
      <c r="K87" s="136">
        <v>3100</v>
      </c>
      <c r="L87" s="136">
        <v>1744</v>
      </c>
      <c r="M87" s="136">
        <v>2000</v>
      </c>
      <c r="N87" s="136">
        <v>2000</v>
      </c>
      <c r="O87" s="136">
        <v>2100</v>
      </c>
      <c r="P87" s="135">
        <f>SUM(D87:O87)</f>
        <v>27844</v>
      </c>
      <c r="Q87" s="136">
        <v>2808</v>
      </c>
      <c r="R87" s="136">
        <v>3288</v>
      </c>
      <c r="S87" s="136">
        <v>2138</v>
      </c>
      <c r="T87" s="136">
        <v>1116</v>
      </c>
      <c r="U87" s="136">
        <v>1809</v>
      </c>
      <c r="V87" s="136">
        <v>1644</v>
      </c>
      <c r="W87" s="72">
        <v>2572</v>
      </c>
      <c r="X87" s="72">
        <v>3349</v>
      </c>
      <c r="Y87" s="72">
        <v>1600</v>
      </c>
      <c r="Z87" s="72">
        <v>1800</v>
      </c>
      <c r="AA87" s="72">
        <v>1800</v>
      </c>
      <c r="AB87" s="72">
        <v>2000</v>
      </c>
      <c r="AC87" s="137">
        <f>SUM(Q87:AB87)</f>
        <v>25924</v>
      </c>
      <c r="AD87" s="136">
        <f t="shared" si="32"/>
        <v>1920</v>
      </c>
      <c r="AE87" s="196">
        <f t="shared" si="33"/>
        <v>7.4062644653602835E-2</v>
      </c>
      <c r="AF87" s="133">
        <v>31507</v>
      </c>
      <c r="AG87" s="124">
        <f t="shared" si="34"/>
        <v>-3663</v>
      </c>
    </row>
    <row r="88" spans="1:33">
      <c r="A88" s="105" t="s">
        <v>513</v>
      </c>
      <c r="B88" s="105" t="s">
        <v>377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136">
        <f t="shared" si="32"/>
        <v>0</v>
      </c>
      <c r="AE88" s="196" t="e">
        <f t="shared" si="33"/>
        <v>#DIV/0!</v>
      </c>
      <c r="AF88" s="133">
        <v>0</v>
      </c>
      <c r="AG88" s="124">
        <f t="shared" si="34"/>
        <v>0</v>
      </c>
    </row>
    <row r="89" spans="1:33">
      <c r="A89" s="105" t="s">
        <v>514</v>
      </c>
      <c r="B89" s="105" t="s">
        <v>377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136">
        <f t="shared" si="32"/>
        <v>0</v>
      </c>
      <c r="AE89" s="196" t="e">
        <f t="shared" si="33"/>
        <v>#DIV/0!</v>
      </c>
      <c r="AF89" s="133">
        <v>0</v>
      </c>
      <c r="AG89" s="124">
        <f t="shared" si="34"/>
        <v>0</v>
      </c>
    </row>
    <row r="90" spans="1:33">
      <c r="C90" s="109" t="s">
        <v>462</v>
      </c>
      <c r="D90" s="133">
        <f t="shared" ref="D90:AC90" si="35">SUM(D85:D89)</f>
        <v>11500</v>
      </c>
      <c r="E90" s="133">
        <f t="shared" si="35"/>
        <v>9500</v>
      </c>
      <c r="F90" s="133">
        <f t="shared" si="35"/>
        <v>8200</v>
      </c>
      <c r="G90" s="133">
        <f t="shared" si="35"/>
        <v>8000</v>
      </c>
      <c r="H90" s="133">
        <f t="shared" si="35"/>
        <v>8400</v>
      </c>
      <c r="I90" s="133">
        <f t="shared" si="35"/>
        <v>6200</v>
      </c>
      <c r="J90" s="133">
        <f t="shared" si="35"/>
        <v>10650</v>
      </c>
      <c r="K90" s="133">
        <f t="shared" si="35"/>
        <v>11200</v>
      </c>
      <c r="L90" s="133">
        <f t="shared" si="35"/>
        <v>5944</v>
      </c>
      <c r="M90" s="133">
        <f t="shared" si="35"/>
        <v>7300</v>
      </c>
      <c r="N90" s="133">
        <f t="shared" si="35"/>
        <v>6800</v>
      </c>
      <c r="O90" s="133">
        <f t="shared" si="35"/>
        <v>8600</v>
      </c>
      <c r="P90" s="133">
        <f t="shared" si="35"/>
        <v>102294</v>
      </c>
      <c r="Q90" s="137">
        <f t="shared" si="35"/>
        <v>10707</v>
      </c>
      <c r="R90" s="137">
        <f t="shared" si="35"/>
        <v>11028</v>
      </c>
      <c r="S90" s="137">
        <f t="shared" si="35"/>
        <v>9556</v>
      </c>
      <c r="T90" s="137">
        <f t="shared" si="35"/>
        <v>4982</v>
      </c>
      <c r="U90" s="137">
        <f t="shared" si="35"/>
        <v>8688</v>
      </c>
      <c r="V90" s="137">
        <f t="shared" si="35"/>
        <v>8500</v>
      </c>
      <c r="W90" s="137">
        <f t="shared" si="35"/>
        <v>10283</v>
      </c>
      <c r="X90" s="137">
        <f t="shared" si="35"/>
        <v>12645</v>
      </c>
      <c r="Y90" s="137">
        <f t="shared" si="35"/>
        <v>4600</v>
      </c>
      <c r="Z90" s="137">
        <f t="shared" si="35"/>
        <v>5100</v>
      </c>
      <c r="AA90" s="137">
        <f t="shared" si="35"/>
        <v>6800</v>
      </c>
      <c r="AB90" s="137">
        <f t="shared" si="35"/>
        <v>8000</v>
      </c>
      <c r="AC90" s="137">
        <f t="shared" si="35"/>
        <v>100889</v>
      </c>
      <c r="AD90" s="136">
        <f t="shared" si="32"/>
        <v>1405</v>
      </c>
      <c r="AE90" s="196">
        <f t="shared" si="33"/>
        <v>1.3926196116524101E-2</v>
      </c>
      <c r="AF90" s="133">
        <v>111728</v>
      </c>
      <c r="AG90" s="124">
        <f t="shared" si="34"/>
        <v>-9434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4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4"/>
        <v>0</v>
      </c>
    </row>
    <row r="93" spans="1:33">
      <c r="C93" s="105" t="s">
        <v>481</v>
      </c>
      <c r="D93" s="136">
        <v>93</v>
      </c>
      <c r="E93" s="136">
        <v>94</v>
      </c>
      <c r="F93" s="136">
        <v>87</v>
      </c>
      <c r="G93" s="136">
        <v>87</v>
      </c>
      <c r="H93" s="136">
        <v>88</v>
      </c>
      <c r="I93" s="136">
        <v>85</v>
      </c>
      <c r="J93" s="136">
        <v>90</v>
      </c>
      <c r="K93" s="136">
        <v>90</v>
      </c>
      <c r="L93" s="136">
        <v>85</v>
      </c>
      <c r="M93" s="136">
        <v>90</v>
      </c>
      <c r="N93" s="136">
        <v>85</v>
      </c>
      <c r="O93" s="136">
        <v>90</v>
      </c>
      <c r="P93" s="137">
        <f t="shared" ref="P93:AB98" si="36">P9/P85</f>
        <v>89.197049525816652</v>
      </c>
      <c r="Q93" s="136">
        <f t="shared" si="36"/>
        <v>91.926583493282152</v>
      </c>
      <c r="R93" s="136">
        <f t="shared" si="36"/>
        <v>102.88487061769615</v>
      </c>
      <c r="S93" s="136">
        <f t="shared" si="36"/>
        <v>92.025607779578607</v>
      </c>
      <c r="T93" s="136">
        <f t="shared" si="36"/>
        <v>93.939456521739132</v>
      </c>
      <c r="U93" s="136">
        <f t="shared" si="36"/>
        <v>90.897215001856665</v>
      </c>
      <c r="V93" s="136">
        <f t="shared" si="36"/>
        <v>94.278353546490266</v>
      </c>
      <c r="W93" s="72">
        <v>95.036914028714762</v>
      </c>
      <c r="X93" s="72">
        <v>94.463245492371712</v>
      </c>
      <c r="Y93" s="72">
        <v>90</v>
      </c>
      <c r="Z93" s="72">
        <v>90</v>
      </c>
      <c r="AA93" s="72">
        <v>90</v>
      </c>
      <c r="AB93" s="72">
        <v>92</v>
      </c>
      <c r="AC93" s="137">
        <f t="shared" ref="AC93:AC98" si="37">AC9/AC85</f>
        <v>93.644401604246994</v>
      </c>
      <c r="AD93" s="136">
        <f t="shared" ref="AD93:AD98" si="38">P93-AC93</f>
        <v>-4.4473520784303417</v>
      </c>
      <c r="AE93" s="196">
        <f t="shared" ref="AE93:AE98" si="39">AD93/AC93</f>
        <v>-4.7491916251709419E-2</v>
      </c>
      <c r="AF93" s="133">
        <v>91.171455305057648</v>
      </c>
      <c r="AG93" s="124">
        <f t="shared" si="34"/>
        <v>-1.9744057792409961</v>
      </c>
    </row>
    <row r="94" spans="1:33">
      <c r="C94" s="105" t="s">
        <v>483</v>
      </c>
      <c r="D94" s="136">
        <v>150</v>
      </c>
      <c r="E94" s="136">
        <v>145</v>
      </c>
      <c r="F94" s="136">
        <v>113</v>
      </c>
      <c r="G94" s="136">
        <v>113</v>
      </c>
      <c r="H94" s="136">
        <v>113</v>
      </c>
      <c r="I94" s="136">
        <v>113</v>
      </c>
      <c r="J94" s="136">
        <v>118</v>
      </c>
      <c r="K94" s="136">
        <v>118</v>
      </c>
      <c r="L94" s="136">
        <v>113</v>
      </c>
      <c r="M94" s="136">
        <v>115</v>
      </c>
      <c r="N94" s="136">
        <v>118</v>
      </c>
      <c r="O94" s="136">
        <v>118</v>
      </c>
      <c r="P94" s="137">
        <f t="shared" si="36"/>
        <v>122.15185185185184</v>
      </c>
      <c r="Q94" s="136">
        <f t="shared" si="36"/>
        <v>148.64540349572331</v>
      </c>
      <c r="R94" s="136">
        <f t="shared" si="36"/>
        <v>179.19553595658073</v>
      </c>
      <c r="S94" s="136">
        <f t="shared" si="36"/>
        <v>132.53653619302949</v>
      </c>
      <c r="T94" s="136">
        <f t="shared" si="36"/>
        <v>130.83654611211574</v>
      </c>
      <c r="U94" s="136">
        <f t="shared" si="36"/>
        <v>155.30797052913596</v>
      </c>
      <c r="V94" s="136">
        <f t="shared" si="36"/>
        <v>122.38832390381896</v>
      </c>
      <c r="W94" s="72">
        <v>119.75135751295336</v>
      </c>
      <c r="X94" s="72">
        <v>106.63626291414322</v>
      </c>
      <c r="Y94" s="72">
        <v>130</v>
      </c>
      <c r="Z94" s="72">
        <v>130</v>
      </c>
      <c r="AA94" s="72">
        <v>130</v>
      </c>
      <c r="AB94" s="72">
        <v>130</v>
      </c>
      <c r="AC94" s="137">
        <f t="shared" si="37"/>
        <v>136.10148124357656</v>
      </c>
      <c r="AD94" s="136">
        <f t="shared" si="38"/>
        <v>-13.949629391724713</v>
      </c>
      <c r="AE94" s="196">
        <f t="shared" si="39"/>
        <v>-0.10249432456035874</v>
      </c>
      <c r="AF94" s="133">
        <v>133.50923479490805</v>
      </c>
      <c r="AG94" s="124">
        <f t="shared" si="34"/>
        <v>-11.357382943056209</v>
      </c>
    </row>
    <row r="95" spans="1:33">
      <c r="C95" s="105" t="s">
        <v>485</v>
      </c>
      <c r="D95" s="136">
        <v>180</v>
      </c>
      <c r="E95" s="136">
        <v>180</v>
      </c>
      <c r="F95" s="136">
        <v>115</v>
      </c>
      <c r="G95" s="136">
        <v>115</v>
      </c>
      <c r="H95" s="136">
        <v>115</v>
      </c>
      <c r="I95" s="136">
        <v>115</v>
      </c>
      <c r="J95" s="136">
        <v>120</v>
      </c>
      <c r="K95" s="136">
        <v>120</v>
      </c>
      <c r="L95" s="136">
        <v>115</v>
      </c>
      <c r="M95" s="136">
        <v>113</v>
      </c>
      <c r="N95" s="136">
        <v>120</v>
      </c>
      <c r="O95" s="136">
        <v>120</v>
      </c>
      <c r="P95" s="137">
        <f t="shared" si="36"/>
        <v>129.99425369918114</v>
      </c>
      <c r="Q95" s="136">
        <f t="shared" si="36"/>
        <v>153.52619301994301</v>
      </c>
      <c r="R95" s="136">
        <f t="shared" si="36"/>
        <v>216.89063260340635</v>
      </c>
      <c r="S95" s="136">
        <f t="shared" si="36"/>
        <v>138.91052853133772</v>
      </c>
      <c r="T95" s="136">
        <f t="shared" si="36"/>
        <v>125.90369175627239</v>
      </c>
      <c r="U95" s="136">
        <f t="shared" si="36"/>
        <v>151.95946379215036</v>
      </c>
      <c r="V95" s="136">
        <f t="shared" si="36"/>
        <v>123.65072992700729</v>
      </c>
      <c r="W95" s="72">
        <v>123.70351866251944</v>
      </c>
      <c r="X95" s="72">
        <v>109.3247237981487</v>
      </c>
      <c r="Y95" s="72">
        <v>130</v>
      </c>
      <c r="Z95" s="72">
        <v>135</v>
      </c>
      <c r="AA95" s="72">
        <v>133</v>
      </c>
      <c r="AB95" s="72">
        <v>133</v>
      </c>
      <c r="AC95" s="137">
        <f t="shared" si="37"/>
        <v>142.74832587563648</v>
      </c>
      <c r="AD95" s="136">
        <f t="shared" si="38"/>
        <v>-12.754072176455338</v>
      </c>
      <c r="AE95" s="196">
        <f t="shared" si="39"/>
        <v>-8.9346562197631596E-2</v>
      </c>
      <c r="AF95" s="133">
        <v>162.98570159012283</v>
      </c>
      <c r="AG95" s="124">
        <f t="shared" si="34"/>
        <v>-32.991447890941686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6"/>
        <v>#DIV/0!</v>
      </c>
      <c r="Q96" s="136" t="e">
        <f t="shared" si="36"/>
        <v>#DIV/0!</v>
      </c>
      <c r="R96" s="136" t="e">
        <f t="shared" si="36"/>
        <v>#DIV/0!</v>
      </c>
      <c r="S96" s="136" t="e">
        <f t="shared" si="36"/>
        <v>#DIV/0!</v>
      </c>
      <c r="T96" s="136" t="e">
        <f t="shared" si="36"/>
        <v>#DIV/0!</v>
      </c>
      <c r="U96" s="136" t="e">
        <f t="shared" si="36"/>
        <v>#DIV/0!</v>
      </c>
      <c r="V96" s="136" t="e">
        <f t="shared" si="36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7"/>
        <v>#DIV/0!</v>
      </c>
      <c r="AD96" s="136" t="e">
        <f t="shared" si="38"/>
        <v>#DIV/0!</v>
      </c>
      <c r="AE96" s="196" t="e">
        <f t="shared" si="39"/>
        <v>#DIV/0!</v>
      </c>
      <c r="AF96" s="133" t="e">
        <v>#DIV/0!</v>
      </c>
      <c r="AG96" s="124" t="e">
        <f t="shared" si="34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6"/>
        <v>#DIV/0!</v>
      </c>
      <c r="Q97" s="136" t="e">
        <f t="shared" si="36"/>
        <v>#DIV/0!</v>
      </c>
      <c r="R97" s="136" t="e">
        <f t="shared" si="36"/>
        <v>#DIV/0!</v>
      </c>
      <c r="S97" s="136" t="e">
        <f t="shared" si="36"/>
        <v>#DIV/0!</v>
      </c>
      <c r="T97" s="136" t="e">
        <f t="shared" si="36"/>
        <v>#DIV/0!</v>
      </c>
      <c r="U97" s="136" t="e">
        <f t="shared" si="36"/>
        <v>#DIV/0!</v>
      </c>
      <c r="V97" s="136" t="e">
        <f t="shared" si="36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7"/>
        <v>#DIV/0!</v>
      </c>
      <c r="AD97" s="136" t="e">
        <f t="shared" si="38"/>
        <v>#DIV/0!</v>
      </c>
      <c r="AE97" s="196" t="e">
        <f t="shared" si="39"/>
        <v>#DIV/0!</v>
      </c>
      <c r="AF97" s="133" t="e">
        <v>#DIV/0!</v>
      </c>
      <c r="AG97" s="124" t="e">
        <f t="shared" si="34"/>
        <v>#DIV/0!</v>
      </c>
    </row>
    <row r="98" spans="1:33">
      <c r="C98" s="109" t="s">
        <v>463</v>
      </c>
      <c r="D98" s="136">
        <f t="shared" ref="D98:O98" si="40">D14/D90</f>
        <v>130.56521739130434</v>
      </c>
      <c r="E98" s="136">
        <f t="shared" si="40"/>
        <v>132.4</v>
      </c>
      <c r="F98" s="136">
        <f t="shared" si="40"/>
        <v>100.82926829268293</v>
      </c>
      <c r="G98" s="136">
        <f t="shared" si="40"/>
        <v>100.5</v>
      </c>
      <c r="H98" s="136">
        <f t="shared" si="40"/>
        <v>101</v>
      </c>
      <c r="I98" s="136">
        <f t="shared" si="40"/>
        <v>102.80645161290323</v>
      </c>
      <c r="J98" s="136">
        <f t="shared" si="40"/>
        <v>106.33802816901408</v>
      </c>
      <c r="K98" s="136">
        <f t="shared" si="40"/>
        <v>106.05357142857143</v>
      </c>
      <c r="L98" s="136">
        <f t="shared" si="40"/>
        <v>102.28129205921938</v>
      </c>
      <c r="M98" s="136">
        <f t="shared" si="40"/>
        <v>102.12328767123287</v>
      </c>
      <c r="N98" s="136">
        <f t="shared" si="40"/>
        <v>104.02941176470588</v>
      </c>
      <c r="O98" s="136">
        <f t="shared" si="40"/>
        <v>103.83720930232558</v>
      </c>
      <c r="P98" s="137">
        <f t="shared" si="36"/>
        <v>109.00013686042192</v>
      </c>
      <c r="Q98" s="136">
        <f t="shared" si="36"/>
        <v>122.32619221070328</v>
      </c>
      <c r="R98" s="136">
        <f t="shared" si="36"/>
        <v>157.27503989844035</v>
      </c>
      <c r="S98" s="136">
        <f t="shared" si="36"/>
        <v>110.42167748011721</v>
      </c>
      <c r="T98" s="136">
        <f t="shared" si="36"/>
        <v>109.29077478924127</v>
      </c>
      <c r="U98" s="136">
        <f t="shared" si="36"/>
        <v>114.68023365561693</v>
      </c>
      <c r="V98" s="136">
        <f t="shared" si="36"/>
        <v>104.63549294117647</v>
      </c>
      <c r="W98" s="136">
        <f t="shared" si="36"/>
        <v>106.845664689293</v>
      </c>
      <c r="X98" s="136">
        <f t="shared" si="36"/>
        <v>101.10150177935942</v>
      </c>
      <c r="Y98" s="136">
        <f t="shared" si="36"/>
        <v>116.95652173913044</v>
      </c>
      <c r="Z98" s="136">
        <f t="shared" si="36"/>
        <v>120</v>
      </c>
      <c r="AA98" s="136">
        <f t="shared" si="36"/>
        <v>111.97058823529412</v>
      </c>
      <c r="AB98" s="136">
        <f t="shared" si="36"/>
        <v>111.75</v>
      </c>
      <c r="AC98" s="137">
        <f t="shared" si="37"/>
        <v>116.0891463886053</v>
      </c>
      <c r="AD98" s="136">
        <f t="shared" si="38"/>
        <v>-7.0890095281833823</v>
      </c>
      <c r="AE98" s="196">
        <f t="shared" si="39"/>
        <v>-6.1065222277137891E-2</v>
      </c>
      <c r="AF98" s="133">
        <v>122.1391971573822</v>
      </c>
      <c r="AG98" s="124">
        <f t="shared" si="34"/>
        <v>-13.139060296960281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377</v>
      </c>
      <c r="C102" s="105" t="s">
        <v>250</v>
      </c>
      <c r="D102" s="215">
        <v>33630</v>
      </c>
      <c r="E102" s="136">
        <v>33630</v>
      </c>
      <c r="F102" s="136">
        <v>33798.15</v>
      </c>
      <c r="G102" s="136">
        <v>33798.15</v>
      </c>
      <c r="H102" s="136">
        <v>33798.15</v>
      </c>
      <c r="I102" s="136">
        <v>33798.15</v>
      </c>
      <c r="J102" s="136">
        <v>33798.15</v>
      </c>
      <c r="K102" s="136">
        <v>33798.15</v>
      </c>
      <c r="L102" s="136">
        <v>33798.15</v>
      </c>
      <c r="M102" s="136">
        <v>33798.15</v>
      </c>
      <c r="N102" s="136">
        <v>33798.15</v>
      </c>
      <c r="O102" s="136">
        <v>33798.15</v>
      </c>
      <c r="P102" s="135">
        <f>SUM(D102:O102)</f>
        <v>405241.50000000006</v>
      </c>
      <c r="Q102" s="136">
        <v>31200</v>
      </c>
      <c r="R102" s="136">
        <v>31200</v>
      </c>
      <c r="S102" s="136">
        <v>37307.64</v>
      </c>
      <c r="T102" s="136">
        <v>30066.67</v>
      </c>
      <c r="U102" s="136">
        <v>26959.77</v>
      </c>
      <c r="V102" s="136">
        <v>26900</v>
      </c>
      <c r="W102" s="72">
        <v>26606.11</v>
      </c>
      <c r="X102" s="72">
        <v>26900</v>
      </c>
      <c r="Y102" s="72">
        <v>36900</v>
      </c>
      <c r="Z102" s="72">
        <v>36900</v>
      </c>
      <c r="AA102" s="72">
        <v>36900</v>
      </c>
      <c r="AB102" s="72">
        <v>36900</v>
      </c>
      <c r="AC102" s="137">
        <f>SUM(Q102:AB102)</f>
        <v>384740.19</v>
      </c>
      <c r="AD102" s="136">
        <f t="shared" ref="AD102:AD105" si="41">P102-AC102</f>
        <v>20501.310000000056</v>
      </c>
      <c r="AE102" s="196">
        <f t="shared" ref="AE102:AE105" si="42">AD102/AC102</f>
        <v>5.3286114975407313E-2</v>
      </c>
      <c r="AF102" s="133">
        <v>602843.35000000009</v>
      </c>
      <c r="AG102" s="124">
        <f t="shared" ref="AG102:AG136" si="43">AF102-P102</f>
        <v>197601.85000000003</v>
      </c>
    </row>
    <row r="103" spans="1:33">
      <c r="A103" s="105" t="s">
        <v>251</v>
      </c>
      <c r="B103" s="105" t="s">
        <v>530</v>
      </c>
      <c r="C103" s="105" t="s">
        <v>468</v>
      </c>
      <c r="D103" s="215">
        <v>23500</v>
      </c>
      <c r="E103" s="136">
        <v>23500</v>
      </c>
      <c r="F103" s="136">
        <v>24675</v>
      </c>
      <c r="G103" s="136">
        <v>24675</v>
      </c>
      <c r="H103" s="136">
        <v>24675</v>
      </c>
      <c r="I103" s="136">
        <v>24675</v>
      </c>
      <c r="J103" s="136">
        <v>24675</v>
      </c>
      <c r="K103" s="136">
        <v>24675</v>
      </c>
      <c r="L103" s="136">
        <v>24675</v>
      </c>
      <c r="M103" s="136">
        <v>24675</v>
      </c>
      <c r="N103" s="136">
        <v>24675</v>
      </c>
      <c r="O103" s="136">
        <v>24675</v>
      </c>
      <c r="P103" s="135">
        <f>SUM(D103:O103)</f>
        <v>293750</v>
      </c>
      <c r="Q103" s="136">
        <v>25100</v>
      </c>
      <c r="R103" s="136">
        <v>33442.5</v>
      </c>
      <c r="S103" s="136">
        <v>27922.5</v>
      </c>
      <c r="T103" s="136">
        <v>21951.15</v>
      </c>
      <c r="U103" s="136">
        <v>17500</v>
      </c>
      <c r="V103" s="136">
        <v>23364.52</v>
      </c>
      <c r="W103" s="72">
        <v>23431.03</v>
      </c>
      <c r="X103" s="72">
        <v>24074.71</v>
      </c>
      <c r="Y103" s="72">
        <v>25400</v>
      </c>
      <c r="Z103" s="72">
        <v>25400</v>
      </c>
      <c r="AA103" s="72">
        <v>25400</v>
      </c>
      <c r="AB103" s="72">
        <v>25400</v>
      </c>
      <c r="AC103" s="137">
        <f>SUM(Q103:AB103)</f>
        <v>298386.40999999997</v>
      </c>
      <c r="AD103" s="136">
        <f t="shared" si="41"/>
        <v>-4636.4099999999744</v>
      </c>
      <c r="AE103" s="196">
        <f t="shared" si="42"/>
        <v>-1.5538274682147805E-2</v>
      </c>
      <c r="AF103" s="133">
        <v>353386.18</v>
      </c>
      <c r="AG103" s="124">
        <f t="shared" si="43"/>
        <v>59636.179999999993</v>
      </c>
    </row>
    <row r="104" spans="1:33">
      <c r="A104" s="105" t="s">
        <v>251</v>
      </c>
      <c r="B104" s="105" t="s">
        <v>531</v>
      </c>
      <c r="C104" s="105" t="s">
        <v>470</v>
      </c>
      <c r="D104" s="215">
        <v>29304</v>
      </c>
      <c r="E104" s="136">
        <v>29304</v>
      </c>
      <c r="F104" s="136">
        <v>30769.200000000001</v>
      </c>
      <c r="G104" s="136">
        <v>30769.200000000001</v>
      </c>
      <c r="H104" s="136">
        <v>30769.200000000001</v>
      </c>
      <c r="I104" s="136">
        <v>36867.599999999999</v>
      </c>
      <c r="J104" s="136">
        <v>36867.599999999999</v>
      </c>
      <c r="K104" s="136">
        <v>36867.599999999999</v>
      </c>
      <c r="L104" s="136">
        <v>36867.599999999999</v>
      </c>
      <c r="M104" s="136">
        <v>36867.599999999999</v>
      </c>
      <c r="N104" s="136">
        <v>36867.599999999999</v>
      </c>
      <c r="O104" s="136">
        <v>36867.599999999999</v>
      </c>
      <c r="P104" s="135">
        <f>SUM(D104:O104)</f>
        <v>408988.79999999993</v>
      </c>
      <c r="Q104" s="136">
        <v>36600</v>
      </c>
      <c r="R104" s="136">
        <v>36600</v>
      </c>
      <c r="S104" s="136">
        <v>37100</v>
      </c>
      <c r="T104" s="136">
        <v>33467.5</v>
      </c>
      <c r="U104" s="136">
        <v>33800</v>
      </c>
      <c r="V104" s="136">
        <v>27044.82</v>
      </c>
      <c r="W104" s="72">
        <v>32056.35</v>
      </c>
      <c r="X104" s="72">
        <v>35948.28</v>
      </c>
      <c r="Y104" s="72">
        <v>34108</v>
      </c>
      <c r="Z104" s="72">
        <v>34108</v>
      </c>
      <c r="AA104" s="72">
        <v>34108</v>
      </c>
      <c r="AB104" s="72">
        <v>34108</v>
      </c>
      <c r="AC104" s="137">
        <f>SUM(Q104:AB104)</f>
        <v>409048.95</v>
      </c>
      <c r="AD104" s="136">
        <f t="shared" si="41"/>
        <v>-60.150000000081491</v>
      </c>
      <c r="AE104" s="196">
        <f t="shared" si="42"/>
        <v>-1.4704841559935917E-4</v>
      </c>
      <c r="AF104" s="133">
        <v>648426.26</v>
      </c>
      <c r="AG104" s="124">
        <f t="shared" si="43"/>
        <v>239437.46000000008</v>
      </c>
    </row>
    <row r="105" spans="1:33">
      <c r="A105" s="105" t="s">
        <v>273</v>
      </c>
      <c r="C105" s="109" t="s">
        <v>520</v>
      </c>
      <c r="D105" s="137">
        <f t="shared" ref="D105:AC105" si="44">SUM(D102:D104)</f>
        <v>86434</v>
      </c>
      <c r="E105" s="137">
        <f t="shared" si="44"/>
        <v>86434</v>
      </c>
      <c r="F105" s="137">
        <f t="shared" si="44"/>
        <v>89242.35</v>
      </c>
      <c r="G105" s="137">
        <f t="shared" si="44"/>
        <v>89242.35</v>
      </c>
      <c r="H105" s="137">
        <f t="shared" si="44"/>
        <v>89242.35</v>
      </c>
      <c r="I105" s="137">
        <f t="shared" si="44"/>
        <v>95340.75</v>
      </c>
      <c r="J105" s="137">
        <f t="shared" si="44"/>
        <v>95340.75</v>
      </c>
      <c r="K105" s="137">
        <f t="shared" si="44"/>
        <v>95340.75</v>
      </c>
      <c r="L105" s="137">
        <f t="shared" si="44"/>
        <v>95340.75</v>
      </c>
      <c r="M105" s="137">
        <f t="shared" si="44"/>
        <v>95340.75</v>
      </c>
      <c r="N105" s="137">
        <f t="shared" si="44"/>
        <v>95340.75</v>
      </c>
      <c r="O105" s="137">
        <f t="shared" si="44"/>
        <v>95340.75</v>
      </c>
      <c r="P105" s="135">
        <f t="shared" si="44"/>
        <v>1107980.2999999998</v>
      </c>
      <c r="Q105" s="137">
        <f t="shared" si="44"/>
        <v>92900</v>
      </c>
      <c r="R105" s="137">
        <f t="shared" si="44"/>
        <v>101242.5</v>
      </c>
      <c r="S105" s="137">
        <f t="shared" si="44"/>
        <v>102330.14</v>
      </c>
      <c r="T105" s="137">
        <f t="shared" si="44"/>
        <v>85485.32</v>
      </c>
      <c r="U105" s="137">
        <f t="shared" si="44"/>
        <v>78259.77</v>
      </c>
      <c r="V105" s="137">
        <f t="shared" si="44"/>
        <v>77309.34</v>
      </c>
      <c r="W105" s="137">
        <f t="shared" si="44"/>
        <v>82093.489999999991</v>
      </c>
      <c r="X105" s="137">
        <f t="shared" si="44"/>
        <v>86922.989999999991</v>
      </c>
      <c r="Y105" s="137">
        <f t="shared" si="44"/>
        <v>96408</v>
      </c>
      <c r="Z105" s="137">
        <f t="shared" si="44"/>
        <v>96408</v>
      </c>
      <c r="AA105" s="137">
        <f t="shared" si="44"/>
        <v>96408</v>
      </c>
      <c r="AB105" s="137">
        <f t="shared" si="44"/>
        <v>96408</v>
      </c>
      <c r="AC105" s="137">
        <f t="shared" si="44"/>
        <v>1092175.55</v>
      </c>
      <c r="AD105" s="136">
        <f t="shared" si="41"/>
        <v>15804.749999999767</v>
      </c>
      <c r="AE105" s="196">
        <f t="shared" si="42"/>
        <v>1.4470887944707942E-2</v>
      </c>
      <c r="AF105" s="133">
        <v>1604655.79</v>
      </c>
      <c r="AG105" s="124">
        <f t="shared" si="43"/>
        <v>496675.49000000022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3"/>
        <v>0</v>
      </c>
    </row>
    <row r="107" spans="1:33">
      <c r="A107" s="105" t="s">
        <v>119</v>
      </c>
      <c r="B107" s="105" t="s">
        <v>377</v>
      </c>
      <c r="C107" s="105" t="s">
        <v>260</v>
      </c>
      <c r="D107" s="215">
        <v>41282.78</v>
      </c>
      <c r="E107" s="215">
        <v>0</v>
      </c>
      <c r="F107" s="215">
        <v>0</v>
      </c>
      <c r="G107" s="215">
        <v>9213.7700000000023</v>
      </c>
      <c r="H107" s="215">
        <v>16689.63</v>
      </c>
      <c r="I107" s="215">
        <v>0</v>
      </c>
      <c r="J107" s="215">
        <v>0</v>
      </c>
      <c r="K107" s="215">
        <v>0</v>
      </c>
      <c r="L107" s="215">
        <v>0</v>
      </c>
      <c r="M107" s="215">
        <v>41751.74</v>
      </c>
      <c r="N107" s="215">
        <v>0</v>
      </c>
      <c r="O107" s="215">
        <v>0</v>
      </c>
      <c r="P107" s="135">
        <f>SUM(D107:O107)</f>
        <v>108937.92000000001</v>
      </c>
      <c r="Q107" s="136">
        <v>8910.36</v>
      </c>
      <c r="R107" s="136">
        <v>31089.66</v>
      </c>
      <c r="S107" s="136">
        <v>0</v>
      </c>
      <c r="T107" s="136">
        <v>9848.2800000000007</v>
      </c>
      <c r="U107" s="136">
        <v>10331.040000000001</v>
      </c>
      <c r="V107" s="136">
        <v>8179.32</v>
      </c>
      <c r="W107" s="72">
        <v>0</v>
      </c>
      <c r="X107" s="72">
        <v>0</v>
      </c>
      <c r="Y107" s="72">
        <v>16072</v>
      </c>
      <c r="Z107" s="72">
        <v>48215</v>
      </c>
      <c r="AA107" s="72">
        <v>0</v>
      </c>
      <c r="AB107" s="72">
        <v>0</v>
      </c>
      <c r="AC107" s="137">
        <f>SUM(Q107:AB107)</f>
        <v>132645.66</v>
      </c>
      <c r="AD107" s="136">
        <f t="shared" ref="AD107:AD112" si="45">P107-AC107</f>
        <v>-23707.739999999991</v>
      </c>
      <c r="AE107" s="196">
        <f t="shared" ref="AE107:AE112" si="46">AD107/AC107</f>
        <v>-0.17872985818005649</v>
      </c>
      <c r="AF107" s="133">
        <v>130385.1</v>
      </c>
      <c r="AG107" s="124">
        <f t="shared" si="43"/>
        <v>21447.179999999993</v>
      </c>
    </row>
    <row r="108" spans="1:33">
      <c r="A108" s="105" t="s">
        <v>120</v>
      </c>
      <c r="B108" s="105" t="s">
        <v>377</v>
      </c>
      <c r="C108" s="105" t="s">
        <v>261</v>
      </c>
      <c r="D108" s="215">
        <v>15169.48</v>
      </c>
      <c r="E108" s="215">
        <v>15169.48</v>
      </c>
      <c r="F108" s="215">
        <v>15169.48</v>
      </c>
      <c r="G108" s="215">
        <v>15169.48</v>
      </c>
      <c r="H108" s="215">
        <v>15169.48</v>
      </c>
      <c r="I108" s="215">
        <v>16186.150000000001</v>
      </c>
      <c r="J108" s="215">
        <v>16186.150000000001</v>
      </c>
      <c r="K108" s="215">
        <v>16186.150000000001</v>
      </c>
      <c r="L108" s="215">
        <v>16186.150000000001</v>
      </c>
      <c r="M108" s="215">
        <v>16186.150000000001</v>
      </c>
      <c r="N108" s="215">
        <v>16186.150000000001</v>
      </c>
      <c r="O108" s="215">
        <v>16186.150000000001</v>
      </c>
      <c r="P108" s="135">
        <f>SUM(D108:O108)</f>
        <v>189150.44999999995</v>
      </c>
      <c r="Q108" s="136">
        <v>23212</v>
      </c>
      <c r="R108" s="136">
        <v>25067.83</v>
      </c>
      <c r="S108" s="136">
        <v>24642.62</v>
      </c>
      <c r="T108" s="136">
        <v>14971.75</v>
      </c>
      <c r="U108" s="136">
        <v>13037.4</v>
      </c>
      <c r="V108" s="136">
        <v>12940.8</v>
      </c>
      <c r="W108" s="72">
        <v>13970.61</v>
      </c>
      <c r="X108" s="72">
        <v>14410.8</v>
      </c>
      <c r="Y108" s="72">
        <v>16068</v>
      </c>
      <c r="Z108" s="72">
        <v>16068</v>
      </c>
      <c r="AA108" s="72">
        <v>16068</v>
      </c>
      <c r="AB108" s="72">
        <v>16068</v>
      </c>
      <c r="AC108" s="137">
        <f>SUM(Q108:AB108)</f>
        <v>206525.81</v>
      </c>
      <c r="AD108" s="136">
        <f t="shared" si="45"/>
        <v>-17375.360000000044</v>
      </c>
      <c r="AE108" s="196">
        <f t="shared" si="46"/>
        <v>-8.4131663737331636E-2</v>
      </c>
      <c r="AF108" s="133">
        <v>213776.55999999997</v>
      </c>
      <c r="AG108" s="124">
        <f t="shared" si="43"/>
        <v>24626.110000000015</v>
      </c>
    </row>
    <row r="109" spans="1:33">
      <c r="A109" s="105" t="s">
        <v>121</v>
      </c>
      <c r="B109" s="105" t="s">
        <v>377</v>
      </c>
      <c r="C109" s="105" t="s">
        <v>262</v>
      </c>
      <c r="D109" s="215">
        <v>13775</v>
      </c>
      <c r="E109" s="215">
        <v>13775</v>
      </c>
      <c r="F109" s="215">
        <v>13775</v>
      </c>
      <c r="G109" s="215">
        <v>13775</v>
      </c>
      <c r="H109" s="215">
        <v>13775</v>
      </c>
      <c r="I109" s="215">
        <v>14570</v>
      </c>
      <c r="J109" s="215">
        <v>14570</v>
      </c>
      <c r="K109" s="215">
        <v>14570</v>
      </c>
      <c r="L109" s="215">
        <v>14570</v>
      </c>
      <c r="M109" s="215">
        <v>14570</v>
      </c>
      <c r="N109" s="215">
        <v>14570</v>
      </c>
      <c r="O109" s="215">
        <v>14570</v>
      </c>
      <c r="P109" s="135">
        <f>SUM(D109:O109)</f>
        <v>170865</v>
      </c>
      <c r="Q109" s="136">
        <v>12310</v>
      </c>
      <c r="R109" s="136">
        <v>11856.34</v>
      </c>
      <c r="S109" s="136">
        <v>12488.62</v>
      </c>
      <c r="T109" s="136">
        <v>11313.22</v>
      </c>
      <c r="U109" s="136">
        <v>11000</v>
      </c>
      <c r="V109" s="136">
        <v>10537.34</v>
      </c>
      <c r="W109" s="72">
        <v>11837.5</v>
      </c>
      <c r="X109" s="72">
        <v>12661.13</v>
      </c>
      <c r="Y109" s="72">
        <v>19342</v>
      </c>
      <c r="Z109" s="72">
        <v>19512</v>
      </c>
      <c r="AA109" s="72">
        <v>19512</v>
      </c>
      <c r="AB109" s="72">
        <v>19852</v>
      </c>
      <c r="AC109" s="137">
        <f>SUM(Q109:AB109)</f>
        <v>172222.15000000002</v>
      </c>
      <c r="AD109" s="136">
        <f t="shared" si="45"/>
        <v>-1357.1500000000233</v>
      </c>
      <c r="AE109" s="196">
        <f t="shared" si="46"/>
        <v>-7.8802291110639557E-3</v>
      </c>
      <c r="AF109" s="133">
        <v>112056</v>
      </c>
      <c r="AG109" s="124">
        <f t="shared" si="43"/>
        <v>-58809</v>
      </c>
    </row>
    <row r="110" spans="1:33">
      <c r="A110" s="105" t="s">
        <v>122</v>
      </c>
      <c r="B110" s="105" t="s">
        <v>377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136">
        <f t="shared" si="45"/>
        <v>0</v>
      </c>
      <c r="AE110" s="196" t="e">
        <f t="shared" si="46"/>
        <v>#DIV/0!</v>
      </c>
      <c r="AF110" s="133">
        <v>0</v>
      </c>
      <c r="AG110" s="124">
        <f t="shared" si="43"/>
        <v>0</v>
      </c>
    </row>
    <row r="111" spans="1:33">
      <c r="A111" s="105" t="s">
        <v>123</v>
      </c>
      <c r="B111" s="105" t="s">
        <v>377</v>
      </c>
      <c r="C111" s="105" t="s">
        <v>264</v>
      </c>
      <c r="D111" s="215">
        <v>3200</v>
      </c>
      <c r="E111" s="215">
        <v>3200</v>
      </c>
      <c r="F111" s="215">
        <v>3200</v>
      </c>
      <c r="G111" s="215">
        <v>3200</v>
      </c>
      <c r="H111" s="215">
        <v>3200</v>
      </c>
      <c r="I111" s="215">
        <v>3600</v>
      </c>
      <c r="J111" s="215">
        <v>3600</v>
      </c>
      <c r="K111" s="215">
        <v>3600</v>
      </c>
      <c r="L111" s="215">
        <v>3600</v>
      </c>
      <c r="M111" s="215">
        <v>3600</v>
      </c>
      <c r="N111" s="215">
        <v>3600</v>
      </c>
      <c r="O111" s="215">
        <v>3600</v>
      </c>
      <c r="P111" s="135">
        <f>SUM(D111:O111)</f>
        <v>41200</v>
      </c>
      <c r="Q111" s="136">
        <v>8106.26</v>
      </c>
      <c r="R111" s="136">
        <v>9042.2099999999991</v>
      </c>
      <c r="S111" s="136">
        <v>4450.95</v>
      </c>
      <c r="T111" s="136">
        <v>4380.1000000000004</v>
      </c>
      <c r="U111" s="136">
        <v>4739.22</v>
      </c>
      <c r="V111" s="136">
        <v>4686.0600000000004</v>
      </c>
      <c r="W111" s="72">
        <v>2930.65</v>
      </c>
      <c r="X111" s="72">
        <v>15631.05</v>
      </c>
      <c r="Y111" s="72">
        <v>4400</v>
      </c>
      <c r="Z111" s="72">
        <v>14400</v>
      </c>
      <c r="AA111" s="72">
        <v>14400</v>
      </c>
      <c r="AB111" s="72">
        <v>14400</v>
      </c>
      <c r="AC111" s="137">
        <f>SUM(Q111:AB111)</f>
        <v>101566.5</v>
      </c>
      <c r="AD111" s="136">
        <f t="shared" si="45"/>
        <v>-60366.5</v>
      </c>
      <c r="AE111" s="196">
        <f t="shared" si="46"/>
        <v>-0.59435443773291385</v>
      </c>
      <c r="AF111" s="133">
        <v>71865.25</v>
      </c>
      <c r="AG111" s="124">
        <f t="shared" si="43"/>
        <v>30665.25</v>
      </c>
    </row>
    <row r="112" spans="1:33">
      <c r="A112" s="105" t="s">
        <v>273</v>
      </c>
      <c r="C112" s="109" t="s">
        <v>521</v>
      </c>
      <c r="D112" s="137">
        <f t="shared" ref="D112:O112" si="47">SUM(D107:D111)</f>
        <v>73427.259999999995</v>
      </c>
      <c r="E112" s="137">
        <f t="shared" si="47"/>
        <v>32144.48</v>
      </c>
      <c r="F112" s="137">
        <f t="shared" si="47"/>
        <v>32144.48</v>
      </c>
      <c r="G112" s="137">
        <f t="shared" si="47"/>
        <v>41358.25</v>
      </c>
      <c r="H112" s="137">
        <f t="shared" si="47"/>
        <v>48834.11</v>
      </c>
      <c r="I112" s="137">
        <f t="shared" si="47"/>
        <v>34356.15</v>
      </c>
      <c r="J112" s="137">
        <f t="shared" si="47"/>
        <v>34356.15</v>
      </c>
      <c r="K112" s="137">
        <f t="shared" si="47"/>
        <v>34356.15</v>
      </c>
      <c r="L112" s="137">
        <f t="shared" si="47"/>
        <v>34356.15</v>
      </c>
      <c r="M112" s="137">
        <f t="shared" si="47"/>
        <v>76107.89</v>
      </c>
      <c r="N112" s="137">
        <f t="shared" si="47"/>
        <v>34356.15</v>
      </c>
      <c r="O112" s="137">
        <f t="shared" si="47"/>
        <v>34356.15</v>
      </c>
      <c r="P112" s="135">
        <f>SUM(P107:P111)</f>
        <v>510153.37</v>
      </c>
      <c r="Q112" s="137">
        <f t="shared" ref="Q112:AC112" si="48">SUM(Q107:Q111)</f>
        <v>52538.62</v>
      </c>
      <c r="R112" s="137">
        <f t="shared" si="48"/>
        <v>77056.040000000008</v>
      </c>
      <c r="S112" s="137">
        <f t="shared" si="48"/>
        <v>41582.189999999995</v>
      </c>
      <c r="T112" s="137">
        <f t="shared" si="48"/>
        <v>40513.35</v>
      </c>
      <c r="U112" s="137">
        <f t="shared" si="48"/>
        <v>39107.660000000003</v>
      </c>
      <c r="V112" s="137">
        <f t="shared" si="48"/>
        <v>36343.519999999997</v>
      </c>
      <c r="W112" s="137">
        <f t="shared" si="48"/>
        <v>28738.760000000002</v>
      </c>
      <c r="X112" s="137">
        <f t="shared" si="48"/>
        <v>42702.979999999996</v>
      </c>
      <c r="Y112" s="137">
        <f t="shared" si="48"/>
        <v>55882</v>
      </c>
      <c r="Z112" s="137">
        <f t="shared" si="48"/>
        <v>98195</v>
      </c>
      <c r="AA112" s="137">
        <f t="shared" si="48"/>
        <v>49980</v>
      </c>
      <c r="AB112" s="137">
        <f t="shared" si="48"/>
        <v>50320</v>
      </c>
      <c r="AC112" s="137">
        <f t="shared" si="48"/>
        <v>612960.12</v>
      </c>
      <c r="AD112" s="136">
        <f t="shared" si="45"/>
        <v>-102806.75</v>
      </c>
      <c r="AE112" s="196">
        <f t="shared" si="46"/>
        <v>-0.16772175977778131</v>
      </c>
      <c r="AF112" s="133">
        <v>528082.90999999992</v>
      </c>
      <c r="AG112" s="124">
        <f t="shared" si="43"/>
        <v>17929.539999999921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3"/>
        <v>0</v>
      </c>
    </row>
    <row r="114" spans="1:33">
      <c r="A114" s="105" t="s">
        <v>124</v>
      </c>
      <c r="B114" s="105" t="s">
        <v>377</v>
      </c>
      <c r="C114" s="105" t="s">
        <v>266</v>
      </c>
      <c r="D114" s="215">
        <v>22073.429999999997</v>
      </c>
      <c r="E114" s="215">
        <v>22073.429999999997</v>
      </c>
      <c r="F114" s="215">
        <v>22073.429999999997</v>
      </c>
      <c r="G114" s="215">
        <v>22073.429999999997</v>
      </c>
      <c r="H114" s="215">
        <v>22073.429999999997</v>
      </c>
      <c r="I114" s="215">
        <v>23727.909999999996</v>
      </c>
      <c r="J114" s="215">
        <v>24374.95</v>
      </c>
      <c r="K114" s="215">
        <v>24374.95</v>
      </c>
      <c r="L114" s="215">
        <v>24374.95</v>
      </c>
      <c r="M114" s="215">
        <v>24374.95</v>
      </c>
      <c r="N114" s="215">
        <v>24374.95</v>
      </c>
      <c r="O114" s="215">
        <v>24374.95</v>
      </c>
      <c r="P114" s="135">
        <f>SUM(D114:O114)</f>
        <v>280344.76</v>
      </c>
      <c r="Q114" s="136">
        <v>22586.51</v>
      </c>
      <c r="R114" s="136">
        <v>21646.14</v>
      </c>
      <c r="S114" s="136">
        <v>23690.92</v>
      </c>
      <c r="T114" s="136">
        <v>20950.599999999999</v>
      </c>
      <c r="U114" s="136">
        <v>18940.419999999998</v>
      </c>
      <c r="V114" s="136">
        <v>18940.419999999998</v>
      </c>
      <c r="W114" s="72">
        <v>20486.02</v>
      </c>
      <c r="X114" s="72">
        <v>21258.82</v>
      </c>
      <c r="Y114" s="72">
        <v>22525</v>
      </c>
      <c r="Z114" s="181">
        <v>22525</v>
      </c>
      <c r="AA114" s="181">
        <v>22525</v>
      </c>
      <c r="AB114" s="181">
        <v>22525</v>
      </c>
      <c r="AC114" s="137">
        <f t="shared" ref="AC114:AC121" si="49">SUM(Q114:AB114)</f>
        <v>258599.84999999998</v>
      </c>
      <c r="AD114" s="136">
        <f t="shared" ref="AD114:AD122" si="50">P114-AC114</f>
        <v>21744.910000000033</v>
      </c>
      <c r="AE114" s="196">
        <f t="shared" ref="AE114:AE122" si="51">AD114/AC114</f>
        <v>8.4087094404733928E-2</v>
      </c>
      <c r="AF114" s="133">
        <v>244093.92999999996</v>
      </c>
      <c r="AG114" s="124">
        <f t="shared" si="43"/>
        <v>-36250.830000000045</v>
      </c>
    </row>
    <row r="115" spans="1:33">
      <c r="A115" s="105" t="s">
        <v>125</v>
      </c>
      <c r="B115" s="105" t="s">
        <v>377</v>
      </c>
      <c r="C115" s="105" t="s">
        <v>267</v>
      </c>
      <c r="D115" s="215">
        <v>8936.4799999999977</v>
      </c>
      <c r="E115" s="215">
        <v>8936.4799999999977</v>
      </c>
      <c r="F115" s="215">
        <v>8936.4799999999977</v>
      </c>
      <c r="G115" s="215">
        <v>8936.4799999999977</v>
      </c>
      <c r="H115" s="215">
        <v>8936.4799999999977</v>
      </c>
      <c r="I115" s="215">
        <v>9601.7599999999984</v>
      </c>
      <c r="J115" s="215">
        <v>9820.0799999999981</v>
      </c>
      <c r="K115" s="215">
        <v>9820.0799999999981</v>
      </c>
      <c r="L115" s="215">
        <v>9820.0799999999981</v>
      </c>
      <c r="M115" s="215">
        <v>9820.0799999999981</v>
      </c>
      <c r="N115" s="215">
        <v>9820.0799999999981</v>
      </c>
      <c r="O115" s="215">
        <v>9820.0799999999981</v>
      </c>
      <c r="P115" s="135">
        <f t="shared" ref="P115:P121" si="52">SUM(D115:O115)</f>
        <v>113204.64</v>
      </c>
      <c r="Q115" s="136">
        <v>11999.07</v>
      </c>
      <c r="R115" s="136">
        <v>11499.5</v>
      </c>
      <c r="S115" s="136">
        <v>12585.79</v>
      </c>
      <c r="T115" s="136">
        <v>11130</v>
      </c>
      <c r="U115" s="136">
        <v>10062.09</v>
      </c>
      <c r="V115" s="136">
        <v>10062.09</v>
      </c>
      <c r="W115" s="72">
        <v>8322.42</v>
      </c>
      <c r="X115" s="72">
        <v>8636.3700000000008</v>
      </c>
      <c r="Y115" s="72">
        <v>12092</v>
      </c>
      <c r="Z115" s="181">
        <v>12092</v>
      </c>
      <c r="AA115" s="181">
        <v>12092</v>
      </c>
      <c r="AB115" s="181">
        <v>12092</v>
      </c>
      <c r="AC115" s="137">
        <f t="shared" si="49"/>
        <v>132665.32999999999</v>
      </c>
      <c r="AD115" s="136">
        <f t="shared" si="50"/>
        <v>-19460.689999999988</v>
      </c>
      <c r="AE115" s="196">
        <f t="shared" si="51"/>
        <v>-0.14669009604845509</v>
      </c>
      <c r="AF115" s="133">
        <v>119929.35</v>
      </c>
      <c r="AG115" s="124">
        <f t="shared" si="43"/>
        <v>6724.7100000000064</v>
      </c>
    </row>
    <row r="116" spans="1:33">
      <c r="A116" s="105" t="s">
        <v>126</v>
      </c>
      <c r="B116" s="105" t="s">
        <v>377</v>
      </c>
      <c r="C116" s="105" t="s">
        <v>268</v>
      </c>
      <c r="D116" s="215">
        <v>687.44999999999982</v>
      </c>
      <c r="E116" s="215">
        <v>687.44999999999982</v>
      </c>
      <c r="F116" s="215">
        <v>687.44999999999982</v>
      </c>
      <c r="G116" s="215">
        <v>687.44999999999982</v>
      </c>
      <c r="H116" s="215">
        <v>687.44999999999982</v>
      </c>
      <c r="I116" s="215">
        <v>738.62999999999977</v>
      </c>
      <c r="J116" s="215">
        <v>755.44999999999993</v>
      </c>
      <c r="K116" s="215">
        <v>755.44999999999993</v>
      </c>
      <c r="L116" s="215">
        <v>755.44999999999993</v>
      </c>
      <c r="M116" s="215">
        <v>755.44999999999993</v>
      </c>
      <c r="N116" s="215">
        <v>755.44999999999993</v>
      </c>
      <c r="O116" s="215">
        <v>755.44999999999993</v>
      </c>
      <c r="P116" s="135">
        <f t="shared" si="52"/>
        <v>8708.5799999999981</v>
      </c>
      <c r="Q116" s="136">
        <v>705.83</v>
      </c>
      <c r="R116" s="136">
        <v>676.44</v>
      </c>
      <c r="S116" s="136">
        <v>740.34</v>
      </c>
      <c r="T116" s="136">
        <v>654.70000000000005</v>
      </c>
      <c r="U116" s="136">
        <v>591.88</v>
      </c>
      <c r="V116" s="136">
        <v>591.88</v>
      </c>
      <c r="W116" s="72">
        <v>640.17999999999995</v>
      </c>
      <c r="X116" s="72">
        <v>664.33</v>
      </c>
      <c r="Y116" s="72">
        <v>709</v>
      </c>
      <c r="Z116" s="72">
        <v>709</v>
      </c>
      <c r="AA116" s="72">
        <v>709</v>
      </c>
      <c r="AB116" s="72">
        <v>709</v>
      </c>
      <c r="AC116" s="137">
        <f t="shared" si="49"/>
        <v>8101.5800000000008</v>
      </c>
      <c r="AD116" s="136">
        <f t="shared" si="50"/>
        <v>606.99999999999727</v>
      </c>
      <c r="AE116" s="196">
        <f t="shared" si="51"/>
        <v>7.4923656866931782E-2</v>
      </c>
      <c r="AF116" s="133">
        <v>7342.7699999999995</v>
      </c>
      <c r="AG116" s="124">
        <f t="shared" si="43"/>
        <v>-1365.8099999999986</v>
      </c>
    </row>
    <row r="117" spans="1:33">
      <c r="A117" s="105" t="s">
        <v>127</v>
      </c>
      <c r="B117" s="105" t="s">
        <v>377</v>
      </c>
      <c r="C117" s="105" t="s">
        <v>269</v>
      </c>
      <c r="D117" s="215">
        <v>164.95999999999998</v>
      </c>
      <c r="E117" s="215">
        <v>164.95999999999998</v>
      </c>
      <c r="F117" s="215">
        <v>164.95999999999998</v>
      </c>
      <c r="G117" s="215">
        <v>164.95999999999998</v>
      </c>
      <c r="H117" s="215">
        <v>164.95999999999998</v>
      </c>
      <c r="I117" s="215">
        <v>177.23999999999998</v>
      </c>
      <c r="J117" s="215">
        <v>181.32999999999993</v>
      </c>
      <c r="K117" s="215">
        <v>181.32999999999993</v>
      </c>
      <c r="L117" s="215">
        <v>181.32999999999993</v>
      </c>
      <c r="M117" s="215">
        <v>181.32999999999993</v>
      </c>
      <c r="N117" s="215">
        <v>181.32999999999993</v>
      </c>
      <c r="O117" s="215">
        <v>181.32999999999993</v>
      </c>
      <c r="P117" s="135">
        <f t="shared" si="52"/>
        <v>2090.0199999999995</v>
      </c>
      <c r="Q117" s="136">
        <v>169.43</v>
      </c>
      <c r="R117" s="136">
        <v>162.38</v>
      </c>
      <c r="S117" s="136">
        <v>177.72</v>
      </c>
      <c r="T117" s="136">
        <v>157.16</v>
      </c>
      <c r="U117" s="136">
        <v>142.08000000000001</v>
      </c>
      <c r="V117" s="136">
        <v>142.08000000000001</v>
      </c>
      <c r="W117" s="72">
        <v>153.68</v>
      </c>
      <c r="X117" s="72">
        <v>159.47999999999999</v>
      </c>
      <c r="Y117" s="72">
        <v>202</v>
      </c>
      <c r="Z117" s="72">
        <v>202</v>
      </c>
      <c r="AA117" s="72">
        <v>202</v>
      </c>
      <c r="AB117" s="72">
        <v>202</v>
      </c>
      <c r="AC117" s="137">
        <f t="shared" si="49"/>
        <v>2072.0100000000002</v>
      </c>
      <c r="AD117" s="136">
        <f t="shared" si="50"/>
        <v>18.009999999999309</v>
      </c>
      <c r="AE117" s="196">
        <f t="shared" si="51"/>
        <v>8.6920429920701679E-3</v>
      </c>
      <c r="AF117" s="133">
        <v>2349.6400000000003</v>
      </c>
      <c r="AG117" s="124">
        <f t="shared" si="43"/>
        <v>259.6200000000008</v>
      </c>
    </row>
    <row r="118" spans="1:33">
      <c r="A118" s="105" t="s">
        <v>128</v>
      </c>
      <c r="B118" s="105" t="s">
        <v>377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52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9"/>
        <v>0</v>
      </c>
      <c r="AD118" s="136">
        <f t="shared" si="50"/>
        <v>0</v>
      </c>
      <c r="AE118" s="196" t="e">
        <f t="shared" si="51"/>
        <v>#DIV/0!</v>
      </c>
      <c r="AF118" s="133">
        <v>4857.29</v>
      </c>
      <c r="AG118" s="124">
        <f t="shared" si="43"/>
        <v>4857.29</v>
      </c>
    </row>
    <row r="119" spans="1:33">
      <c r="A119" s="105" t="s">
        <v>129</v>
      </c>
      <c r="B119" s="105" t="s">
        <v>377</v>
      </c>
      <c r="C119" s="105" t="s">
        <v>271</v>
      </c>
      <c r="D119" s="215">
        <v>6410.9599999999991</v>
      </c>
      <c r="E119" s="215">
        <v>6410.9599999999991</v>
      </c>
      <c r="F119" s="215">
        <v>6410.9599999999991</v>
      </c>
      <c r="G119" s="215">
        <v>6410.9599999999991</v>
      </c>
      <c r="H119" s="215">
        <v>6410.9599999999991</v>
      </c>
      <c r="I119" s="215">
        <v>6695.7299999999987</v>
      </c>
      <c r="J119" s="215">
        <v>7553.9900000000007</v>
      </c>
      <c r="K119" s="215">
        <v>6695.7299999999987</v>
      </c>
      <c r="L119" s="215">
        <v>6695.7299999999987</v>
      </c>
      <c r="M119" s="215">
        <v>6695.7299999999987</v>
      </c>
      <c r="N119" s="215">
        <v>7553.9900000000007</v>
      </c>
      <c r="O119" s="215">
        <v>6695.7299999999987</v>
      </c>
      <c r="P119" s="135">
        <f t="shared" si="52"/>
        <v>80641.429999999978</v>
      </c>
      <c r="Q119" s="136">
        <v>6901</v>
      </c>
      <c r="R119" s="136">
        <v>6607</v>
      </c>
      <c r="S119" s="136">
        <v>7235</v>
      </c>
      <c r="T119" s="136">
        <v>6379</v>
      </c>
      <c r="U119" s="136">
        <v>5752</v>
      </c>
      <c r="V119" s="136">
        <v>5605</v>
      </c>
      <c r="W119" s="72">
        <v>5910</v>
      </c>
      <c r="X119" s="72">
        <v>6050</v>
      </c>
      <c r="Y119" s="72">
        <v>6447</v>
      </c>
      <c r="Z119" s="72">
        <v>6447</v>
      </c>
      <c r="AA119" s="72">
        <v>6447</v>
      </c>
      <c r="AB119" s="72">
        <v>6447</v>
      </c>
      <c r="AC119" s="137">
        <f t="shared" si="49"/>
        <v>76227</v>
      </c>
      <c r="AD119" s="136">
        <f t="shared" si="50"/>
        <v>4414.4299999999785</v>
      </c>
      <c r="AE119" s="196">
        <f t="shared" si="51"/>
        <v>5.7911632361236552E-2</v>
      </c>
      <c r="AF119" s="133">
        <v>68831.62</v>
      </c>
      <c r="AG119" s="124">
        <f t="shared" si="43"/>
        <v>-11809.809999999983</v>
      </c>
    </row>
    <row r="120" spans="1:33">
      <c r="A120" s="105" t="s">
        <v>130</v>
      </c>
      <c r="B120" s="105" t="s">
        <v>377</v>
      </c>
      <c r="C120" s="105" t="s">
        <v>272</v>
      </c>
      <c r="D120" s="215">
        <v>3197</v>
      </c>
      <c r="E120" s="215">
        <v>2372</v>
      </c>
      <c r="F120" s="215">
        <v>2428</v>
      </c>
      <c r="G120" s="215">
        <v>2612</v>
      </c>
      <c r="H120" s="215">
        <v>2762</v>
      </c>
      <c r="I120" s="215">
        <v>2594</v>
      </c>
      <c r="J120" s="215">
        <v>2594</v>
      </c>
      <c r="K120" s="215">
        <v>2594</v>
      </c>
      <c r="L120" s="215">
        <v>2594</v>
      </c>
      <c r="M120" s="215">
        <v>3429</v>
      </c>
      <c r="N120" s="215">
        <v>2594</v>
      </c>
      <c r="O120" s="215">
        <v>2594</v>
      </c>
      <c r="P120" s="135">
        <f t="shared" si="52"/>
        <v>32364</v>
      </c>
      <c r="Q120" s="136">
        <v>2366.41</v>
      </c>
      <c r="R120" s="136">
        <v>3213.62</v>
      </c>
      <c r="S120" s="136">
        <v>4793.8599999999997</v>
      </c>
      <c r="T120" s="136">
        <v>3591.32</v>
      </c>
      <c r="U120" s="136">
        <v>2054.2199999999998</v>
      </c>
      <c r="V120" s="136">
        <v>2011.39</v>
      </c>
      <c r="W120" s="72">
        <v>1940.62</v>
      </c>
      <c r="X120" s="72">
        <v>2169.02</v>
      </c>
      <c r="Y120" s="72">
        <v>3945</v>
      </c>
      <c r="Z120" s="72">
        <v>3945</v>
      </c>
      <c r="AA120" s="72">
        <v>3945</v>
      </c>
      <c r="AB120" s="72">
        <v>3945</v>
      </c>
      <c r="AC120" s="137">
        <f t="shared" si="49"/>
        <v>37920.46</v>
      </c>
      <c r="AD120" s="136">
        <f t="shared" si="50"/>
        <v>-5556.4599999999991</v>
      </c>
      <c r="AE120" s="196">
        <f t="shared" si="51"/>
        <v>-0.14652934062508732</v>
      </c>
      <c r="AF120" s="133">
        <v>43665.270000000004</v>
      </c>
      <c r="AG120" s="124">
        <f t="shared" si="43"/>
        <v>11301.270000000004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52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9"/>
        <v>0</v>
      </c>
      <c r="AD121" s="136">
        <f t="shared" si="50"/>
        <v>0</v>
      </c>
      <c r="AE121" s="196" t="e">
        <f t="shared" si="51"/>
        <v>#DIV/0!</v>
      </c>
      <c r="AF121" s="133">
        <v>0</v>
      </c>
      <c r="AG121" s="124">
        <f t="shared" si="43"/>
        <v>0</v>
      </c>
    </row>
    <row r="122" spans="1:33">
      <c r="A122" s="105" t="s">
        <v>273</v>
      </c>
      <c r="C122" s="109" t="s">
        <v>522</v>
      </c>
      <c r="D122" s="137">
        <f t="shared" ref="D122:AC122" si="53">SUM(D114:D121)</f>
        <v>41470.28</v>
      </c>
      <c r="E122" s="137">
        <f t="shared" si="53"/>
        <v>40645.279999999999</v>
      </c>
      <c r="F122" s="137">
        <f t="shared" si="53"/>
        <v>40701.279999999999</v>
      </c>
      <c r="G122" s="137">
        <f t="shared" si="53"/>
        <v>40885.279999999999</v>
      </c>
      <c r="H122" s="137">
        <f t="shared" si="53"/>
        <v>41035.279999999999</v>
      </c>
      <c r="I122" s="137">
        <f t="shared" si="53"/>
        <v>43535.26999999999</v>
      </c>
      <c r="J122" s="137">
        <f t="shared" si="53"/>
        <v>45279.799999999996</v>
      </c>
      <c r="K122" s="137">
        <f t="shared" si="53"/>
        <v>44421.539999999994</v>
      </c>
      <c r="L122" s="137">
        <f t="shared" si="53"/>
        <v>44421.539999999994</v>
      </c>
      <c r="M122" s="137">
        <f t="shared" si="53"/>
        <v>45256.539999999994</v>
      </c>
      <c r="N122" s="137">
        <f t="shared" si="53"/>
        <v>45279.799999999996</v>
      </c>
      <c r="O122" s="137">
        <f t="shared" si="53"/>
        <v>44421.539999999994</v>
      </c>
      <c r="P122" s="135">
        <f t="shared" si="53"/>
        <v>517353.43000000005</v>
      </c>
      <c r="Q122" s="137">
        <f t="shared" si="53"/>
        <v>44728.25</v>
      </c>
      <c r="R122" s="137">
        <f t="shared" si="53"/>
        <v>43805.08</v>
      </c>
      <c r="S122" s="137">
        <f t="shared" si="53"/>
        <v>49223.63</v>
      </c>
      <c r="T122" s="137">
        <f t="shared" si="53"/>
        <v>42862.78</v>
      </c>
      <c r="U122" s="137">
        <f t="shared" si="53"/>
        <v>37542.69</v>
      </c>
      <c r="V122" s="137">
        <f t="shared" si="53"/>
        <v>37352.86</v>
      </c>
      <c r="W122" s="137">
        <f t="shared" si="53"/>
        <v>37452.920000000006</v>
      </c>
      <c r="X122" s="137">
        <f t="shared" si="53"/>
        <v>38938.019999999997</v>
      </c>
      <c r="Y122" s="137">
        <f t="shared" si="53"/>
        <v>45920</v>
      </c>
      <c r="Z122" s="137">
        <f t="shared" si="53"/>
        <v>45920</v>
      </c>
      <c r="AA122" s="137">
        <f t="shared" si="53"/>
        <v>45920</v>
      </c>
      <c r="AB122" s="137">
        <f t="shared" si="53"/>
        <v>45920</v>
      </c>
      <c r="AC122" s="137">
        <f t="shared" si="53"/>
        <v>515586.23</v>
      </c>
      <c r="AD122" s="136">
        <f t="shared" si="50"/>
        <v>1767.2000000000698</v>
      </c>
      <c r="AE122" s="196">
        <f t="shared" si="51"/>
        <v>3.4275546885727919E-3</v>
      </c>
      <c r="AF122" s="133">
        <v>491069.87</v>
      </c>
      <c r="AG122" s="124">
        <f t="shared" si="43"/>
        <v>-26283.560000000056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3"/>
        <v>0</v>
      </c>
    </row>
    <row r="124" spans="1:33">
      <c r="A124" s="105" t="s">
        <v>131</v>
      </c>
      <c r="B124" s="105" t="s">
        <v>377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54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5">SUM(Q124:AB124)</f>
        <v>0</v>
      </c>
      <c r="AD124" s="136">
        <f t="shared" ref="AD124:AD134" si="56">P124-AC124</f>
        <v>0</v>
      </c>
      <c r="AE124" s="196" t="e">
        <f t="shared" ref="AE124:AE134" si="57">AD124/AC124</f>
        <v>#DIV/0!</v>
      </c>
      <c r="AF124" s="133">
        <v>0</v>
      </c>
      <c r="AG124" s="124">
        <f t="shared" si="43"/>
        <v>0</v>
      </c>
    </row>
    <row r="125" spans="1:33">
      <c r="A125" s="105" t="s">
        <v>132</v>
      </c>
      <c r="B125" s="105" t="s">
        <v>377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54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5"/>
        <v>0</v>
      </c>
      <c r="AD125" s="136">
        <f t="shared" si="56"/>
        <v>0</v>
      </c>
      <c r="AE125" s="196" t="e">
        <f t="shared" si="57"/>
        <v>#DIV/0!</v>
      </c>
      <c r="AF125" s="133">
        <v>0</v>
      </c>
      <c r="AG125" s="124">
        <f t="shared" si="43"/>
        <v>0</v>
      </c>
    </row>
    <row r="126" spans="1:33">
      <c r="A126" s="105" t="s">
        <v>133</v>
      </c>
      <c r="B126" s="105" t="s">
        <v>377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54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5"/>
        <v>0</v>
      </c>
      <c r="AD126" s="136">
        <f t="shared" si="56"/>
        <v>0</v>
      </c>
      <c r="AE126" s="196" t="e">
        <f t="shared" si="57"/>
        <v>#DIV/0!</v>
      </c>
      <c r="AF126" s="133">
        <v>0</v>
      </c>
      <c r="AG126" s="124">
        <f t="shared" si="43"/>
        <v>0</v>
      </c>
    </row>
    <row r="127" spans="1:33">
      <c r="A127" s="105" t="s">
        <v>134</v>
      </c>
      <c r="B127" s="105" t="s">
        <v>377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00">
        <f t="shared" si="54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5"/>
        <v>0</v>
      </c>
      <c r="AD127" s="136">
        <f t="shared" si="56"/>
        <v>0</v>
      </c>
      <c r="AE127" s="196" t="e">
        <f t="shared" si="57"/>
        <v>#DIV/0!</v>
      </c>
      <c r="AF127" s="133">
        <v>0</v>
      </c>
      <c r="AG127" s="124">
        <f t="shared" si="43"/>
        <v>0</v>
      </c>
    </row>
    <row r="128" spans="1:33">
      <c r="A128" s="105" t="s">
        <v>135</v>
      </c>
      <c r="B128" s="105" t="s">
        <v>377</v>
      </c>
      <c r="C128" s="105" t="s">
        <v>280</v>
      </c>
      <c r="D128" s="215">
        <v>522.37</v>
      </c>
      <c r="E128" s="215">
        <v>522.37</v>
      </c>
      <c r="F128" s="215">
        <v>522.37</v>
      </c>
      <c r="G128" s="215">
        <v>522.37</v>
      </c>
      <c r="H128" s="215">
        <v>522.37</v>
      </c>
      <c r="I128" s="215">
        <v>522.37</v>
      </c>
      <c r="J128" s="215">
        <v>522.37</v>
      </c>
      <c r="K128" s="215">
        <v>522.37</v>
      </c>
      <c r="L128" s="215">
        <v>522.37</v>
      </c>
      <c r="M128" s="215">
        <v>522.37</v>
      </c>
      <c r="N128" s="215">
        <v>522.37</v>
      </c>
      <c r="O128" s="215">
        <v>522.37</v>
      </c>
      <c r="P128" s="200">
        <f t="shared" si="54"/>
        <v>6268.44</v>
      </c>
      <c r="Q128" s="136">
        <v>377.02</v>
      </c>
      <c r="R128" s="136">
        <v>418.22</v>
      </c>
      <c r="S128" s="136">
        <v>414.72</v>
      </c>
      <c r="T128" s="136">
        <v>395.87</v>
      </c>
      <c r="U128" s="136">
        <v>354.13</v>
      </c>
      <c r="V128" s="136">
        <v>355.68</v>
      </c>
      <c r="W128" s="72">
        <v>399.58</v>
      </c>
      <c r="X128" s="72">
        <v>411.36</v>
      </c>
      <c r="Y128" s="72">
        <v>813</v>
      </c>
      <c r="Z128" s="72">
        <v>813</v>
      </c>
      <c r="AA128" s="72">
        <v>813</v>
      </c>
      <c r="AB128" s="72">
        <v>813</v>
      </c>
      <c r="AC128" s="137">
        <f t="shared" si="55"/>
        <v>6378.58</v>
      </c>
      <c r="AD128" s="136">
        <f t="shared" si="56"/>
        <v>-110.14000000000033</v>
      </c>
      <c r="AE128" s="196">
        <f t="shared" si="57"/>
        <v>-1.7267166046361467E-2</v>
      </c>
      <c r="AF128" s="133">
        <v>13945.43</v>
      </c>
      <c r="AG128" s="124">
        <f t="shared" si="43"/>
        <v>7676.9900000000007</v>
      </c>
    </row>
    <row r="129" spans="1:33">
      <c r="A129" s="105" t="s">
        <v>136</v>
      </c>
      <c r="B129" s="105" t="s">
        <v>377</v>
      </c>
      <c r="C129" s="105" t="s">
        <v>282</v>
      </c>
      <c r="D129" s="164">
        <v>5126</v>
      </c>
      <c r="E129" s="164">
        <v>4712</v>
      </c>
      <c r="F129" s="164">
        <v>4777</v>
      </c>
      <c r="G129" s="164">
        <v>5386</v>
      </c>
      <c r="H129" s="164">
        <v>5570</v>
      </c>
      <c r="I129" s="164">
        <v>5281</v>
      </c>
      <c r="J129" s="164">
        <v>5308</v>
      </c>
      <c r="K129" s="164">
        <v>5419</v>
      </c>
      <c r="L129" s="164">
        <v>5420</v>
      </c>
      <c r="M129" s="164">
        <v>5444</v>
      </c>
      <c r="N129" s="164">
        <v>5053</v>
      </c>
      <c r="O129" s="164">
        <v>5042</v>
      </c>
      <c r="P129" s="200">
        <f t="shared" si="54"/>
        <v>62538</v>
      </c>
      <c r="Q129" s="136">
        <v>8709.61</v>
      </c>
      <c r="R129" s="136">
        <v>8739.2099999999991</v>
      </c>
      <c r="S129" s="136">
        <v>7652.28</v>
      </c>
      <c r="T129" s="136">
        <v>7564.28</v>
      </c>
      <c r="U129" s="136">
        <v>9166.42</v>
      </c>
      <c r="V129" s="136">
        <v>7923.92</v>
      </c>
      <c r="W129" s="72">
        <v>7554.87</v>
      </c>
      <c r="X129" s="72">
        <v>9097.39</v>
      </c>
      <c r="Y129" s="72">
        <v>50470</v>
      </c>
      <c r="Z129" s="72">
        <v>49465</v>
      </c>
      <c r="AA129" s="72">
        <v>48205</v>
      </c>
      <c r="AB129" s="72">
        <v>48209</v>
      </c>
      <c r="AC129" s="137">
        <f t="shared" si="55"/>
        <v>262756.98</v>
      </c>
      <c r="AD129" s="136">
        <f t="shared" si="56"/>
        <v>-200218.97999999998</v>
      </c>
      <c r="AE129" s="196">
        <f t="shared" si="57"/>
        <v>-0.76199300205079235</v>
      </c>
      <c r="AF129" s="133">
        <v>192082.89</v>
      </c>
      <c r="AG129" s="124">
        <f t="shared" si="43"/>
        <v>129544.89000000001</v>
      </c>
    </row>
    <row r="130" spans="1:33">
      <c r="A130" s="105" t="s">
        <v>137</v>
      </c>
      <c r="B130" s="105" t="s">
        <v>377</v>
      </c>
      <c r="C130" s="105" t="s">
        <v>283</v>
      </c>
      <c r="D130" s="164">
        <v>26364.9</v>
      </c>
      <c r="E130" s="164">
        <v>22240.9</v>
      </c>
      <c r="F130" s="164">
        <v>22266.84</v>
      </c>
      <c r="G130" s="164">
        <v>22582.84</v>
      </c>
      <c r="H130" s="164">
        <v>24299.9</v>
      </c>
      <c r="I130" s="164">
        <v>22619.41</v>
      </c>
      <c r="J130" s="164">
        <v>22483.41</v>
      </c>
      <c r="K130" s="164">
        <v>22463.41</v>
      </c>
      <c r="L130" s="164">
        <v>22602.41</v>
      </c>
      <c r="M130" s="164">
        <v>26179.98</v>
      </c>
      <c r="N130" s="164">
        <v>22514.84</v>
      </c>
      <c r="O130" s="164">
        <v>22494.84</v>
      </c>
      <c r="P130" s="200">
        <f t="shared" si="54"/>
        <v>279113.68000000005</v>
      </c>
      <c r="Q130" s="136">
        <v>26826.48</v>
      </c>
      <c r="R130" s="136">
        <v>26702.91</v>
      </c>
      <c r="S130" s="136">
        <v>25519.83</v>
      </c>
      <c r="T130" s="136">
        <v>23455.95</v>
      </c>
      <c r="U130" s="136">
        <v>14908.7</v>
      </c>
      <c r="V130" s="136">
        <v>16851.39</v>
      </c>
      <c r="W130" s="72">
        <v>18358.28</v>
      </c>
      <c r="X130" s="72">
        <v>20047.45</v>
      </c>
      <c r="Y130" s="72">
        <v>38014</v>
      </c>
      <c r="Z130" s="72">
        <v>42195</v>
      </c>
      <c r="AA130" s="72">
        <v>38522</v>
      </c>
      <c r="AB130" s="72">
        <v>38522</v>
      </c>
      <c r="AC130" s="137">
        <f t="shared" si="55"/>
        <v>329923.99</v>
      </c>
      <c r="AD130" s="136">
        <f t="shared" si="56"/>
        <v>-50810.309999999939</v>
      </c>
      <c r="AE130" s="196">
        <f t="shared" si="57"/>
        <v>-0.15400610910409984</v>
      </c>
      <c r="AF130" s="133">
        <v>664392.8899999999</v>
      </c>
      <c r="AG130" s="124">
        <f t="shared" si="43"/>
        <v>385279.20999999985</v>
      </c>
    </row>
    <row r="131" spans="1:33">
      <c r="A131" s="105" t="s">
        <v>138</v>
      </c>
      <c r="B131" s="105" t="s">
        <v>377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54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5"/>
        <v>0</v>
      </c>
      <c r="AD131" s="136">
        <f t="shared" si="56"/>
        <v>0</v>
      </c>
      <c r="AE131" s="196" t="e">
        <f t="shared" si="57"/>
        <v>#DIV/0!</v>
      </c>
      <c r="AF131" s="133">
        <v>0</v>
      </c>
      <c r="AG131" s="124">
        <f t="shared" si="43"/>
        <v>0</v>
      </c>
    </row>
    <row r="132" spans="1:33">
      <c r="A132" s="105" t="s">
        <v>140</v>
      </c>
      <c r="B132" s="105" t="s">
        <v>377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54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5"/>
        <v>0</v>
      </c>
      <c r="AD132" s="136">
        <f t="shared" si="56"/>
        <v>0</v>
      </c>
      <c r="AE132" s="196" t="e">
        <f t="shared" si="57"/>
        <v>#DIV/0!</v>
      </c>
      <c r="AF132" s="133">
        <v>0</v>
      </c>
      <c r="AG132" s="124">
        <f t="shared" si="43"/>
        <v>0</v>
      </c>
    </row>
    <row r="133" spans="1:33">
      <c r="A133" s="105" t="s">
        <v>273</v>
      </c>
      <c r="C133" s="109" t="s">
        <v>523</v>
      </c>
      <c r="D133" s="137">
        <f t="shared" ref="D133:AC133" si="58">SUM(D124:D132)</f>
        <v>32013.27</v>
      </c>
      <c r="E133" s="137">
        <f t="shared" si="58"/>
        <v>27475.27</v>
      </c>
      <c r="F133" s="137">
        <f t="shared" si="58"/>
        <v>27566.21</v>
      </c>
      <c r="G133" s="137">
        <f t="shared" si="58"/>
        <v>28491.21</v>
      </c>
      <c r="H133" s="137">
        <f t="shared" si="58"/>
        <v>30392.27</v>
      </c>
      <c r="I133" s="137">
        <f t="shared" si="58"/>
        <v>28422.78</v>
      </c>
      <c r="J133" s="137">
        <f t="shared" si="58"/>
        <v>28313.78</v>
      </c>
      <c r="K133" s="137">
        <f t="shared" si="58"/>
        <v>28404.78</v>
      </c>
      <c r="L133" s="137">
        <f t="shared" si="58"/>
        <v>28544.78</v>
      </c>
      <c r="M133" s="137">
        <f t="shared" si="58"/>
        <v>32146.35</v>
      </c>
      <c r="N133" s="137">
        <f t="shared" si="58"/>
        <v>28090.21</v>
      </c>
      <c r="O133" s="137">
        <f t="shared" si="58"/>
        <v>28059.21</v>
      </c>
      <c r="P133" s="135">
        <f t="shared" si="58"/>
        <v>347920.12000000005</v>
      </c>
      <c r="Q133" s="137">
        <f t="shared" si="58"/>
        <v>35913.11</v>
      </c>
      <c r="R133" s="137">
        <f t="shared" si="58"/>
        <v>35860.339999999997</v>
      </c>
      <c r="S133" s="137">
        <f t="shared" si="58"/>
        <v>33586.83</v>
      </c>
      <c r="T133" s="137">
        <f t="shared" si="58"/>
        <v>31416.1</v>
      </c>
      <c r="U133" s="137">
        <f t="shared" si="58"/>
        <v>24429.25</v>
      </c>
      <c r="V133" s="137">
        <f t="shared" si="58"/>
        <v>25130.989999999998</v>
      </c>
      <c r="W133" s="137">
        <f t="shared" si="58"/>
        <v>26312.73</v>
      </c>
      <c r="X133" s="137">
        <f t="shared" si="58"/>
        <v>29556.2</v>
      </c>
      <c r="Y133" s="137">
        <f t="shared" si="58"/>
        <v>89297</v>
      </c>
      <c r="Z133" s="137">
        <f t="shared" si="58"/>
        <v>92473</v>
      </c>
      <c r="AA133" s="137">
        <f t="shared" si="58"/>
        <v>87540</v>
      </c>
      <c r="AB133" s="137">
        <f t="shared" si="58"/>
        <v>87544</v>
      </c>
      <c r="AC133" s="137">
        <f t="shared" si="58"/>
        <v>599059.55000000005</v>
      </c>
      <c r="AD133" s="136">
        <f t="shared" si="56"/>
        <v>-251139.43</v>
      </c>
      <c r="AE133" s="196">
        <f t="shared" si="57"/>
        <v>-0.41922281349158019</v>
      </c>
      <c r="AF133" s="133">
        <v>870421.21</v>
      </c>
      <c r="AG133" s="124">
        <f t="shared" si="43"/>
        <v>522501.08999999991</v>
      </c>
    </row>
    <row r="134" spans="1:33">
      <c r="A134" s="105" t="s">
        <v>273</v>
      </c>
      <c r="C134" s="109" t="s">
        <v>524</v>
      </c>
      <c r="D134" s="137">
        <f t="shared" ref="D134:AC134" si="59">D105+D112+D122+D133</f>
        <v>233344.81</v>
      </c>
      <c r="E134" s="137">
        <f t="shared" si="59"/>
        <v>186699.03</v>
      </c>
      <c r="F134" s="137">
        <f t="shared" si="59"/>
        <v>189654.31999999998</v>
      </c>
      <c r="G134" s="137">
        <f t="shared" si="59"/>
        <v>199977.09</v>
      </c>
      <c r="H134" s="137">
        <f t="shared" si="59"/>
        <v>209504.01</v>
      </c>
      <c r="I134" s="137">
        <f t="shared" si="59"/>
        <v>201654.94999999998</v>
      </c>
      <c r="J134" s="137">
        <f t="shared" si="59"/>
        <v>203290.47999999998</v>
      </c>
      <c r="K134" s="137">
        <f t="shared" si="59"/>
        <v>202523.22</v>
      </c>
      <c r="L134" s="137">
        <f t="shared" si="59"/>
        <v>202663.22</v>
      </c>
      <c r="M134" s="137">
        <f t="shared" si="59"/>
        <v>248851.53</v>
      </c>
      <c r="N134" s="137">
        <f t="shared" si="59"/>
        <v>203066.90999999997</v>
      </c>
      <c r="O134" s="137">
        <f t="shared" si="59"/>
        <v>202177.65</v>
      </c>
      <c r="P134" s="135">
        <f t="shared" si="59"/>
        <v>2483407.2200000002</v>
      </c>
      <c r="Q134" s="137">
        <f t="shared" si="59"/>
        <v>226079.97999999998</v>
      </c>
      <c r="R134" s="137">
        <f t="shared" si="59"/>
        <v>257963.96</v>
      </c>
      <c r="S134" s="137">
        <f t="shared" si="59"/>
        <v>226722.78999999998</v>
      </c>
      <c r="T134" s="137">
        <f t="shared" si="59"/>
        <v>200277.55000000002</v>
      </c>
      <c r="U134" s="137">
        <f t="shared" si="59"/>
        <v>179339.37</v>
      </c>
      <c r="V134" s="137">
        <f t="shared" si="59"/>
        <v>176136.70999999996</v>
      </c>
      <c r="W134" s="137">
        <f t="shared" si="59"/>
        <v>174597.90000000002</v>
      </c>
      <c r="X134" s="137">
        <f t="shared" si="59"/>
        <v>198120.19</v>
      </c>
      <c r="Y134" s="137">
        <f t="shared" si="59"/>
        <v>287507</v>
      </c>
      <c r="Z134" s="137">
        <f t="shared" si="59"/>
        <v>332996</v>
      </c>
      <c r="AA134" s="137">
        <f t="shared" si="59"/>
        <v>279848</v>
      </c>
      <c r="AB134" s="137">
        <f t="shared" si="59"/>
        <v>280192</v>
      </c>
      <c r="AC134" s="137">
        <f t="shared" si="59"/>
        <v>2819781.45</v>
      </c>
      <c r="AD134" s="136">
        <f t="shared" si="56"/>
        <v>-336374.23</v>
      </c>
      <c r="AE134" s="196">
        <f t="shared" si="57"/>
        <v>-0.11929088688770541</v>
      </c>
      <c r="AF134" s="133">
        <v>3494229.7800000003</v>
      </c>
      <c r="AG134" s="124">
        <f t="shared" si="43"/>
        <v>1010822.56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3"/>
        <v>0</v>
      </c>
    </row>
    <row r="136" spans="1:33" s="224" customFormat="1">
      <c r="A136" s="224" t="s">
        <v>141</v>
      </c>
      <c r="B136" s="224" t="s">
        <v>377</v>
      </c>
      <c r="C136" s="224" t="s">
        <v>142</v>
      </c>
      <c r="D136" s="215">
        <v>23</v>
      </c>
      <c r="E136" s="215">
        <v>23</v>
      </c>
      <c r="F136" s="215">
        <v>23</v>
      </c>
      <c r="G136" s="215">
        <v>23</v>
      </c>
      <c r="H136" s="215">
        <v>23</v>
      </c>
      <c r="I136" s="215">
        <v>23</v>
      </c>
      <c r="J136" s="215">
        <v>23</v>
      </c>
      <c r="K136" s="215">
        <v>23</v>
      </c>
      <c r="L136" s="215">
        <v>23</v>
      </c>
      <c r="M136" s="215">
        <v>23</v>
      </c>
      <c r="N136" s="215">
        <v>23</v>
      </c>
      <c r="O136" s="215">
        <v>23</v>
      </c>
      <c r="P136" s="225">
        <f>SUM(D136:O136)/12</f>
        <v>23</v>
      </c>
      <c r="Q136" s="225">
        <v>20</v>
      </c>
      <c r="R136" s="225">
        <v>22</v>
      </c>
      <c r="S136" s="225">
        <v>22</v>
      </c>
      <c r="T136" s="225">
        <v>21</v>
      </c>
      <c r="U136" s="225">
        <v>18</v>
      </c>
      <c r="V136" s="225">
        <v>18</v>
      </c>
      <c r="W136" s="127">
        <v>20</v>
      </c>
      <c r="X136" s="127">
        <v>21</v>
      </c>
      <c r="Y136" s="127">
        <v>26</v>
      </c>
      <c r="Z136" s="127">
        <v>26</v>
      </c>
      <c r="AA136" s="127">
        <v>26</v>
      </c>
      <c r="AB136" s="127">
        <v>26</v>
      </c>
      <c r="AC136" s="225">
        <f>SUM(Q136:AB136)/12</f>
        <v>22.166666666666668</v>
      </c>
      <c r="AD136" s="225">
        <f t="shared" ref="AD136" si="60">P136-AC136</f>
        <v>0.83333333333333215</v>
      </c>
      <c r="AE136" s="226">
        <f t="shared" ref="AE136" si="61">AD136/AC136</f>
        <v>3.7593984962405957E-2</v>
      </c>
      <c r="AF136" s="227">
        <v>42.666666666666664</v>
      </c>
      <c r="AG136" s="228">
        <f t="shared" si="43"/>
        <v>19.666666666666664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>
        <f>+P137-AC137</f>
        <v>0</v>
      </c>
      <c r="AE137" s="105" t="e">
        <f>AD137/AC137</f>
        <v>#DIV/0!</v>
      </c>
      <c r="AG137" s="123"/>
    </row>
    <row r="138" spans="1:33">
      <c r="C138" s="151" t="s">
        <v>292</v>
      </c>
      <c r="D138" s="170">
        <v>22857</v>
      </c>
      <c r="E138" s="170">
        <v>22857</v>
      </c>
      <c r="F138" s="170">
        <v>22857</v>
      </c>
      <c r="G138" s="170">
        <v>22857</v>
      </c>
      <c r="H138" s="170">
        <v>22857</v>
      </c>
      <c r="I138" s="170">
        <v>22857</v>
      </c>
      <c r="J138" s="170">
        <v>22857</v>
      </c>
      <c r="K138" s="170">
        <v>22857</v>
      </c>
      <c r="L138" s="170">
        <v>22857</v>
      </c>
      <c r="M138" s="170">
        <v>22857</v>
      </c>
      <c r="N138" s="170">
        <v>22857</v>
      </c>
      <c r="O138" s="170">
        <v>22857</v>
      </c>
      <c r="P138" s="200">
        <f t="shared" ref="P138:P140" si="62">SUM(D138:O138)</f>
        <v>274284</v>
      </c>
      <c r="Q138" s="140"/>
      <c r="R138" s="140"/>
      <c r="S138" s="140"/>
      <c r="T138" s="140"/>
      <c r="U138" s="140"/>
      <c r="V138" s="140"/>
      <c r="W138" s="140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16">
        <v>36526.31</v>
      </c>
      <c r="E139" s="116">
        <v>28342.059999999998</v>
      </c>
      <c r="F139" s="116">
        <v>28659.059999999998</v>
      </c>
      <c r="G139" s="116">
        <v>29458.969999999994</v>
      </c>
      <c r="H139" s="116">
        <v>32842.06</v>
      </c>
      <c r="I139" s="116">
        <v>28746.309999999998</v>
      </c>
      <c r="J139" s="116">
        <v>29103.329999999994</v>
      </c>
      <c r="K139" s="116">
        <v>28753.309999999998</v>
      </c>
      <c r="L139" s="116">
        <v>28764.309999999998</v>
      </c>
      <c r="M139" s="116">
        <v>34297.869999999995</v>
      </c>
      <c r="N139" s="116">
        <v>29081.829999999994</v>
      </c>
      <c r="O139" s="116">
        <v>28714.309999999998</v>
      </c>
      <c r="P139" s="200">
        <f t="shared" si="62"/>
        <v>363289.73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16">
        <v>64547.93</v>
      </c>
      <c r="E140" s="116">
        <v>50944.97</v>
      </c>
      <c r="F140" s="116">
        <v>51112.47</v>
      </c>
      <c r="G140" s="116">
        <v>55243.62</v>
      </c>
      <c r="H140" s="116">
        <v>59264.82</v>
      </c>
      <c r="I140" s="116">
        <v>54013.210000000006</v>
      </c>
      <c r="J140" s="116">
        <v>53957.460000000006</v>
      </c>
      <c r="K140" s="116">
        <v>54084.210000000006</v>
      </c>
      <c r="L140" s="116">
        <v>54175.210000000006</v>
      </c>
      <c r="M140" s="116">
        <v>68127.66</v>
      </c>
      <c r="N140" s="116">
        <v>53755.960000000006</v>
      </c>
      <c r="O140" s="116">
        <v>53728.210000000006</v>
      </c>
      <c r="P140" s="200">
        <f t="shared" si="62"/>
        <v>672955.73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3"/>
      <c r="AD140" s="136"/>
      <c r="AG140" s="123"/>
    </row>
    <row r="141" spans="1:33">
      <c r="C141" s="109" t="s">
        <v>476</v>
      </c>
      <c r="D141" s="117">
        <f>SUM(D138:D140)</f>
        <v>123931.23999999999</v>
      </c>
      <c r="E141" s="117">
        <f t="shared" ref="E141:P141" si="63">SUM(E138:E140)</f>
        <v>102144.03</v>
      </c>
      <c r="F141" s="117">
        <f t="shared" si="63"/>
        <v>102628.53</v>
      </c>
      <c r="G141" s="117">
        <f t="shared" si="63"/>
        <v>107559.59</v>
      </c>
      <c r="H141" s="117">
        <f t="shared" si="63"/>
        <v>114963.88</v>
      </c>
      <c r="I141" s="117">
        <f t="shared" si="63"/>
        <v>105616.52</v>
      </c>
      <c r="J141" s="117">
        <f t="shared" si="63"/>
        <v>105917.79000000001</v>
      </c>
      <c r="K141" s="117">
        <f t="shared" si="63"/>
        <v>105694.52</v>
      </c>
      <c r="L141" s="117">
        <f t="shared" si="63"/>
        <v>105796.52</v>
      </c>
      <c r="M141" s="117">
        <f t="shared" si="63"/>
        <v>125282.53</v>
      </c>
      <c r="N141" s="117">
        <f t="shared" si="63"/>
        <v>105694.79000000001</v>
      </c>
      <c r="O141" s="117">
        <f t="shared" si="63"/>
        <v>105299.52</v>
      </c>
      <c r="P141" s="117">
        <f t="shared" si="63"/>
        <v>1310529.46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94">
    <dataValidation type="textLength" errorStyle="information" allowBlank="1" showInputMessage="1" showErrorMessage="1" error="XLBVal:6=20_x000d__x000a_" sqref="Q136">
      <formula1>0</formula1>
      <formula2>300</formula2>
    </dataValidation>
    <dataValidation type="textLength" errorStyle="information" allowBlank="1" showInputMessage="1" showErrorMessage="1" error="XLBVal:6=23212_x000d__x000a_" sqref="Q108">
      <formula1>0</formula1>
      <formula2>300</formula2>
    </dataValidation>
    <dataValidation type="textLength" errorStyle="information" allowBlank="1" showInputMessage="1" showErrorMessage="1" error="XLBVal:6=8179.32_x000d__x000a_" sqref="V107">
      <formula1>0</formula1>
      <formula2>300</formula2>
    </dataValidation>
    <dataValidation type="textLength" errorStyle="information" allowBlank="1" showInputMessage="1" showErrorMessage="1" error="XLBVal:6=2030_x000d__x000a_" sqref="R78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349.51_x000d__x000a_" sqref="R60 U60">
      <formula1>0</formula1>
      <formula2>300</formula2>
    </dataValidation>
    <dataValidation type="textLength" errorStyle="information" allowBlank="1" showInputMessage="1" showErrorMessage="1" error="XLBVal:6=504.42_x000d__x000a_" sqref="U58">
      <formula1>0</formula1>
      <formula2>300</formula2>
    </dataValidation>
    <dataValidation type="textLength" errorStyle="information" allowBlank="1" showInputMessage="1" showErrorMessage="1" error="XLBVal:6=595_x000d__x000a_" sqref="U51">
      <formula1>0</formula1>
      <formula2>300</formula2>
    </dataValidation>
    <dataValidation type="textLength" errorStyle="information" allowBlank="1" showInputMessage="1" showErrorMessage="1" error="XLBVal:6=591.6_x000d__x000a_" sqref="R48">
      <formula1>0</formula1>
      <formula2>300</formula2>
    </dataValidation>
    <dataValidation type="textLength" errorStyle="information" allowBlank="1" showInputMessage="1" showErrorMessage="1" error="XLBVal:6=91_x000d__x000a_" sqref="R32">
      <formula1>0</formula1>
      <formula2>300</formula2>
    </dataValidation>
    <dataValidation type="textLength" errorStyle="information" allowBlank="1" showInputMessage="1" showErrorMessage="1" error="XLBVal:6=61308.36_x000d__x000a_" sqref="D103:D104">
      <formula1>0</formula1>
      <formula2>300</formula2>
    </dataValidation>
    <dataValidation type="textLength" errorStyle="information" allowBlank="1" showInputMessage="1" showErrorMessage="1" error="XLBVal:6=34143_x000d__x000a_" sqref="D102 D107:O111 D114:O121 D124:O128 D136:O136">
      <formula1>0</formula1>
      <formula2>300</formula2>
    </dataValidation>
    <dataValidation type="textLength" errorStyle="information" allowBlank="1" showInputMessage="1" showErrorMessage="1" error="XLBVal:6=12940.8_x000d__x000a_" sqref="V108">
      <formula1>0</formula1>
      <formula2>300</formula2>
    </dataValidation>
    <dataValidation type="textLength" errorStyle="information" allowBlank="1" showInputMessage="1" showErrorMessage="1" error="XLBVal:6=13037.4_x000d__x000a_" sqref="U108">
      <formula1>0</formula1>
      <formula2>300</formula2>
    </dataValidation>
    <dataValidation type="textLength" errorStyle="information" allowBlank="1" showInputMessage="1" showErrorMessage="1" error="XLBVal:6=672.56_x000d__x000a_" sqref="Q58">
      <formula1>0</formula1>
      <formula2>300</formula2>
    </dataValidation>
    <dataValidation type="textLength" errorStyle="information" allowBlank="1" showInputMessage="1" showErrorMessage="1" error="XLBVal:6=10257.02_x000d__x000a_" sqref="S56">
      <formula1>0</formula1>
      <formula2>300</formula2>
    </dataValidation>
    <dataValidation type="textLength" errorStyle="information" allowBlank="1" showInputMessage="1" showErrorMessage="1" error="XLBVal:6=315_x000d__x000a_" sqref="S51">
      <formula1>0</formula1>
      <formula2>300</formula2>
    </dataValidation>
    <dataValidation type="textLength" errorStyle="information" allowBlank="1" showInputMessage="1" showErrorMessage="1" error="XLBVal:6=1190_x000d__x000a_" sqref="R51">
      <formula1>0</formula1>
      <formula2>300</formula2>
    </dataValidation>
    <dataValidation type="textLength" errorStyle="information" allowBlank="1" showInputMessage="1" showErrorMessage="1" error="XLBVal:6=10000_x000d__x000a_" sqref="Q50:S50">
      <formula1>0</formula1>
      <formula2>300</formula2>
    </dataValidation>
    <dataValidation type="textLength" errorStyle="information" allowBlank="1" showInputMessage="1" showErrorMessage="1" error="XLBVal:6=295.8_x000d__x000a_" sqref="S48:V48">
      <formula1>0</formula1>
      <formula2>300</formula2>
    </dataValidation>
    <dataValidation type="textLength" errorStyle="information" allowBlank="1" showInputMessage="1" showErrorMessage="1" error="XLBVal:6=509.85_x000d__x000a_" sqref="V32">
      <formula1>0</formula1>
      <formula2>300</formula2>
    </dataValidation>
    <dataValidation type="textLength" errorStyle="information" allowBlank="1" showInputMessage="1" showErrorMessage="1" error="XLBVal:6=97.9_x000d__x000a_" sqref="U32">
      <formula1>0</formula1>
      <formula2>300</formula2>
    </dataValidation>
    <dataValidation type="textLength" errorStyle="information" allowBlank="1" showInputMessage="1" showErrorMessage="1" error="XLBVal:6=206_x000d__x000a_" sqref="T32">
      <formula1>0</formula1>
      <formula2>300</formula2>
    </dataValidation>
    <dataValidation type="textLength" errorStyle="information" allowBlank="1" showInputMessage="1" showErrorMessage="1" error="XLBVal:6=307.98_x000d__x000a_" sqref="S32">
      <formula1>0</formula1>
      <formula2>300</formula2>
    </dataValidation>
    <dataValidation type="textLength" errorStyle="information" allowBlank="1" showInputMessage="1" showErrorMessage="1" error="XLBVal:6=1016.01_x000d__x000a_" sqref="T31">
      <formula1>0</formula1>
      <formula2>300</formula2>
    </dataValidation>
    <dataValidation type="textLength" errorStyle="information" allowBlank="1" showInputMessage="1" showErrorMessage="1" error="XLBVal:6=1660_x000d__x000a_" sqref="S18">
      <formula1>0</formula1>
      <formula2>300</formula2>
    </dataValidation>
    <dataValidation type="textLength" errorStyle="information" allowBlank="1" showInputMessage="1" showErrorMessage="1" error="XLBVal:6=406356.13_x000d__x000a_" sqref="AB11">
      <formula1>0</formula1>
      <formula2>300</formula2>
    </dataValidation>
    <dataValidation type="textLength" errorStyle="information" allowBlank="1" showInputMessage="1" showErrorMessage="1" error="XLBVal:6=318708.4_x000d__x000a_" sqref="AB10">
      <formula1>0</formula1>
      <formula2>300</formula2>
    </dataValidation>
    <dataValidation type="textLength" errorStyle="information" allowBlank="1" showInputMessage="1" showErrorMessage="1" error="XLBVal:6=132560.1_x000d__x000a_" sqref="AB9">
      <formula1>0</formula1>
      <formula2>300</formula2>
    </dataValidation>
    <dataValidation type="textLength" errorStyle="information" allowBlank="1" showInputMessage="1" showErrorMessage="1" error="XLBVal:6=184541.4_x000d__x000a_" sqref="AA11">
      <formula1>0</formula1>
      <formula2>300</formula2>
    </dataValidation>
    <dataValidation type="textLength" errorStyle="information" allowBlank="1" showInputMessage="1" showErrorMessage="1" error="XLBVal:6=143698.26_x000d__x000a_" sqref="Z11">
      <formula1>0</formula1>
      <formula2>300</formula2>
    </dataValidation>
    <dataValidation type="textLength" errorStyle="information" allowBlank="1" showInputMessage="1" showErrorMessage="1" error="XLBVal:6=178376.16_x000d__x000a_" sqref="AA10">
      <formula1>0</formula1>
      <formula2>300</formula2>
    </dataValidation>
    <dataValidation type="textLength" errorStyle="information" allowBlank="1" showInputMessage="1" showErrorMessage="1" error="XLBVal:6=159152.92_x000d__x000a_" sqref="Z10">
      <formula1>0</formula1>
      <formula2>300</formula2>
    </dataValidation>
    <dataValidation type="textLength" errorStyle="information" allowBlank="1" showInputMessage="1" showErrorMessage="1" error="XLBVal:6=9478.45_x000d__x000a_" sqref="Y11">
      <formula1>0</formula1>
      <formula2>300</formula2>
    </dataValidation>
    <dataValidation type="textLength" errorStyle="information" allowBlank="1" showInputMessage="1" showErrorMessage="1" error="XLBVal:6=3053.7_x000d__x000a_" sqref="Y10">
      <formula1>0</formula1>
      <formula2>300</formula2>
    </dataValidation>
    <dataValidation type="textLength" errorStyle="information" allowBlank="1" showInputMessage="1" showErrorMessage="1" error="XLBVal:6=190701.7_x000d__x000a_" sqref="X11">
      <formula1>0</formula1>
      <formula2>300</formula2>
    </dataValidation>
    <dataValidation type="textLength" errorStyle="information" allowBlank="1" showInputMessage="1" showErrorMessage="1" error="XLBVal:6=105226.77_x000d__x000a_" sqref="X10">
      <formula1>0</formula1>
      <formula2>300</formula2>
    </dataValidation>
    <dataValidation type="textLength" errorStyle="information" allowBlank="1" showInputMessage="1" showErrorMessage="1" error="XLBVal:6=78682.4_x000d__x000a_" sqref="X9">
      <formula1>0</formula1>
      <formula2>300</formula2>
    </dataValidation>
    <dataValidation type="textLength" errorStyle="information" allowBlank="1" showInputMessage="1" showErrorMessage="1" error="XLBVal:6=606.1_x000d__x000a_" sqref="T71">
      <formula1>0</formula1>
      <formula2>300</formula2>
    </dataValidation>
    <dataValidation type="textLength" errorStyle="information" allowBlank="1" showInputMessage="1" showErrorMessage="1" error="XLBVal:6=364.78_x000d__x000a_" sqref="Q61:V61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162_x000d__x000a_" sqref="Q56">
      <formula1>0</formula1>
      <formula2>300</formula2>
    </dataValidation>
    <dataValidation type="textLength" errorStyle="information" allowBlank="1" showInputMessage="1" showErrorMessage="1" error="XLBVal:6=385_x000d__x000a_" sqref="Q51 V51">
      <formula1>0</formula1>
      <formula2>300</formula2>
    </dataValidation>
    <dataValidation type="textLength" errorStyle="information" allowBlank="1" showInputMessage="1" showErrorMessage="1" error="XLBVal:6=898_x000d__x000a_" sqref="V25">
      <formula1>0</formula1>
      <formula2>300</formula2>
    </dataValidation>
    <dataValidation type="textLength" errorStyle="information" allowBlank="1" showInputMessage="1" showErrorMessage="1" error="XLBVal:6=2005.51_x000d__x000a_" sqref="T25">
      <formula1>0</formula1>
      <formula2>300</formula2>
    </dataValidation>
    <dataValidation type="textLength" errorStyle="information" allowBlank="1" showInputMessage="1" showErrorMessage="1" error="XLBVal:6=2485.3_x000d__x000a_" sqref="S25">
      <formula1>0</formula1>
      <formula2>300</formula2>
    </dataValidation>
    <dataValidation type="textLength" errorStyle="information" allowBlank="1" showInputMessage="1" showErrorMessage="1" error="XLBVal:6=2102213.42_x000d__x000a_" sqref="D9:O13">
      <formula1>0</formula1>
      <formula2>300</formula2>
    </dataValidation>
    <dataValidation type="textLength" errorStyle="information" allowBlank="1" showInputMessage="1" showErrorMessage="1" error="XLBVal:6=466392.15_x000d__x000a_" sqref="W11">
      <formula1>0</formula1>
      <formula2>300</formula2>
    </dataValidation>
    <dataValidation type="textLength" errorStyle="information" allowBlank="1" showInputMessage="1" showErrorMessage="1" error="XLBVal:6=475773.59_x000d__x000a_" sqref="W10 W17:AB21 W24:AB26 W30:AB32 W38:AB79 W85:AB89 W93:AB97 W102:AB104 W107:AB111 W136:AB136 W124:AB132 W114:AB121">
      <formula1>0</formula1>
      <formula2>300</formula2>
    </dataValidation>
    <dataValidation type="textLength" errorStyle="information" allowBlank="1" showInputMessage="1" showErrorMessage="1" error="XLBVal:6=536409.5_x000d__x000a_" sqref="W9">
      <formula1>0</formula1>
      <formula2>300</formula2>
    </dataValidation>
    <dataValidation type="textLength" errorStyle="information" allowBlank="1" showInputMessage="1" showErrorMessage="1" error="XLBVal:6=1_x000d__x000a_" sqref="I89">
      <formula1>0</formula1>
      <formula2>300</formula2>
    </dataValidation>
    <dataValidation type="textLength" errorStyle="information" allowBlank="1" showInputMessage="1" showErrorMessage="1" error="XLBVal:6=2774.76_x000d__x000a_" sqref="I31">
      <formula1>0</formula1>
      <formula2>300</formula2>
    </dataValidation>
    <dataValidation type="textLength" errorStyle="information" allowBlank="1" showInputMessage="1" showErrorMessage="1" error="XLBVal:6=1654.15_x000d__x000a_" sqref="I25">
      <formula1>0</formula1>
      <formula2>300</formula2>
    </dataValidation>
    <dataValidation type="textLength" errorStyle="information" allowBlank="1" showInputMessage="1" showErrorMessage="1" error="XLBVal:6=8860_x000d__x000a_" sqref="I19">
      <formula1>0</formula1>
      <formula2>300</formula2>
    </dataValidation>
    <dataValidation type="textLength" errorStyle="information" allowBlank="1" showInputMessage="1" showErrorMessage="1" error="XLBVal:6=4042_x000d__x000a_" sqref="I18">
      <formula1>0</formula1>
      <formula2>300</formula2>
    </dataValidation>
    <dataValidation type="textLength" errorStyle="information" allowBlank="1" showInputMessage="1" showErrorMessage="1" error="XLBVal:6=56_x000d__x000a_" sqref="I17">
      <formula1>0</formula1>
      <formula2>300</formula2>
    </dataValidation>
    <dataValidation type="textLength" errorStyle="information" allowBlank="1" showInputMessage="1" showErrorMessage="1" error="XLBVal:6=2891.8_x000d__x000a_" sqref="H31">
      <formula1>0</formula1>
      <formula2>300</formula2>
    </dataValidation>
    <dataValidation type="textLength" errorStyle="information" allowBlank="1" showInputMessage="1" showErrorMessage="1" error="XLBVal:6=1329.85_x000d__x000a_" sqref="H25">
      <formula1>0</formula1>
      <formula2>300</formula2>
    </dataValidation>
    <dataValidation type="textLength" errorStyle="information" allowBlank="1" showInputMessage="1" showErrorMessage="1" error="XLBVal:6=10524_x000d__x000a_" sqref="H19">
      <formula1>0</formula1>
      <formula2>300</formula2>
    </dataValidation>
    <dataValidation type="textLength" errorStyle="information" allowBlank="1" showInputMessage="1" showErrorMessage="1" error="XLBVal:6=3653.8_x000d__x000a_" sqref="H18">
      <formula1>0</formula1>
      <formula2>300</formula2>
    </dataValidation>
    <dataValidation type="textLength" errorStyle="information" allowBlank="1" showInputMessage="1" showErrorMessage="1" error="XLBVal:6=2933.2_x000d__x000a_" sqref="G31">
      <formula1>0</formula1>
      <formula2>300</formula2>
    </dataValidation>
    <dataValidation type="textLength" errorStyle="information" allowBlank="1" showInputMessage="1" showErrorMessage="1" error="XLBVal:6=617.75_x000d__x000a_" sqref="G25">
      <formula1>0</formula1>
      <formula2>300</formula2>
    </dataValidation>
    <dataValidation type="textLength" errorStyle="information" allowBlank="1" showInputMessage="1" showErrorMessage="1" error="XLBVal:6=8722_x000d__x000a_" sqref="G19">
      <formula1>0</formula1>
      <formula2>300</formula2>
    </dataValidation>
    <dataValidation type="textLength" errorStyle="information" allowBlank="1" showInputMessage="1" showErrorMessage="1" error="XLBVal:6=3836_x000d__x000a_" sqref="G18">
      <formula1>0</formula1>
      <formula2>300</formula2>
    </dataValidation>
    <dataValidation type="textLength" errorStyle="information" allowBlank="1" showInputMessage="1" showErrorMessage="1" error="XLBVal:6=177.72_x000d__x000a_" sqref="S117">
      <formula1>0</formula1>
      <formula2>300</formula2>
    </dataValidation>
    <dataValidation type="textLength" errorStyle="information" allowBlank="1" showInputMessage="1" showErrorMessage="1" error="XLBVal:6=740.34_x000d__x000a_" sqref="S116">
      <formula1>0</formula1>
      <formula2>300</formula2>
    </dataValidation>
    <dataValidation type="textLength" errorStyle="information" allowBlank="1" showInputMessage="1" showErrorMessage="1" error="XLBVal:6=23690.92_x000d__x000a_" sqref="S114">
      <formula1>0</formula1>
      <formula2>300</formula2>
    </dataValidation>
    <dataValidation type="textLength" errorStyle="information" allowBlank="1" showInputMessage="1" showErrorMessage="1" error="XLBVal:6=24642.62_x000d__x000a_" sqref="S108">
      <formula1>0</formula1>
      <formula2>300</formula2>
    </dataValidation>
    <dataValidation type="textLength" errorStyle="information" allowBlank="1" showInputMessage="1" showErrorMessage="1" error="XLBVal:6=25067.83_x000d__x000a_" sqref="R108">
      <formula1>0</formula1>
      <formula2>300</formula2>
    </dataValidation>
    <dataValidation type="textLength" errorStyle="information" allowBlank="1" showInputMessage="1" showErrorMessage="1" error="XLBVal:6=2948_x000d__x000a_" sqref="R86">
      <formula1>0</formula1>
      <formula2>300</formula2>
    </dataValidation>
    <dataValidation type="textLength" errorStyle="information" allowBlank="1" showInputMessage="1" showErrorMessage="1" error="XLBVal:6=3807_x000d__x000a_" sqref="D85:O87">
      <formula1>0</formula1>
      <formula2>300</formula2>
    </dataValidation>
    <dataValidation type="textLength" errorStyle="information" allowBlank="1" showInputMessage="1" showErrorMessage="1" error="XLBVal:6=3000_x000d__x000a_" sqref="Q54:S54">
      <formula1>0</formula1>
      <formula2>300</formula2>
    </dataValidation>
    <dataValidation type="textLength" errorStyle="information" allowBlank="1" showInputMessage="1" showErrorMessage="1" error="XLBVal:6=5521.88_x000d__x000a_" sqref="D73:O78 D38:O42 D44:O71">
      <formula1>0</formula1>
      <formula2>300</formula2>
    </dataValidation>
    <dataValidation type="textLength" errorStyle="information" allowBlank="1" showInputMessage="1" showErrorMessage="1" error="XLBVal:6=5425.71_x000d__x000a_" sqref="F31">
      <formula1>0</formula1>
      <formula2>300</formula2>
    </dataValidation>
    <dataValidation type="textLength" errorStyle="information" allowBlank="1" showInputMessage="1" showErrorMessage="1" error="XLBVal:6=7308.12_x000d__x000a_" sqref="E31">
      <formula1>0</formula1>
      <formula2>300</formula2>
    </dataValidation>
    <dataValidation type="textLength" errorStyle="information" allowBlank="1" showInputMessage="1" showErrorMessage="1" error="XLBVal:6=3484.55_x000d__x000a_" sqref="D31">
      <formula1>0</formula1>
      <formula2>300</formula2>
    </dataValidation>
    <dataValidation type="textLength" errorStyle="information" allowBlank="1" showInputMessage="1" showErrorMessage="1" error="XLBVal:6=38266.2_x000d__x000a_" sqref="D26:O26">
      <formula1>0</formula1>
      <formula2>300</formula2>
    </dataValidation>
    <dataValidation type="textLength" errorStyle="information" allowBlank="1" showInputMessage="1" showErrorMessage="1" error="XLBVal:6=1484.38_x000d__x000a_" sqref="F25">
      <formula1>0</formula1>
      <formula2>300</formula2>
    </dataValidation>
    <dataValidation type="textLength" errorStyle="information" allowBlank="1" showInputMessage="1" showErrorMessage="1" error="XLBVal:6=13568_x000d__x000a_" sqref="F19">
      <formula1>0</formula1>
      <formula2>300</formula2>
    </dataValidation>
    <dataValidation type="textLength" errorStyle="information" allowBlank="1" showInputMessage="1" showErrorMessage="1" error="XLBVal:6=31286.9_x000d__x000a_" sqref="E19">
      <formula1>0</formula1>
      <formula2>300</formula2>
    </dataValidation>
    <dataValidation type="textLength" errorStyle="information" allowBlank="1" showInputMessage="1" showErrorMessage="1" error="XLBVal:6=10688_x000d__x000a_" sqref="D19">
      <formula1>0</formula1>
      <formula2>300</formula2>
    </dataValidation>
    <dataValidation type="textLength" errorStyle="information" allowBlank="1" showInputMessage="1" showErrorMessage="1" error="XLBVal:6=3135.5_x000d__x000a_" sqref="F18">
      <formula1>0</formula1>
      <formula2>300</formula2>
    </dataValidation>
    <dataValidation type="textLength" errorStyle="information" allowBlank="1" showInputMessage="1" showErrorMessage="1" error="XLBVal:6=2738_x000d__x000a_" sqref="E18">
      <formula1>0</formula1>
      <formula2>300</formula2>
    </dataValidation>
    <dataValidation type="textLength" errorStyle="information" allowBlank="1" showInputMessage="1" showErrorMessage="1" error="XLBVal:6=3166_x000d__x000a_" sqref="D18">
      <formula1>0</formula1>
      <formula2>300</formula2>
    </dataValidation>
    <dataValidation type="textLength" errorStyle="information" allowBlank="1" showInputMessage="1" showErrorMessage="1" error="XLBVal:6=58_x000d__x000a_" sqref="F17">
      <formula1>0</formula1>
      <formula2>300</formula2>
    </dataValidation>
    <dataValidation type="textLength" errorStyle="information" allowBlank="1" showInputMessage="1" showErrorMessage="1" error="XLBVal:6=528268.44_x000d__x000a_" sqref="R10">
      <formula1>0</formula1>
      <formula2>300</formula2>
    </dataValidation>
    <dataValidation type="textLength" errorStyle="information" allowBlank="1" showInputMessage="1" showErrorMessage="1" error="XLBVal:6=51200_x000d__x000a_" sqref="E102:O104">
      <formula1>0</formula1>
      <formula2>300</formula2>
    </dataValidation>
    <dataValidation type="textLength" errorStyle="information" allowBlank="1" showInputMessage="1" showErrorMessage="1" error="XLBVal:6=654.7_x000d__x000a_" sqref="T116">
      <formula1>0</formula1>
      <formula2>300</formula2>
    </dataValidation>
    <dataValidation type="textLength" errorStyle="information" allowBlank="1" showInputMessage="1" showErrorMessage="1" error="XLBVal:6=676.44_x000d__x000a_" sqref="R116">
      <formula1>0</formula1>
      <formula2>300</formula2>
    </dataValidation>
    <dataValidation type="textLength" errorStyle="information" allowBlank="1" showInputMessage="1" showErrorMessage="1" error="XLBVal:6=705.83_x000d__x000a_" sqref="Q116">
      <formula1>0</formula1>
      <formula2>300</formula2>
    </dataValidation>
    <dataValidation type="textLength" errorStyle="information" allowBlank="1" showInputMessage="1" showErrorMessage="1" error="XLBVal:6=14971.75_x000d__x000a_" sqref="T108">
      <formula1>0</formula1>
      <formula2>300</formula2>
    </dataValidation>
    <dataValidation type="textLength" errorStyle="information" allowBlank="1" showInputMessage="1" showErrorMessage="1" error="XLBVal:6=1918.92_x000d__x000a_" sqref="Q25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8_x000d__x000a_" sqref="U136:V136">
      <formula1>0</formula1>
      <formula2>300</formula2>
    </dataValidation>
    <dataValidation type="textLength" errorStyle="information" allowBlank="1" showInputMessage="1" showErrorMessage="1" error="XLBVal:6=21_x000d__x000a_" sqref="T136">
      <formula1>0</formula1>
      <formula2>300</formula2>
    </dataValidation>
    <dataValidation type="textLength" errorStyle="information" allowBlank="1" showInputMessage="1" showErrorMessage="1" error="XLBVal:6=16851.39_x000d__x000a_" sqref="V130">
      <formula1>0</formula1>
      <formula2>300</formula2>
    </dataValidation>
    <dataValidation type="textLength" errorStyle="information" allowBlank="1" showInputMessage="1" showErrorMessage="1" error="XLBVal:6=14908.7_x000d__x000a_" sqref="U130">
      <formula1>0</formula1>
      <formula2>300</formula2>
    </dataValidation>
    <dataValidation type="textLength" errorStyle="information" allowBlank="1" showInputMessage="1" showErrorMessage="1" error="XLBVal:6=23455.95_x000d__x000a_" sqref="T130">
      <formula1>0</formula1>
      <formula2>300</formula2>
    </dataValidation>
    <dataValidation type="textLength" errorStyle="information" allowBlank="1" showInputMessage="1" showErrorMessage="1" error="XLBVal:6=25519.83_x000d__x000a_" sqref="S130">
      <formula1>0</formula1>
      <formula2>300</formula2>
    </dataValidation>
    <dataValidation type="textLength" errorStyle="information" allowBlank="1" showInputMessage="1" showErrorMessage="1" error="XLBVal:6=26702.91_x000d__x000a_" sqref="R130">
      <formula1>0</formula1>
      <formula2>300</formula2>
    </dataValidation>
    <dataValidation type="textLength" errorStyle="information" allowBlank="1" showInputMessage="1" showErrorMessage="1" error="XLBVal:6=26826.48_x000d__x000a_" sqref="Q130">
      <formula1>0</formula1>
      <formula2>300</formula2>
    </dataValidation>
    <dataValidation type="textLength" errorStyle="information" allowBlank="1" showInputMessage="1" showErrorMessage="1" error="XLBVal:6=7923.92_x000d__x000a_" sqref="V129">
      <formula1>0</formula1>
      <formula2>300</formula2>
    </dataValidation>
    <dataValidation type="textLength" errorStyle="information" allowBlank="1" showInputMessage="1" showErrorMessage="1" error="XLBVal:6=9166.42_x000d__x000a_" sqref="U129">
      <formula1>0</formula1>
      <formula2>300</formula2>
    </dataValidation>
    <dataValidation type="textLength" errorStyle="information" allowBlank="1" showInputMessage="1" showErrorMessage="1" error="XLBVal:6=7564.28_x000d__x000a_" sqref="T129">
      <formula1>0</formula1>
      <formula2>300</formula2>
    </dataValidation>
    <dataValidation type="textLength" errorStyle="information" allowBlank="1" showInputMessage="1" showErrorMessage="1" error="XLBVal:6=7652.28_x000d__x000a_" sqref="S129">
      <formula1>0</formula1>
      <formula2>300</formula2>
    </dataValidation>
    <dataValidation type="textLength" errorStyle="information" allowBlank="1" showInputMessage="1" showErrorMessage="1" error="XLBVal:6=8739.21_x000d__x000a_" sqref="R129">
      <formula1>0</formula1>
      <formula2>300</formula2>
    </dataValidation>
    <dataValidation type="textLength" errorStyle="information" allowBlank="1" showInputMessage="1" showErrorMessage="1" error="XLBVal:6=8709.61_x000d__x000a_" sqref="Q129">
      <formula1>0</formula1>
      <formula2>300</formula2>
    </dataValidation>
    <dataValidation type="textLength" errorStyle="information" allowBlank="1" showInputMessage="1" showErrorMessage="1" error="XLBVal:6=355.68_x000d__x000a_" sqref="V128">
      <formula1>0</formula1>
      <formula2>300</formula2>
    </dataValidation>
    <dataValidation type="textLength" errorStyle="information" allowBlank="1" showInputMessage="1" showErrorMessage="1" error="XLBVal:6=354.13_x000d__x000a_" sqref="U128">
      <formula1>0</formula1>
      <formula2>300</formula2>
    </dataValidation>
    <dataValidation type="textLength" errorStyle="information" allowBlank="1" showInputMessage="1" showErrorMessage="1" error="XLBVal:6=395.87_x000d__x000a_" sqref="T128">
      <formula1>0</formula1>
      <formula2>300</formula2>
    </dataValidation>
    <dataValidation type="textLength" errorStyle="information" allowBlank="1" showInputMessage="1" showErrorMessage="1" error="XLBVal:6=414.72_x000d__x000a_" sqref="S128">
      <formula1>0</formula1>
      <formula2>300</formula2>
    </dataValidation>
    <dataValidation type="textLength" errorStyle="information" allowBlank="1" showInputMessage="1" showErrorMessage="1" error="XLBVal:6=418.22_x000d__x000a_" sqref="R128">
      <formula1>0</formula1>
      <formula2>300</formula2>
    </dataValidation>
    <dataValidation type="textLength" errorStyle="information" allowBlank="1" showInputMessage="1" showErrorMessage="1" error="XLBVal:6=377.02_x000d__x000a_" sqref="Q128">
      <formula1>0</formula1>
      <formula2>300</formula2>
    </dataValidation>
    <dataValidation type="textLength" errorStyle="information" allowBlank="1" showInputMessage="1" showErrorMessage="1" error="XLBVal:6=2011.39_x000d__x000a_" sqref="V120">
      <formula1>0</formula1>
      <formula2>300</formula2>
    </dataValidation>
    <dataValidation type="textLength" errorStyle="information" allowBlank="1" showInputMessage="1" showErrorMessage="1" error="XLBVal:6=2054.22_x000d__x000a_" sqref="U120">
      <formula1>0</formula1>
      <formula2>300</formula2>
    </dataValidation>
    <dataValidation type="textLength" errorStyle="information" allowBlank="1" showInputMessage="1" showErrorMessage="1" error="XLBVal:6=3591.32_x000d__x000a_" sqref="T120">
      <formula1>0</formula1>
      <formula2>300</formula2>
    </dataValidation>
    <dataValidation type="textLength" errorStyle="information" allowBlank="1" showInputMessage="1" showErrorMessage="1" error="XLBVal:6=4793.86_x000d__x000a_" sqref="S120">
      <formula1>0</formula1>
      <formula2>300</formula2>
    </dataValidation>
    <dataValidation type="textLength" errorStyle="information" allowBlank="1" showInputMessage="1" showErrorMessage="1" error="XLBVal:6=3213.62_x000d__x000a_" sqref="R120">
      <formula1>0</formula1>
      <formula2>300</formula2>
    </dataValidation>
    <dataValidation type="textLength" errorStyle="information" allowBlank="1" showInputMessage="1" showErrorMessage="1" error="XLBVal:6=2366.41_x000d__x000a_" sqref="Q120">
      <formula1>0</formula1>
      <formula2>300</formula2>
    </dataValidation>
    <dataValidation type="textLength" errorStyle="information" allowBlank="1" showInputMessage="1" showErrorMessage="1" error="XLBVal:6=5605_x000d__x000a_" sqref="V119">
      <formula1>0</formula1>
      <formula2>300</formula2>
    </dataValidation>
    <dataValidation type="textLength" errorStyle="information" allowBlank="1" showInputMessage="1" showErrorMessage="1" error="XLBVal:6=5752_x000d__x000a_" sqref="U119">
      <formula1>0</formula1>
      <formula2>300</formula2>
    </dataValidation>
    <dataValidation type="textLength" errorStyle="information" allowBlank="1" showInputMessage="1" showErrorMessage="1" error="XLBVal:6=6379_x000d__x000a_" sqref="T119">
      <formula1>0</formula1>
      <formula2>300</formula2>
    </dataValidation>
    <dataValidation type="textLength" errorStyle="information" allowBlank="1" showInputMessage="1" showErrorMessage="1" error="XLBVal:6=7235_x000d__x000a_" sqref="S119">
      <formula1>0</formula1>
      <formula2>300</formula2>
    </dataValidation>
    <dataValidation type="textLength" errorStyle="information" allowBlank="1" showInputMessage="1" showErrorMessage="1" error="XLBVal:6=6607_x000d__x000a_" sqref="R119">
      <formula1>0</formula1>
      <formula2>300</formula2>
    </dataValidation>
    <dataValidation type="textLength" errorStyle="information" allowBlank="1" showInputMessage="1" showErrorMessage="1" error="XLBVal:6=6901_x000d__x000a_" sqref="Q119">
      <formula1>0</formula1>
      <formula2>300</formula2>
    </dataValidation>
    <dataValidation type="textLength" errorStyle="information" allowBlank="1" showInputMessage="1" showErrorMessage="1" error="XLBVal:6=142.08_x000d__x000a_" sqref="U117:V117">
      <formula1>0</formula1>
      <formula2>300</formula2>
    </dataValidation>
    <dataValidation type="textLength" errorStyle="information" allowBlank="1" showInputMessage="1" showErrorMessage="1" error="XLBVal:6=157.16_x000d__x000a_" sqref="T117">
      <formula1>0</formula1>
      <formula2>300</formula2>
    </dataValidation>
    <dataValidation type="textLength" errorStyle="information" allowBlank="1" showInputMessage="1" showErrorMessage="1" error="XLBVal:6=162.38_x000d__x000a_" sqref="R117">
      <formula1>0</formula1>
      <formula2>300</formula2>
    </dataValidation>
    <dataValidation type="textLength" errorStyle="information" allowBlank="1" showInputMessage="1" showErrorMessage="1" error="XLBVal:6=169.43_x000d__x000a_" sqref="Q117">
      <formula1>0</formula1>
      <formula2>300</formula2>
    </dataValidation>
    <dataValidation type="textLength" errorStyle="information" allowBlank="1" showInputMessage="1" showErrorMessage="1" error="XLBVal:6=10062.09_x000d__x000a_" sqref="U115:V115">
      <formula1>0</formula1>
      <formula2>300</formula2>
    </dataValidation>
    <dataValidation type="textLength" errorStyle="information" allowBlank="1" showInputMessage="1" showErrorMessage="1" error="XLBVal:6=11130_x000d__x000a_" sqref="T115">
      <formula1>0</formula1>
      <formula2>300</formula2>
    </dataValidation>
    <dataValidation type="textLength" errorStyle="information" allowBlank="1" showInputMessage="1" showErrorMessage="1" error="XLBVal:6=12585.79_x000d__x000a_" sqref="S115">
      <formula1>0</formula1>
      <formula2>300</formula2>
    </dataValidation>
    <dataValidation type="textLength" errorStyle="information" allowBlank="1" showInputMessage="1" showErrorMessage="1" error="XLBVal:6=11499.5_x000d__x000a_" sqref="R115">
      <formula1>0</formula1>
      <formula2>300</formula2>
    </dataValidation>
    <dataValidation type="textLength" errorStyle="information" allowBlank="1" showInputMessage="1" showErrorMessage="1" error="XLBVal:6=11999.07_x000d__x000a_" sqref="Q115">
      <formula1>0</formula1>
      <formula2>300</formula2>
    </dataValidation>
    <dataValidation type="textLength" errorStyle="information" allowBlank="1" showInputMessage="1" showErrorMessage="1" error="XLBVal:6=18940.42_x000d__x000a_" sqref="U114:V114">
      <formula1>0</formula1>
      <formula2>300</formula2>
    </dataValidation>
    <dataValidation type="textLength" errorStyle="information" allowBlank="1" showInputMessage="1" showErrorMessage="1" error="XLBVal:6=591.88_x000d__x000a_" sqref="U116:V116">
      <formula1>0</formula1>
      <formula2>300</formula2>
    </dataValidation>
    <dataValidation type="textLength" errorStyle="information" allowBlank="1" showInputMessage="1" showErrorMessage="1" error="XLBVal:6=20950.6_x000d__x000a_" sqref="T114">
      <formula1>0</formula1>
      <formula2>300</formula2>
    </dataValidation>
    <dataValidation type="textLength" errorStyle="information" allowBlank="1" showInputMessage="1" showErrorMessage="1" error="XLBVal:6=21646.14_x000d__x000a_" sqref="R114">
      <formula1>0</formula1>
      <formula2>300</formula2>
    </dataValidation>
    <dataValidation type="textLength" errorStyle="information" allowBlank="1" showInputMessage="1" showErrorMessage="1" error="XLBVal:6=22586.51_x000d__x000a_" sqref="Q114">
      <formula1>0</formula1>
      <formula2>300</formula2>
    </dataValidation>
    <dataValidation type="textLength" errorStyle="information" allowBlank="1" showInputMessage="1" showErrorMessage="1" error="XLBVal:6=4686.06_x000d__x000a_" sqref="V111">
      <formula1>0</formula1>
      <formula2>300</formula2>
    </dataValidation>
    <dataValidation type="textLength" errorStyle="information" allowBlank="1" showInputMessage="1" showErrorMessage="1" error="XLBVal:6=4739.22_x000d__x000a_" sqref="U111">
      <formula1>0</formula1>
      <formula2>300</formula2>
    </dataValidation>
    <dataValidation type="textLength" errorStyle="information" allowBlank="1" showInputMessage="1" showErrorMessage="1" error="XLBVal:6=4380.1_x000d__x000a_" sqref="T111">
      <formula1>0</formula1>
      <formula2>300</formula2>
    </dataValidation>
    <dataValidation type="textLength" errorStyle="information" allowBlank="1" showInputMessage="1" showErrorMessage="1" error="XLBVal:6=4450.95_x000d__x000a_" sqref="S111">
      <formula1>0</formula1>
      <formula2>300</formula2>
    </dataValidation>
    <dataValidation type="textLength" errorStyle="information" allowBlank="1" showInputMessage="1" showErrorMessage="1" error="XLBVal:6=9042.21_x000d__x000a_" sqref="R111">
      <formula1>0</formula1>
      <formula2>300</formula2>
    </dataValidation>
    <dataValidation type="textLength" errorStyle="information" allowBlank="1" showInputMessage="1" showErrorMessage="1" error="XLBVal:6=8106.26_x000d__x000a_" sqref="Q111">
      <formula1>0</formula1>
      <formula2>300</formula2>
    </dataValidation>
    <dataValidation type="textLength" errorStyle="information" allowBlank="1" showInputMessage="1" showErrorMessage="1" error="XLBVal:6=10537.34_x000d__x000a_" sqref="V109">
      <formula1>0</formula1>
      <formula2>300</formula2>
    </dataValidation>
    <dataValidation type="textLength" errorStyle="information" allowBlank="1" showInputMessage="1" showErrorMessage="1" error="XLBVal:6=11000_x000d__x000a_" sqref="U109">
      <formula1>0</formula1>
      <formula2>300</formula2>
    </dataValidation>
    <dataValidation type="textLength" errorStyle="information" allowBlank="1" showInputMessage="1" showErrorMessage="1" error="XLBVal:6=11313.22_x000d__x000a_" sqref="T109">
      <formula1>0</formula1>
      <formula2>300</formula2>
    </dataValidation>
    <dataValidation type="textLength" errorStyle="information" allowBlank="1" showInputMessage="1" showErrorMessage="1" error="XLBVal:6=12488.62_x000d__x000a_" sqref="S109">
      <formula1>0</formula1>
      <formula2>300</formula2>
    </dataValidation>
    <dataValidation type="textLength" errorStyle="information" allowBlank="1" showInputMessage="1" showErrorMessage="1" error="XLBVal:6=11856.34_x000d__x000a_" sqref="R109">
      <formula1>0</formula1>
      <formula2>300</formula2>
    </dataValidation>
    <dataValidation type="textLength" errorStyle="information" allowBlank="1" showInputMessage="1" showErrorMessage="1" error="XLBVal:6=12310_x000d__x000a_" sqref="Q109">
      <formula1>0</formula1>
      <formula2>300</formula2>
    </dataValidation>
    <dataValidation type="textLength" errorStyle="information" allowBlank="1" showInputMessage="1" showErrorMessage="1" error="XLBVal:6=10331.04_x000d__x000a_" sqref="U107">
      <formula1>0</formula1>
      <formula2>300</formula2>
    </dataValidation>
    <dataValidation type="textLength" errorStyle="information" allowBlank="1" showInputMessage="1" showErrorMessage="1" error="XLBVal:6=9848.28_x000d__x000a_" sqref="T107">
      <formula1>0</formula1>
      <formula2>300</formula2>
    </dataValidation>
    <dataValidation type="textLength" errorStyle="information" allowBlank="1" showInputMessage="1" showErrorMessage="1" error="XLBVal:6=31089.66_x000d__x000a_" sqref="R107">
      <formula1>0</formula1>
      <formula2>300</formula2>
    </dataValidation>
    <dataValidation type="textLength" errorStyle="information" allowBlank="1" showInputMessage="1" showErrorMessage="1" error="XLBVal:6=8910.36_x000d__x000a_" sqref="Q107">
      <formula1>0</formula1>
      <formula2>300</formula2>
    </dataValidation>
    <dataValidation type="textLength" errorStyle="information" allowBlank="1" showInputMessage="1" showErrorMessage="1" error="XLBVal:6=27044.82_x000d__x000a_" sqref="V104">
      <formula1>0</formula1>
      <formula2>300</formula2>
    </dataValidation>
    <dataValidation type="textLength" errorStyle="information" allowBlank="1" showInputMessage="1" showErrorMessage="1" error="XLBVal:6=33800_x000d__x000a_" sqref="U104">
      <formula1>0</formula1>
      <formula2>300</formula2>
    </dataValidation>
    <dataValidation type="textLength" errorStyle="information" allowBlank="1" showInputMessage="1" showErrorMessage="1" error="XLBVal:6=33467.5_x000d__x000a_" sqref="T104">
      <formula1>0</formula1>
      <formula2>300</formula2>
    </dataValidation>
    <dataValidation type="textLength" errorStyle="information" allowBlank="1" showInputMessage="1" showErrorMessage="1" error="XLBVal:6=37100_x000d__x000a_" sqref="S104">
      <formula1>0</formula1>
      <formula2>300</formula2>
    </dataValidation>
    <dataValidation type="textLength" errorStyle="information" allowBlank="1" showInputMessage="1" showErrorMessage="1" error="XLBVal:6=36600_x000d__x000a_" sqref="Q104:R104">
      <formula1>0</formula1>
      <formula2>300</formula2>
    </dataValidation>
    <dataValidation type="textLength" errorStyle="information" allowBlank="1" showInputMessage="1" showErrorMessage="1" error="XLBVal:6=23364.52_x000d__x000a_" sqref="V103">
      <formula1>0</formula1>
      <formula2>300</formula2>
    </dataValidation>
    <dataValidation type="textLength" errorStyle="information" allowBlank="1" showInputMessage="1" showErrorMessage="1" error="XLBVal:6=17500_x000d__x000a_" sqref="U103">
      <formula1>0</formula1>
      <formula2>300</formula2>
    </dataValidation>
    <dataValidation type="textLength" errorStyle="information" allowBlank="1" showInputMessage="1" showErrorMessage="1" error="XLBVal:6=21951.15_x000d__x000a_" sqref="T103">
      <formula1>0</formula1>
      <formula2>300</formula2>
    </dataValidation>
    <dataValidation type="textLength" errorStyle="information" allowBlank="1" showInputMessage="1" showErrorMessage="1" error="XLBVal:6=27922.5_x000d__x000a_" sqref="S103">
      <formula1>0</formula1>
      <formula2>300</formula2>
    </dataValidation>
    <dataValidation type="textLength" errorStyle="information" allowBlank="1" showInputMessage="1" showErrorMessage="1" error="XLBVal:6=33442.5_x000d__x000a_" sqref="R103">
      <formula1>0</formula1>
      <formula2>300</formula2>
    </dataValidation>
    <dataValidation type="textLength" errorStyle="information" allowBlank="1" showInputMessage="1" showErrorMessage="1" error="XLBVal:6=25100_x000d__x000a_" sqref="Q103">
      <formula1>0</formula1>
      <formula2>300</formula2>
    </dataValidation>
    <dataValidation type="textLength" errorStyle="information" allowBlank="1" showInputMessage="1" showErrorMessage="1" error="XLBVal:6=26900_x000d__x000a_" sqref="V102">
      <formula1>0</formula1>
      <formula2>300</formula2>
    </dataValidation>
    <dataValidation type="textLength" errorStyle="information" allowBlank="1" showInputMessage="1" showErrorMessage="1" error="XLBVal:6=26959.77_x000d__x000a_" sqref="U102">
      <formula1>0</formula1>
      <formula2>300</formula2>
    </dataValidation>
    <dataValidation type="textLength" errorStyle="information" allowBlank="1" showInputMessage="1" showErrorMessage="1" error="XLBVal:6=30066.67_x000d__x000a_" sqref="T102">
      <formula1>0</formula1>
      <formula2>300</formula2>
    </dataValidation>
    <dataValidation type="textLength" errorStyle="information" allowBlank="1" showInputMessage="1" showErrorMessage="1" error="XLBVal:6=37307.64_x000d__x000a_" sqref="S102">
      <formula1>0</formula1>
      <formula2>300</formula2>
    </dataValidation>
    <dataValidation type="textLength" errorStyle="information" allowBlank="1" showInputMessage="1" showErrorMessage="1" error="XLBVal:6=31200_x000d__x000a_" sqref="Q102:R102">
      <formula1>0</formula1>
      <formula2>300</formula2>
    </dataValidation>
    <dataValidation type="textLength" errorStyle="information" allowBlank="1" showInputMessage="1" showErrorMessage="1" error="XLBVal:6=1644_x000d__x000a_" sqref="V87">
      <formula1>0</formula1>
      <formula2>300</formula2>
    </dataValidation>
    <dataValidation type="textLength" errorStyle="information" allowBlank="1" showInputMessage="1" showErrorMessage="1" error="XLBVal:6=1809_x000d__x000a_" sqref="U87">
      <formula1>0</formula1>
      <formula2>300</formula2>
    </dataValidation>
    <dataValidation type="textLength" errorStyle="information" allowBlank="1" showInputMessage="1" showErrorMessage="1" error="XLBVal:6=1116_x000d__x000a_" sqref="T87">
      <formula1>0</formula1>
      <formula2>300</formula2>
    </dataValidation>
    <dataValidation type="textLength" errorStyle="information" allowBlank="1" showInputMessage="1" showErrorMessage="1" error="XLBVal:6=2138_x000d__x000a_" sqref="S87">
      <formula1>0</formula1>
      <formula2>300</formula2>
    </dataValidation>
    <dataValidation type="textLength" errorStyle="information" allowBlank="1" showInputMessage="1" showErrorMessage="1" error="XLBVal:6=3288_x000d__x000a_" sqref="R87">
      <formula1>0</formula1>
      <formula2>300</formula2>
    </dataValidation>
    <dataValidation type="textLength" errorStyle="information" allowBlank="1" showInputMessage="1" showErrorMessage="1" error="XLBVal:6=2808_x000d__x000a_" sqref="Q87">
      <formula1>0</formula1>
      <formula2>300</formula2>
    </dataValidation>
    <dataValidation type="textLength" errorStyle="information" allowBlank="1" showInputMessage="1" showErrorMessage="1" error="XLBVal:6=1414_x000d__x000a_" sqref="V86">
      <formula1>0</formula1>
      <formula2>300</formula2>
    </dataValidation>
    <dataValidation type="textLength" errorStyle="information" allowBlank="1" showInputMessage="1" showErrorMessage="1" error="XLBVal:6=1493_x000d__x000a_" sqref="U86">
      <formula1>0</formula1>
      <formula2>300</formula2>
    </dataValidation>
    <dataValidation type="textLength" errorStyle="information" allowBlank="1" showInputMessage="1" showErrorMessage="1" error="XLBVal:6=1106_x000d__x000a_" sqref="T86">
      <formula1>0</formula1>
      <formula2>300</formula2>
    </dataValidation>
    <dataValidation type="textLength" errorStyle="information" allowBlank="1" showInputMessage="1" showErrorMessage="1" error="XLBVal:6=1865_x000d__x000a_" sqref="S86">
      <formula1>0</formula1>
      <formula2>300</formula2>
    </dataValidation>
    <dataValidation type="textLength" errorStyle="information" allowBlank="1" showInputMessage="1" showErrorMessage="1" error="XLBVal:6=22_x000d__x000a_" sqref="R136:S136">
      <formula1>0</formula1>
      <formula2>300</formula2>
    </dataValidation>
    <dataValidation type="textLength" errorStyle="information" allowBlank="1" showInputMessage="1" showErrorMessage="1" error="XLBVal:6=2689_x000d__x000a_" sqref="Q86">
      <formula1>0</formula1>
      <formula2>300</formula2>
    </dataValidation>
    <dataValidation type="textLength" errorStyle="information" allowBlank="1" showInputMessage="1" showErrorMessage="1" error="XLBVal:6=5442_x000d__x000a_" sqref="V85">
      <formula1>0</formula1>
      <formula2>300</formula2>
    </dataValidation>
    <dataValidation type="textLength" errorStyle="information" allowBlank="1" showInputMessage="1" showErrorMessage="1" error="XLBVal:6=5386_x000d__x000a_" sqref="U85">
      <formula1>0</formula1>
      <formula2>300</formula2>
    </dataValidation>
    <dataValidation type="textLength" errorStyle="information" allowBlank="1" showInputMessage="1" showErrorMessage="1" error="XLBVal:6=2760_x000d__x000a_" sqref="T85">
      <formula1>0</formula1>
      <formula2>300</formula2>
    </dataValidation>
    <dataValidation type="textLength" errorStyle="information" allowBlank="1" showInputMessage="1" showErrorMessage="1" error="XLBVal:6=5553_x000d__x000a_" sqref="S85">
      <formula1>0</formula1>
      <formula2>300</formula2>
    </dataValidation>
    <dataValidation type="textLength" errorStyle="information" allowBlank="1" showInputMessage="1" showErrorMessage="1" error="XLBVal:6=4792_x000d__x000a_" sqref="R85">
      <formula1>0</formula1>
      <formula2>300</formula2>
    </dataValidation>
    <dataValidation type="textLength" errorStyle="information" allowBlank="1" showInputMessage="1" showErrorMessage="1" error="XLBVal:6=5210_x000d__x000a_" sqref="Q85">
      <formula1>0</formula1>
      <formula2>300</formula2>
    </dataValidation>
    <dataValidation type="textLength" errorStyle="information" allowBlank="1" showInputMessage="1" showErrorMessage="1" error="XLBVal:6=118411.53_x000d__x000a_" sqref="V79">
      <formula1>0</formula1>
      <formula2>300</formula2>
    </dataValidation>
    <dataValidation type="textLength" errorStyle="information" allowBlank="1" showInputMessage="1" showErrorMessage="1" error="XLBVal:6=102618.61_x000d__x000a_" sqref="U79">
      <formula1>0</formula1>
      <formula2>300</formula2>
    </dataValidation>
    <dataValidation type="textLength" errorStyle="information" allowBlank="1" showInputMessage="1" showErrorMessage="1" error="XLBVal:6=74146.16_x000d__x000a_" sqref="T79">
      <formula1>0</formula1>
      <formula2>300</formula2>
    </dataValidation>
    <dataValidation type="textLength" errorStyle="information" allowBlank="1" showInputMessage="1" showErrorMessage="1" error="XLBVal:6=141980.17_x000d__x000a_" sqref="S79">
      <formula1>0</formula1>
      <formula2>300</formula2>
    </dataValidation>
    <dataValidation type="textLength" errorStyle="information" allowBlank="1" showInputMessage="1" showErrorMessage="1" error="XLBVal:6=176992.91_x000d__x000a_" sqref="R79">
      <formula1>0</formula1>
      <formula2>300</formula2>
    </dataValidation>
    <dataValidation type="textLength" errorStyle="information" allowBlank="1" showInputMessage="1" showErrorMessage="1" error="XLBVal:6=162984.8_x000d__x000a_" sqref="Q79">
      <formula1>0</formula1>
      <formula2>300</formula2>
    </dataValidation>
    <dataValidation type="textLength" errorStyle="information" allowBlank="1" showInputMessage="1" showErrorMessage="1" error="XLBVal:6=844.48_x000d__x000a_" sqref="V78">
      <formula1>0</formula1>
      <formula2>300</formula2>
    </dataValidation>
    <dataValidation type="textLength" errorStyle="information" allowBlank="1" showInputMessage="1" showErrorMessage="1" error="XLBVal:6=1730.84_x000d__x000a_" sqref="U78">
      <formula1>0</formula1>
      <formula2>300</formula2>
    </dataValidation>
    <dataValidation type="textLength" errorStyle="information" allowBlank="1" showInputMessage="1" showErrorMessage="1" error="XLBVal:6=8168_x000d__x000a_" sqref="T78">
      <formula1>0</formula1>
      <formula2>300</formula2>
    </dataValidation>
    <dataValidation type="textLength" errorStyle="information" allowBlank="1" showInputMessage="1" showErrorMessage="1" error="XLBVal:6=560_x000d__x000a_" sqref="S78">
      <formula1>0</formula1>
      <formula2>300</formula2>
    </dataValidation>
    <dataValidation type="textLength" errorStyle="information" allowBlank="1" showInputMessage="1" showErrorMessage="1" error="XLBVal:6=1098.32_x000d__x000a_" sqref="Q78">
      <formula1>0</formula1>
      <formula2>300</formula2>
    </dataValidation>
    <dataValidation type="textLength" errorStyle="information" allowBlank="1" showInputMessage="1" showErrorMessage="1" error="XLBVal:6=23_x000d__x000a_" sqref="Q74:V74">
      <formula1>0</formula1>
      <formula2>300</formula2>
    </dataValidation>
    <dataValidation type="textLength" errorStyle="information" allowBlank="1" showInputMessage="1" showErrorMessage="1" error="XLBVal:6=6773.37_x000d__x000a_" sqref="V72">
      <formula1>0</formula1>
      <formula2>300</formula2>
    </dataValidation>
    <dataValidation type="textLength" errorStyle="information" allowBlank="1" showInputMessage="1" showErrorMessage="1" error="XLBVal:6=2237.19_x000d__x000a_" sqref="U72">
      <formula1>0</formula1>
      <formula2>300</formula2>
    </dataValidation>
    <dataValidation type="textLength" errorStyle="information" allowBlank="1" showInputMessage="1" showErrorMessage="1" error="XLBVal:6=3798.66_x000d__x000a_" sqref="T72">
      <formula1>0</formula1>
      <formula2>300</formula2>
    </dataValidation>
    <dataValidation type="textLength" errorStyle="information" allowBlank="1" showInputMessage="1" showErrorMessage="1" error="XLBVal:6=6652.73_x000d__x000a_" sqref="S72">
      <formula1>0</formula1>
      <formula2>300</formula2>
    </dataValidation>
    <dataValidation type="textLength" errorStyle="information" allowBlank="1" showInputMessage="1" showErrorMessage="1" error="XLBVal:6=9928.8_x000d__x000a_" sqref="R72">
      <formula1>0</formula1>
      <formula2>300</formula2>
    </dataValidation>
    <dataValidation type="textLength" errorStyle="information" allowBlank="1" showInputMessage="1" showErrorMessage="1" error="XLBVal:6=8914.93_x000d__x000a_" sqref="Q72">
      <formula1>0</formula1>
      <formula2>300</formula2>
    </dataValidation>
    <dataValidation type="textLength" errorStyle="information" allowBlank="1" showInputMessage="1" showErrorMessage="1" error="XLBVal:6=177.56_x000d__x000a_" sqref="V71">
      <formula1>0</formula1>
      <formula2>300</formula2>
    </dataValidation>
    <dataValidation type="textLength" errorStyle="information" allowBlank="1" showInputMessage="1" showErrorMessage="1" error="XLBVal:6=695_x000d__x000a_" sqref="S71">
      <formula1>0</formula1>
      <formula2>300</formula2>
    </dataValidation>
    <dataValidation type="textLength" errorStyle="information" allowBlank="1" showInputMessage="1" showErrorMessage="1" error="XLBVal:6=3879.74_x000d__x000a_" sqref="R71">
      <formula1>0</formula1>
      <formula2>300</formula2>
    </dataValidation>
    <dataValidation type="textLength" errorStyle="information" allowBlank="1" showInputMessage="1" showErrorMessage="1" error="XLBVal:6=915.65_x000d__x000a_" sqref="Q71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737.73_x000d__x000a_" sqref="V63">
      <formula1>0</formula1>
      <formula2>300</formula2>
    </dataValidation>
    <dataValidation type="textLength" errorStyle="information" allowBlank="1" showInputMessage="1" showErrorMessage="1" error="XLBVal:6=1384.74_x000d__x000a_" sqref="U63">
      <formula1>0</formula1>
      <formula2>300</formula2>
    </dataValidation>
    <dataValidation type="textLength" errorStyle="information" allowBlank="1" showInputMessage="1" showErrorMessage="1" error="XLBVal:6=997.9_x000d__x000a_" sqref="T63">
      <formula1>0</formula1>
      <formula2>300</formula2>
    </dataValidation>
    <dataValidation type="textLength" errorStyle="information" allowBlank="1" showInputMessage="1" showErrorMessage="1" error="XLBVal:6=1908.21_x000d__x000a_" sqref="S63">
      <formula1>0</formula1>
      <formula2>300</formula2>
    </dataValidation>
    <dataValidation type="textLength" errorStyle="information" allowBlank="1" showInputMessage="1" showErrorMessage="1" error="XLBVal:6=2173.38_x000d__x000a_" sqref="R63">
      <formula1>0</formula1>
      <formula2>300</formula2>
    </dataValidation>
    <dataValidation type="textLength" errorStyle="information" allowBlank="1" showInputMessage="1" showErrorMessage="1" error="XLBVal:6=1476.53_x000d__x000a_" sqref="Q63">
      <formula1>0</formula1>
      <formula2>300</formula2>
    </dataValidation>
    <dataValidation type="textLength" errorStyle="information" allowBlank="1" showInputMessage="1" showErrorMessage="1" error="XLBVal:6=-29.66_x000d__x000a_" sqref="V59">
      <formula1>0</formula1>
      <formula2>300</formula2>
    </dataValidation>
    <dataValidation type="textLength" errorStyle="information" allowBlank="1" showInputMessage="1" showErrorMessage="1" error="XLBVal:6=2818_x000d__x000a_" sqref="Q59:S59">
      <formula1>0</formula1>
      <formula2>300</formula2>
    </dataValidation>
    <dataValidation type="textLength" errorStyle="information" allowBlank="1" showInputMessage="1" showErrorMessage="1" error="XLBVal:6=336.28_x000d__x000a_" sqref="V58 R58:S58">
      <formula1>0</formula1>
      <formula2>300</formula2>
    </dataValidation>
    <dataValidation type="textLength" errorStyle="information" allowBlank="1" showInputMessage="1" showErrorMessage="1" error="XLBVal:6=407.3_x000d__x000a_" sqref="V56">
      <formula1>0</formula1>
      <formula2>300</formula2>
    </dataValidation>
    <dataValidation type="textLength" errorStyle="information" allowBlank="1" showInputMessage="1" showErrorMessage="1" error="XLBVal:6=1035_x000d__x000a_" sqref="T56">
      <formula1>0</formula1>
      <formula2>300</formula2>
    </dataValidation>
    <dataValidation type="textLength" errorStyle="information" allowBlank="1" showInputMessage="1" showErrorMessage="1" error="XLBVal:6=690.2_x000d__x000a_" sqref="R56">
      <formula1>0</formula1>
      <formula2>300</formula2>
    </dataValidation>
    <dataValidation type="textLength" errorStyle="information" allowBlank="1" showInputMessage="1" showErrorMessage="1" error="XLBVal:6=175_x000d__x000a_" sqref="T51">
      <formula1>0</formula1>
      <formula2>300</formula2>
    </dataValidation>
    <dataValidation type="textLength" errorStyle="information" allowBlank="1" showInputMessage="1" showErrorMessage="1" error="XLBVal:6=3227.63_x000d__x000a_" sqref="V49">
      <formula1>0</formula1>
      <formula2>300</formula2>
    </dataValidation>
    <dataValidation type="textLength" errorStyle="information" allowBlank="1" showInputMessage="1" showErrorMessage="1" error="XLBVal:6=3126.1_x000d__x000a_" sqref="U49">
      <formula1>0</formula1>
      <formula2>300</formula2>
    </dataValidation>
    <dataValidation type="textLength" errorStyle="information" allowBlank="1" showInputMessage="1" showErrorMessage="1" error="XLBVal:6=2382.37_x000d__x000a_" sqref="T49">
      <formula1>0</formula1>
      <formula2>300</formula2>
    </dataValidation>
    <dataValidation type="textLength" errorStyle="information" allowBlank="1" showInputMessage="1" showErrorMessage="1" error="XLBVal:6=4973.71_x000d__x000a_" sqref="S49">
      <formula1>0</formula1>
      <formula2>300</formula2>
    </dataValidation>
    <dataValidation type="textLength" errorStyle="information" allowBlank="1" showInputMessage="1" showErrorMessage="1" error="XLBVal:6=7582.99_x000d__x000a_" sqref="R49">
      <formula1>0</formula1>
      <formula2>300</formula2>
    </dataValidation>
    <dataValidation type="textLength" errorStyle="information" allowBlank="1" showInputMessage="1" showErrorMessage="1" error="XLBVal:6=6205.65_x000d__x000a_" sqref="Q49">
      <formula1>0</formula1>
      <formula2>300</formula2>
    </dataValidation>
    <dataValidation type="textLength" errorStyle="information" allowBlank="1" showInputMessage="1" showErrorMessage="1" error="XLBVal:6=107160.71_x000d__x000a_" sqref="V43">
      <formula1>0</formula1>
      <formula2>300</formula2>
    </dataValidation>
    <dataValidation type="textLength" errorStyle="information" allowBlank="1" showInputMessage="1" showErrorMessage="1" error="XLBVal:6=109536.14_x000d__x000a_" sqref="U43">
      <formula1>0</formula1>
      <formula2>300</formula2>
    </dataValidation>
    <dataValidation type="textLength" errorStyle="information" allowBlank="1" showInputMessage="1" showErrorMessage="1" error="XLBVal:6=86500.76_x000d__x000a_" sqref="T43">
      <formula1>0</formula1>
      <formula2>300</formula2>
    </dataValidation>
    <dataValidation type="textLength" errorStyle="information" allowBlank="1" showInputMessage="1" showErrorMessage="1" error="XLBVal:6=110993.1_x000d__x000a_" sqref="S43">
      <formula1>0</formula1>
      <formula2>300</formula2>
    </dataValidation>
    <dataValidation type="textLength" errorStyle="information" allowBlank="1" showInputMessage="1" showErrorMessage="1" error="XLBVal:6=171353.86_x000d__x000a_" sqref="R43">
      <formula1>0</formula1>
      <formula2>300</formula2>
    </dataValidation>
    <dataValidation type="textLength" errorStyle="information" allowBlank="1" showInputMessage="1" showErrorMessage="1" error="XLBVal:6=134465.19_x000d__x000a_" sqref="Q43">
      <formula1>0</formula1>
      <formula2>300</formula2>
    </dataValidation>
    <dataValidation type="textLength" errorStyle="information" allowBlank="1" showInputMessage="1" showErrorMessage="1" error="XLBVal:6=14483.83_x000d__x000a_" sqref="V38">
      <formula1>0</formula1>
      <formula2>300</formula2>
    </dataValidation>
    <dataValidation type="textLength" errorStyle="information" allowBlank="1" showInputMessage="1" showErrorMessage="1" error="XLBVal:6=12084.26_x000d__x000a_" sqref="U38">
      <formula1>0</formula1>
      <formula2>300</formula2>
    </dataValidation>
    <dataValidation type="textLength" errorStyle="information" allowBlank="1" showInputMessage="1" showErrorMessage="1" error="XLBVal:6=7267.06_x000d__x000a_" sqref="T38">
      <formula1>0</formula1>
      <formula2>300</formula2>
    </dataValidation>
    <dataValidation type="textLength" errorStyle="information" allowBlank="1" showInputMessage="1" showErrorMessage="1" error="XLBVal:6=11488.14_x000d__x000a_" sqref="S38">
      <formula1>0</formula1>
      <formula2>300</formula2>
    </dataValidation>
    <dataValidation type="textLength" errorStyle="information" allowBlank="1" showInputMessage="1" showErrorMessage="1" error="XLBVal:6=4906.61_x000d__x000a_" sqref="R38">
      <formula1>0</formula1>
      <formula2>300</formula2>
    </dataValidation>
    <dataValidation type="textLength" errorStyle="information" allowBlank="1" showInputMessage="1" showErrorMessage="1" error="XLBVal:6=10125.43_x000d__x000a_" sqref="Q38">
      <formula1>0</formula1>
      <formula2>300</formula2>
    </dataValidation>
    <dataValidation type="textLength" errorStyle="information" allowBlank="1" showInputMessage="1" showErrorMessage="1" error="XLBVal:6=684.27_x000d__x000a_" sqref="V31">
      <formula1>0</formula1>
      <formula2>300</formula2>
    </dataValidation>
    <dataValidation type="textLength" errorStyle="information" allowBlank="1" showInputMessage="1" showErrorMessage="1" error="XLBVal:6=1055.79_x000d__x000a_" sqref="U31">
      <formula1>0</formula1>
      <formula2>300</formula2>
    </dataValidation>
    <dataValidation type="textLength" errorStyle="information" allowBlank="1" showInputMessage="1" showErrorMessage="1" error="XLBVal:6=1456.67_x000d__x000a_" sqref="S31">
      <formula1>0</formula1>
      <formula2>300</formula2>
    </dataValidation>
    <dataValidation type="textLength" errorStyle="information" allowBlank="1" showInputMessage="1" showErrorMessage="1" error="XLBVal:6=12046.08_x000d__x000a_" sqref="R31">
      <formula1>0</formula1>
      <formula2>300</formula2>
    </dataValidation>
    <dataValidation type="textLength" errorStyle="information" allowBlank="1" showInputMessage="1" showErrorMessage="1" error="XLBVal:6=2333.52_x000d__x000a_" sqref="Q31">
      <formula1>0</formula1>
      <formula2>300</formula2>
    </dataValidation>
    <dataValidation type="textLength" errorStyle="information" allowBlank="1" showInputMessage="1" showErrorMessage="1" error="XLBVal:6=252344.06_x000d__x000a_" sqref="V30">
      <formula1>0</formula1>
      <formula2>300</formula2>
    </dataValidation>
    <dataValidation type="textLength" errorStyle="information" allowBlank="1" showInputMessage="1" showErrorMessage="1" error="XLBVal:6=281503.34_x000d__x000a_" sqref="U30">
      <formula1>0</formula1>
      <formula2>300</formula2>
    </dataValidation>
    <dataValidation type="textLength" errorStyle="information" allowBlank="1" showInputMessage="1" showErrorMessage="1" error="XLBVal:6=151697.24_x000d__x000a_" sqref="T30">
      <formula1>0</formula1>
      <formula2>300</formula2>
    </dataValidation>
    <dataValidation type="textLength" errorStyle="information" allowBlank="1" showInputMessage="1" showErrorMessage="1" error="XLBVal:6=294723.79_x000d__x000a_" sqref="S30">
      <formula1>0</formula1>
      <formula2>300</formula2>
    </dataValidation>
    <dataValidation type="textLength" errorStyle="information" allowBlank="1" showInputMessage="1" showErrorMessage="1" error="XLBVal:6=517096.13_x000d__x000a_" sqref="R30">
      <formula1>0</formula1>
      <formula2>300</formula2>
    </dataValidation>
    <dataValidation type="textLength" errorStyle="information" allowBlank="1" showInputMessage="1" showErrorMessage="1" error="XLBVal:6=370922.45_x000d__x000a_" sqref="Q30">
      <formula1>0</formula1>
      <formula2>300</formula2>
    </dataValidation>
    <dataValidation type="textLength" errorStyle="information" allowBlank="1" showInputMessage="1" showErrorMessage="1" error="XLBVal:6=17704.7_x000d__x000a_" sqref="V26">
      <formula1>0</formula1>
      <formula2>300</formula2>
    </dataValidation>
    <dataValidation type="textLength" errorStyle="information" allowBlank="1" showInputMessage="1" showErrorMessage="1" error="XLBVal:6=27720.6_x000d__x000a_" sqref="U26">
      <formula1>0</formula1>
      <formula2>300</formula2>
    </dataValidation>
    <dataValidation type="textLength" errorStyle="information" allowBlank="1" showInputMessage="1" showErrorMessage="1" error="XLBVal:6=12559.1_x000d__x000a_" sqref="T26">
      <formula1>0</formula1>
      <formula2>300</formula2>
    </dataValidation>
    <dataValidation type="textLength" errorStyle="information" allowBlank="1" showInputMessage="1" showErrorMessage="1" error="XLBVal:6=30419.5_x000d__x000a_" sqref="S26">
      <formula1>0</formula1>
      <formula2>300</formula2>
    </dataValidation>
    <dataValidation type="textLength" errorStyle="information" allowBlank="1" showInputMessage="1" showErrorMessage="1" error="XLBVal:6=128472.1_x000d__x000a_" sqref="R26">
      <formula1>0</formula1>
      <formula2>300</formula2>
    </dataValidation>
    <dataValidation type="textLength" errorStyle="information" allowBlank="1" showInputMessage="1" showErrorMessage="1" error="XLBVal:6=50743.7_x000d__x000a_" sqref="Q26">
      <formula1>0</formula1>
      <formula2>300</formula2>
    </dataValidation>
    <dataValidation type="textLength" errorStyle="information" allowBlank="1" showInputMessage="1" showErrorMessage="1" error="XLBVal:6=224.5_x000d__x000a_" sqref="U25">
      <formula1>0</formula1>
      <formula2>300</formula2>
    </dataValidation>
    <dataValidation type="textLength" errorStyle="information" allowBlank="1" showInputMessage="1" showErrorMessage="1" error="XLBVal:6=4413.28_x000d__x000a_" sqref="R25">
      <formula1>0</formula1>
      <formula2>300</formula2>
    </dataValidation>
    <dataValidation type="textLength" errorStyle="information" allowBlank="1" showInputMessage="1" showErrorMessage="1" error="XLBVal:6=2270.8_x000d__x000a_" sqref="V19">
      <formula1>0</formula1>
      <formula2>300</formula2>
    </dataValidation>
    <dataValidation type="textLength" errorStyle="information" allowBlank="1" showInputMessage="1" showErrorMessage="1" error="XLBVal:6=4322_x000d__x000a_" sqref="U19">
      <formula1>0</formula1>
      <formula2>300</formula2>
    </dataValidation>
    <dataValidation type="textLength" errorStyle="information" allowBlank="1" showInputMessage="1" showErrorMessage="1" error="XLBVal:6=2764_x000d__x000a_" sqref="T19">
      <formula1>0</formula1>
      <formula2>300</formula2>
    </dataValidation>
    <dataValidation type="textLength" errorStyle="information" allowBlank="1" showInputMessage="1" showErrorMessage="1" error="XLBVal:6=5166_x000d__x000a_" sqref="S19">
      <formula1>0</formula1>
      <formula2>300</formula2>
    </dataValidation>
    <dataValidation type="textLength" errorStyle="information" allowBlank="1" showInputMessage="1" showErrorMessage="1" error="XLBVal:6=39504.6_x000d__x000a_" sqref="R19">
      <formula1>0</formula1>
      <formula2>300</formula2>
    </dataValidation>
    <dataValidation type="textLength" errorStyle="information" allowBlank="1" showInputMessage="1" showErrorMessage="1" error="XLBVal:6=8650_x000d__x000a_" sqref="Q19">
      <formula1>0</formula1>
      <formula2>300</formula2>
    </dataValidation>
    <dataValidation type="textLength" errorStyle="information" allowBlank="1" showInputMessage="1" showErrorMessage="1" error="XLBVal:6=1281.8_x000d__x000a_" sqref="V18">
      <formula1>0</formula1>
      <formula2>300</formula2>
    </dataValidation>
    <dataValidation type="textLength" errorStyle="information" allowBlank="1" showInputMessage="1" showErrorMessage="1" error="XLBVal:6=1008.1_x000d__x000a_" sqref="U18">
      <formula1>0</formula1>
      <formula2>300</formula2>
    </dataValidation>
    <dataValidation type="textLength" errorStyle="information" allowBlank="1" showInputMessage="1" showErrorMessage="1" error="XLBVal:6=2330.9_x000d__x000a_" sqref="T18">
      <formula1>0</formula1>
      <formula2>300</formula2>
    </dataValidation>
    <dataValidation type="textLength" errorStyle="information" allowBlank="1" showInputMessage="1" showErrorMessage="1" error="XLBVal:6=5239.2_x000d__x000a_" sqref="R18">
      <formula1>0</formula1>
      <formula2>300</formula2>
    </dataValidation>
    <dataValidation type="textLength" errorStyle="information" allowBlank="1" showInputMessage="1" showErrorMessage="1" error="XLBVal:6=2142_x000d__x000a_" sqref="Q18">
      <formula1>0</formula1>
      <formula2>300</formula2>
    </dataValidation>
    <dataValidation type="textLength" errorStyle="information" allowBlank="1" showInputMessage="1" showErrorMessage="1" error="XLBVal:6=203281.8_x000d__x000a_" sqref="V11">
      <formula1>0</formula1>
      <formula2>300</formula2>
    </dataValidation>
    <dataValidation type="textLength" errorStyle="information" allowBlank="1" showInputMessage="1" showErrorMessage="1" error="XLBVal:6=274894.67_x000d__x000a_" sqref="U11">
      <formula1>0</formula1>
      <formula2>300</formula2>
    </dataValidation>
    <dataValidation type="textLength" errorStyle="information" allowBlank="1" showInputMessage="1" showErrorMessage="1" error="XLBVal:6=140508.52_x000d__x000a_" sqref="T11">
      <formula1>0</formula1>
      <formula2>300</formula2>
    </dataValidation>
    <dataValidation type="textLength" errorStyle="information" allowBlank="1" showInputMessage="1" showErrorMessage="1" error="XLBVal:6=296990.71_x000d__x000a_" sqref="S11">
      <formula1>0</formula1>
      <formula2>300</formula2>
    </dataValidation>
    <dataValidation type="textLength" errorStyle="information" allowBlank="1" showInputMessage="1" showErrorMessage="1" error="XLBVal:6=713136.4_x000d__x000a_" sqref="R11">
      <formula1>0</formula1>
      <formula2>300</formula2>
    </dataValidation>
    <dataValidation type="textLength" errorStyle="information" allowBlank="1" showInputMessage="1" showErrorMessage="1" error="XLBVal:6=431101.55_x000d__x000a_" sqref="Q11">
      <formula1>0</formula1>
      <formula2>300</formula2>
    </dataValidation>
    <dataValidation type="textLength" errorStyle="information" allowBlank="1" showInputMessage="1" showErrorMessage="1" error="XLBVal:6=173057.09_x000d__x000a_" sqref="V10">
      <formula1>0</formula1>
      <formula2>300</formula2>
    </dataValidation>
    <dataValidation type="textLength" errorStyle="information" allowBlank="1" showInputMessage="1" showErrorMessage="1" error="XLBVal:6=231874.8_x000d__x000a_" sqref="U10">
      <formula1>0</formula1>
      <formula2>300</formula2>
    </dataValidation>
    <dataValidation type="textLength" errorStyle="information" allowBlank="1" showInputMessage="1" showErrorMessage="1" error="XLBVal:6=144705.22_x000d__x000a_" sqref="T10">
      <formula1>0</formula1>
      <formula2>300</formula2>
    </dataValidation>
    <dataValidation type="textLength" errorStyle="information" allowBlank="1" showInputMessage="1" showErrorMessage="1" error="XLBVal:6=247180.64_x000d__x000a_" sqref="S10">
      <formula1>0</formula1>
      <formula2>300</formula2>
    </dataValidation>
    <dataValidation type="textLength" errorStyle="information" allowBlank="1" showInputMessage="1" showErrorMessage="1" error="XLBVal:6=399707.49_x000d__x000a_" sqref="Q10">
      <formula1>0</formula1>
      <formula2>300</formula2>
    </dataValidation>
    <dataValidation type="textLength" errorStyle="information" allowBlank="1" showInputMessage="1" showErrorMessage="1" error="XLBVal:6=513062.8_x000d__x000a_" sqref="V9">
      <formula1>0</formula1>
      <formula2>300</formula2>
    </dataValidation>
    <dataValidation type="textLength" errorStyle="information" allowBlank="1" showInputMessage="1" showErrorMessage="1" error="XLBVal:6=489572.4_x000d__x000a_" sqref="U9">
      <formula1>0</formula1>
      <formula2>300</formula2>
    </dataValidation>
    <dataValidation type="textLength" errorStyle="information" allowBlank="1" showInputMessage="1" showErrorMessage="1" error="XLBVal:6=259272.9_x000d__x000a_" sqref="T9">
      <formula1>0</formula1>
      <formula2>300</formula2>
    </dataValidation>
    <dataValidation type="textLength" errorStyle="information" allowBlank="1" showInputMessage="1" showErrorMessage="1" error="XLBVal:6=511018.2_x000d__x000a_" sqref="S9">
      <formula1>0</formula1>
      <formula2>300</formula2>
    </dataValidation>
    <dataValidation type="textLength" errorStyle="information" allowBlank="1" showInputMessage="1" showErrorMessage="1" error="XLBVal:6=493024.3_x000d__x000a_" sqref="R9">
      <formula1>0</formula1>
      <formula2>300</formula2>
    </dataValidation>
    <dataValidation type="textLength" errorStyle="information" allowBlank="1" showInputMessage="1" showErrorMessage="1" error="XLBVal:6=478937.5_x000d__x000a_" sqref="Q9">
      <formula1>0</formula1>
      <formula2>300</formula2>
    </dataValidation>
    <dataValidation type="textLength" errorStyle="information" allowBlank="1" showInputMessage="1" showErrorMessage="1" error="XLBVal:6=922.2_x000d__x000a_" sqref="U71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2=0_x000d__x000a_" sqref="Q44:V47 Q17:V17 S107 D88:H89 Q20:V21 I88 Q110:V110 G17:H17 D32:I32 Q124:V127 Q75:V77 Q62:V62 Q32 Q118:V118 D20:I21 D131:I132 D24:I24 D17:E17 D25:E25 Q12:AB13 Q24:V24 T50:V50 Y9:AA9 V60 Q88:V89 Q131:V132 Q121:V121 Q55:V55 Q60 S60:T60 Q73:V73 Q65:V70 Q57:V57 Q52:V53 Q48 Q39:V42 U59 U56 T58 T54:V54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AG161"/>
  <sheetViews>
    <sheetView view="pageBreakPreview" zoomScaleNormal="100" zoomScaleSheetLayoutView="100" workbookViewId="0">
      <pane xSplit="4" ySplit="7" topLeftCell="L74" activePane="bottomRight" state="frozen"/>
      <selection activeCell="AP43" sqref="AP43"/>
      <selection pane="topRight" activeCell="AP43" sqref="AP43"/>
      <selection pane="bottomLeft" activeCell="AP43" sqref="AP43"/>
      <selection pane="bottomRight" activeCell="P57" sqref="P57"/>
    </sheetView>
  </sheetViews>
  <sheetFormatPr defaultColWidth="9" defaultRowHeight="14.25" outlineLevelCol="2"/>
  <cols>
    <col min="1" max="2" width="9" style="105" hidden="1" customWidth="1" outlineLevel="1"/>
    <col min="3" max="3" width="47.125" style="105" customWidth="1" collapsed="1"/>
    <col min="4" max="15" width="14.5" style="72" bestFit="1" customWidth="1"/>
    <col min="16" max="16" width="18.25" style="127" bestFit="1" customWidth="1"/>
    <col min="17" max="17" width="14.5" style="72" hidden="1" customWidth="1" outlineLevel="1"/>
    <col min="18" max="18" width="14.25" style="72" hidden="1" customWidth="1" outlineLevel="1"/>
    <col min="19" max="23" width="12" style="72" hidden="1" customWidth="1" outlineLevel="1"/>
    <col min="24" max="28" width="12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382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381</v>
      </c>
      <c r="C9" s="105" t="s">
        <v>481</v>
      </c>
      <c r="D9" s="210">
        <f>ROUND(D85*D93,0)</f>
        <v>307650</v>
      </c>
      <c r="E9" s="210">
        <f t="shared" ref="E9:O9" si="0">ROUND(E85*E93,0)</f>
        <v>266630</v>
      </c>
      <c r="F9" s="210">
        <f t="shared" si="0"/>
        <v>235865</v>
      </c>
      <c r="G9" s="210">
        <f t="shared" si="0"/>
        <v>205100</v>
      </c>
      <c r="H9" s="210">
        <f t="shared" si="0"/>
        <v>205100</v>
      </c>
      <c r="I9" s="210">
        <f t="shared" si="0"/>
        <v>194845</v>
      </c>
      <c r="J9" s="210">
        <f t="shared" si="0"/>
        <v>246120</v>
      </c>
      <c r="K9" s="210">
        <f t="shared" si="0"/>
        <v>276885</v>
      </c>
      <c r="L9" s="210">
        <f t="shared" si="0"/>
        <v>202000</v>
      </c>
      <c r="M9" s="210">
        <f t="shared" si="0"/>
        <v>223969</v>
      </c>
      <c r="N9" s="210">
        <f t="shared" si="0"/>
        <v>200895</v>
      </c>
      <c r="O9" s="210">
        <f t="shared" si="0"/>
        <v>217611</v>
      </c>
      <c r="P9" s="127">
        <f>SUM(D9:O9)</f>
        <v>2782670</v>
      </c>
      <c r="Q9" s="72">
        <v>346003.20000000001</v>
      </c>
      <c r="R9" s="72">
        <v>371731.8</v>
      </c>
      <c r="S9" s="72">
        <v>344749.7</v>
      </c>
      <c r="T9" s="72">
        <v>345529.8</v>
      </c>
      <c r="U9" s="72">
        <v>307505.2</v>
      </c>
      <c r="V9" s="72">
        <v>298294.8</v>
      </c>
      <c r="W9" s="72">
        <v>352872.7</v>
      </c>
      <c r="X9" s="72">
        <v>369084.36</v>
      </c>
      <c r="Y9" s="72">
        <v>242400</v>
      </c>
      <c r="Z9" s="72">
        <v>256375</v>
      </c>
      <c r="AA9" s="72">
        <v>256375</v>
      </c>
      <c r="AB9" s="72">
        <v>256375</v>
      </c>
      <c r="AC9" s="127">
        <f>SUM(Q9:AB9)</f>
        <v>3747296.56</v>
      </c>
      <c r="AD9" s="72">
        <f t="shared" ref="AD9:AD14" si="1">P9-AC9</f>
        <v>-964626.56</v>
      </c>
      <c r="AE9" s="192">
        <f t="shared" ref="AE9:AE14" si="2">AD9/AC9</f>
        <v>-0.25741932738838263</v>
      </c>
      <c r="AF9" s="129">
        <v>2402982.79</v>
      </c>
      <c r="AG9" s="124">
        <f t="shared" ref="AG9:AG27" si="3">P9-AF9</f>
        <v>379687.20999999996</v>
      </c>
    </row>
    <row r="10" spans="1:33">
      <c r="A10" s="105" t="s">
        <v>482</v>
      </c>
      <c r="B10" s="105" t="s">
        <v>381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27">
        <f>SUM(D10:O10)</f>
        <v>0</v>
      </c>
      <c r="Q10" s="72">
        <v>3565.83</v>
      </c>
      <c r="R10" s="72">
        <v>51526.01</v>
      </c>
      <c r="S10" s="72">
        <v>4631.74</v>
      </c>
      <c r="T10" s="72">
        <v>12940.62</v>
      </c>
      <c r="U10" s="72">
        <v>10124.92</v>
      </c>
      <c r="V10" s="72">
        <v>2583.8000000000002</v>
      </c>
      <c r="W10" s="72">
        <v>16899.509999999998</v>
      </c>
      <c r="X10" s="72">
        <v>33157.699999999997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135430.13</v>
      </c>
      <c r="AD10" s="72">
        <f t="shared" si="1"/>
        <v>-135430.13</v>
      </c>
      <c r="AE10" s="192">
        <f t="shared" si="2"/>
        <v>-1</v>
      </c>
      <c r="AF10" s="129">
        <v>1130951.5</v>
      </c>
      <c r="AG10" s="124">
        <f t="shared" si="3"/>
        <v>-1130951.5</v>
      </c>
    </row>
    <row r="11" spans="1:33">
      <c r="A11" s="105" t="s">
        <v>484</v>
      </c>
      <c r="B11" s="105" t="s">
        <v>381</v>
      </c>
      <c r="C11" s="105" t="s">
        <v>485</v>
      </c>
      <c r="D11" s="210">
        <f t="shared" si="4"/>
        <v>495000</v>
      </c>
      <c r="E11" s="210">
        <f t="shared" si="4"/>
        <v>408000</v>
      </c>
      <c r="F11" s="210">
        <f t="shared" si="4"/>
        <v>319000</v>
      </c>
      <c r="G11" s="210">
        <f t="shared" si="4"/>
        <v>319000</v>
      </c>
      <c r="H11" s="210">
        <f t="shared" si="4"/>
        <v>319000</v>
      </c>
      <c r="I11" s="210">
        <f t="shared" si="4"/>
        <v>280000</v>
      </c>
      <c r="J11" s="210">
        <f t="shared" si="4"/>
        <v>330000</v>
      </c>
      <c r="K11" s="210">
        <f t="shared" si="4"/>
        <v>390000</v>
      </c>
      <c r="L11" s="210">
        <f t="shared" si="4"/>
        <v>280000</v>
      </c>
      <c r="M11" s="210">
        <f t="shared" si="4"/>
        <v>319000</v>
      </c>
      <c r="N11" s="210">
        <f t="shared" si="4"/>
        <v>330000</v>
      </c>
      <c r="O11" s="210">
        <f t="shared" si="4"/>
        <v>360000</v>
      </c>
      <c r="P11" s="127">
        <f>SUM(D11:O11)</f>
        <v>4149000</v>
      </c>
      <c r="Q11" s="72">
        <v>322102.02</v>
      </c>
      <c r="R11" s="72">
        <v>505150.51</v>
      </c>
      <c r="S11" s="72">
        <v>329820.79999999999</v>
      </c>
      <c r="T11" s="72">
        <v>299883.5</v>
      </c>
      <c r="U11" s="72">
        <v>247620.11</v>
      </c>
      <c r="V11" s="72">
        <v>157818.71</v>
      </c>
      <c r="W11" s="72">
        <v>269357.76</v>
      </c>
      <c r="X11" s="72">
        <v>235650.25</v>
      </c>
      <c r="Y11" s="72">
        <v>231000</v>
      </c>
      <c r="Z11" s="72">
        <v>224000</v>
      </c>
      <c r="AA11" s="72">
        <v>224000</v>
      </c>
      <c r="AB11" s="72">
        <v>224000</v>
      </c>
      <c r="AC11" s="127">
        <f>SUM(Q11:AB11)</f>
        <v>3270403.66</v>
      </c>
      <c r="AD11" s="72">
        <f t="shared" si="1"/>
        <v>878596.33999999985</v>
      </c>
      <c r="AE11" s="192">
        <f t="shared" si="2"/>
        <v>0.26865073285785152</v>
      </c>
      <c r="AF11" s="129">
        <v>2613848.9500000002</v>
      </c>
      <c r="AG11" s="124">
        <f t="shared" si="3"/>
        <v>1535151.0499999998</v>
      </c>
    </row>
    <row r="12" spans="1:33">
      <c r="A12" s="105" t="s">
        <v>486</v>
      </c>
      <c r="B12" s="105" t="s">
        <v>381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7">
        <f>SUM(D12:O12)</f>
        <v>0</v>
      </c>
      <c r="Q12" s="72">
        <v>9942.6</v>
      </c>
      <c r="R12" s="72">
        <v>38440.300000000003</v>
      </c>
      <c r="S12" s="72">
        <v>4509</v>
      </c>
      <c r="T12" s="72">
        <v>3144.9</v>
      </c>
      <c r="U12" s="72">
        <v>1986.5</v>
      </c>
      <c r="V12" s="72">
        <v>72</v>
      </c>
      <c r="W12" s="72">
        <v>2897.5</v>
      </c>
      <c r="X12" s="72">
        <v>6173.2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67166</v>
      </c>
      <c r="AD12" s="72">
        <f t="shared" si="1"/>
        <v>-67166</v>
      </c>
      <c r="AE12" s="192">
        <f t="shared" si="2"/>
        <v>-1</v>
      </c>
      <c r="AF12" s="129">
        <v>253809.01</v>
      </c>
      <c r="AG12" s="124">
        <f t="shared" si="3"/>
        <v>-253809.01</v>
      </c>
    </row>
    <row r="13" spans="1:33">
      <c r="A13" s="105" t="s">
        <v>488</v>
      </c>
      <c r="B13" s="105" t="s">
        <v>381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802650</v>
      </c>
      <c r="E14" s="127">
        <f t="shared" si="5"/>
        <v>674630</v>
      </c>
      <c r="F14" s="127">
        <f t="shared" si="5"/>
        <v>554865</v>
      </c>
      <c r="G14" s="127">
        <f t="shared" si="5"/>
        <v>524100</v>
      </c>
      <c r="H14" s="127">
        <f t="shared" si="5"/>
        <v>524100</v>
      </c>
      <c r="I14" s="127">
        <f t="shared" si="5"/>
        <v>474845</v>
      </c>
      <c r="J14" s="127">
        <f t="shared" si="5"/>
        <v>576120</v>
      </c>
      <c r="K14" s="127">
        <f t="shared" si="5"/>
        <v>666885</v>
      </c>
      <c r="L14" s="127">
        <f t="shared" si="5"/>
        <v>482000</v>
      </c>
      <c r="M14" s="127">
        <f t="shared" si="5"/>
        <v>542969</v>
      </c>
      <c r="N14" s="127">
        <f t="shared" si="5"/>
        <v>530895</v>
      </c>
      <c r="O14" s="127">
        <f t="shared" si="5"/>
        <v>577611</v>
      </c>
      <c r="P14" s="127">
        <f t="shared" si="5"/>
        <v>6931670</v>
      </c>
      <c r="Q14" s="127">
        <f t="shared" si="5"/>
        <v>681613.65</v>
      </c>
      <c r="R14" s="127">
        <f t="shared" si="5"/>
        <v>966848.62000000011</v>
      </c>
      <c r="S14" s="127">
        <f t="shared" si="5"/>
        <v>683711.24</v>
      </c>
      <c r="T14" s="127">
        <f t="shared" si="5"/>
        <v>661498.81999999995</v>
      </c>
      <c r="U14" s="127">
        <f t="shared" si="5"/>
        <v>567236.73</v>
      </c>
      <c r="V14" s="127">
        <f t="shared" si="5"/>
        <v>458769.30999999994</v>
      </c>
      <c r="W14" s="127">
        <f t="shared" si="5"/>
        <v>642027.47</v>
      </c>
      <c r="X14" s="127">
        <f t="shared" si="5"/>
        <v>644065.51</v>
      </c>
      <c r="Y14" s="127">
        <f t="shared" si="5"/>
        <v>473400</v>
      </c>
      <c r="Z14" s="127">
        <f t="shared" si="5"/>
        <v>480375</v>
      </c>
      <c r="AA14" s="127">
        <f t="shared" si="5"/>
        <v>480375</v>
      </c>
      <c r="AB14" s="127">
        <f t="shared" si="5"/>
        <v>480375</v>
      </c>
      <c r="AC14" s="127">
        <f t="shared" si="5"/>
        <v>7220296.3499999996</v>
      </c>
      <c r="AD14" s="72">
        <f t="shared" si="1"/>
        <v>-288626.34999999963</v>
      </c>
      <c r="AE14" s="192">
        <f t="shared" si="2"/>
        <v>-3.9974307979754826E-2</v>
      </c>
      <c r="AF14" s="129">
        <v>6401592.25</v>
      </c>
      <c r="AG14" s="124">
        <f t="shared" si="3"/>
        <v>530077.75</v>
      </c>
    </row>
    <row r="15" spans="1:33">
      <c r="C15" s="105" t="s">
        <v>154</v>
      </c>
      <c r="AF15" s="129"/>
      <c r="AG15" s="124">
        <f t="shared" si="3"/>
        <v>0</v>
      </c>
    </row>
    <row r="16" spans="1:33">
      <c r="C16" s="105" t="s">
        <v>491</v>
      </c>
      <c r="AF16" s="129"/>
      <c r="AG16" s="124">
        <f t="shared" si="3"/>
        <v>0</v>
      </c>
    </row>
    <row r="17" spans="1:33">
      <c r="A17" s="105" t="s">
        <v>492</v>
      </c>
      <c r="B17" s="105" t="s">
        <v>381</v>
      </c>
      <c r="C17" s="105" t="s">
        <v>481</v>
      </c>
      <c r="P17" s="12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-223.4</v>
      </c>
      <c r="AG17" s="124">
        <f t="shared" si="3"/>
        <v>223.4</v>
      </c>
    </row>
    <row r="18" spans="1:33">
      <c r="A18" s="105" t="s">
        <v>493</v>
      </c>
      <c r="B18" s="105" t="s">
        <v>381</v>
      </c>
      <c r="C18" s="105" t="s">
        <v>483</v>
      </c>
      <c r="P18" s="127">
        <f>SUM(D18:O18)</f>
        <v>0</v>
      </c>
      <c r="Q18" s="72">
        <v>0</v>
      </c>
      <c r="R18" s="72">
        <v>1479.4</v>
      </c>
      <c r="S18" s="72">
        <v>0</v>
      </c>
      <c r="T18" s="72">
        <v>122</v>
      </c>
      <c r="U18" s="72">
        <v>28</v>
      </c>
      <c r="V18" s="72">
        <v>0</v>
      </c>
      <c r="W18" s="72">
        <v>163</v>
      </c>
      <c r="X18" s="72">
        <v>612.5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2404.9</v>
      </c>
      <c r="AD18" s="72">
        <f t="shared" si="6"/>
        <v>-2404.9</v>
      </c>
      <c r="AE18" s="192">
        <f t="shared" si="7"/>
        <v>-1</v>
      </c>
      <c r="AF18" s="129">
        <v>23828.6</v>
      </c>
      <c r="AG18" s="124">
        <f t="shared" si="3"/>
        <v>-23828.6</v>
      </c>
    </row>
    <row r="19" spans="1:33">
      <c r="A19" s="105" t="s">
        <v>494</v>
      </c>
      <c r="B19" s="105" t="s">
        <v>381</v>
      </c>
      <c r="C19" s="105" t="s">
        <v>485</v>
      </c>
      <c r="D19" s="72">
        <v>16000</v>
      </c>
      <c r="E19" s="72">
        <v>20000</v>
      </c>
      <c r="F19" s="72">
        <v>17000</v>
      </c>
      <c r="G19" s="72">
        <v>16000</v>
      </c>
      <c r="H19" s="72">
        <v>16000</v>
      </c>
      <c r="I19" s="72">
        <v>15000</v>
      </c>
      <c r="J19" s="72">
        <v>16000</v>
      </c>
      <c r="K19" s="72">
        <v>16000</v>
      </c>
      <c r="L19" s="72">
        <v>16000</v>
      </c>
      <c r="M19" s="72">
        <v>18000</v>
      </c>
      <c r="N19" s="72">
        <v>17000</v>
      </c>
      <c r="O19" s="72">
        <v>17661</v>
      </c>
      <c r="P19" s="127">
        <f>SUM(D19:O19)</f>
        <v>200661</v>
      </c>
      <c r="Q19" s="72">
        <v>14045.7</v>
      </c>
      <c r="R19" s="72">
        <v>40605.199999999997</v>
      </c>
      <c r="S19" s="72">
        <v>14398.8</v>
      </c>
      <c r="T19" s="72">
        <v>15572</v>
      </c>
      <c r="U19" s="72">
        <v>7108.5</v>
      </c>
      <c r="V19" s="72">
        <v>7089.3</v>
      </c>
      <c r="W19" s="72">
        <v>8174.9</v>
      </c>
      <c r="X19" s="72">
        <v>11726.5</v>
      </c>
      <c r="Y19" s="72">
        <v>6397</v>
      </c>
      <c r="Z19" s="72">
        <v>18000</v>
      </c>
      <c r="AA19" s="72">
        <v>17000</v>
      </c>
      <c r="AB19" s="72">
        <v>17661</v>
      </c>
      <c r="AC19" s="127">
        <f>SUM(Q19:AB19)</f>
        <v>177778.9</v>
      </c>
      <c r="AD19" s="72">
        <f t="shared" si="6"/>
        <v>22882.100000000006</v>
      </c>
      <c r="AE19" s="192">
        <f t="shared" si="7"/>
        <v>0.12871100001181246</v>
      </c>
      <c r="AF19" s="129">
        <v>247242.87</v>
      </c>
      <c r="AG19" s="124">
        <f t="shared" si="3"/>
        <v>-46581.869999999995</v>
      </c>
    </row>
    <row r="20" spans="1:33">
      <c r="A20" s="105" t="s">
        <v>495</v>
      </c>
      <c r="B20" s="105" t="s">
        <v>381</v>
      </c>
      <c r="C20" s="105" t="s">
        <v>487</v>
      </c>
      <c r="P20" s="127">
        <f>SUM(D20:O20)</f>
        <v>0</v>
      </c>
      <c r="Q20" s="72">
        <v>28</v>
      </c>
      <c r="R20" s="72">
        <v>1584.1</v>
      </c>
      <c r="S20" s="72">
        <v>38</v>
      </c>
      <c r="T20" s="72">
        <v>0</v>
      </c>
      <c r="U20" s="72">
        <v>140</v>
      </c>
      <c r="V20" s="72">
        <v>0</v>
      </c>
      <c r="W20" s="72">
        <v>1181.9000000000001</v>
      </c>
      <c r="X20" s="72">
        <v>313.8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3285.8</v>
      </c>
      <c r="AD20" s="72">
        <f t="shared" si="6"/>
        <v>-3285.8</v>
      </c>
      <c r="AE20" s="192">
        <f t="shared" si="7"/>
        <v>-1</v>
      </c>
      <c r="AF20" s="129">
        <v>2157.3000000000002</v>
      </c>
      <c r="AG20" s="124">
        <f t="shared" si="3"/>
        <v>-2157.3000000000002</v>
      </c>
    </row>
    <row r="21" spans="1:33">
      <c r="A21" s="105" t="s">
        <v>497</v>
      </c>
      <c r="B21" s="105" t="s">
        <v>381</v>
      </c>
      <c r="C21" s="105" t="s">
        <v>489</v>
      </c>
      <c r="P21" s="12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200</v>
      </c>
      <c r="AG21" s="124">
        <f t="shared" si="3"/>
        <v>-200</v>
      </c>
    </row>
    <row r="22" spans="1:33">
      <c r="C22" s="109" t="s">
        <v>498</v>
      </c>
      <c r="D22" s="127">
        <f t="shared" ref="D22:O22" si="8">SUM(D17:D21)</f>
        <v>16000</v>
      </c>
      <c r="E22" s="127">
        <f t="shared" si="8"/>
        <v>20000</v>
      </c>
      <c r="F22" s="127">
        <f t="shared" si="8"/>
        <v>17000</v>
      </c>
      <c r="G22" s="127">
        <f t="shared" si="8"/>
        <v>16000</v>
      </c>
      <c r="H22" s="127">
        <f t="shared" si="8"/>
        <v>16000</v>
      </c>
      <c r="I22" s="127">
        <f t="shared" si="8"/>
        <v>15000</v>
      </c>
      <c r="J22" s="127">
        <f t="shared" si="8"/>
        <v>16000</v>
      </c>
      <c r="K22" s="127">
        <f t="shared" si="8"/>
        <v>16000</v>
      </c>
      <c r="L22" s="127">
        <f t="shared" si="8"/>
        <v>16000</v>
      </c>
      <c r="M22" s="127">
        <f t="shared" si="8"/>
        <v>18000</v>
      </c>
      <c r="N22" s="127">
        <f t="shared" si="8"/>
        <v>17000</v>
      </c>
      <c r="O22" s="127">
        <f t="shared" si="8"/>
        <v>17661</v>
      </c>
      <c r="P22" s="127">
        <f>SUM(P17:P21)</f>
        <v>200661</v>
      </c>
      <c r="Q22" s="127">
        <f t="shared" ref="Q22:AC22" si="9">SUM(Q17:Q21)</f>
        <v>14073.7</v>
      </c>
      <c r="R22" s="127">
        <f t="shared" si="9"/>
        <v>43668.7</v>
      </c>
      <c r="S22" s="127">
        <f t="shared" si="9"/>
        <v>14436.8</v>
      </c>
      <c r="T22" s="127">
        <f t="shared" si="9"/>
        <v>15694</v>
      </c>
      <c r="U22" s="127">
        <f t="shared" si="9"/>
        <v>7276.5</v>
      </c>
      <c r="V22" s="127">
        <f t="shared" si="9"/>
        <v>7089.3</v>
      </c>
      <c r="W22" s="127">
        <f t="shared" si="9"/>
        <v>9519.7999999999993</v>
      </c>
      <c r="X22" s="127">
        <f t="shared" si="9"/>
        <v>12652.8</v>
      </c>
      <c r="Y22" s="127">
        <f t="shared" si="9"/>
        <v>6397</v>
      </c>
      <c r="Z22" s="127">
        <f t="shared" si="9"/>
        <v>18000</v>
      </c>
      <c r="AA22" s="127">
        <f t="shared" si="9"/>
        <v>17000</v>
      </c>
      <c r="AB22" s="127">
        <f t="shared" si="9"/>
        <v>17661</v>
      </c>
      <c r="AC22" s="127">
        <f t="shared" si="9"/>
        <v>183469.59999999998</v>
      </c>
      <c r="AD22" s="72">
        <f t="shared" si="6"/>
        <v>17191.400000000023</v>
      </c>
      <c r="AE22" s="192">
        <f t="shared" si="7"/>
        <v>9.3701626863524123E-2</v>
      </c>
      <c r="AF22" s="129">
        <v>273205.37</v>
      </c>
      <c r="AG22" s="124">
        <f t="shared" si="3"/>
        <v>-72544.37</v>
      </c>
    </row>
    <row r="23" spans="1:33">
      <c r="C23" s="105" t="s">
        <v>154</v>
      </c>
      <c r="AF23" s="129"/>
      <c r="AG23" s="124">
        <f t="shared" si="3"/>
        <v>0</v>
      </c>
    </row>
    <row r="24" spans="1:33">
      <c r="A24" s="105" t="s">
        <v>406</v>
      </c>
      <c r="B24" s="105" t="s">
        <v>381</v>
      </c>
      <c r="C24" s="105" t="s">
        <v>408</v>
      </c>
      <c r="J24" s="123"/>
      <c r="K24" s="123"/>
      <c r="L24" s="123"/>
      <c r="M24" s="123"/>
      <c r="N24" s="123"/>
      <c r="O24" s="123"/>
      <c r="P24" s="12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381</v>
      </c>
      <c r="C25" s="105" t="s">
        <v>499</v>
      </c>
      <c r="P25" s="12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</row>
    <row r="26" spans="1:33">
      <c r="A26" s="105" t="s">
        <v>169</v>
      </c>
      <c r="B26" s="105" t="s">
        <v>381</v>
      </c>
      <c r="C26" s="105" t="s">
        <v>170</v>
      </c>
      <c r="D26" s="72">
        <f>ROUND(D11*0.035,0)</f>
        <v>17325</v>
      </c>
      <c r="E26" s="72">
        <f t="shared" ref="E26:N26" si="10">ROUND(E11*0.03,0)</f>
        <v>12240</v>
      </c>
      <c r="F26" s="72">
        <f t="shared" si="10"/>
        <v>9570</v>
      </c>
      <c r="G26" s="72">
        <f t="shared" si="10"/>
        <v>9570</v>
      </c>
      <c r="H26" s="72">
        <f t="shared" si="10"/>
        <v>9570</v>
      </c>
      <c r="I26" s="72">
        <f t="shared" si="10"/>
        <v>8400</v>
      </c>
      <c r="J26" s="72">
        <f t="shared" si="10"/>
        <v>9900</v>
      </c>
      <c r="K26" s="72">
        <f t="shared" si="10"/>
        <v>11700</v>
      </c>
      <c r="L26" s="72">
        <f t="shared" si="10"/>
        <v>8400</v>
      </c>
      <c r="M26" s="72">
        <f t="shared" si="10"/>
        <v>9570</v>
      </c>
      <c r="N26" s="72">
        <f t="shared" si="10"/>
        <v>9900</v>
      </c>
      <c r="O26" s="72">
        <f>ROUND(O11*0.03,0)</f>
        <v>10800</v>
      </c>
      <c r="P26" s="127">
        <f>SUM(D26:O26)</f>
        <v>126945</v>
      </c>
      <c r="Q26" s="72">
        <v>8043.4</v>
      </c>
      <c r="R26" s="72">
        <v>42378.41</v>
      </c>
      <c r="S26" s="72">
        <v>9855.9</v>
      </c>
      <c r="T26" s="72">
        <v>7516.3</v>
      </c>
      <c r="U26" s="72">
        <v>5452.1</v>
      </c>
      <c r="V26" s="72">
        <v>5501.5</v>
      </c>
      <c r="W26" s="72">
        <v>9288</v>
      </c>
      <c r="X26" s="72">
        <v>15868.58</v>
      </c>
      <c r="Y26" s="72">
        <v>6930</v>
      </c>
      <c r="Z26" s="72">
        <v>6720</v>
      </c>
      <c r="AA26" s="72">
        <v>6720</v>
      </c>
      <c r="AB26" s="72">
        <v>6720</v>
      </c>
      <c r="AC26" s="127">
        <f>SUM(Q26:AB26)</f>
        <v>130994.19000000002</v>
      </c>
      <c r="AD26" s="72">
        <f>P26-AC26</f>
        <v>-4049.1900000000169</v>
      </c>
      <c r="AE26" s="192">
        <f>AD26/AC26</f>
        <v>-3.0911218276169473E-2</v>
      </c>
      <c r="AF26" s="129">
        <v>196498.48</v>
      </c>
      <c r="AG26" s="124">
        <f t="shared" si="3"/>
        <v>-69553.48000000001</v>
      </c>
    </row>
    <row r="27" spans="1:33">
      <c r="C27" s="109" t="s">
        <v>500</v>
      </c>
      <c r="D27" s="127">
        <f t="shared" ref="D27:P27" si="11">SUM(D24:D26)+D14+D22</f>
        <v>835975</v>
      </c>
      <c r="E27" s="127">
        <f t="shared" si="11"/>
        <v>706870</v>
      </c>
      <c r="F27" s="127">
        <f t="shared" si="11"/>
        <v>581435</v>
      </c>
      <c r="G27" s="127">
        <f t="shared" si="11"/>
        <v>549670</v>
      </c>
      <c r="H27" s="127">
        <f t="shared" si="11"/>
        <v>549670</v>
      </c>
      <c r="I27" s="127">
        <f t="shared" si="11"/>
        <v>498245</v>
      </c>
      <c r="J27" s="127">
        <f t="shared" si="11"/>
        <v>602020</v>
      </c>
      <c r="K27" s="127">
        <f t="shared" si="11"/>
        <v>694585</v>
      </c>
      <c r="L27" s="127">
        <f t="shared" si="11"/>
        <v>506400</v>
      </c>
      <c r="M27" s="127">
        <f t="shared" si="11"/>
        <v>570539</v>
      </c>
      <c r="N27" s="127">
        <f t="shared" si="11"/>
        <v>557795</v>
      </c>
      <c r="O27" s="127">
        <f t="shared" si="11"/>
        <v>606072</v>
      </c>
      <c r="P27" s="127">
        <f t="shared" si="11"/>
        <v>7259276</v>
      </c>
      <c r="Q27" s="127">
        <f t="shared" ref="Q27:V27" si="12">SUM(Q24:Q26)+Q14+Q22</f>
        <v>703730.75</v>
      </c>
      <c r="R27" s="127">
        <f t="shared" si="12"/>
        <v>1052895.7300000002</v>
      </c>
      <c r="S27" s="127">
        <f t="shared" si="12"/>
        <v>708003.94000000006</v>
      </c>
      <c r="T27" s="127">
        <f t="shared" si="12"/>
        <v>684709.12</v>
      </c>
      <c r="U27" s="127">
        <f t="shared" si="12"/>
        <v>579965.32999999996</v>
      </c>
      <c r="V27" s="127">
        <f t="shared" si="12"/>
        <v>471360.10999999993</v>
      </c>
      <c r="W27" s="127">
        <f t="shared" ref="W27:AC27" si="13">SUM(W24:W26)+W14+W22</f>
        <v>660835.27</v>
      </c>
      <c r="X27" s="127">
        <f t="shared" si="13"/>
        <v>672586.89</v>
      </c>
      <c r="Y27" s="127">
        <f t="shared" si="13"/>
        <v>486727</v>
      </c>
      <c r="Z27" s="127">
        <f t="shared" si="13"/>
        <v>505095</v>
      </c>
      <c r="AA27" s="127">
        <f t="shared" si="13"/>
        <v>504095</v>
      </c>
      <c r="AB27" s="127">
        <f t="shared" si="13"/>
        <v>504756</v>
      </c>
      <c r="AC27" s="127">
        <f t="shared" si="13"/>
        <v>7534760.1399999997</v>
      </c>
      <c r="AD27" s="72">
        <f>P27-AC27</f>
        <v>-275484.13999999966</v>
      </c>
      <c r="AE27" s="192">
        <f>AD27/AC27</f>
        <v>-3.6561766384244805E-2</v>
      </c>
      <c r="AF27" s="129">
        <v>6871296.1000000006</v>
      </c>
      <c r="AG27" s="124">
        <f t="shared" si="3"/>
        <v>387979.89999999944</v>
      </c>
    </row>
    <row r="28" spans="1:33">
      <c r="C28" s="105" t="s">
        <v>154</v>
      </c>
      <c r="AF28" s="129"/>
    </row>
    <row r="29" spans="1:33">
      <c r="C29" s="105" t="s">
        <v>414</v>
      </c>
      <c r="D29" s="211">
        <f t="shared" ref="D29:O29" si="14">D30/D14</f>
        <v>0.41099981311904316</v>
      </c>
      <c r="E29" s="211">
        <f t="shared" si="14"/>
        <v>0.41200065220935922</v>
      </c>
      <c r="F29" s="211">
        <f t="shared" si="14"/>
        <v>0.39400034242563509</v>
      </c>
      <c r="G29" s="211">
        <f t="shared" si="14"/>
        <v>0.4</v>
      </c>
      <c r="H29" s="211">
        <f t="shared" si="14"/>
        <v>0.41</v>
      </c>
      <c r="I29" s="211">
        <f t="shared" si="14"/>
        <v>0.41500068443386789</v>
      </c>
      <c r="J29" s="211">
        <f t="shared" si="14"/>
        <v>0.40999965285010065</v>
      </c>
      <c r="K29" s="211">
        <f t="shared" si="14"/>
        <v>0.41000022492633664</v>
      </c>
      <c r="L29" s="211">
        <f t="shared" si="14"/>
        <v>0.41499999999999998</v>
      </c>
      <c r="M29" s="211">
        <f t="shared" si="14"/>
        <v>0.40999946589952652</v>
      </c>
      <c r="N29" s="211">
        <f t="shared" si="14"/>
        <v>0.41000009418058186</v>
      </c>
      <c r="O29" s="211">
        <f t="shared" si="14"/>
        <v>0.41000084832179445</v>
      </c>
      <c r="P29" s="211">
        <f>P30/P14</f>
        <v>0.4089639293272761</v>
      </c>
      <c r="AC29" s="211">
        <f>AC30/AC14</f>
        <v>0.41303960743938167</v>
      </c>
      <c r="AF29" s="129">
        <v>0.38209622301389162</v>
      </c>
    </row>
    <row r="30" spans="1:33">
      <c r="A30" s="105" t="s">
        <v>415</v>
      </c>
      <c r="B30" s="105" t="s">
        <v>381</v>
      </c>
      <c r="C30" s="105" t="s">
        <v>416</v>
      </c>
      <c r="D30" s="72">
        <f>ROUND(D14*0.411,0)</f>
        <v>329889</v>
      </c>
      <c r="E30" s="72">
        <f>ROUND(E14*0.412,0)</f>
        <v>277948</v>
      </c>
      <c r="F30" s="72">
        <f>ROUND(F14*0.394,0)</f>
        <v>218617</v>
      </c>
      <c r="G30" s="72">
        <f>ROUND(G14*0.4,0)</f>
        <v>209640</v>
      </c>
      <c r="H30" s="72">
        <f>ROUND(H14*0.41,0)</f>
        <v>214881</v>
      </c>
      <c r="I30" s="72">
        <f>ROUND(I14*0.415,0)</f>
        <v>197061</v>
      </c>
      <c r="J30" s="72">
        <f>ROUND(J14*0.41,0)</f>
        <v>236209</v>
      </c>
      <c r="K30" s="72">
        <f>ROUND(K14*0.41,0)</f>
        <v>273423</v>
      </c>
      <c r="L30" s="72">
        <f>ROUND(L14*0.415,0)</f>
        <v>200030</v>
      </c>
      <c r="M30" s="72">
        <f>ROUND(M14*0.41,0)</f>
        <v>222617</v>
      </c>
      <c r="N30" s="72">
        <f>ROUND(N14*0.41,0)</f>
        <v>217667</v>
      </c>
      <c r="O30" s="72">
        <f>ROUND(O14*0.41,0)</f>
        <v>236821</v>
      </c>
      <c r="P30" s="127">
        <f>SUM(D30:O30)</f>
        <v>2834803</v>
      </c>
      <c r="Q30" s="72">
        <v>280097.95</v>
      </c>
      <c r="R30" s="72">
        <v>408340.93</v>
      </c>
      <c r="S30" s="72">
        <v>269229.67</v>
      </c>
      <c r="T30" s="72">
        <v>264557.51</v>
      </c>
      <c r="U30" s="72">
        <v>232487.49</v>
      </c>
      <c r="V30" s="72">
        <v>198645.3</v>
      </c>
      <c r="W30" s="72">
        <v>276720.46999999997</v>
      </c>
      <c r="X30" s="72">
        <v>276911.05</v>
      </c>
      <c r="Y30" s="72">
        <v>198828</v>
      </c>
      <c r="Z30" s="72">
        <v>192150</v>
      </c>
      <c r="AA30" s="72">
        <v>192150</v>
      </c>
      <c r="AB30" s="72">
        <v>192150</v>
      </c>
      <c r="AC30" s="127">
        <f>SUM(Q30:AB30)</f>
        <v>2982268.37</v>
      </c>
      <c r="AD30" s="72">
        <f t="shared" ref="AD30:AD33" si="15">P30-AC30</f>
        <v>-147465.37000000011</v>
      </c>
      <c r="AE30" s="192">
        <f t="shared" ref="AE30:AE33" si="16">AD30/AC30</f>
        <v>-4.9447384240607462E-2</v>
      </c>
      <c r="AF30" s="129">
        <v>2446024.2200000002</v>
      </c>
      <c r="AG30" s="124">
        <f t="shared" ref="AG30:AG80" si="17">AF30-P30</f>
        <v>-388778.7799999998</v>
      </c>
    </row>
    <row r="31" spans="1:33">
      <c r="A31" s="105" t="s">
        <v>417</v>
      </c>
      <c r="B31" s="105" t="s">
        <v>381</v>
      </c>
      <c r="C31" s="105" t="s">
        <v>418</v>
      </c>
      <c r="D31" s="72">
        <f>ROUND(D22*0.23,0)</f>
        <v>3680</v>
      </c>
      <c r="E31" s="72">
        <f>ROUND(E22*0.23,0)</f>
        <v>4600</v>
      </c>
      <c r="F31" s="72">
        <f t="shared" ref="F31:O31" si="18">ROUND(F22*0.23,0)</f>
        <v>3910</v>
      </c>
      <c r="G31" s="72">
        <f t="shared" si="18"/>
        <v>3680</v>
      </c>
      <c r="H31" s="72">
        <f t="shared" si="18"/>
        <v>3680</v>
      </c>
      <c r="I31" s="72">
        <f t="shared" si="18"/>
        <v>3450</v>
      </c>
      <c r="J31" s="72">
        <f t="shared" si="18"/>
        <v>3680</v>
      </c>
      <c r="K31" s="72">
        <f t="shared" si="18"/>
        <v>3680</v>
      </c>
      <c r="L31" s="72">
        <f t="shared" si="18"/>
        <v>3680</v>
      </c>
      <c r="M31" s="72">
        <f t="shared" si="18"/>
        <v>4140</v>
      </c>
      <c r="N31" s="72">
        <f t="shared" si="18"/>
        <v>3910</v>
      </c>
      <c r="O31" s="72">
        <f t="shared" si="18"/>
        <v>4062</v>
      </c>
      <c r="P31" s="127">
        <f>SUM(D31:O31)</f>
        <v>46152</v>
      </c>
      <c r="Q31" s="72">
        <v>3513.6</v>
      </c>
      <c r="R31" s="72">
        <v>13249.8</v>
      </c>
      <c r="S31" s="72">
        <v>3972.18</v>
      </c>
      <c r="T31" s="72">
        <v>4670.71</v>
      </c>
      <c r="U31" s="72">
        <v>1741.92</v>
      </c>
      <c r="V31" s="72">
        <v>1264.42</v>
      </c>
      <c r="W31" s="72">
        <v>1848.92</v>
      </c>
      <c r="X31" s="72">
        <v>2426.17</v>
      </c>
      <c r="Y31" s="72">
        <v>1471</v>
      </c>
      <c r="Z31" s="72">
        <v>4140</v>
      </c>
      <c r="AA31" s="72">
        <v>3910</v>
      </c>
      <c r="AB31" s="72">
        <v>4062</v>
      </c>
      <c r="AC31" s="127">
        <f>SUM(Q31:AB31)</f>
        <v>46270.719999999994</v>
      </c>
      <c r="AD31" s="72">
        <f t="shared" si="15"/>
        <v>-118.71999999999389</v>
      </c>
      <c r="AE31" s="192">
        <f t="shared" si="16"/>
        <v>-2.5657694542033042E-3</v>
      </c>
      <c r="AF31" s="129">
        <v>62864.18</v>
      </c>
      <c r="AG31" s="124">
        <f t="shared" si="17"/>
        <v>16712.18</v>
      </c>
    </row>
    <row r="32" spans="1:33">
      <c r="A32" s="105" t="s">
        <v>421</v>
      </c>
      <c r="B32" s="105" t="s">
        <v>381</v>
      </c>
      <c r="C32" s="105" t="s">
        <v>422</v>
      </c>
      <c r="P32" s="12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5"/>
        <v>0</v>
      </c>
      <c r="AE32" s="192" t="e">
        <f t="shared" si="16"/>
        <v>#DIV/0!</v>
      </c>
      <c r="AF32" s="129">
        <v>0</v>
      </c>
      <c r="AG32" s="124">
        <f t="shared" si="17"/>
        <v>0</v>
      </c>
    </row>
    <row r="33" spans="1:33">
      <c r="C33" s="109" t="s">
        <v>501</v>
      </c>
      <c r="D33" s="127">
        <f t="shared" ref="D33:AC33" si="19">SUM(D30:D32)</f>
        <v>333569</v>
      </c>
      <c r="E33" s="127">
        <f t="shared" si="19"/>
        <v>282548</v>
      </c>
      <c r="F33" s="127">
        <f t="shared" si="19"/>
        <v>222527</v>
      </c>
      <c r="G33" s="127">
        <f t="shared" si="19"/>
        <v>213320</v>
      </c>
      <c r="H33" s="127">
        <f t="shared" si="19"/>
        <v>218561</v>
      </c>
      <c r="I33" s="127">
        <f t="shared" si="19"/>
        <v>200511</v>
      </c>
      <c r="J33" s="127">
        <f t="shared" si="19"/>
        <v>239889</v>
      </c>
      <c r="K33" s="127">
        <f t="shared" si="19"/>
        <v>277103</v>
      </c>
      <c r="L33" s="127">
        <f t="shared" si="19"/>
        <v>203710</v>
      </c>
      <c r="M33" s="127">
        <f t="shared" si="19"/>
        <v>226757</v>
      </c>
      <c r="N33" s="127">
        <f t="shared" si="19"/>
        <v>221577</v>
      </c>
      <c r="O33" s="127">
        <f t="shared" si="19"/>
        <v>240883</v>
      </c>
      <c r="P33" s="127">
        <f t="shared" si="19"/>
        <v>2880955</v>
      </c>
      <c r="Q33" s="127">
        <f t="shared" si="19"/>
        <v>283611.55</v>
      </c>
      <c r="R33" s="127">
        <f t="shared" si="19"/>
        <v>421590.73</v>
      </c>
      <c r="S33" s="127">
        <f t="shared" si="19"/>
        <v>273201.84999999998</v>
      </c>
      <c r="T33" s="127">
        <f t="shared" si="19"/>
        <v>269228.22000000003</v>
      </c>
      <c r="U33" s="127">
        <f t="shared" si="19"/>
        <v>234229.41</v>
      </c>
      <c r="V33" s="127">
        <f t="shared" si="19"/>
        <v>199909.72</v>
      </c>
      <c r="W33" s="127">
        <f t="shared" si="19"/>
        <v>278569.38999999996</v>
      </c>
      <c r="X33" s="127">
        <f t="shared" si="19"/>
        <v>279337.21999999997</v>
      </c>
      <c r="Y33" s="127">
        <f t="shared" si="19"/>
        <v>200299</v>
      </c>
      <c r="Z33" s="127">
        <f t="shared" si="19"/>
        <v>196290</v>
      </c>
      <c r="AA33" s="127">
        <f t="shared" si="19"/>
        <v>196060</v>
      </c>
      <c r="AB33" s="127">
        <f t="shared" si="19"/>
        <v>196212</v>
      </c>
      <c r="AC33" s="127">
        <f t="shared" si="19"/>
        <v>3028539.0900000003</v>
      </c>
      <c r="AD33" s="72">
        <f t="shared" si="15"/>
        <v>-147584.09000000032</v>
      </c>
      <c r="AE33" s="192">
        <f t="shared" si="16"/>
        <v>-4.8731116097299673E-2</v>
      </c>
      <c r="AF33" s="129">
        <v>2508888.4000000004</v>
      </c>
      <c r="AG33" s="124">
        <f t="shared" si="17"/>
        <v>-372066.59999999963</v>
      </c>
    </row>
    <row r="34" spans="1:33">
      <c r="C34" s="105" t="s">
        <v>154</v>
      </c>
      <c r="AF34" s="129"/>
      <c r="AG34" s="124">
        <f t="shared" si="17"/>
        <v>0</v>
      </c>
    </row>
    <row r="35" spans="1:33" s="109" customFormat="1">
      <c r="C35" s="109" t="s">
        <v>289</v>
      </c>
      <c r="D35" s="127">
        <f t="shared" ref="D35:AB35" si="20">D134</f>
        <v>200421.59</v>
      </c>
      <c r="E35" s="127">
        <f t="shared" si="20"/>
        <v>159176.84</v>
      </c>
      <c r="F35" s="127">
        <f t="shared" si="20"/>
        <v>159252.59</v>
      </c>
      <c r="G35" s="127">
        <f t="shared" si="20"/>
        <v>168224.06</v>
      </c>
      <c r="H35" s="127">
        <f t="shared" si="20"/>
        <v>178161.62</v>
      </c>
      <c r="I35" s="127">
        <f t="shared" si="20"/>
        <v>162459.93</v>
      </c>
      <c r="J35" s="127">
        <f t="shared" si="20"/>
        <v>163340.46000000002</v>
      </c>
      <c r="K35" s="127">
        <f t="shared" si="20"/>
        <v>162988.56</v>
      </c>
      <c r="L35" s="127">
        <f t="shared" si="20"/>
        <v>163095.56</v>
      </c>
      <c r="M35" s="127">
        <f t="shared" si="20"/>
        <v>199026.38</v>
      </c>
      <c r="N35" s="127">
        <f t="shared" si="20"/>
        <v>163115.40000000002</v>
      </c>
      <c r="O35" s="127">
        <f t="shared" si="20"/>
        <v>162645.5</v>
      </c>
      <c r="P35" s="117">
        <f t="shared" si="20"/>
        <v>2041908.49</v>
      </c>
      <c r="Q35" s="127">
        <f t="shared" si="20"/>
        <v>191255.01</v>
      </c>
      <c r="R35" s="127">
        <f t="shared" si="20"/>
        <v>213271.69999999998</v>
      </c>
      <c r="S35" s="127">
        <f t="shared" si="20"/>
        <v>183930.93</v>
      </c>
      <c r="T35" s="127">
        <f t="shared" si="20"/>
        <v>183180.03999999998</v>
      </c>
      <c r="U35" s="127">
        <f t="shared" si="20"/>
        <v>174195.58000000002</v>
      </c>
      <c r="V35" s="127">
        <f t="shared" si="20"/>
        <v>167975.57</v>
      </c>
      <c r="W35" s="127">
        <f t="shared" si="20"/>
        <v>150245.21</v>
      </c>
      <c r="X35" s="127">
        <f t="shared" si="20"/>
        <v>164387.84</v>
      </c>
      <c r="Y35" s="127">
        <f t="shared" si="20"/>
        <v>190118.5</v>
      </c>
      <c r="Z35" s="127">
        <f t="shared" si="20"/>
        <v>217193.5</v>
      </c>
      <c r="AA35" s="127">
        <f t="shared" si="20"/>
        <v>189136.5</v>
      </c>
      <c r="AB35" s="127">
        <f t="shared" si="20"/>
        <v>189354.5</v>
      </c>
      <c r="AC35" s="127">
        <f>SUM(Q35:AB35)</f>
        <v>2214244.88</v>
      </c>
      <c r="AD35" s="127">
        <f t="shared" ref="AD35" si="21">P35-AC35</f>
        <v>-172336.3899999999</v>
      </c>
      <c r="AE35" s="132">
        <f t="shared" ref="AE35" si="22">AD35/AC35</f>
        <v>-7.7830772719230543E-2</v>
      </c>
      <c r="AF35" s="129">
        <v>1919925.1100000003</v>
      </c>
      <c r="AG35" s="124">
        <f t="shared" si="17"/>
        <v>-121983.37999999966</v>
      </c>
    </row>
    <row r="36" spans="1:33">
      <c r="C36" s="105" t="s">
        <v>154</v>
      </c>
      <c r="P36" s="117"/>
      <c r="AF36" s="129"/>
      <c r="AG36" s="124">
        <f t="shared" si="17"/>
        <v>0</v>
      </c>
    </row>
    <row r="37" spans="1:33">
      <c r="C37" s="109" t="s">
        <v>502</v>
      </c>
      <c r="P37" s="117"/>
      <c r="AF37" s="129"/>
      <c r="AG37" s="124">
        <f t="shared" si="17"/>
        <v>0</v>
      </c>
    </row>
    <row r="38" spans="1:33">
      <c r="A38" s="105" t="s">
        <v>424</v>
      </c>
      <c r="B38" s="105" t="s">
        <v>381</v>
      </c>
      <c r="C38" s="105" t="s">
        <v>425</v>
      </c>
      <c r="D38" s="221">
        <v>9000</v>
      </c>
      <c r="E38" s="221">
        <v>11000</v>
      </c>
      <c r="F38" s="221">
        <v>8000</v>
      </c>
      <c r="G38" s="221">
        <v>10000</v>
      </c>
      <c r="H38" s="221">
        <v>9000</v>
      </c>
      <c r="I38" s="221">
        <v>9000</v>
      </c>
      <c r="J38" s="221">
        <v>9000</v>
      </c>
      <c r="K38" s="221">
        <v>10000</v>
      </c>
      <c r="L38" s="221">
        <v>8000</v>
      </c>
      <c r="M38" s="221">
        <v>10000</v>
      </c>
      <c r="N38" s="221">
        <v>10000</v>
      </c>
      <c r="O38" s="221">
        <v>12000</v>
      </c>
      <c r="P38" s="200">
        <f t="shared" ref="P38:P78" si="23">SUM(D38:O38)</f>
        <v>115000</v>
      </c>
      <c r="Q38" s="72">
        <v>9135.6200000000008</v>
      </c>
      <c r="R38" s="72">
        <v>11235.04</v>
      </c>
      <c r="S38" s="72">
        <v>8453.77</v>
      </c>
      <c r="T38" s="72">
        <v>9712.34</v>
      </c>
      <c r="U38" s="72">
        <v>8651.06</v>
      </c>
      <c r="V38" s="72">
        <v>9531.17</v>
      </c>
      <c r="W38" s="72">
        <v>9077.9</v>
      </c>
      <c r="X38" s="72">
        <v>13121.87</v>
      </c>
      <c r="Y38" s="72">
        <v>8000</v>
      </c>
      <c r="Z38" s="72">
        <v>10000</v>
      </c>
      <c r="AA38" s="72">
        <v>10000</v>
      </c>
      <c r="AB38" s="72">
        <v>12000</v>
      </c>
      <c r="AC38" s="127">
        <f t="shared" ref="AC38:AC79" si="24">SUM(Q38:AB38)</f>
        <v>118918.76999999999</v>
      </c>
      <c r="AD38" s="72">
        <f t="shared" ref="AD38:AD82" si="25">P38-AC38</f>
        <v>-3918.7699999999895</v>
      </c>
      <c r="AE38" s="192">
        <f t="shared" ref="AE38:AE82" si="26">AD38/AC38</f>
        <v>-3.2953334448380098E-2</v>
      </c>
      <c r="AF38" s="129">
        <v>106134.8</v>
      </c>
      <c r="AG38" s="124">
        <f t="shared" si="17"/>
        <v>-8865.1999999999971</v>
      </c>
    </row>
    <row r="39" spans="1:33">
      <c r="A39" s="105" t="s">
        <v>532</v>
      </c>
      <c r="C39" s="105" t="s">
        <v>426</v>
      </c>
      <c r="D39" s="221">
        <v>0</v>
      </c>
      <c r="E39" s="221">
        <v>0</v>
      </c>
      <c r="F39" s="221">
        <v>0</v>
      </c>
      <c r="G39" s="221">
        <v>0</v>
      </c>
      <c r="H39" s="221">
        <v>0</v>
      </c>
      <c r="I39" s="221">
        <v>0</v>
      </c>
      <c r="J39" s="221">
        <v>0</v>
      </c>
      <c r="K39" s="221">
        <v>0</v>
      </c>
      <c r="L39" s="221">
        <v>0</v>
      </c>
      <c r="M39" s="221">
        <v>0</v>
      </c>
      <c r="N39" s="221">
        <v>0</v>
      </c>
      <c r="O39" s="221">
        <v>0</v>
      </c>
      <c r="P39" s="200">
        <f t="shared" si="23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4"/>
        <v>0</v>
      </c>
      <c r="AD39" s="72">
        <f t="shared" si="25"/>
        <v>0</v>
      </c>
      <c r="AE39" s="192" t="e">
        <f t="shared" si="26"/>
        <v>#DIV/0!</v>
      </c>
      <c r="AF39" s="129">
        <v>0</v>
      </c>
      <c r="AG39" s="124">
        <f t="shared" si="17"/>
        <v>0</v>
      </c>
    </row>
    <row r="40" spans="1:33">
      <c r="A40" s="105" t="s">
        <v>532</v>
      </c>
      <c r="C40" s="105" t="s">
        <v>427</v>
      </c>
      <c r="D40" s="221">
        <v>0</v>
      </c>
      <c r="E40" s="221">
        <v>0</v>
      </c>
      <c r="F40" s="221">
        <v>0</v>
      </c>
      <c r="G40" s="221">
        <v>0</v>
      </c>
      <c r="H40" s="221">
        <v>0</v>
      </c>
      <c r="I40" s="221">
        <v>0</v>
      </c>
      <c r="J40" s="221">
        <v>0</v>
      </c>
      <c r="K40" s="221">
        <v>0</v>
      </c>
      <c r="L40" s="221">
        <v>0</v>
      </c>
      <c r="M40" s="221">
        <v>0</v>
      </c>
      <c r="N40" s="221">
        <v>0</v>
      </c>
      <c r="O40" s="221">
        <v>0</v>
      </c>
      <c r="P40" s="200">
        <f t="shared" si="23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4"/>
        <v>0</v>
      </c>
      <c r="AD40" s="72">
        <f t="shared" si="25"/>
        <v>0</v>
      </c>
      <c r="AE40" s="192" t="e">
        <f t="shared" si="26"/>
        <v>#DIV/0!</v>
      </c>
      <c r="AF40" s="129">
        <v>0</v>
      </c>
      <c r="AG40" s="124">
        <f t="shared" si="17"/>
        <v>0</v>
      </c>
    </row>
    <row r="41" spans="1:33">
      <c r="A41" s="105" t="s">
        <v>273</v>
      </c>
      <c r="C41" s="105" t="s">
        <v>428</v>
      </c>
      <c r="D41" s="221">
        <v>0</v>
      </c>
      <c r="E41" s="221">
        <v>0</v>
      </c>
      <c r="F41" s="221">
        <v>0</v>
      </c>
      <c r="G41" s="221">
        <v>0</v>
      </c>
      <c r="H41" s="221">
        <v>0</v>
      </c>
      <c r="I41" s="221">
        <v>0</v>
      </c>
      <c r="J41" s="221">
        <v>0</v>
      </c>
      <c r="K41" s="221">
        <v>0</v>
      </c>
      <c r="L41" s="221">
        <v>0</v>
      </c>
      <c r="M41" s="221">
        <v>0</v>
      </c>
      <c r="N41" s="221">
        <v>0</v>
      </c>
      <c r="O41" s="221">
        <v>0</v>
      </c>
      <c r="P41" s="200">
        <f t="shared" si="23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4"/>
        <v>0</v>
      </c>
      <c r="AD41" s="72">
        <f t="shared" si="25"/>
        <v>0</v>
      </c>
      <c r="AE41" s="192" t="e">
        <f t="shared" si="26"/>
        <v>#DIV/0!</v>
      </c>
      <c r="AF41" s="129">
        <v>0</v>
      </c>
      <c r="AG41" s="124">
        <f t="shared" si="17"/>
        <v>0</v>
      </c>
    </row>
    <row r="42" spans="1:33">
      <c r="A42" s="105" t="s">
        <v>429</v>
      </c>
      <c r="B42" s="105" t="s">
        <v>381</v>
      </c>
      <c r="C42" s="105" t="s">
        <v>143</v>
      </c>
      <c r="D42" s="221">
        <v>0</v>
      </c>
      <c r="E42" s="221">
        <v>0</v>
      </c>
      <c r="F42" s="221">
        <v>0</v>
      </c>
      <c r="G42" s="221">
        <v>0</v>
      </c>
      <c r="H42" s="221">
        <v>0</v>
      </c>
      <c r="I42" s="221">
        <v>0</v>
      </c>
      <c r="J42" s="221">
        <v>0</v>
      </c>
      <c r="K42" s="221">
        <v>0</v>
      </c>
      <c r="L42" s="221">
        <v>0</v>
      </c>
      <c r="M42" s="221">
        <v>0</v>
      </c>
      <c r="N42" s="221">
        <v>0</v>
      </c>
      <c r="O42" s="221">
        <v>0</v>
      </c>
      <c r="P42" s="200">
        <f t="shared" si="23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4"/>
        <v>0</v>
      </c>
      <c r="AD42" s="72">
        <f t="shared" si="25"/>
        <v>0</v>
      </c>
      <c r="AE42" s="192" t="e">
        <f t="shared" si="26"/>
        <v>#DIV/0!</v>
      </c>
      <c r="AF42" s="129">
        <v>0</v>
      </c>
      <c r="AG42" s="124">
        <f t="shared" si="17"/>
        <v>0</v>
      </c>
    </row>
    <row r="43" spans="1:33">
      <c r="A43" s="105" t="s">
        <v>180</v>
      </c>
      <c r="B43" s="105" t="s">
        <v>381</v>
      </c>
      <c r="C43" s="105" t="s">
        <v>144</v>
      </c>
      <c r="D43" s="174">
        <f t="shared" ref="D43:O43" si="27">+D138+D139+D140</f>
        <v>37151.850000000006</v>
      </c>
      <c r="E43" s="174">
        <f t="shared" si="27"/>
        <v>26265.34</v>
      </c>
      <c r="F43" s="174">
        <f t="shared" si="27"/>
        <v>26385.34</v>
      </c>
      <c r="G43" s="174">
        <f t="shared" si="27"/>
        <v>29669.26</v>
      </c>
      <c r="H43" s="174">
        <f t="shared" si="27"/>
        <v>34539.600000000013</v>
      </c>
      <c r="I43" s="174">
        <f t="shared" si="27"/>
        <v>29210.000000000004</v>
      </c>
      <c r="J43" s="174">
        <f t="shared" si="27"/>
        <v>29184.000000000004</v>
      </c>
      <c r="K43" s="174">
        <f t="shared" si="27"/>
        <v>29291.000000000004</v>
      </c>
      <c r="L43" s="174">
        <f t="shared" si="27"/>
        <v>29346.000000000004</v>
      </c>
      <c r="M43" s="174">
        <f t="shared" si="27"/>
        <v>40272.760000000009</v>
      </c>
      <c r="N43" s="174">
        <f t="shared" si="27"/>
        <v>28992.000000000004</v>
      </c>
      <c r="O43" s="174">
        <f t="shared" si="27"/>
        <v>28972.000000000004</v>
      </c>
      <c r="P43" s="200">
        <f t="shared" si="23"/>
        <v>369279.15</v>
      </c>
      <c r="Q43" s="72">
        <v>46702.1</v>
      </c>
      <c r="R43" s="72">
        <v>68910.02</v>
      </c>
      <c r="S43" s="72">
        <v>46449.31</v>
      </c>
      <c r="T43" s="72">
        <v>32343.84</v>
      </c>
      <c r="U43" s="72">
        <v>39538.86</v>
      </c>
      <c r="V43" s="72">
        <v>33501.07</v>
      </c>
      <c r="W43" s="72">
        <v>36798.35</v>
      </c>
      <c r="X43" s="72">
        <v>41241.15</v>
      </c>
      <c r="Y43" s="72">
        <v>12550</v>
      </c>
      <c r="Z43" s="72">
        <v>2550</v>
      </c>
      <c r="AA43" s="72">
        <v>2550</v>
      </c>
      <c r="AB43" s="72">
        <v>2550</v>
      </c>
      <c r="AC43" s="127">
        <f t="shared" si="24"/>
        <v>365684.7</v>
      </c>
      <c r="AD43" s="72">
        <f t="shared" si="25"/>
        <v>3594.4500000000116</v>
      </c>
      <c r="AE43" s="192">
        <f t="shared" si="26"/>
        <v>9.8293693993760506E-3</v>
      </c>
      <c r="AF43" s="129">
        <v>20612.370000000003</v>
      </c>
      <c r="AG43" s="124">
        <f t="shared" si="17"/>
        <v>-348666.78</v>
      </c>
    </row>
    <row r="44" spans="1:33">
      <c r="A44" s="105" t="s">
        <v>181</v>
      </c>
      <c r="B44" s="105" t="s">
        <v>381</v>
      </c>
      <c r="C44" s="105" t="s">
        <v>182</v>
      </c>
      <c r="D44" s="221">
        <v>0</v>
      </c>
      <c r="E44" s="221">
        <v>0</v>
      </c>
      <c r="F44" s="221">
        <v>0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  <c r="O44" s="221">
        <v>0</v>
      </c>
      <c r="P44" s="200">
        <f t="shared" si="23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4657.01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4"/>
        <v>4657.01</v>
      </c>
      <c r="AD44" s="72">
        <f t="shared" si="25"/>
        <v>-4657.01</v>
      </c>
      <c r="AE44" s="192">
        <f t="shared" si="26"/>
        <v>-1</v>
      </c>
      <c r="AF44" s="129">
        <v>0</v>
      </c>
      <c r="AG44" s="124">
        <f t="shared" si="17"/>
        <v>0</v>
      </c>
    </row>
    <row r="45" spans="1:33">
      <c r="A45" s="105" t="s">
        <v>430</v>
      </c>
      <c r="B45" s="105" t="s">
        <v>381</v>
      </c>
      <c r="C45" s="105" t="s">
        <v>431</v>
      </c>
      <c r="D45" s="221">
        <v>0</v>
      </c>
      <c r="E45" s="221">
        <v>0</v>
      </c>
      <c r="F45" s="221">
        <v>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0</v>
      </c>
      <c r="O45" s="221">
        <v>0</v>
      </c>
      <c r="P45" s="200">
        <f t="shared" si="23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4"/>
        <v>0</v>
      </c>
      <c r="AD45" s="72">
        <f t="shared" si="25"/>
        <v>0</v>
      </c>
      <c r="AE45" s="192" t="e">
        <f t="shared" si="26"/>
        <v>#DIV/0!</v>
      </c>
      <c r="AF45" s="129">
        <v>0</v>
      </c>
      <c r="AG45" s="124">
        <f t="shared" si="17"/>
        <v>0</v>
      </c>
    </row>
    <row r="46" spans="1:33">
      <c r="A46" s="105" t="s">
        <v>183</v>
      </c>
      <c r="B46" s="105" t="s">
        <v>381</v>
      </c>
      <c r="C46" s="105" t="s">
        <v>184</v>
      </c>
      <c r="D46" s="221">
        <v>0</v>
      </c>
      <c r="E46" s="221">
        <v>0</v>
      </c>
      <c r="F46" s="221">
        <v>0</v>
      </c>
      <c r="G46" s="221">
        <v>0</v>
      </c>
      <c r="H46" s="221">
        <v>0</v>
      </c>
      <c r="I46" s="221">
        <v>0</v>
      </c>
      <c r="J46" s="221">
        <v>0</v>
      </c>
      <c r="K46" s="221">
        <v>0</v>
      </c>
      <c r="L46" s="221">
        <v>0</v>
      </c>
      <c r="M46" s="221">
        <v>0</v>
      </c>
      <c r="N46" s="221">
        <v>0</v>
      </c>
      <c r="O46" s="221">
        <v>0</v>
      </c>
      <c r="P46" s="200">
        <f t="shared" si="23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4"/>
        <v>0</v>
      </c>
      <c r="AD46" s="72">
        <f t="shared" si="25"/>
        <v>0</v>
      </c>
      <c r="AE46" s="192" t="e">
        <f t="shared" si="26"/>
        <v>#DIV/0!</v>
      </c>
      <c r="AF46" s="129">
        <v>0</v>
      </c>
      <c r="AG46" s="124">
        <f t="shared" si="17"/>
        <v>0</v>
      </c>
    </row>
    <row r="47" spans="1:33">
      <c r="A47" s="105" t="s">
        <v>273</v>
      </c>
      <c r="C47" s="105" t="s">
        <v>432</v>
      </c>
      <c r="D47" s="221">
        <v>0</v>
      </c>
      <c r="E47" s="221">
        <v>0</v>
      </c>
      <c r="F47" s="221">
        <v>0</v>
      </c>
      <c r="G47" s="221">
        <v>0</v>
      </c>
      <c r="H47" s="221">
        <v>0</v>
      </c>
      <c r="I47" s="221">
        <v>0</v>
      </c>
      <c r="J47" s="221">
        <v>0</v>
      </c>
      <c r="K47" s="221">
        <v>0</v>
      </c>
      <c r="L47" s="221">
        <v>0</v>
      </c>
      <c r="M47" s="221">
        <v>0</v>
      </c>
      <c r="N47" s="221">
        <v>0</v>
      </c>
      <c r="O47" s="221">
        <v>0</v>
      </c>
      <c r="P47" s="200">
        <f t="shared" si="23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4"/>
        <v>0</v>
      </c>
      <c r="AD47" s="72">
        <f t="shared" si="25"/>
        <v>0</v>
      </c>
      <c r="AE47" s="192" t="e">
        <f t="shared" si="26"/>
        <v>#DIV/0!</v>
      </c>
      <c r="AF47" s="129">
        <v>0</v>
      </c>
      <c r="AG47" s="124">
        <f t="shared" si="17"/>
        <v>0</v>
      </c>
    </row>
    <row r="48" spans="1:33">
      <c r="A48" s="105" t="s">
        <v>185</v>
      </c>
      <c r="B48" s="105" t="s">
        <v>381</v>
      </c>
      <c r="C48" s="105" t="s">
        <v>186</v>
      </c>
      <c r="D48" s="221">
        <v>214</v>
      </c>
      <c r="E48" s="221">
        <v>214</v>
      </c>
      <c r="F48" s="221">
        <v>214</v>
      </c>
      <c r="G48" s="221">
        <v>214</v>
      </c>
      <c r="H48" s="221">
        <v>214</v>
      </c>
      <c r="I48" s="221">
        <v>214</v>
      </c>
      <c r="J48" s="221">
        <v>214</v>
      </c>
      <c r="K48" s="221">
        <v>214</v>
      </c>
      <c r="L48" s="221">
        <v>214</v>
      </c>
      <c r="M48" s="221">
        <v>214</v>
      </c>
      <c r="N48" s="221">
        <v>214</v>
      </c>
      <c r="O48" s="221">
        <v>214</v>
      </c>
      <c r="P48" s="200">
        <f t="shared" si="23"/>
        <v>2568</v>
      </c>
      <c r="Q48" s="72">
        <v>0</v>
      </c>
      <c r="R48" s="72">
        <v>427.7</v>
      </c>
      <c r="S48" s="72">
        <v>213.85</v>
      </c>
      <c r="T48" s="72">
        <v>213.85</v>
      </c>
      <c r="U48" s="72">
        <v>213.85</v>
      </c>
      <c r="V48" s="72">
        <v>213.85</v>
      </c>
      <c r="W48" s="72">
        <v>213.85</v>
      </c>
      <c r="X48" s="72">
        <v>213.85</v>
      </c>
      <c r="Y48" s="72">
        <v>150</v>
      </c>
      <c r="Z48" s="72">
        <v>150</v>
      </c>
      <c r="AA48" s="72">
        <v>150</v>
      </c>
      <c r="AB48" s="72">
        <v>150</v>
      </c>
      <c r="AC48" s="127">
        <f t="shared" si="24"/>
        <v>2310.7999999999997</v>
      </c>
      <c r="AD48" s="72">
        <f t="shared" si="25"/>
        <v>257.20000000000027</v>
      </c>
      <c r="AE48" s="192">
        <f t="shared" si="26"/>
        <v>0.11130344469447824</v>
      </c>
      <c r="AF48" s="129">
        <v>2700</v>
      </c>
      <c r="AG48" s="124">
        <f t="shared" si="17"/>
        <v>132</v>
      </c>
    </row>
    <row r="49" spans="1:33">
      <c r="A49" s="105" t="s">
        <v>187</v>
      </c>
      <c r="B49" s="105" t="s">
        <v>381</v>
      </c>
      <c r="C49" s="105" t="s">
        <v>188</v>
      </c>
      <c r="D49" s="221">
        <v>4000</v>
      </c>
      <c r="E49" s="221">
        <v>4000</v>
      </c>
      <c r="F49" s="221">
        <v>2000</v>
      </c>
      <c r="G49" s="221">
        <v>2000</v>
      </c>
      <c r="H49" s="221">
        <v>2000</v>
      </c>
      <c r="I49" s="221">
        <v>1500</v>
      </c>
      <c r="J49" s="221">
        <v>2000</v>
      </c>
      <c r="K49" s="221">
        <v>2000</v>
      </c>
      <c r="L49" s="221">
        <v>1500</v>
      </c>
      <c r="M49" s="221">
        <v>2000</v>
      </c>
      <c r="N49" s="221">
        <v>2000</v>
      </c>
      <c r="O49" s="221">
        <v>2000</v>
      </c>
      <c r="P49" s="200">
        <f t="shared" si="23"/>
        <v>27000</v>
      </c>
      <c r="Q49" s="72">
        <v>4029.05</v>
      </c>
      <c r="R49" s="72">
        <v>2126.8000000000002</v>
      </c>
      <c r="S49" s="72">
        <v>2311.9</v>
      </c>
      <c r="T49" s="72">
        <v>2262.1999999999998</v>
      </c>
      <c r="U49" s="72">
        <v>2108.8000000000002</v>
      </c>
      <c r="V49" s="72">
        <v>1600.84</v>
      </c>
      <c r="W49" s="72">
        <v>2233.6999999999998</v>
      </c>
      <c r="X49" s="72">
        <v>2768.97</v>
      </c>
      <c r="Y49" s="72">
        <v>1586</v>
      </c>
      <c r="Z49" s="72">
        <v>1873</v>
      </c>
      <c r="AA49" s="72">
        <v>1682</v>
      </c>
      <c r="AB49" s="72">
        <v>1822</v>
      </c>
      <c r="AC49" s="127">
        <f t="shared" si="24"/>
        <v>26405.260000000002</v>
      </c>
      <c r="AD49" s="72">
        <f t="shared" si="25"/>
        <v>594.73999999999796</v>
      </c>
      <c r="AE49" s="192">
        <f t="shared" si="26"/>
        <v>2.252354265778856E-2</v>
      </c>
      <c r="AF49" s="129">
        <v>5494.4</v>
      </c>
      <c r="AG49" s="124">
        <f t="shared" si="17"/>
        <v>-21505.599999999999</v>
      </c>
    </row>
    <row r="50" spans="1:33">
      <c r="A50" s="105" t="s">
        <v>195</v>
      </c>
      <c r="B50" s="105" t="s">
        <v>381</v>
      </c>
      <c r="C50" s="105" t="s">
        <v>196</v>
      </c>
      <c r="D50" s="221">
        <v>0</v>
      </c>
      <c r="E50" s="221">
        <v>20000</v>
      </c>
      <c r="F50" s="221">
        <v>0</v>
      </c>
      <c r="G50" s="221">
        <v>0</v>
      </c>
      <c r="H50" s="221">
        <v>0</v>
      </c>
      <c r="I50" s="221">
        <v>0</v>
      </c>
      <c r="J50" s="221">
        <v>0</v>
      </c>
      <c r="K50" s="221">
        <v>0</v>
      </c>
      <c r="L50" s="221">
        <v>0</v>
      </c>
      <c r="M50" s="221">
        <v>0</v>
      </c>
      <c r="N50" s="221">
        <v>0</v>
      </c>
      <c r="O50" s="221">
        <v>0</v>
      </c>
      <c r="P50" s="200">
        <f t="shared" si="23"/>
        <v>20000</v>
      </c>
      <c r="Q50" s="72">
        <v>0</v>
      </c>
      <c r="R50" s="72">
        <v>20000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4"/>
        <v>20000</v>
      </c>
      <c r="AD50" s="72">
        <f t="shared" si="25"/>
        <v>0</v>
      </c>
      <c r="AE50" s="192">
        <f t="shared" si="26"/>
        <v>0</v>
      </c>
      <c r="AF50" s="129">
        <v>88999</v>
      </c>
      <c r="AG50" s="124">
        <f t="shared" si="17"/>
        <v>68999</v>
      </c>
    </row>
    <row r="51" spans="1:33">
      <c r="A51" s="105" t="s">
        <v>197</v>
      </c>
      <c r="B51" s="105" t="s">
        <v>381</v>
      </c>
      <c r="C51" s="105" t="s">
        <v>305</v>
      </c>
      <c r="D51" s="221">
        <v>1200</v>
      </c>
      <c r="E51" s="221">
        <v>1200</v>
      </c>
      <c r="F51" s="221">
        <v>1200</v>
      </c>
      <c r="G51" s="221">
        <v>1200</v>
      </c>
      <c r="H51" s="221">
        <v>1200</v>
      </c>
      <c r="I51" s="221">
        <v>1200</v>
      </c>
      <c r="J51" s="221">
        <v>1200</v>
      </c>
      <c r="K51" s="221">
        <v>1200</v>
      </c>
      <c r="L51" s="221">
        <v>1200</v>
      </c>
      <c r="M51" s="221">
        <v>1200</v>
      </c>
      <c r="N51" s="221">
        <v>1200</v>
      </c>
      <c r="O51" s="221">
        <v>1200</v>
      </c>
      <c r="P51" s="200">
        <f t="shared" si="23"/>
        <v>14400</v>
      </c>
      <c r="Q51" s="72">
        <v>1260</v>
      </c>
      <c r="R51" s="72">
        <v>2730</v>
      </c>
      <c r="S51" s="72">
        <v>1540</v>
      </c>
      <c r="T51" s="72">
        <v>1400</v>
      </c>
      <c r="U51" s="72">
        <v>1580.58</v>
      </c>
      <c r="V51" s="72">
        <v>1362</v>
      </c>
      <c r="W51" s="72">
        <v>1330</v>
      </c>
      <c r="X51" s="72">
        <v>1137.1600000000001</v>
      </c>
      <c r="Y51" s="72">
        <v>1057.6099999999999</v>
      </c>
      <c r="Z51" s="72">
        <v>1248.9000000000001</v>
      </c>
      <c r="AA51" s="72">
        <v>1121.27</v>
      </c>
      <c r="AB51" s="72">
        <v>1214.69</v>
      </c>
      <c r="AC51" s="127">
        <f t="shared" si="24"/>
        <v>16982.21</v>
      </c>
      <c r="AD51" s="72">
        <f t="shared" si="25"/>
        <v>-2582.2099999999991</v>
      </c>
      <c r="AE51" s="192">
        <f t="shared" si="26"/>
        <v>-0.15205382573881723</v>
      </c>
      <c r="AF51" s="129">
        <v>8230.5400000000009</v>
      </c>
      <c r="AG51" s="124">
        <f t="shared" si="17"/>
        <v>-6169.4599999999991</v>
      </c>
    </row>
    <row r="52" spans="1:33">
      <c r="A52" s="105" t="s">
        <v>434</v>
      </c>
      <c r="B52" s="105" t="s">
        <v>381</v>
      </c>
      <c r="C52" s="105" t="s">
        <v>435</v>
      </c>
      <c r="D52" s="221">
        <v>0</v>
      </c>
      <c r="E52" s="221">
        <v>0</v>
      </c>
      <c r="F52" s="221">
        <v>0</v>
      </c>
      <c r="G52" s="221">
        <v>0</v>
      </c>
      <c r="H52" s="221">
        <v>0</v>
      </c>
      <c r="I52" s="221">
        <v>0</v>
      </c>
      <c r="J52" s="221">
        <v>0</v>
      </c>
      <c r="K52" s="221">
        <v>0</v>
      </c>
      <c r="L52" s="221">
        <v>0</v>
      </c>
      <c r="M52" s="221">
        <v>0</v>
      </c>
      <c r="N52" s="221">
        <v>0</v>
      </c>
      <c r="O52" s="221">
        <v>0</v>
      </c>
      <c r="P52" s="200">
        <f t="shared" si="23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4"/>
        <v>0</v>
      </c>
      <c r="AD52" s="72">
        <f t="shared" si="25"/>
        <v>0</v>
      </c>
      <c r="AE52" s="192" t="e">
        <f t="shared" si="26"/>
        <v>#DIV/0!</v>
      </c>
      <c r="AF52" s="129">
        <v>0</v>
      </c>
      <c r="AG52" s="124">
        <f t="shared" si="17"/>
        <v>0</v>
      </c>
    </row>
    <row r="53" spans="1:33">
      <c r="A53" s="105" t="s">
        <v>436</v>
      </c>
      <c r="B53" s="105" t="s">
        <v>381</v>
      </c>
      <c r="C53" s="105" t="s">
        <v>437</v>
      </c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00">
        <f t="shared" si="23"/>
        <v>0</v>
      </c>
      <c r="Q53" s="72">
        <v>3000</v>
      </c>
      <c r="R53" s="72">
        <v>3000</v>
      </c>
      <c r="S53" s="72">
        <v>2000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4"/>
        <v>8000</v>
      </c>
      <c r="AD53" s="72">
        <f t="shared" si="25"/>
        <v>-8000</v>
      </c>
      <c r="AE53" s="192">
        <f t="shared" si="26"/>
        <v>-1</v>
      </c>
      <c r="AF53" s="129">
        <v>0</v>
      </c>
      <c r="AG53" s="124">
        <f t="shared" si="17"/>
        <v>0</v>
      </c>
    </row>
    <row r="54" spans="1:33">
      <c r="A54" s="105" t="s">
        <v>199</v>
      </c>
      <c r="B54" s="105" t="s">
        <v>381</v>
      </c>
      <c r="C54" s="105" t="s">
        <v>200</v>
      </c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00">
        <f t="shared" si="23"/>
        <v>0</v>
      </c>
      <c r="Q54" s="72">
        <v>2000</v>
      </c>
      <c r="R54" s="72">
        <v>2000</v>
      </c>
      <c r="S54" s="72">
        <v>2000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4"/>
        <v>6000</v>
      </c>
      <c r="AD54" s="72">
        <f t="shared" si="25"/>
        <v>-6000</v>
      </c>
      <c r="AE54" s="192">
        <f t="shared" si="26"/>
        <v>-1</v>
      </c>
      <c r="AF54" s="129">
        <v>6000</v>
      </c>
      <c r="AG54" s="124">
        <f t="shared" si="17"/>
        <v>6000</v>
      </c>
    </row>
    <row r="55" spans="1:33">
      <c r="A55" s="105" t="s">
        <v>438</v>
      </c>
      <c r="B55" s="105" t="s">
        <v>381</v>
      </c>
      <c r="C55" s="105" t="s">
        <v>439</v>
      </c>
      <c r="D55" s="221">
        <v>0</v>
      </c>
      <c r="E55" s="221">
        <v>0</v>
      </c>
      <c r="F55" s="221">
        <v>0</v>
      </c>
      <c r="G55" s="221">
        <v>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0</v>
      </c>
      <c r="N55" s="221">
        <v>0</v>
      </c>
      <c r="O55" s="221">
        <v>0</v>
      </c>
      <c r="P55" s="200">
        <f t="shared" si="23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4"/>
        <v>0</v>
      </c>
      <c r="AD55" s="72">
        <f t="shared" si="25"/>
        <v>0</v>
      </c>
      <c r="AE55" s="192" t="e">
        <f t="shared" si="26"/>
        <v>#DIV/0!</v>
      </c>
      <c r="AF55" s="129">
        <v>0</v>
      </c>
      <c r="AG55" s="124">
        <f t="shared" si="17"/>
        <v>0</v>
      </c>
    </row>
    <row r="56" spans="1:33">
      <c r="A56" s="105" t="s">
        <v>201</v>
      </c>
      <c r="B56" s="105" t="s">
        <v>381</v>
      </c>
      <c r="C56" s="105" t="s">
        <v>202</v>
      </c>
      <c r="D56" s="221">
        <v>1000</v>
      </c>
      <c r="E56" s="221">
        <v>10000</v>
      </c>
      <c r="F56" s="221">
        <v>0</v>
      </c>
      <c r="G56" s="221">
        <v>0</v>
      </c>
      <c r="H56" s="221">
        <v>0</v>
      </c>
      <c r="I56" s="221">
        <v>0</v>
      </c>
      <c r="J56" s="221">
        <v>5000</v>
      </c>
      <c r="K56" s="221">
        <v>5000</v>
      </c>
      <c r="L56" s="221">
        <v>0</v>
      </c>
      <c r="M56" s="221">
        <v>1000</v>
      </c>
      <c r="N56" s="221">
        <v>1000</v>
      </c>
      <c r="O56" s="221">
        <v>1000</v>
      </c>
      <c r="P56" s="200">
        <f t="shared" si="23"/>
        <v>24000</v>
      </c>
      <c r="Q56" s="72">
        <v>0</v>
      </c>
      <c r="R56" s="72">
        <v>29304.73</v>
      </c>
      <c r="S56" s="72">
        <v>0</v>
      </c>
      <c r="T56" s="72">
        <v>177.7</v>
      </c>
      <c r="U56" s="72">
        <v>1155</v>
      </c>
      <c r="V56" s="72">
        <v>0</v>
      </c>
      <c r="W56" s="72">
        <v>0</v>
      </c>
      <c r="X56" s="72">
        <v>440</v>
      </c>
      <c r="Y56" s="72">
        <v>1500</v>
      </c>
      <c r="Z56" s="72">
        <v>3000</v>
      </c>
      <c r="AA56" s="72">
        <v>2000</v>
      </c>
      <c r="AB56" s="72">
        <v>2000</v>
      </c>
      <c r="AC56" s="127">
        <f t="shared" si="24"/>
        <v>39577.43</v>
      </c>
      <c r="AD56" s="72">
        <f t="shared" si="25"/>
        <v>-15577.43</v>
      </c>
      <c r="AE56" s="192">
        <f t="shared" si="26"/>
        <v>-0.39359377301659054</v>
      </c>
      <c r="AF56" s="129">
        <v>19395.98</v>
      </c>
      <c r="AG56" s="124">
        <f t="shared" si="17"/>
        <v>-4604.0200000000004</v>
      </c>
    </row>
    <row r="57" spans="1:33">
      <c r="A57" s="105" t="s">
        <v>440</v>
      </c>
      <c r="B57" s="105" t="s">
        <v>381</v>
      </c>
      <c r="C57" s="105" t="s">
        <v>441</v>
      </c>
      <c r="D57" s="221">
        <v>0</v>
      </c>
      <c r="E57" s="221">
        <v>0</v>
      </c>
      <c r="F57" s="221">
        <v>0</v>
      </c>
      <c r="G57" s="221">
        <v>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0</v>
      </c>
      <c r="N57" s="221">
        <v>0</v>
      </c>
      <c r="O57" s="221">
        <v>0</v>
      </c>
      <c r="P57" s="200">
        <f t="shared" si="23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4"/>
        <v>0</v>
      </c>
      <c r="AD57" s="72">
        <f t="shared" si="25"/>
        <v>0</v>
      </c>
      <c r="AE57" s="192" t="e">
        <f t="shared" si="26"/>
        <v>#DIV/0!</v>
      </c>
      <c r="AF57" s="129">
        <v>3634</v>
      </c>
      <c r="AG57" s="124">
        <f t="shared" si="17"/>
        <v>3634</v>
      </c>
    </row>
    <row r="58" spans="1:33">
      <c r="A58" s="105" t="s">
        <v>442</v>
      </c>
      <c r="B58" s="105" t="s">
        <v>381</v>
      </c>
      <c r="C58" s="105" t="s">
        <v>443</v>
      </c>
      <c r="D58" s="221">
        <v>0</v>
      </c>
      <c r="E58" s="221">
        <v>0</v>
      </c>
      <c r="F58" s="221">
        <v>0</v>
      </c>
      <c r="G58" s="221">
        <v>0</v>
      </c>
      <c r="H58" s="221">
        <v>0</v>
      </c>
      <c r="I58" s="221">
        <v>0</v>
      </c>
      <c r="J58" s="221">
        <v>0</v>
      </c>
      <c r="K58" s="221">
        <v>0</v>
      </c>
      <c r="L58" s="221">
        <v>0</v>
      </c>
      <c r="M58" s="221">
        <v>0</v>
      </c>
      <c r="N58" s="221">
        <v>0</v>
      </c>
      <c r="O58" s="221">
        <v>0</v>
      </c>
      <c r="P58" s="200">
        <f t="shared" si="23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4"/>
        <v>0</v>
      </c>
      <c r="AD58" s="72">
        <f t="shared" si="25"/>
        <v>0</v>
      </c>
      <c r="AE58" s="192" t="e">
        <f t="shared" si="26"/>
        <v>#DIV/0!</v>
      </c>
      <c r="AF58" s="129">
        <v>885.27</v>
      </c>
      <c r="AG58" s="124">
        <f t="shared" si="17"/>
        <v>885.27</v>
      </c>
    </row>
    <row r="59" spans="1:33">
      <c r="A59" s="105" t="s">
        <v>203</v>
      </c>
      <c r="B59" s="105" t="s">
        <v>381</v>
      </c>
      <c r="C59" s="105" t="s">
        <v>204</v>
      </c>
      <c r="D59" s="221">
        <v>1023</v>
      </c>
      <c r="E59" s="221">
        <v>1023</v>
      </c>
      <c r="F59" s="221">
        <v>1023</v>
      </c>
      <c r="G59" s="221">
        <v>1023</v>
      </c>
      <c r="H59" s="221">
        <v>1023</v>
      </c>
      <c r="I59" s="221">
        <v>1023</v>
      </c>
      <c r="J59" s="221">
        <v>1023</v>
      </c>
      <c r="K59" s="221">
        <v>1023</v>
      </c>
      <c r="L59" s="221">
        <v>1023</v>
      </c>
      <c r="M59" s="221">
        <v>1023</v>
      </c>
      <c r="N59" s="221">
        <v>1023</v>
      </c>
      <c r="O59" s="221">
        <v>1023</v>
      </c>
      <c r="P59" s="200">
        <f t="shared" si="23"/>
        <v>12276</v>
      </c>
      <c r="Q59" s="72">
        <v>1671</v>
      </c>
      <c r="R59" s="72">
        <v>1671</v>
      </c>
      <c r="S59" s="72">
        <v>1671</v>
      </c>
      <c r="T59" s="72">
        <v>0</v>
      </c>
      <c r="U59" s="72">
        <v>0</v>
      </c>
      <c r="V59" s="72">
        <v>-29.66</v>
      </c>
      <c r="W59" s="72">
        <v>0</v>
      </c>
      <c r="X59" s="72">
        <v>-145.6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4"/>
        <v>4837.74</v>
      </c>
      <c r="AD59" s="72">
        <f t="shared" si="25"/>
        <v>7438.26</v>
      </c>
      <c r="AE59" s="192">
        <f t="shared" si="26"/>
        <v>1.5375485247243548</v>
      </c>
      <c r="AF59" s="129">
        <v>17181.149999999998</v>
      </c>
      <c r="AG59" s="124">
        <f t="shared" si="17"/>
        <v>4905.1499999999978</v>
      </c>
    </row>
    <row r="60" spans="1:33">
      <c r="A60" s="105" t="s">
        <v>444</v>
      </c>
      <c r="B60" s="105" t="s">
        <v>381</v>
      </c>
      <c r="C60" s="105" t="s">
        <v>445</v>
      </c>
      <c r="D60" s="221">
        <v>0</v>
      </c>
      <c r="E60" s="221">
        <v>0</v>
      </c>
      <c r="F60" s="221">
        <v>0</v>
      </c>
      <c r="G60" s="221">
        <v>0</v>
      </c>
      <c r="H60" s="221">
        <v>0</v>
      </c>
      <c r="I60" s="221">
        <v>0</v>
      </c>
      <c r="J60" s="221">
        <v>0</v>
      </c>
      <c r="K60" s="221">
        <v>0</v>
      </c>
      <c r="L60" s="221">
        <v>0</v>
      </c>
      <c r="M60" s="221">
        <v>0</v>
      </c>
      <c r="N60" s="221">
        <v>0</v>
      </c>
      <c r="O60" s="221">
        <v>0</v>
      </c>
      <c r="P60" s="200">
        <f t="shared" si="23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4"/>
        <v>0</v>
      </c>
      <c r="AD60" s="72">
        <f t="shared" si="25"/>
        <v>0</v>
      </c>
      <c r="AE60" s="192" t="e">
        <f t="shared" si="26"/>
        <v>#DIV/0!</v>
      </c>
      <c r="AF60" s="129">
        <v>390</v>
      </c>
      <c r="AG60" s="124">
        <f t="shared" si="17"/>
        <v>390</v>
      </c>
    </row>
    <row r="61" spans="1:33">
      <c r="A61" s="105" t="s">
        <v>446</v>
      </c>
      <c r="B61" s="105" t="s">
        <v>381</v>
      </c>
      <c r="C61" s="105" t="s">
        <v>447</v>
      </c>
      <c r="D61" s="221">
        <v>500</v>
      </c>
      <c r="E61" s="221">
        <v>500</v>
      </c>
      <c r="F61" s="221">
        <v>500</v>
      </c>
      <c r="G61" s="221">
        <v>500</v>
      </c>
      <c r="H61" s="221">
        <v>500</v>
      </c>
      <c r="I61" s="221">
        <v>500</v>
      </c>
      <c r="J61" s="221">
        <v>500</v>
      </c>
      <c r="K61" s="221">
        <v>500</v>
      </c>
      <c r="L61" s="221">
        <v>500</v>
      </c>
      <c r="M61" s="221">
        <v>500</v>
      </c>
      <c r="N61" s="221">
        <v>500</v>
      </c>
      <c r="O61" s="221">
        <v>500</v>
      </c>
      <c r="P61" s="200">
        <f t="shared" si="23"/>
        <v>6000</v>
      </c>
      <c r="Q61" s="72">
        <v>169.21</v>
      </c>
      <c r="R61" s="72">
        <v>1389.96</v>
      </c>
      <c r="S61" s="72">
        <v>1200</v>
      </c>
      <c r="T61" s="72">
        <v>364.78</v>
      </c>
      <c r="U61" s="72">
        <v>364.78</v>
      </c>
      <c r="V61" s="72">
        <v>364.78</v>
      </c>
      <c r="W61" s="72">
        <v>723.09</v>
      </c>
      <c r="X61" s="72">
        <v>1198.6300000000001</v>
      </c>
      <c r="Y61" s="72">
        <v>2500</v>
      </c>
      <c r="Z61" s="72">
        <v>0</v>
      </c>
      <c r="AA61" s="72">
        <v>0</v>
      </c>
      <c r="AB61" s="72">
        <v>2500</v>
      </c>
      <c r="AC61" s="127">
        <f t="shared" si="24"/>
        <v>10775.23</v>
      </c>
      <c r="AD61" s="72">
        <f t="shared" si="25"/>
        <v>-4775.2299999999996</v>
      </c>
      <c r="AE61" s="192">
        <f t="shared" si="26"/>
        <v>-0.44316733842340256</v>
      </c>
      <c r="AF61" s="129">
        <v>197.55</v>
      </c>
      <c r="AG61" s="124">
        <f t="shared" si="17"/>
        <v>-5802.45</v>
      </c>
    </row>
    <row r="62" spans="1:33">
      <c r="A62" s="105" t="s">
        <v>273</v>
      </c>
      <c r="C62" s="105" t="s">
        <v>448</v>
      </c>
      <c r="D62" s="221">
        <v>0</v>
      </c>
      <c r="E62" s="221">
        <v>0</v>
      </c>
      <c r="F62" s="221">
        <v>0</v>
      </c>
      <c r="G62" s="221">
        <v>0</v>
      </c>
      <c r="H62" s="221">
        <v>0</v>
      </c>
      <c r="I62" s="221">
        <v>0</v>
      </c>
      <c r="J62" s="221">
        <v>0</v>
      </c>
      <c r="K62" s="221">
        <v>0</v>
      </c>
      <c r="L62" s="221">
        <v>0</v>
      </c>
      <c r="M62" s="221">
        <v>0</v>
      </c>
      <c r="N62" s="221">
        <v>0</v>
      </c>
      <c r="O62" s="221">
        <v>0</v>
      </c>
      <c r="P62" s="200">
        <f t="shared" si="23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4"/>
        <v>0</v>
      </c>
      <c r="AD62" s="72">
        <f t="shared" si="25"/>
        <v>0</v>
      </c>
      <c r="AE62" s="192" t="e">
        <f t="shared" si="26"/>
        <v>#DIV/0!</v>
      </c>
      <c r="AF62" s="129">
        <v>0</v>
      </c>
      <c r="AG62" s="124">
        <f t="shared" si="17"/>
        <v>0</v>
      </c>
    </row>
    <row r="63" spans="1:33">
      <c r="A63" s="105" t="s">
        <v>207</v>
      </c>
      <c r="B63" s="105" t="s">
        <v>381</v>
      </c>
      <c r="C63" s="105" t="s">
        <v>208</v>
      </c>
      <c r="D63" s="221">
        <v>2000</v>
      </c>
      <c r="E63" s="221">
        <v>3000</v>
      </c>
      <c r="F63" s="221">
        <v>2000</v>
      </c>
      <c r="G63" s="221">
        <v>2000</v>
      </c>
      <c r="H63" s="221">
        <v>3000</v>
      </c>
      <c r="I63" s="221">
        <v>1500</v>
      </c>
      <c r="J63" s="221">
        <v>2000</v>
      </c>
      <c r="K63" s="221">
        <v>3000</v>
      </c>
      <c r="L63" s="221">
        <v>1500</v>
      </c>
      <c r="M63" s="221">
        <v>2000</v>
      </c>
      <c r="N63" s="221">
        <v>2000</v>
      </c>
      <c r="O63" s="221">
        <v>3000</v>
      </c>
      <c r="P63" s="200">
        <f t="shared" si="23"/>
        <v>27000</v>
      </c>
      <c r="Q63" s="72">
        <v>2951.23</v>
      </c>
      <c r="R63" s="72">
        <v>4007.35</v>
      </c>
      <c r="S63" s="72">
        <v>2093.1999999999998</v>
      </c>
      <c r="T63" s="72">
        <v>1608.08</v>
      </c>
      <c r="U63" s="72">
        <v>2708.38</v>
      </c>
      <c r="V63" s="72">
        <v>1471.94</v>
      </c>
      <c r="W63" s="72">
        <v>2147.58</v>
      </c>
      <c r="X63" s="72">
        <v>1633.32</v>
      </c>
      <c r="Y63" s="72">
        <v>2000</v>
      </c>
      <c r="Z63" s="72">
        <v>2000</v>
      </c>
      <c r="AA63" s="72">
        <v>2000</v>
      </c>
      <c r="AB63" s="72">
        <v>3000</v>
      </c>
      <c r="AC63" s="127">
        <f t="shared" si="24"/>
        <v>27621.079999999998</v>
      </c>
      <c r="AD63" s="72">
        <f t="shared" si="25"/>
        <v>-621.07999999999811</v>
      </c>
      <c r="AE63" s="192">
        <f t="shared" si="26"/>
        <v>-2.2485724671156889E-2</v>
      </c>
      <c r="AF63" s="129">
        <v>23898.97</v>
      </c>
      <c r="AG63" s="124">
        <f t="shared" si="17"/>
        <v>-3101.0299999999988</v>
      </c>
    </row>
    <row r="64" spans="1:33">
      <c r="A64" s="105" t="s">
        <v>449</v>
      </c>
      <c r="B64" s="105" t="s">
        <v>381</v>
      </c>
      <c r="C64" s="105" t="s">
        <v>450</v>
      </c>
      <c r="D64" s="221">
        <v>114</v>
      </c>
      <c r="E64" s="221">
        <v>5000</v>
      </c>
      <c r="F64" s="221">
        <v>114</v>
      </c>
      <c r="G64" s="221">
        <v>114</v>
      </c>
      <c r="H64" s="221">
        <v>5000</v>
      </c>
      <c r="I64" s="221">
        <v>114</v>
      </c>
      <c r="J64" s="221">
        <v>114</v>
      </c>
      <c r="K64" s="221">
        <v>5000</v>
      </c>
      <c r="L64" s="221">
        <v>114</v>
      </c>
      <c r="M64" s="221">
        <v>5000</v>
      </c>
      <c r="N64" s="221">
        <v>114</v>
      </c>
      <c r="O64" s="221">
        <v>4000</v>
      </c>
      <c r="P64" s="200">
        <f t="shared" si="23"/>
        <v>24798</v>
      </c>
      <c r="Q64" s="72">
        <v>114.35</v>
      </c>
      <c r="R64" s="72">
        <v>3512.41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24"/>
        <v>4132.5599999999995</v>
      </c>
      <c r="AD64" s="72">
        <f t="shared" si="25"/>
        <v>20665.440000000002</v>
      </c>
      <c r="AE64" s="192">
        <f t="shared" si="26"/>
        <v>5.0006388292003034</v>
      </c>
      <c r="AF64" s="129">
        <v>2015.1200000000003</v>
      </c>
      <c r="AG64" s="124">
        <f t="shared" si="17"/>
        <v>-22782.880000000001</v>
      </c>
    </row>
    <row r="65" spans="1:33">
      <c r="A65" s="105" t="s">
        <v>273</v>
      </c>
      <c r="C65" s="105" t="s">
        <v>451</v>
      </c>
      <c r="D65" s="221">
        <v>0</v>
      </c>
      <c r="E65" s="221">
        <v>0</v>
      </c>
      <c r="F65" s="221">
        <v>0</v>
      </c>
      <c r="G65" s="221">
        <v>0</v>
      </c>
      <c r="H65" s="221">
        <v>0</v>
      </c>
      <c r="I65" s="221">
        <v>0</v>
      </c>
      <c r="J65" s="221">
        <v>0</v>
      </c>
      <c r="K65" s="221">
        <v>0</v>
      </c>
      <c r="L65" s="221">
        <v>0</v>
      </c>
      <c r="M65" s="221">
        <v>0</v>
      </c>
      <c r="N65" s="221">
        <v>0</v>
      </c>
      <c r="O65" s="221">
        <v>0</v>
      </c>
      <c r="P65" s="200">
        <f t="shared" si="23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4"/>
        <v>0</v>
      </c>
      <c r="AD65" s="72">
        <f t="shared" si="25"/>
        <v>0</v>
      </c>
      <c r="AE65" s="192" t="e">
        <f t="shared" si="26"/>
        <v>#DIV/0!</v>
      </c>
      <c r="AF65" s="129">
        <v>0</v>
      </c>
      <c r="AG65" s="124">
        <f t="shared" si="17"/>
        <v>0</v>
      </c>
    </row>
    <row r="66" spans="1:33">
      <c r="A66" s="105" t="s">
        <v>452</v>
      </c>
      <c r="B66" s="105" t="s">
        <v>381</v>
      </c>
      <c r="C66" s="105" t="s">
        <v>453</v>
      </c>
      <c r="D66" s="221">
        <v>0</v>
      </c>
      <c r="E66" s="221">
        <v>0</v>
      </c>
      <c r="F66" s="221">
        <v>0</v>
      </c>
      <c r="G66" s="221">
        <v>0</v>
      </c>
      <c r="H66" s="221">
        <v>0</v>
      </c>
      <c r="I66" s="221">
        <v>0</v>
      </c>
      <c r="J66" s="221">
        <v>0</v>
      </c>
      <c r="K66" s="221">
        <v>0</v>
      </c>
      <c r="L66" s="221">
        <v>0</v>
      </c>
      <c r="M66" s="221">
        <v>0</v>
      </c>
      <c r="N66" s="221">
        <v>0</v>
      </c>
      <c r="O66" s="221">
        <v>0</v>
      </c>
      <c r="P66" s="200">
        <f t="shared" si="23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4"/>
        <v>0</v>
      </c>
      <c r="AD66" s="72">
        <f t="shared" si="25"/>
        <v>0</v>
      </c>
      <c r="AE66" s="192" t="e">
        <f t="shared" si="26"/>
        <v>#DIV/0!</v>
      </c>
      <c r="AF66" s="129">
        <v>0</v>
      </c>
      <c r="AG66" s="124">
        <f t="shared" si="17"/>
        <v>0</v>
      </c>
    </row>
    <row r="67" spans="1:33">
      <c r="A67" s="105" t="s">
        <v>454</v>
      </c>
      <c r="B67" s="105" t="s">
        <v>381</v>
      </c>
      <c r="C67" s="105" t="s">
        <v>455</v>
      </c>
      <c r="D67" s="221">
        <v>0</v>
      </c>
      <c r="E67" s="221">
        <v>0</v>
      </c>
      <c r="F67" s="221">
        <v>0</v>
      </c>
      <c r="G67" s="221">
        <v>0</v>
      </c>
      <c r="H67" s="221">
        <v>0</v>
      </c>
      <c r="I67" s="221">
        <v>0</v>
      </c>
      <c r="J67" s="221">
        <v>0</v>
      </c>
      <c r="K67" s="221">
        <v>0</v>
      </c>
      <c r="L67" s="221">
        <v>0</v>
      </c>
      <c r="M67" s="221">
        <v>0</v>
      </c>
      <c r="N67" s="221">
        <v>0</v>
      </c>
      <c r="O67" s="221">
        <v>0</v>
      </c>
      <c r="P67" s="200">
        <f t="shared" si="23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4"/>
        <v>0</v>
      </c>
      <c r="AD67" s="136">
        <f t="shared" si="25"/>
        <v>0</v>
      </c>
      <c r="AE67" s="196" t="e">
        <f t="shared" si="26"/>
        <v>#DIV/0!</v>
      </c>
      <c r="AF67" s="133">
        <v>0</v>
      </c>
      <c r="AG67" s="124">
        <f t="shared" si="17"/>
        <v>0</v>
      </c>
    </row>
    <row r="68" spans="1:33">
      <c r="A68" s="105" t="s">
        <v>456</v>
      </c>
      <c r="B68" s="105" t="s">
        <v>381</v>
      </c>
      <c r="C68" s="105" t="s">
        <v>457</v>
      </c>
      <c r="D68" s="221">
        <v>0</v>
      </c>
      <c r="E68" s="221">
        <v>0</v>
      </c>
      <c r="F68" s="221">
        <v>0</v>
      </c>
      <c r="G68" s="221">
        <v>0</v>
      </c>
      <c r="H68" s="221">
        <v>0</v>
      </c>
      <c r="I68" s="221">
        <v>0</v>
      </c>
      <c r="J68" s="221">
        <v>0</v>
      </c>
      <c r="K68" s="221">
        <v>0</v>
      </c>
      <c r="L68" s="221">
        <v>0</v>
      </c>
      <c r="M68" s="221">
        <v>0</v>
      </c>
      <c r="N68" s="221">
        <v>0</v>
      </c>
      <c r="O68" s="221">
        <v>0</v>
      </c>
      <c r="P68" s="200">
        <f t="shared" si="23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4"/>
        <v>0</v>
      </c>
      <c r="AD68" s="136">
        <f t="shared" si="25"/>
        <v>0</v>
      </c>
      <c r="AE68" s="196" t="e">
        <f t="shared" si="26"/>
        <v>#DIV/0!</v>
      </c>
      <c r="AF68" s="133">
        <v>0</v>
      </c>
      <c r="AG68" s="124">
        <f t="shared" si="17"/>
        <v>0</v>
      </c>
    </row>
    <row r="69" spans="1:33">
      <c r="A69" s="105" t="s">
        <v>532</v>
      </c>
      <c r="C69" s="105" t="s">
        <v>458</v>
      </c>
      <c r="D69" s="221">
        <v>0</v>
      </c>
      <c r="E69" s="221">
        <v>0</v>
      </c>
      <c r="F69" s="221">
        <v>0</v>
      </c>
      <c r="G69" s="221">
        <v>0</v>
      </c>
      <c r="H69" s="221">
        <v>0</v>
      </c>
      <c r="I69" s="221">
        <v>0</v>
      </c>
      <c r="J69" s="221">
        <v>0</v>
      </c>
      <c r="K69" s="221">
        <v>0</v>
      </c>
      <c r="L69" s="221">
        <v>0</v>
      </c>
      <c r="M69" s="221">
        <v>0</v>
      </c>
      <c r="N69" s="221">
        <v>0</v>
      </c>
      <c r="O69" s="221">
        <v>0</v>
      </c>
      <c r="P69" s="200">
        <f t="shared" si="23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4"/>
        <v>0</v>
      </c>
      <c r="AD69" s="136">
        <f t="shared" si="25"/>
        <v>0</v>
      </c>
      <c r="AE69" s="196" t="e">
        <f t="shared" si="26"/>
        <v>#DIV/0!</v>
      </c>
      <c r="AF69" s="133">
        <v>0</v>
      </c>
      <c r="AG69" s="124">
        <f t="shared" si="17"/>
        <v>0</v>
      </c>
    </row>
    <row r="70" spans="1:33">
      <c r="A70" s="105" t="s">
        <v>209</v>
      </c>
      <c r="B70" s="105" t="s">
        <v>381</v>
      </c>
      <c r="C70" s="105" t="s">
        <v>210</v>
      </c>
      <c r="D70" s="221">
        <v>0</v>
      </c>
      <c r="E70" s="221">
        <v>0</v>
      </c>
      <c r="F70" s="221">
        <v>0</v>
      </c>
      <c r="G70" s="221">
        <v>0</v>
      </c>
      <c r="H70" s="221">
        <v>0</v>
      </c>
      <c r="I70" s="221">
        <v>0</v>
      </c>
      <c r="J70" s="221">
        <v>0</v>
      </c>
      <c r="K70" s="221">
        <v>0</v>
      </c>
      <c r="L70" s="221">
        <v>0</v>
      </c>
      <c r="M70" s="221">
        <v>0</v>
      </c>
      <c r="N70" s="221">
        <v>0</v>
      </c>
      <c r="O70" s="221">
        <v>0</v>
      </c>
      <c r="P70" s="200">
        <f t="shared" si="23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4"/>
        <v>0</v>
      </c>
      <c r="AD70" s="136">
        <f t="shared" si="25"/>
        <v>0</v>
      </c>
      <c r="AE70" s="196" t="e">
        <f t="shared" si="26"/>
        <v>#DIV/0!</v>
      </c>
      <c r="AF70" s="133">
        <v>0</v>
      </c>
      <c r="AG70" s="124">
        <f t="shared" si="17"/>
        <v>0</v>
      </c>
    </row>
    <row r="71" spans="1:33">
      <c r="A71" s="105" t="s">
        <v>211</v>
      </c>
      <c r="B71" s="105" t="s">
        <v>381</v>
      </c>
      <c r="C71" s="105" t="s">
        <v>212</v>
      </c>
      <c r="D71" s="221">
        <v>400</v>
      </c>
      <c r="E71" s="221">
        <v>400</v>
      </c>
      <c r="F71" s="221">
        <v>400</v>
      </c>
      <c r="G71" s="221">
        <v>400</v>
      </c>
      <c r="H71" s="221">
        <v>400</v>
      </c>
      <c r="I71" s="221">
        <v>400</v>
      </c>
      <c r="J71" s="221">
        <v>400</v>
      </c>
      <c r="K71" s="221">
        <v>400</v>
      </c>
      <c r="L71" s="221">
        <v>400</v>
      </c>
      <c r="M71" s="221">
        <v>400</v>
      </c>
      <c r="N71" s="221">
        <v>400</v>
      </c>
      <c r="O71" s="221">
        <v>400</v>
      </c>
      <c r="P71" s="200">
        <f t="shared" si="23"/>
        <v>4800</v>
      </c>
      <c r="Q71" s="136">
        <v>373</v>
      </c>
      <c r="R71" s="136">
        <v>239</v>
      </c>
      <c r="S71" s="136">
        <v>161.07</v>
      </c>
      <c r="T71" s="136">
        <v>0</v>
      </c>
      <c r="U71" s="136">
        <v>400</v>
      </c>
      <c r="V71" s="136">
        <v>364</v>
      </c>
      <c r="W71" s="72">
        <v>424.82</v>
      </c>
      <c r="X71" s="72">
        <v>512.5</v>
      </c>
      <c r="Y71" s="72">
        <v>300</v>
      </c>
      <c r="Z71" s="72">
        <v>300</v>
      </c>
      <c r="AA71" s="72">
        <v>300</v>
      </c>
      <c r="AB71" s="72">
        <v>300</v>
      </c>
      <c r="AC71" s="137">
        <f t="shared" si="24"/>
        <v>3674.39</v>
      </c>
      <c r="AD71" s="136">
        <f t="shared" si="25"/>
        <v>1125.6100000000001</v>
      </c>
      <c r="AE71" s="196">
        <f t="shared" si="26"/>
        <v>0.30633928352733386</v>
      </c>
      <c r="AF71" s="133">
        <v>9330.7599999999984</v>
      </c>
      <c r="AG71" s="124">
        <f t="shared" si="17"/>
        <v>4530.7599999999984</v>
      </c>
    </row>
    <row r="72" spans="1:33">
      <c r="A72" s="105" t="s">
        <v>213</v>
      </c>
      <c r="B72" s="105" t="s">
        <v>381</v>
      </c>
      <c r="C72" s="105" t="s">
        <v>214</v>
      </c>
      <c r="D72" s="222">
        <f>Laundry!E128</f>
        <v>2984</v>
      </c>
      <c r="E72" s="222">
        <f>Laundry!F128</f>
        <v>2720</v>
      </c>
      <c r="F72" s="222">
        <f>Laundry!G128</f>
        <v>2751</v>
      </c>
      <c r="G72" s="222">
        <f>Laundry!H128</f>
        <v>2827</v>
      </c>
      <c r="H72" s="222">
        <f>Laundry!I128</f>
        <v>2906</v>
      </c>
      <c r="I72" s="222">
        <f>Laundry!J128</f>
        <v>2777</v>
      </c>
      <c r="J72" s="222">
        <f>Laundry!K128</f>
        <v>2961</v>
      </c>
      <c r="K72" s="222">
        <f>Laundry!L128</f>
        <v>2947</v>
      </c>
      <c r="L72" s="222">
        <f>Laundry!M128</f>
        <v>2845</v>
      </c>
      <c r="M72" s="222">
        <f>Laundry!N128</f>
        <v>3237</v>
      </c>
      <c r="N72" s="222">
        <f>Laundry!O128</f>
        <v>2859</v>
      </c>
      <c r="O72" s="222">
        <f>Laundry!P128</f>
        <v>2845</v>
      </c>
      <c r="P72" s="200">
        <f t="shared" si="23"/>
        <v>34659</v>
      </c>
      <c r="Q72" s="136">
        <v>4219</v>
      </c>
      <c r="R72" s="136">
        <v>4547.2299999999996</v>
      </c>
      <c r="S72" s="136">
        <v>3110.37</v>
      </c>
      <c r="T72" s="136">
        <v>2694.08</v>
      </c>
      <c r="U72" s="136">
        <v>977.51</v>
      </c>
      <c r="V72" s="136">
        <v>2769.56</v>
      </c>
      <c r="W72" s="72">
        <v>2532.37</v>
      </c>
      <c r="X72" s="72">
        <v>2255.91</v>
      </c>
      <c r="Y72" s="72">
        <v>2371</v>
      </c>
      <c r="Z72" s="72">
        <v>2652</v>
      </c>
      <c r="AA72" s="72">
        <v>2229</v>
      </c>
      <c r="AB72" s="72">
        <v>2279</v>
      </c>
      <c r="AC72" s="137">
        <f t="shared" si="24"/>
        <v>32637.03</v>
      </c>
      <c r="AD72" s="136">
        <f t="shared" si="25"/>
        <v>2021.9700000000012</v>
      </c>
      <c r="AE72" s="196">
        <f t="shared" si="26"/>
        <v>6.1953247584109257E-2</v>
      </c>
      <c r="AF72" s="133">
        <v>19080.629999999997</v>
      </c>
      <c r="AG72" s="124">
        <f t="shared" si="17"/>
        <v>-15578.370000000003</v>
      </c>
    </row>
    <row r="73" spans="1:33">
      <c r="A73" s="105" t="s">
        <v>306</v>
      </c>
      <c r="B73" s="105" t="s">
        <v>381</v>
      </c>
      <c r="C73" s="105" t="s">
        <v>206</v>
      </c>
      <c r="D73" s="221">
        <v>0</v>
      </c>
      <c r="E73" s="221">
        <v>0</v>
      </c>
      <c r="F73" s="221">
        <v>0</v>
      </c>
      <c r="G73" s="221">
        <v>0</v>
      </c>
      <c r="H73" s="221">
        <v>0</v>
      </c>
      <c r="I73" s="221">
        <v>0</v>
      </c>
      <c r="J73" s="221">
        <v>0</v>
      </c>
      <c r="K73" s="221">
        <v>0</v>
      </c>
      <c r="L73" s="221">
        <v>0</v>
      </c>
      <c r="M73" s="221">
        <v>0</v>
      </c>
      <c r="N73" s="221">
        <v>0</v>
      </c>
      <c r="O73" s="221">
        <v>0</v>
      </c>
      <c r="P73" s="200">
        <f t="shared" si="23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4"/>
        <v>0</v>
      </c>
      <c r="AD73" s="136">
        <f t="shared" si="25"/>
        <v>0</v>
      </c>
      <c r="AE73" s="196" t="e">
        <f t="shared" si="26"/>
        <v>#DIV/0!</v>
      </c>
      <c r="AF73" s="133">
        <v>0</v>
      </c>
      <c r="AG73" s="124">
        <f t="shared" si="17"/>
        <v>0</v>
      </c>
    </row>
    <row r="74" spans="1:33">
      <c r="A74" s="105" t="s">
        <v>215</v>
      </c>
      <c r="B74" s="105" t="s">
        <v>381</v>
      </c>
      <c r="C74" s="105" t="s">
        <v>216</v>
      </c>
      <c r="D74" s="221">
        <v>80</v>
      </c>
      <c r="E74" s="221">
        <v>80</v>
      </c>
      <c r="F74" s="221">
        <v>80</v>
      </c>
      <c r="G74" s="221">
        <v>80</v>
      </c>
      <c r="H74" s="221">
        <v>80</v>
      </c>
      <c r="I74" s="221">
        <v>80</v>
      </c>
      <c r="J74" s="221">
        <v>80</v>
      </c>
      <c r="K74" s="221">
        <v>80</v>
      </c>
      <c r="L74" s="221">
        <v>80</v>
      </c>
      <c r="M74" s="221">
        <v>80</v>
      </c>
      <c r="N74" s="221">
        <v>80</v>
      </c>
      <c r="O74" s="221">
        <v>80</v>
      </c>
      <c r="P74" s="200">
        <f t="shared" si="23"/>
        <v>960</v>
      </c>
      <c r="Q74" s="136">
        <v>86.78</v>
      </c>
      <c r="R74" s="136">
        <v>86.2</v>
      </c>
      <c r="S74" s="136">
        <v>85.6</v>
      </c>
      <c r="T74" s="136">
        <v>86</v>
      </c>
      <c r="U74" s="136">
        <v>86.2</v>
      </c>
      <c r="V74" s="136">
        <v>205.9</v>
      </c>
      <c r="W74" s="72">
        <v>26.2</v>
      </c>
      <c r="X74" s="72">
        <v>86.3</v>
      </c>
      <c r="Y74" s="72">
        <v>80</v>
      </c>
      <c r="Z74" s="72">
        <v>80</v>
      </c>
      <c r="AA74" s="72">
        <v>80</v>
      </c>
      <c r="AB74" s="72">
        <v>80</v>
      </c>
      <c r="AC74" s="137">
        <f t="shared" si="24"/>
        <v>1069.18</v>
      </c>
      <c r="AD74" s="136">
        <f t="shared" si="25"/>
        <v>-109.18000000000006</v>
      </c>
      <c r="AE74" s="196">
        <f t="shared" si="26"/>
        <v>-0.1021156400231954</v>
      </c>
      <c r="AF74" s="133">
        <v>837.7199999999998</v>
      </c>
      <c r="AG74" s="124">
        <f t="shared" si="17"/>
        <v>-122.2800000000002</v>
      </c>
    </row>
    <row r="75" spans="1:33">
      <c r="A75" s="105" t="s">
        <v>217</v>
      </c>
      <c r="B75" s="105" t="s">
        <v>381</v>
      </c>
      <c r="C75" s="105" t="s">
        <v>218</v>
      </c>
      <c r="D75" s="221">
        <v>0</v>
      </c>
      <c r="E75" s="221">
        <v>0</v>
      </c>
      <c r="F75" s="221">
        <v>0</v>
      </c>
      <c r="G75" s="221">
        <v>0</v>
      </c>
      <c r="H75" s="221">
        <v>0</v>
      </c>
      <c r="I75" s="221">
        <v>0</v>
      </c>
      <c r="J75" s="221">
        <v>0</v>
      </c>
      <c r="K75" s="221">
        <v>0</v>
      </c>
      <c r="L75" s="221">
        <v>0</v>
      </c>
      <c r="M75" s="221">
        <v>0</v>
      </c>
      <c r="N75" s="221">
        <v>0</v>
      </c>
      <c r="O75" s="221">
        <v>0</v>
      </c>
      <c r="P75" s="200">
        <f t="shared" si="23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24"/>
        <v>0</v>
      </c>
      <c r="AD75" s="136">
        <f t="shared" si="25"/>
        <v>0</v>
      </c>
      <c r="AE75" s="196" t="e">
        <f t="shared" si="26"/>
        <v>#DIV/0!</v>
      </c>
      <c r="AF75" s="133">
        <v>168.73</v>
      </c>
      <c r="AG75" s="124">
        <f t="shared" si="17"/>
        <v>168.73</v>
      </c>
    </row>
    <row r="76" spans="1:33">
      <c r="A76" s="105" t="s">
        <v>219</v>
      </c>
      <c r="B76" s="105" t="s">
        <v>381</v>
      </c>
      <c r="C76" s="105" t="s">
        <v>220</v>
      </c>
      <c r="D76" s="221">
        <v>0</v>
      </c>
      <c r="E76" s="221">
        <v>0</v>
      </c>
      <c r="F76" s="221">
        <v>0</v>
      </c>
      <c r="G76" s="221">
        <v>0</v>
      </c>
      <c r="H76" s="221">
        <v>0</v>
      </c>
      <c r="I76" s="221">
        <v>0</v>
      </c>
      <c r="J76" s="221">
        <v>0</v>
      </c>
      <c r="K76" s="221">
        <v>0</v>
      </c>
      <c r="L76" s="221">
        <v>0</v>
      </c>
      <c r="M76" s="221">
        <v>0</v>
      </c>
      <c r="N76" s="221">
        <v>0</v>
      </c>
      <c r="O76" s="221">
        <v>0</v>
      </c>
      <c r="P76" s="200">
        <f t="shared" si="23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4"/>
        <v>0</v>
      </c>
      <c r="AD76" s="136">
        <f t="shared" si="25"/>
        <v>0</v>
      </c>
      <c r="AE76" s="196" t="e">
        <f t="shared" si="26"/>
        <v>#DIV/0!</v>
      </c>
      <c r="AF76" s="133">
        <v>0</v>
      </c>
      <c r="AG76" s="124">
        <f t="shared" si="17"/>
        <v>0</v>
      </c>
    </row>
    <row r="77" spans="1:33">
      <c r="A77" s="105" t="s">
        <v>273</v>
      </c>
      <c r="C77" s="105" t="s">
        <v>459</v>
      </c>
      <c r="D77" s="221">
        <v>0</v>
      </c>
      <c r="E77" s="221">
        <v>0</v>
      </c>
      <c r="F77" s="221">
        <v>0</v>
      </c>
      <c r="G77" s="221">
        <v>0</v>
      </c>
      <c r="H77" s="221">
        <v>0</v>
      </c>
      <c r="I77" s="221">
        <v>0</v>
      </c>
      <c r="J77" s="221">
        <v>0</v>
      </c>
      <c r="K77" s="221">
        <v>0</v>
      </c>
      <c r="L77" s="221">
        <v>0</v>
      </c>
      <c r="M77" s="221">
        <v>0</v>
      </c>
      <c r="N77" s="221">
        <v>0</v>
      </c>
      <c r="O77" s="221">
        <v>0</v>
      </c>
      <c r="P77" s="200">
        <f t="shared" si="23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4"/>
        <v>0</v>
      </c>
      <c r="AD77" s="136">
        <f t="shared" si="25"/>
        <v>0</v>
      </c>
      <c r="AE77" s="196" t="e">
        <f t="shared" si="26"/>
        <v>#DIV/0!</v>
      </c>
      <c r="AF77" s="133">
        <v>0</v>
      </c>
      <c r="AG77" s="124">
        <f t="shared" si="17"/>
        <v>0</v>
      </c>
    </row>
    <row r="78" spans="1:33">
      <c r="A78" s="105" t="s">
        <v>221</v>
      </c>
      <c r="B78" s="105" t="s">
        <v>381</v>
      </c>
      <c r="C78" s="105" t="s">
        <v>222</v>
      </c>
      <c r="D78" s="221">
        <v>2000</v>
      </c>
      <c r="E78" s="221">
        <v>2000</v>
      </c>
      <c r="F78" s="221">
        <v>2000</v>
      </c>
      <c r="G78" s="221">
        <v>2000</v>
      </c>
      <c r="H78" s="221">
        <v>2000</v>
      </c>
      <c r="I78" s="221">
        <v>0</v>
      </c>
      <c r="J78" s="221">
        <v>2000</v>
      </c>
      <c r="K78" s="221">
        <v>2000</v>
      </c>
      <c r="L78" s="221">
        <v>0</v>
      </c>
      <c r="M78" s="221">
        <v>2000</v>
      </c>
      <c r="N78" s="221">
        <v>2000</v>
      </c>
      <c r="O78" s="221">
        <v>2000</v>
      </c>
      <c r="P78" s="200">
        <f t="shared" si="23"/>
        <v>20000</v>
      </c>
      <c r="Q78" s="136">
        <v>1240.1600000000001</v>
      </c>
      <c r="R78" s="136">
        <v>1490.43</v>
      </c>
      <c r="S78" s="136">
        <v>2176.96</v>
      </c>
      <c r="T78" s="136">
        <v>1366.8</v>
      </c>
      <c r="U78" s="136">
        <v>5056.4799999999996</v>
      </c>
      <c r="V78" s="136">
        <v>2538.4699999999998</v>
      </c>
      <c r="W78" s="72">
        <v>1331.32</v>
      </c>
      <c r="X78" s="72">
        <v>1217.82</v>
      </c>
      <c r="Y78" s="72">
        <v>899</v>
      </c>
      <c r="Z78" s="72">
        <v>1062</v>
      </c>
      <c r="AA78" s="72">
        <v>953</v>
      </c>
      <c r="AB78" s="72">
        <v>1032</v>
      </c>
      <c r="AC78" s="137">
        <f t="shared" si="24"/>
        <v>20364.439999999999</v>
      </c>
      <c r="AD78" s="136">
        <f t="shared" si="25"/>
        <v>-364.43999999999869</v>
      </c>
      <c r="AE78" s="196">
        <f t="shared" si="26"/>
        <v>-1.7895900893911087E-2</v>
      </c>
      <c r="AF78" s="133">
        <v>24565</v>
      </c>
      <c r="AG78" s="124">
        <f t="shared" si="17"/>
        <v>4565</v>
      </c>
    </row>
    <row r="79" spans="1:33">
      <c r="A79" s="105" t="s">
        <v>505</v>
      </c>
      <c r="B79" s="105" t="s">
        <v>381</v>
      </c>
      <c r="C79" s="105" t="s">
        <v>506</v>
      </c>
      <c r="D79" s="223">
        <f>SUM('F&amp;B Admin:Main Kichen'!D160)</f>
        <v>73760</v>
      </c>
      <c r="E79" s="223">
        <f>SUM('F&amp;B Admin:Main Kichen'!E160)</f>
        <v>63016</v>
      </c>
      <c r="F79" s="223">
        <f>SUM('F&amp;B Admin:Main Kichen'!F160)</f>
        <v>70853</v>
      </c>
      <c r="G79" s="223">
        <f>SUM('F&amp;B Admin:Main Kichen'!G160)</f>
        <v>72509</v>
      </c>
      <c r="H79" s="223">
        <f>SUM('F&amp;B Admin:Main Kichen'!H160)</f>
        <v>73841</v>
      </c>
      <c r="I79" s="223">
        <f>SUM('F&amp;B Admin:Main Kichen'!I160)</f>
        <v>69099</v>
      </c>
      <c r="J79" s="223">
        <f>SUM('F&amp;B Admin:Main Kichen'!J160)</f>
        <v>61580</v>
      </c>
      <c r="K79" s="223">
        <f>SUM('F&amp;B Admin:Main Kichen'!K160)</f>
        <v>68328</v>
      </c>
      <c r="L79" s="223">
        <f>SUM('F&amp;B Admin:Main Kichen'!L160)</f>
        <v>69694</v>
      </c>
      <c r="M79" s="223">
        <f>SUM('F&amp;B Admin:Main Kichen'!M160)</f>
        <v>77245</v>
      </c>
      <c r="N79" s="223">
        <f>SUM('F&amp;B Admin:Main Kichen'!N160)</f>
        <v>66651</v>
      </c>
      <c r="O79" s="223">
        <f>SUM('F&amp;B Admin:Main Kichen'!O160)</f>
        <v>60052</v>
      </c>
      <c r="P79" s="135">
        <f>SUM(D79:O79)</f>
        <v>826628</v>
      </c>
      <c r="Q79" s="136">
        <v>81984.12</v>
      </c>
      <c r="R79" s="136">
        <v>98834.62</v>
      </c>
      <c r="S79" s="136">
        <v>91093.94</v>
      </c>
      <c r="T79" s="136">
        <v>93035.94</v>
      </c>
      <c r="U79" s="136">
        <v>59049.26</v>
      </c>
      <c r="V79" s="136">
        <v>62652.57</v>
      </c>
      <c r="W79" s="72">
        <v>69309.179999999993</v>
      </c>
      <c r="X79" s="72">
        <v>61554.34</v>
      </c>
      <c r="Y79" s="72">
        <v>87946</v>
      </c>
      <c r="Z79" s="72">
        <v>68741</v>
      </c>
      <c r="AA79" s="72">
        <v>66535</v>
      </c>
      <c r="AB79" s="72">
        <v>57184</v>
      </c>
      <c r="AC79" s="137">
        <f t="shared" si="24"/>
        <v>897919.97</v>
      </c>
      <c r="AD79" s="136">
        <f t="shared" si="25"/>
        <v>-71291.969999999972</v>
      </c>
      <c r="AE79" s="196">
        <f t="shared" si="26"/>
        <v>-7.9396797467373367E-2</v>
      </c>
      <c r="AF79" s="133">
        <v>783495.46</v>
      </c>
      <c r="AG79" s="124">
        <f t="shared" si="17"/>
        <v>-43132.540000000037</v>
      </c>
    </row>
    <row r="80" spans="1:33">
      <c r="C80" s="109" t="s">
        <v>507</v>
      </c>
      <c r="D80" s="137">
        <f t="shared" ref="D80:O80" si="28">SUM(D38:D79)</f>
        <v>135426.85</v>
      </c>
      <c r="E80" s="137">
        <f t="shared" si="28"/>
        <v>150418.34</v>
      </c>
      <c r="F80" s="137">
        <f t="shared" si="28"/>
        <v>117520.34</v>
      </c>
      <c r="G80" s="137">
        <f t="shared" si="28"/>
        <v>124536.26</v>
      </c>
      <c r="H80" s="137">
        <f t="shared" si="28"/>
        <v>135703.6</v>
      </c>
      <c r="I80" s="137">
        <f t="shared" si="28"/>
        <v>116617</v>
      </c>
      <c r="J80" s="137">
        <f t="shared" si="28"/>
        <v>117256</v>
      </c>
      <c r="K80" s="137">
        <f t="shared" si="28"/>
        <v>130983</v>
      </c>
      <c r="L80" s="137">
        <f t="shared" si="28"/>
        <v>116416</v>
      </c>
      <c r="M80" s="137">
        <f t="shared" si="28"/>
        <v>146171.76</v>
      </c>
      <c r="N80" s="137">
        <f t="shared" si="28"/>
        <v>119033</v>
      </c>
      <c r="O80" s="137">
        <f t="shared" si="28"/>
        <v>119286</v>
      </c>
      <c r="P80" s="135">
        <f>SUM(P38:P79)</f>
        <v>1529368.15</v>
      </c>
      <c r="Q80" s="137">
        <f t="shared" ref="Q80:AC80" si="29">SUM(Q38:Q79)</f>
        <v>158935.62</v>
      </c>
      <c r="R80" s="137">
        <f t="shared" si="29"/>
        <v>255512.49000000002</v>
      </c>
      <c r="S80" s="137">
        <f t="shared" si="29"/>
        <v>164675.32</v>
      </c>
      <c r="T80" s="137">
        <f t="shared" si="29"/>
        <v>145379.96</v>
      </c>
      <c r="U80" s="137">
        <f t="shared" si="29"/>
        <v>122005.10999999999</v>
      </c>
      <c r="V80" s="137">
        <f t="shared" si="29"/>
        <v>116600.73999999999</v>
      </c>
      <c r="W80" s="137">
        <f t="shared" si="29"/>
        <v>126202.60999999999</v>
      </c>
      <c r="X80" s="137">
        <f t="shared" si="29"/>
        <v>131947.48000000004</v>
      </c>
      <c r="Y80" s="137">
        <f t="shared" si="29"/>
        <v>120939.61</v>
      </c>
      <c r="Z80" s="137">
        <f t="shared" si="29"/>
        <v>93656.9</v>
      </c>
      <c r="AA80" s="137">
        <f t="shared" si="29"/>
        <v>89600.27</v>
      </c>
      <c r="AB80" s="137">
        <f t="shared" si="29"/>
        <v>86111.69</v>
      </c>
      <c r="AC80" s="137">
        <f t="shared" si="29"/>
        <v>1611567.8</v>
      </c>
      <c r="AD80" s="136">
        <f t="shared" si="25"/>
        <v>-82199.65000000014</v>
      </c>
      <c r="AE80" s="196">
        <f t="shared" si="26"/>
        <v>-5.1006014143494392E-2</v>
      </c>
      <c r="AF80" s="133">
        <v>1143247.45</v>
      </c>
      <c r="AG80" s="124">
        <f t="shared" si="17"/>
        <v>-386120.69999999995</v>
      </c>
    </row>
    <row r="81" spans="1:33">
      <c r="C81" s="109" t="s">
        <v>508</v>
      </c>
      <c r="D81" s="137">
        <f t="shared" ref="D81:AC81" si="30">D27-D33-D35-D80</f>
        <v>166557.56000000003</v>
      </c>
      <c r="E81" s="137">
        <f t="shared" si="30"/>
        <v>114726.82000000004</v>
      </c>
      <c r="F81" s="137">
        <f t="shared" si="30"/>
        <v>82135.070000000007</v>
      </c>
      <c r="G81" s="137">
        <f t="shared" si="30"/>
        <v>43589.680000000008</v>
      </c>
      <c r="H81" s="137">
        <f t="shared" si="30"/>
        <v>17243.78</v>
      </c>
      <c r="I81" s="137">
        <f t="shared" si="30"/>
        <v>18657.070000000007</v>
      </c>
      <c r="J81" s="137">
        <f t="shared" si="30"/>
        <v>81534.539999999979</v>
      </c>
      <c r="K81" s="137">
        <f t="shared" si="30"/>
        <v>123510.44</v>
      </c>
      <c r="L81" s="137">
        <f t="shared" si="30"/>
        <v>23178.440000000002</v>
      </c>
      <c r="M81" s="137">
        <f t="shared" si="30"/>
        <v>-1416.140000000014</v>
      </c>
      <c r="N81" s="137">
        <f t="shared" si="30"/>
        <v>54069.599999999977</v>
      </c>
      <c r="O81" s="137">
        <f t="shared" si="30"/>
        <v>83257.5</v>
      </c>
      <c r="P81" s="135">
        <f t="shared" si="30"/>
        <v>807044.35999999987</v>
      </c>
      <c r="Q81" s="137">
        <f t="shared" si="30"/>
        <v>69928.570000000007</v>
      </c>
      <c r="R81" s="137">
        <f t="shared" si="30"/>
        <v>162520.81000000026</v>
      </c>
      <c r="S81" s="137">
        <f t="shared" si="30"/>
        <v>86195.840000000084</v>
      </c>
      <c r="T81" s="137">
        <f t="shared" si="30"/>
        <v>86920.9</v>
      </c>
      <c r="U81" s="137">
        <f t="shared" si="30"/>
        <v>49535.229999999923</v>
      </c>
      <c r="V81" s="137">
        <f t="shared" si="30"/>
        <v>-13125.9200000001</v>
      </c>
      <c r="W81" s="137">
        <f t="shared" si="30"/>
        <v>105818.06000000008</v>
      </c>
      <c r="X81" s="137">
        <f t="shared" si="30"/>
        <v>96914.35</v>
      </c>
      <c r="Y81" s="137">
        <f t="shared" si="30"/>
        <v>-24630.11</v>
      </c>
      <c r="Z81" s="137">
        <f t="shared" si="30"/>
        <v>-2045.3999999999942</v>
      </c>
      <c r="AA81" s="137">
        <f t="shared" si="30"/>
        <v>29298.229999999996</v>
      </c>
      <c r="AB81" s="137">
        <f t="shared" si="30"/>
        <v>33077.81</v>
      </c>
      <c r="AC81" s="137">
        <f t="shared" si="30"/>
        <v>680408.36999999895</v>
      </c>
      <c r="AD81" s="136">
        <f t="shared" si="25"/>
        <v>126635.99000000092</v>
      </c>
      <c r="AE81" s="196">
        <f t="shared" si="26"/>
        <v>0.18611762521381259</v>
      </c>
      <c r="AF81" s="133">
        <v>1299235.1399999999</v>
      </c>
      <c r="AG81" s="124">
        <f>P81-AF81</f>
        <v>-492190.78</v>
      </c>
    </row>
    <row r="82" spans="1:33">
      <c r="C82" s="109" t="s">
        <v>509</v>
      </c>
      <c r="D82" s="213">
        <f t="shared" ref="D82:AC82" si="31">D81/D27</f>
        <v>0.19923748915936484</v>
      </c>
      <c r="E82" s="213">
        <f t="shared" si="31"/>
        <v>0.16230257331616851</v>
      </c>
      <c r="F82" s="213">
        <f t="shared" si="31"/>
        <v>0.14126268628479538</v>
      </c>
      <c r="G82" s="213">
        <f t="shared" si="31"/>
        <v>7.9301544563101511E-2</v>
      </c>
      <c r="H82" s="213">
        <f t="shared" si="31"/>
        <v>3.1371149962704896E-2</v>
      </c>
      <c r="I82" s="213">
        <f t="shared" si="31"/>
        <v>3.7445573964615814E-2</v>
      </c>
      <c r="J82" s="213">
        <f t="shared" si="31"/>
        <v>0.13543493571642135</v>
      </c>
      <c r="K82" s="213">
        <f t="shared" si="31"/>
        <v>0.1778190430256916</v>
      </c>
      <c r="L82" s="213">
        <f t="shared" si="31"/>
        <v>4.577101105845182E-2</v>
      </c>
      <c r="M82" s="213">
        <f t="shared" si="31"/>
        <v>-2.4821090232219254E-3</v>
      </c>
      <c r="N82" s="213">
        <f t="shared" si="31"/>
        <v>9.6934536881829306E-2</v>
      </c>
      <c r="O82" s="213">
        <f t="shared" si="31"/>
        <v>0.13737229240090287</v>
      </c>
      <c r="P82" s="213">
        <f t="shared" si="31"/>
        <v>0.11117422178189669</v>
      </c>
      <c r="Q82" s="213">
        <f t="shared" si="31"/>
        <v>9.9368359276612556E-2</v>
      </c>
      <c r="R82" s="213">
        <f t="shared" si="31"/>
        <v>0.15435603485636723</v>
      </c>
      <c r="S82" s="213">
        <f t="shared" si="31"/>
        <v>0.12174485921646153</v>
      </c>
      <c r="T82" s="213">
        <f t="shared" si="31"/>
        <v>0.12694573134939402</v>
      </c>
      <c r="U82" s="213">
        <f t="shared" si="31"/>
        <v>8.5410674462212982E-2</v>
      </c>
      <c r="V82" s="213">
        <f t="shared" si="31"/>
        <v>-2.784690456729591E-2</v>
      </c>
      <c r="W82" s="213">
        <f t="shared" si="31"/>
        <v>0.1601277425764519</v>
      </c>
      <c r="X82" s="213">
        <f t="shared" si="31"/>
        <v>0.14409194029934186</v>
      </c>
      <c r="Y82" s="213">
        <f t="shared" si="31"/>
        <v>-5.0603541615731204E-2</v>
      </c>
      <c r="Z82" s="213">
        <f t="shared" si="31"/>
        <v>-4.0495352359457013E-3</v>
      </c>
      <c r="AA82" s="213">
        <f t="shared" si="31"/>
        <v>5.812045348595006E-2</v>
      </c>
      <c r="AB82" s="213">
        <f t="shared" si="31"/>
        <v>6.553227698135336E-2</v>
      </c>
      <c r="AC82" s="213">
        <f t="shared" si="31"/>
        <v>9.0302591901750828E-2</v>
      </c>
      <c r="AD82" s="136">
        <f t="shared" si="25"/>
        <v>2.0871629880145862E-2</v>
      </c>
      <c r="AE82" s="105">
        <f t="shared" si="26"/>
        <v>0.23112990934805264</v>
      </c>
      <c r="AF82" s="133">
        <v>0.18908152422655747</v>
      </c>
      <c r="AG82" s="124">
        <f>P82-AF82</f>
        <v>-7.7907302444660778E-2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381</v>
      </c>
      <c r="C85" s="105" t="s">
        <v>481</v>
      </c>
      <c r="D85" s="136">
        <v>3000</v>
      </c>
      <c r="E85" s="136">
        <v>2600</v>
      </c>
      <c r="F85" s="136">
        <v>2300</v>
      </c>
      <c r="G85" s="136">
        <v>2000</v>
      </c>
      <c r="H85" s="136">
        <v>2000</v>
      </c>
      <c r="I85" s="136">
        <v>1900</v>
      </c>
      <c r="J85" s="136">
        <v>2400</v>
      </c>
      <c r="K85" s="136">
        <v>2700</v>
      </c>
      <c r="L85" s="136">
        <v>2000</v>
      </c>
      <c r="M85" s="136">
        <v>2184</v>
      </c>
      <c r="N85" s="136">
        <v>1959</v>
      </c>
      <c r="O85" s="136">
        <v>2122</v>
      </c>
      <c r="P85" s="137">
        <f>SUM(D85:O85)</f>
        <v>27165</v>
      </c>
      <c r="Q85" s="136">
        <v>3277</v>
      </c>
      <c r="R85" s="136">
        <v>3359</v>
      </c>
      <c r="S85" s="136">
        <v>3340</v>
      </c>
      <c r="T85" s="136">
        <v>3351</v>
      </c>
      <c r="U85" s="136">
        <v>2981</v>
      </c>
      <c r="V85" s="136">
        <v>2853</v>
      </c>
      <c r="W85" s="72">
        <v>3368</v>
      </c>
      <c r="X85" s="72">
        <v>3536</v>
      </c>
      <c r="Y85" s="72">
        <v>2400</v>
      </c>
      <c r="Z85" s="72">
        <v>2500</v>
      </c>
      <c r="AA85" s="72">
        <v>2500</v>
      </c>
      <c r="AB85" s="72">
        <v>2500</v>
      </c>
      <c r="AC85" s="137">
        <f>SUM(Q85:AB85)</f>
        <v>35965</v>
      </c>
      <c r="AD85" s="136">
        <f t="shared" ref="AD85:AD90" si="32">P85-AC85</f>
        <v>-8800</v>
      </c>
      <c r="AE85" s="196">
        <f t="shared" ref="AE85:AE90" si="33">AD85/AC85</f>
        <v>-0.24468233004309745</v>
      </c>
      <c r="AF85" s="133">
        <v>23584</v>
      </c>
      <c r="AG85" s="124">
        <f t="shared" ref="AG85:AG98" si="34">P85-AF85</f>
        <v>3581</v>
      </c>
    </row>
    <row r="86" spans="1:33">
      <c r="A86" s="105" t="s">
        <v>511</v>
      </c>
      <c r="B86" s="105" t="s">
        <v>381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138</v>
      </c>
      <c r="S86" s="136">
        <v>4</v>
      </c>
      <c r="T86" s="136">
        <v>51</v>
      </c>
      <c r="U86" s="136">
        <v>36</v>
      </c>
      <c r="V86" s="136">
        <v>2</v>
      </c>
      <c r="W86" s="72">
        <v>88</v>
      </c>
      <c r="X86" s="72">
        <v>155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474</v>
      </c>
      <c r="AD86" s="136">
        <f t="shared" si="32"/>
        <v>-474</v>
      </c>
      <c r="AE86" s="196">
        <f t="shared" si="33"/>
        <v>-1</v>
      </c>
      <c r="AF86" s="133">
        <v>6270</v>
      </c>
      <c r="AG86" s="124">
        <f t="shared" si="34"/>
        <v>-6270</v>
      </c>
    </row>
    <row r="87" spans="1:33">
      <c r="A87" s="105" t="s">
        <v>512</v>
      </c>
      <c r="B87" s="105" t="s">
        <v>381</v>
      </c>
      <c r="C87" s="105" t="s">
        <v>485</v>
      </c>
      <c r="D87" s="136">
        <v>1500</v>
      </c>
      <c r="E87" s="136">
        <v>1200</v>
      </c>
      <c r="F87" s="136">
        <v>1100</v>
      </c>
      <c r="G87" s="136">
        <v>1100</v>
      </c>
      <c r="H87" s="136">
        <v>1100</v>
      </c>
      <c r="I87" s="136">
        <v>1000</v>
      </c>
      <c r="J87" s="136">
        <v>1100</v>
      </c>
      <c r="K87" s="136">
        <v>1300</v>
      </c>
      <c r="L87" s="136">
        <v>1000</v>
      </c>
      <c r="M87" s="136">
        <v>1100</v>
      </c>
      <c r="N87" s="136">
        <v>1100</v>
      </c>
      <c r="O87" s="136">
        <v>1200</v>
      </c>
      <c r="P87" s="137">
        <f>SUM(D87:O87)</f>
        <v>13800</v>
      </c>
      <c r="Q87" s="136">
        <v>1084</v>
      </c>
      <c r="R87" s="136">
        <v>1145</v>
      </c>
      <c r="S87" s="136">
        <v>1057</v>
      </c>
      <c r="T87" s="136">
        <v>1005</v>
      </c>
      <c r="U87" s="136">
        <v>835</v>
      </c>
      <c r="V87" s="136">
        <v>741</v>
      </c>
      <c r="W87" s="72">
        <v>1099</v>
      </c>
      <c r="X87" s="72">
        <v>1272</v>
      </c>
      <c r="Y87" s="72">
        <v>700</v>
      </c>
      <c r="Z87" s="72">
        <v>700</v>
      </c>
      <c r="AA87" s="72">
        <v>700</v>
      </c>
      <c r="AB87" s="72">
        <v>700</v>
      </c>
      <c r="AC87" s="137">
        <f>SUM(Q87:AB87)</f>
        <v>11038</v>
      </c>
      <c r="AD87" s="136">
        <f t="shared" si="32"/>
        <v>2762</v>
      </c>
      <c r="AE87" s="196">
        <f t="shared" si="33"/>
        <v>0.25022649030621491</v>
      </c>
      <c r="AF87" s="133">
        <v>7850</v>
      </c>
      <c r="AG87" s="124">
        <f t="shared" si="34"/>
        <v>5950</v>
      </c>
    </row>
    <row r="88" spans="1:33">
      <c r="A88" s="105" t="s">
        <v>513</v>
      </c>
      <c r="B88" s="105" t="s">
        <v>381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41</v>
      </c>
      <c r="R88" s="136">
        <v>113</v>
      </c>
      <c r="S88" s="136">
        <v>35</v>
      </c>
      <c r="T88" s="136">
        <v>16</v>
      </c>
      <c r="U88" s="136">
        <v>11</v>
      </c>
      <c r="V88" s="136">
        <v>1</v>
      </c>
      <c r="W88" s="72">
        <v>15</v>
      </c>
      <c r="X88" s="72">
        <v>35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267</v>
      </c>
      <c r="AD88" s="136">
        <f t="shared" si="32"/>
        <v>-267</v>
      </c>
      <c r="AE88" s="196">
        <f t="shared" si="33"/>
        <v>-1</v>
      </c>
      <c r="AF88" s="133">
        <v>2590</v>
      </c>
      <c r="AG88" s="124">
        <f t="shared" si="34"/>
        <v>-2590</v>
      </c>
    </row>
    <row r="89" spans="1:33">
      <c r="A89" s="105" t="s">
        <v>514</v>
      </c>
      <c r="B89" s="105" t="s">
        <v>381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136">
        <f t="shared" si="32"/>
        <v>0</v>
      </c>
      <c r="AE89" s="196" t="e">
        <f t="shared" si="33"/>
        <v>#DIV/0!</v>
      </c>
      <c r="AF89" s="133">
        <v>0</v>
      </c>
      <c r="AG89" s="124">
        <f t="shared" si="34"/>
        <v>0</v>
      </c>
    </row>
    <row r="90" spans="1:33">
      <c r="C90" s="109" t="s">
        <v>462</v>
      </c>
      <c r="D90" s="137">
        <f t="shared" ref="D90:AC90" si="35">SUM(D85:D89)</f>
        <v>4500</v>
      </c>
      <c r="E90" s="137">
        <f t="shared" si="35"/>
        <v>3800</v>
      </c>
      <c r="F90" s="137">
        <f t="shared" si="35"/>
        <v>3400</v>
      </c>
      <c r="G90" s="137">
        <f t="shared" si="35"/>
        <v>3100</v>
      </c>
      <c r="H90" s="137">
        <f t="shared" si="35"/>
        <v>3100</v>
      </c>
      <c r="I90" s="137">
        <f t="shared" si="35"/>
        <v>2900</v>
      </c>
      <c r="J90" s="137">
        <f t="shared" si="35"/>
        <v>3500</v>
      </c>
      <c r="K90" s="137">
        <f t="shared" si="35"/>
        <v>4000</v>
      </c>
      <c r="L90" s="137">
        <f t="shared" si="35"/>
        <v>3000</v>
      </c>
      <c r="M90" s="137">
        <f t="shared" si="35"/>
        <v>3284</v>
      </c>
      <c r="N90" s="137">
        <f t="shared" si="35"/>
        <v>3059</v>
      </c>
      <c r="O90" s="137">
        <f t="shared" si="35"/>
        <v>3322</v>
      </c>
      <c r="P90" s="137">
        <f t="shared" si="35"/>
        <v>40965</v>
      </c>
      <c r="Q90" s="137">
        <f t="shared" si="35"/>
        <v>4402</v>
      </c>
      <c r="R90" s="137">
        <f t="shared" si="35"/>
        <v>4755</v>
      </c>
      <c r="S90" s="137">
        <f t="shared" si="35"/>
        <v>4436</v>
      </c>
      <c r="T90" s="137">
        <f t="shared" si="35"/>
        <v>4423</v>
      </c>
      <c r="U90" s="137">
        <f t="shared" si="35"/>
        <v>3863</v>
      </c>
      <c r="V90" s="137">
        <f t="shared" si="35"/>
        <v>3597</v>
      </c>
      <c r="W90" s="137">
        <f t="shared" si="35"/>
        <v>4570</v>
      </c>
      <c r="X90" s="137">
        <f t="shared" si="35"/>
        <v>4998</v>
      </c>
      <c r="Y90" s="137">
        <f t="shared" si="35"/>
        <v>3100</v>
      </c>
      <c r="Z90" s="137">
        <f t="shared" si="35"/>
        <v>3200</v>
      </c>
      <c r="AA90" s="137">
        <f t="shared" si="35"/>
        <v>3200</v>
      </c>
      <c r="AB90" s="137">
        <f t="shared" si="35"/>
        <v>3200</v>
      </c>
      <c r="AC90" s="137">
        <f t="shared" si="35"/>
        <v>47744</v>
      </c>
      <c r="AD90" s="136">
        <f t="shared" si="32"/>
        <v>-6779</v>
      </c>
      <c r="AE90" s="196">
        <f t="shared" si="33"/>
        <v>-0.14198642761394101</v>
      </c>
      <c r="AF90" s="133">
        <v>40294</v>
      </c>
      <c r="AG90" s="124">
        <f t="shared" si="34"/>
        <v>671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4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4"/>
        <v>0</v>
      </c>
    </row>
    <row r="93" spans="1:33">
      <c r="C93" s="105" t="s">
        <v>481</v>
      </c>
      <c r="D93" s="136">
        <v>102.55</v>
      </c>
      <c r="E93" s="136">
        <v>102.55</v>
      </c>
      <c r="F93" s="136">
        <v>102.55</v>
      </c>
      <c r="G93" s="136">
        <v>102.55</v>
      </c>
      <c r="H93" s="136">
        <v>102.55</v>
      </c>
      <c r="I93" s="136">
        <v>102.55</v>
      </c>
      <c r="J93" s="136">
        <v>102.55</v>
      </c>
      <c r="K93" s="136">
        <v>102.55</v>
      </c>
      <c r="L93" s="136">
        <v>101</v>
      </c>
      <c r="M93" s="136">
        <v>102.55</v>
      </c>
      <c r="N93" s="136">
        <v>102.55</v>
      </c>
      <c r="O93" s="136">
        <v>102.55</v>
      </c>
      <c r="P93" s="137">
        <f t="shared" ref="P93:AB98" si="36">P9/P85</f>
        <v>102.43585496042702</v>
      </c>
      <c r="Q93" s="136">
        <f t="shared" si="36"/>
        <v>105.58535245651511</v>
      </c>
      <c r="R93" s="136">
        <f t="shared" si="36"/>
        <v>110.66740101220601</v>
      </c>
      <c r="S93" s="136">
        <f t="shared" si="36"/>
        <v>103.21847305389223</v>
      </c>
      <c r="T93" s="136">
        <f t="shared" si="36"/>
        <v>103.11244404655326</v>
      </c>
      <c r="U93" s="136">
        <f t="shared" si="36"/>
        <v>103.15504864139551</v>
      </c>
      <c r="V93" s="136">
        <f t="shared" si="36"/>
        <v>104.55478443743428</v>
      </c>
      <c r="W93" s="72">
        <v>104.77217933491687</v>
      </c>
      <c r="X93" s="72">
        <v>104.37906108597285</v>
      </c>
      <c r="Y93" s="72">
        <v>101</v>
      </c>
      <c r="Z93" s="72">
        <v>102.55</v>
      </c>
      <c r="AA93" s="72">
        <v>102.55</v>
      </c>
      <c r="AB93" s="72">
        <v>102.55</v>
      </c>
      <c r="AC93" s="137">
        <f t="shared" ref="AC93:AC98" si="37">AC9/AC85</f>
        <v>104.19286973446407</v>
      </c>
      <c r="AD93" s="136">
        <f t="shared" ref="AD93:AD98" si="38">P93-AC93</f>
        <v>-1.7570147740370459</v>
      </c>
      <c r="AE93" s="196">
        <f t="shared" ref="AE93:AE98" si="39">AD93/AC93</f>
        <v>-1.686309992722923E-2</v>
      </c>
      <c r="AF93" s="133">
        <v>101.89038288670285</v>
      </c>
      <c r="AG93" s="124">
        <f t="shared" si="34"/>
        <v>0.54547207372417006</v>
      </c>
    </row>
    <row r="94" spans="1:33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6"/>
        <v>#DIV/0!</v>
      </c>
      <c r="Q94" s="136" t="e">
        <f t="shared" si="36"/>
        <v>#DIV/0!</v>
      </c>
      <c r="R94" s="136">
        <f t="shared" si="36"/>
        <v>373.37688405797104</v>
      </c>
      <c r="S94" s="136">
        <f t="shared" si="36"/>
        <v>1157.9349999999999</v>
      </c>
      <c r="T94" s="136">
        <f t="shared" si="36"/>
        <v>253.73764705882354</v>
      </c>
      <c r="U94" s="136">
        <f t="shared" si="36"/>
        <v>281.2477777777778</v>
      </c>
      <c r="V94" s="136">
        <f t="shared" si="36"/>
        <v>1291.9000000000001</v>
      </c>
      <c r="W94" s="72">
        <v>192.03988636363636</v>
      </c>
      <c r="X94" s="72">
        <v>213.92064516129031</v>
      </c>
      <c r="Y94" s="72">
        <v>0</v>
      </c>
      <c r="Z94" s="72">
        <v>0</v>
      </c>
      <c r="AA94" s="72">
        <v>0</v>
      </c>
      <c r="AB94" s="72">
        <v>0</v>
      </c>
      <c r="AC94" s="137">
        <f t="shared" si="37"/>
        <v>285.71757383966246</v>
      </c>
      <c r="AD94" s="136" t="e">
        <f t="shared" si="38"/>
        <v>#DIV/0!</v>
      </c>
      <c r="AE94" s="196" t="e">
        <f t="shared" si="39"/>
        <v>#DIV/0!</v>
      </c>
      <c r="AF94" s="133">
        <v>180.37503987240828</v>
      </c>
      <c r="AG94" s="124" t="e">
        <f t="shared" si="34"/>
        <v>#DIV/0!</v>
      </c>
    </row>
    <row r="95" spans="1:33">
      <c r="C95" s="105" t="s">
        <v>485</v>
      </c>
      <c r="D95" s="136">
        <v>330</v>
      </c>
      <c r="E95" s="136">
        <v>340</v>
      </c>
      <c r="F95" s="136">
        <v>290</v>
      </c>
      <c r="G95" s="136">
        <v>290</v>
      </c>
      <c r="H95" s="136">
        <v>290</v>
      </c>
      <c r="I95" s="136">
        <v>280</v>
      </c>
      <c r="J95" s="136">
        <v>300</v>
      </c>
      <c r="K95" s="136">
        <v>300</v>
      </c>
      <c r="L95" s="136">
        <v>280</v>
      </c>
      <c r="M95" s="136">
        <v>290</v>
      </c>
      <c r="N95" s="136">
        <v>300</v>
      </c>
      <c r="O95" s="136">
        <v>300</v>
      </c>
      <c r="P95" s="137">
        <f t="shared" si="36"/>
        <v>300.6521739130435</v>
      </c>
      <c r="Q95" s="136">
        <f t="shared" si="36"/>
        <v>297.14208487084875</v>
      </c>
      <c r="R95" s="136">
        <f t="shared" si="36"/>
        <v>441.17948471615722</v>
      </c>
      <c r="S95" s="136">
        <f t="shared" si="36"/>
        <v>312.03481551561021</v>
      </c>
      <c r="T95" s="136">
        <f t="shared" si="36"/>
        <v>298.39154228855722</v>
      </c>
      <c r="U95" s="136">
        <f t="shared" si="36"/>
        <v>296.55102994011975</v>
      </c>
      <c r="V95" s="136">
        <f t="shared" si="36"/>
        <v>212.98071524966261</v>
      </c>
      <c r="W95" s="72">
        <v>245.0935031847134</v>
      </c>
      <c r="X95" s="72">
        <v>185.25963050314465</v>
      </c>
      <c r="Y95" s="72">
        <v>330</v>
      </c>
      <c r="Z95" s="72">
        <v>320</v>
      </c>
      <c r="AA95" s="72">
        <v>320</v>
      </c>
      <c r="AB95" s="72">
        <v>320</v>
      </c>
      <c r="AC95" s="137">
        <f t="shared" si="37"/>
        <v>296.28589055988402</v>
      </c>
      <c r="AD95" s="136">
        <f t="shared" si="38"/>
        <v>4.3662833531594742</v>
      </c>
      <c r="AE95" s="196">
        <f t="shared" si="39"/>
        <v>1.4736723861229498E-2</v>
      </c>
      <c r="AF95" s="133">
        <v>332.97438853503189</v>
      </c>
      <c r="AG95" s="124">
        <f t="shared" si="34"/>
        <v>-32.322214621988394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6"/>
        <v>#DIV/0!</v>
      </c>
      <c r="Q96" s="136">
        <f t="shared" si="36"/>
        <v>242.50243902439024</v>
      </c>
      <c r="R96" s="136">
        <f t="shared" si="36"/>
        <v>340.17964601769916</v>
      </c>
      <c r="S96" s="136">
        <f t="shared" si="36"/>
        <v>128.82857142857142</v>
      </c>
      <c r="T96" s="136">
        <f t="shared" si="36"/>
        <v>196.55625000000001</v>
      </c>
      <c r="U96" s="136">
        <f t="shared" si="36"/>
        <v>180.59090909090909</v>
      </c>
      <c r="V96" s="136">
        <f t="shared" si="36"/>
        <v>72</v>
      </c>
      <c r="W96" s="72">
        <v>193.16666666666666</v>
      </c>
      <c r="X96" s="72">
        <v>176.37714285714284</v>
      </c>
      <c r="Y96" s="72">
        <v>0</v>
      </c>
      <c r="Z96" s="72">
        <v>0</v>
      </c>
      <c r="AA96" s="72">
        <v>0</v>
      </c>
      <c r="AB96" s="72">
        <v>0</v>
      </c>
      <c r="AC96" s="137">
        <f t="shared" si="37"/>
        <v>251.55805243445693</v>
      </c>
      <c r="AD96" s="136" t="e">
        <f t="shared" si="38"/>
        <v>#DIV/0!</v>
      </c>
      <c r="AE96" s="196" t="e">
        <f t="shared" si="39"/>
        <v>#DIV/0!</v>
      </c>
      <c r="AF96" s="133">
        <v>97.995756756756762</v>
      </c>
      <c r="AG96" s="124" t="e">
        <f t="shared" si="34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6"/>
        <v>#DIV/0!</v>
      </c>
      <c r="Q97" s="136" t="e">
        <f t="shared" si="36"/>
        <v>#DIV/0!</v>
      </c>
      <c r="R97" s="136" t="e">
        <f t="shared" si="36"/>
        <v>#DIV/0!</v>
      </c>
      <c r="S97" s="136" t="e">
        <f t="shared" si="36"/>
        <v>#DIV/0!</v>
      </c>
      <c r="T97" s="136" t="e">
        <f t="shared" si="36"/>
        <v>#DIV/0!</v>
      </c>
      <c r="U97" s="136" t="e">
        <f t="shared" si="36"/>
        <v>#DIV/0!</v>
      </c>
      <c r="V97" s="136" t="e">
        <f t="shared" si="36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7"/>
        <v>#DIV/0!</v>
      </c>
      <c r="AD97" s="136" t="e">
        <f t="shared" si="38"/>
        <v>#DIV/0!</v>
      </c>
      <c r="AE97" s="196" t="e">
        <f t="shared" si="39"/>
        <v>#DIV/0!</v>
      </c>
      <c r="AF97" s="133" t="e">
        <v>#DIV/0!</v>
      </c>
      <c r="AG97" s="124" t="e">
        <f t="shared" si="34"/>
        <v>#DIV/0!</v>
      </c>
    </row>
    <row r="98" spans="1:33" s="109" customFormat="1">
      <c r="C98" s="109" t="s">
        <v>463</v>
      </c>
      <c r="D98" s="137">
        <f t="shared" ref="D98:O98" si="40">D14/D90</f>
        <v>178.36666666666667</v>
      </c>
      <c r="E98" s="137">
        <f t="shared" si="40"/>
        <v>177.5342105263158</v>
      </c>
      <c r="F98" s="137">
        <f t="shared" si="40"/>
        <v>163.19558823529411</v>
      </c>
      <c r="G98" s="137">
        <f t="shared" si="40"/>
        <v>169.06451612903226</v>
      </c>
      <c r="H98" s="137">
        <f t="shared" si="40"/>
        <v>169.06451612903226</v>
      </c>
      <c r="I98" s="137">
        <f t="shared" si="40"/>
        <v>163.73965517241379</v>
      </c>
      <c r="J98" s="137">
        <f t="shared" si="40"/>
        <v>164.6057142857143</v>
      </c>
      <c r="K98" s="137">
        <f t="shared" si="40"/>
        <v>166.72125</v>
      </c>
      <c r="L98" s="137">
        <f t="shared" si="40"/>
        <v>160.66666666666666</v>
      </c>
      <c r="M98" s="137">
        <f t="shared" si="40"/>
        <v>165.33769792935445</v>
      </c>
      <c r="N98" s="137">
        <f t="shared" si="40"/>
        <v>173.55181431840469</v>
      </c>
      <c r="O98" s="137">
        <f t="shared" si="40"/>
        <v>173.8744732089103</v>
      </c>
      <c r="P98" s="137">
        <f t="shared" si="36"/>
        <v>169.20956914439157</v>
      </c>
      <c r="Q98" s="137">
        <f t="shared" si="36"/>
        <v>154.84181054066335</v>
      </c>
      <c r="R98" s="137">
        <f t="shared" si="36"/>
        <v>203.33304311251317</v>
      </c>
      <c r="S98" s="137">
        <f t="shared" si="36"/>
        <v>154.12787195671777</v>
      </c>
      <c r="T98" s="137">
        <f t="shared" si="36"/>
        <v>149.558855980104</v>
      </c>
      <c r="U98" s="137">
        <f t="shared" si="36"/>
        <v>146.83839761843126</v>
      </c>
      <c r="V98" s="137">
        <f t="shared" si="36"/>
        <v>127.54220461495689</v>
      </c>
      <c r="W98" s="137">
        <f t="shared" si="36"/>
        <v>140.48741137855581</v>
      </c>
      <c r="X98" s="137">
        <f t="shared" si="36"/>
        <v>128.86464785914367</v>
      </c>
      <c r="Y98" s="137">
        <f t="shared" si="36"/>
        <v>152.70967741935485</v>
      </c>
      <c r="Z98" s="137">
        <f t="shared" si="36"/>
        <v>150.1171875</v>
      </c>
      <c r="AA98" s="137">
        <f t="shared" si="36"/>
        <v>150.1171875</v>
      </c>
      <c r="AB98" s="137">
        <f t="shared" si="36"/>
        <v>150.1171875</v>
      </c>
      <c r="AC98" s="137">
        <f t="shared" si="37"/>
        <v>151.22939741119302</v>
      </c>
      <c r="AD98" s="137">
        <f t="shared" si="38"/>
        <v>17.980171733198546</v>
      </c>
      <c r="AE98" s="139">
        <f t="shared" si="39"/>
        <v>0.11889336359854973</v>
      </c>
      <c r="AF98" s="133">
        <v>158.87209634188713</v>
      </c>
      <c r="AG98" s="129">
        <f t="shared" si="34"/>
        <v>10.337472802504436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381</v>
      </c>
      <c r="C102" s="105" t="s">
        <v>250</v>
      </c>
      <c r="D102" s="215">
        <v>37275</v>
      </c>
      <c r="E102" s="136">
        <v>37275</v>
      </c>
      <c r="F102" s="136">
        <v>37275</v>
      </c>
      <c r="G102" s="136">
        <v>37275</v>
      </c>
      <c r="H102" s="136">
        <v>37275</v>
      </c>
      <c r="I102" s="136">
        <v>37275</v>
      </c>
      <c r="J102" s="136">
        <v>37275</v>
      </c>
      <c r="K102" s="136">
        <v>37275</v>
      </c>
      <c r="L102" s="136">
        <v>37275</v>
      </c>
      <c r="M102" s="136">
        <v>37275</v>
      </c>
      <c r="N102" s="136">
        <v>37275</v>
      </c>
      <c r="O102" s="136">
        <v>37275</v>
      </c>
      <c r="P102" s="135">
        <f>SUM(D102:O102)</f>
        <v>447300</v>
      </c>
      <c r="Q102" s="136">
        <v>36405.17</v>
      </c>
      <c r="R102" s="136">
        <v>36500</v>
      </c>
      <c r="S102" s="136">
        <v>36247.129999999997</v>
      </c>
      <c r="T102" s="136">
        <v>36500</v>
      </c>
      <c r="U102" s="136">
        <v>36500</v>
      </c>
      <c r="V102" s="136">
        <v>36224.14</v>
      </c>
      <c r="W102" s="72">
        <v>27500</v>
      </c>
      <c r="X102" s="72">
        <v>27500</v>
      </c>
      <c r="Y102" s="72">
        <v>40800</v>
      </c>
      <c r="Z102" s="72">
        <v>40800</v>
      </c>
      <c r="AA102" s="72">
        <v>40800</v>
      </c>
      <c r="AB102" s="72">
        <v>40800</v>
      </c>
      <c r="AC102" s="137">
        <f>SUM(Q102:AB102)</f>
        <v>436576.44</v>
      </c>
      <c r="AD102" s="136">
        <f t="shared" ref="AD102:AD105" si="41">P102-AC102</f>
        <v>10723.559999999998</v>
      </c>
      <c r="AE102" s="196">
        <f t="shared" ref="AE102:AE105" si="42">AD102/AC102</f>
        <v>2.4562846313923851E-2</v>
      </c>
      <c r="AF102" s="133">
        <v>336058.39</v>
      </c>
      <c r="AG102" s="124">
        <f t="shared" ref="AG102:AG136" si="43">AF102-P102</f>
        <v>-111241.60999999999</v>
      </c>
    </row>
    <row r="103" spans="1:33">
      <c r="A103" s="105" t="s">
        <v>251</v>
      </c>
      <c r="B103" s="105" t="s">
        <v>533</v>
      </c>
      <c r="C103" s="105" t="s">
        <v>468</v>
      </c>
      <c r="D103" s="215">
        <v>24839.999999999996</v>
      </c>
      <c r="E103" s="136">
        <v>24839.999999999996</v>
      </c>
      <c r="F103" s="136">
        <v>24839.999999999996</v>
      </c>
      <c r="G103" s="136">
        <v>24839.999999999996</v>
      </c>
      <c r="H103" s="136">
        <v>24839.999999999996</v>
      </c>
      <c r="I103" s="136">
        <v>24839.999999999996</v>
      </c>
      <c r="J103" s="136">
        <v>24839.999999999996</v>
      </c>
      <c r="K103" s="136">
        <v>24839.999999999996</v>
      </c>
      <c r="L103" s="136">
        <v>24839.999999999996</v>
      </c>
      <c r="M103" s="136">
        <v>24839.999999999996</v>
      </c>
      <c r="N103" s="136">
        <v>24839.999999999996</v>
      </c>
      <c r="O103" s="136">
        <v>24840</v>
      </c>
      <c r="P103" s="135">
        <f>SUM(D103:O103)</f>
        <v>298079.99999999994</v>
      </c>
      <c r="Q103" s="136">
        <v>21501.15</v>
      </c>
      <c r="R103" s="136">
        <v>21558.05</v>
      </c>
      <c r="S103" s="136">
        <v>21600</v>
      </c>
      <c r="T103" s="136">
        <v>21600</v>
      </c>
      <c r="U103" s="136">
        <v>21600</v>
      </c>
      <c r="V103" s="136">
        <v>19985.13</v>
      </c>
      <c r="W103" s="72">
        <v>24582.76</v>
      </c>
      <c r="X103" s="72">
        <v>25055.17</v>
      </c>
      <c r="Y103" s="72">
        <v>28100</v>
      </c>
      <c r="Z103" s="72">
        <v>28100</v>
      </c>
      <c r="AA103" s="72">
        <v>28100</v>
      </c>
      <c r="AB103" s="72">
        <v>28100</v>
      </c>
      <c r="AC103" s="137">
        <f>SUM(Q103:AB103)</f>
        <v>289882.26</v>
      </c>
      <c r="AD103" s="136">
        <f t="shared" si="41"/>
        <v>8197.7399999999325</v>
      </c>
      <c r="AE103" s="196">
        <f t="shared" si="42"/>
        <v>2.8279550463004989E-2</v>
      </c>
      <c r="AF103" s="133">
        <v>275126.44</v>
      </c>
      <c r="AG103" s="124">
        <f t="shared" si="43"/>
        <v>-22953.559999999939</v>
      </c>
    </row>
    <row r="104" spans="1:33">
      <c r="A104" s="105" t="s">
        <v>251</v>
      </c>
      <c r="B104" s="105" t="s">
        <v>534</v>
      </c>
      <c r="C104" s="105" t="s">
        <v>470</v>
      </c>
      <c r="D104" s="215">
        <v>14755</v>
      </c>
      <c r="E104" s="136">
        <v>14755</v>
      </c>
      <c r="F104" s="136">
        <v>14755</v>
      </c>
      <c r="G104" s="136">
        <v>14755</v>
      </c>
      <c r="H104" s="136">
        <v>14755</v>
      </c>
      <c r="I104" s="136">
        <v>14755</v>
      </c>
      <c r="J104" s="136">
        <v>14755</v>
      </c>
      <c r="K104" s="136">
        <v>14755</v>
      </c>
      <c r="L104" s="136">
        <v>14755</v>
      </c>
      <c r="M104" s="136">
        <v>14755</v>
      </c>
      <c r="N104" s="136">
        <v>14755</v>
      </c>
      <c r="O104" s="136">
        <v>14755</v>
      </c>
      <c r="P104" s="135">
        <f>SUM(D104:O104)</f>
        <v>177060</v>
      </c>
      <c r="Q104" s="136">
        <v>25200</v>
      </c>
      <c r="R104" s="136">
        <v>25200</v>
      </c>
      <c r="S104" s="136">
        <v>25000</v>
      </c>
      <c r="T104" s="136">
        <v>25000</v>
      </c>
      <c r="U104" s="136">
        <v>24310.34</v>
      </c>
      <c r="V104" s="136">
        <v>24362.06</v>
      </c>
      <c r="W104" s="72">
        <v>22200</v>
      </c>
      <c r="X104" s="72">
        <v>22700</v>
      </c>
      <c r="Y104" s="72">
        <v>1699</v>
      </c>
      <c r="Z104" s="72">
        <v>1699</v>
      </c>
      <c r="AA104" s="72">
        <v>1699</v>
      </c>
      <c r="AB104" s="72">
        <v>1699</v>
      </c>
      <c r="AC104" s="137">
        <f>SUM(Q104:AB104)</f>
        <v>200768.4</v>
      </c>
      <c r="AD104" s="136">
        <f t="shared" si="41"/>
        <v>-23708.399999999994</v>
      </c>
      <c r="AE104" s="196">
        <f t="shared" si="42"/>
        <v>-0.11808830473321497</v>
      </c>
      <c r="AF104" s="133">
        <v>270133.73</v>
      </c>
      <c r="AG104" s="124">
        <f t="shared" si="43"/>
        <v>93073.729999999981</v>
      </c>
    </row>
    <row r="105" spans="1:33">
      <c r="A105" s="105" t="s">
        <v>273</v>
      </c>
      <c r="C105" s="109" t="s">
        <v>520</v>
      </c>
      <c r="D105" s="137">
        <f t="shared" ref="D105:AC105" si="44">SUM(D102:D104)</f>
        <v>76870</v>
      </c>
      <c r="E105" s="137">
        <f t="shared" si="44"/>
        <v>76870</v>
      </c>
      <c r="F105" s="137">
        <f t="shared" si="44"/>
        <v>76870</v>
      </c>
      <c r="G105" s="137">
        <f t="shared" si="44"/>
        <v>76870</v>
      </c>
      <c r="H105" s="137">
        <f t="shared" si="44"/>
        <v>76870</v>
      </c>
      <c r="I105" s="137">
        <f t="shared" si="44"/>
        <v>76870</v>
      </c>
      <c r="J105" s="137">
        <f t="shared" si="44"/>
        <v>76870</v>
      </c>
      <c r="K105" s="137">
        <f t="shared" si="44"/>
        <v>76870</v>
      </c>
      <c r="L105" s="137">
        <f t="shared" si="44"/>
        <v>76870</v>
      </c>
      <c r="M105" s="137">
        <f t="shared" si="44"/>
        <v>76870</v>
      </c>
      <c r="N105" s="137">
        <f t="shared" si="44"/>
        <v>76870</v>
      </c>
      <c r="O105" s="137">
        <f t="shared" si="44"/>
        <v>76870</v>
      </c>
      <c r="P105" s="135">
        <f t="shared" si="44"/>
        <v>922440</v>
      </c>
      <c r="Q105" s="137">
        <f t="shared" si="44"/>
        <v>83106.320000000007</v>
      </c>
      <c r="R105" s="137">
        <f t="shared" si="44"/>
        <v>83258.05</v>
      </c>
      <c r="S105" s="137">
        <f t="shared" si="44"/>
        <v>82847.13</v>
      </c>
      <c r="T105" s="137">
        <f t="shared" si="44"/>
        <v>83100</v>
      </c>
      <c r="U105" s="137">
        <f t="shared" si="44"/>
        <v>82410.34</v>
      </c>
      <c r="V105" s="137">
        <f t="shared" si="44"/>
        <v>80571.33</v>
      </c>
      <c r="W105" s="137">
        <f t="shared" si="44"/>
        <v>74282.759999999995</v>
      </c>
      <c r="X105" s="137">
        <f t="shared" si="44"/>
        <v>75255.17</v>
      </c>
      <c r="Y105" s="137">
        <f t="shared" si="44"/>
        <v>70599</v>
      </c>
      <c r="Z105" s="137">
        <f t="shared" si="44"/>
        <v>70599</v>
      </c>
      <c r="AA105" s="137">
        <f t="shared" si="44"/>
        <v>70599</v>
      </c>
      <c r="AB105" s="137">
        <f t="shared" si="44"/>
        <v>70599</v>
      </c>
      <c r="AC105" s="137">
        <f t="shared" si="44"/>
        <v>927227.1</v>
      </c>
      <c r="AD105" s="136">
        <f t="shared" si="41"/>
        <v>-4787.0999999999767</v>
      </c>
      <c r="AE105" s="196">
        <f t="shared" si="42"/>
        <v>-5.1628128642917971E-3</v>
      </c>
      <c r="AF105" s="133">
        <v>881318.56</v>
      </c>
      <c r="AG105" s="124">
        <f t="shared" si="43"/>
        <v>-41121.439999999944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3"/>
        <v>0</v>
      </c>
    </row>
    <row r="107" spans="1:33">
      <c r="A107" s="105" t="s">
        <v>119</v>
      </c>
      <c r="B107" s="105" t="s">
        <v>381</v>
      </c>
      <c r="C107" s="105" t="s">
        <v>260</v>
      </c>
      <c r="D107" s="215">
        <v>36882.75</v>
      </c>
      <c r="E107" s="215">
        <v>0</v>
      </c>
      <c r="F107" s="215">
        <v>0</v>
      </c>
      <c r="G107" s="215">
        <v>5586.1900000000005</v>
      </c>
      <c r="H107" s="215">
        <v>13834.5</v>
      </c>
      <c r="I107" s="215">
        <v>0</v>
      </c>
      <c r="J107" s="215">
        <v>0</v>
      </c>
      <c r="K107" s="215">
        <v>0</v>
      </c>
      <c r="L107" s="215">
        <v>0</v>
      </c>
      <c r="M107" s="215">
        <v>32482.760000000002</v>
      </c>
      <c r="N107" s="215">
        <v>0</v>
      </c>
      <c r="O107" s="215">
        <v>0</v>
      </c>
      <c r="P107" s="135">
        <f>SUM(D107:O107)</f>
        <v>88786.200000000012</v>
      </c>
      <c r="Q107" s="136">
        <v>9144.84</v>
      </c>
      <c r="R107" s="136">
        <v>27165.54</v>
      </c>
      <c r="S107" s="136">
        <v>0</v>
      </c>
      <c r="T107" s="136">
        <v>6965.52</v>
      </c>
      <c r="U107" s="136">
        <v>6855.18</v>
      </c>
      <c r="V107" s="136">
        <v>8027.58</v>
      </c>
      <c r="W107" s="72">
        <v>0</v>
      </c>
      <c r="X107" s="72">
        <v>0</v>
      </c>
      <c r="Y107" s="72">
        <v>9707</v>
      </c>
      <c r="Z107" s="72">
        <v>24899</v>
      </c>
      <c r="AA107" s="72">
        <v>0</v>
      </c>
      <c r="AB107" s="72">
        <v>0</v>
      </c>
      <c r="AC107" s="137">
        <f>SUM(Q107:AB107)</f>
        <v>92764.66</v>
      </c>
      <c r="AD107" s="136">
        <f t="shared" ref="AD107:AD112" si="45">P107-AC107</f>
        <v>-3978.4599999999919</v>
      </c>
      <c r="AE107" s="196">
        <f t="shared" ref="AE107:AE112" si="46">AD107/AC107</f>
        <v>-4.2887668644503107E-2</v>
      </c>
      <c r="AF107" s="133">
        <v>83471.360000000001</v>
      </c>
      <c r="AG107" s="124">
        <f t="shared" si="43"/>
        <v>-5314.8400000000111</v>
      </c>
    </row>
    <row r="108" spans="1:33">
      <c r="A108" s="105" t="s">
        <v>120</v>
      </c>
      <c r="B108" s="105" t="s">
        <v>381</v>
      </c>
      <c r="C108" s="105" t="s">
        <v>261</v>
      </c>
      <c r="D108" s="215">
        <v>13216.68</v>
      </c>
      <c r="E108" s="215">
        <v>13216.68</v>
      </c>
      <c r="F108" s="215">
        <v>13216.68</v>
      </c>
      <c r="G108" s="215">
        <v>13683.35</v>
      </c>
      <c r="H108" s="215">
        <v>13683.35</v>
      </c>
      <c r="I108" s="215">
        <v>13683.35</v>
      </c>
      <c r="J108" s="215">
        <v>13683.35</v>
      </c>
      <c r="K108" s="215">
        <v>13683.35</v>
      </c>
      <c r="L108" s="215">
        <v>13683.35</v>
      </c>
      <c r="M108" s="215">
        <v>13683.35</v>
      </c>
      <c r="N108" s="215">
        <v>13683.35</v>
      </c>
      <c r="O108" s="215">
        <v>13683.35</v>
      </c>
      <c r="P108" s="135">
        <f>SUM(D108:O108)</f>
        <v>162800.19000000003</v>
      </c>
      <c r="Q108" s="136">
        <v>20849.099999999999</v>
      </c>
      <c r="R108" s="136">
        <v>20855.89</v>
      </c>
      <c r="S108" s="136">
        <v>20783.740000000002</v>
      </c>
      <c r="T108" s="136">
        <v>13845.48</v>
      </c>
      <c r="U108" s="136">
        <v>13868.64</v>
      </c>
      <c r="V108" s="136">
        <v>13381.73</v>
      </c>
      <c r="W108" s="72">
        <v>12403.82</v>
      </c>
      <c r="X108" s="72">
        <v>12536.95</v>
      </c>
      <c r="Y108" s="72">
        <v>11766.5</v>
      </c>
      <c r="Z108" s="72">
        <v>11766.5</v>
      </c>
      <c r="AA108" s="72">
        <v>11766.5</v>
      </c>
      <c r="AB108" s="72">
        <v>11766.5</v>
      </c>
      <c r="AC108" s="137">
        <f>SUM(Q108:AB108)</f>
        <v>175591.34999999998</v>
      </c>
      <c r="AD108" s="136">
        <f t="shared" si="45"/>
        <v>-12791.159999999945</v>
      </c>
      <c r="AE108" s="196">
        <f t="shared" si="46"/>
        <v>-7.2846185190785007E-2</v>
      </c>
      <c r="AF108" s="133">
        <v>147080.39000000001</v>
      </c>
      <c r="AG108" s="124">
        <f t="shared" si="43"/>
        <v>-15719.800000000017</v>
      </c>
    </row>
    <row r="109" spans="1:33">
      <c r="A109" s="105" t="s">
        <v>121</v>
      </c>
      <c r="B109" s="105" t="s">
        <v>381</v>
      </c>
      <c r="C109" s="105" t="s">
        <v>262</v>
      </c>
      <c r="D109" s="215">
        <v>10485</v>
      </c>
      <c r="E109" s="215">
        <v>10485</v>
      </c>
      <c r="F109" s="215">
        <v>10485</v>
      </c>
      <c r="G109" s="215">
        <v>10915</v>
      </c>
      <c r="H109" s="215">
        <v>10915</v>
      </c>
      <c r="I109" s="215">
        <v>10915</v>
      </c>
      <c r="J109" s="215">
        <v>10915</v>
      </c>
      <c r="K109" s="215">
        <v>10915</v>
      </c>
      <c r="L109" s="215">
        <v>10915</v>
      </c>
      <c r="M109" s="215">
        <v>10915</v>
      </c>
      <c r="N109" s="215">
        <v>10915</v>
      </c>
      <c r="O109" s="215">
        <v>10915</v>
      </c>
      <c r="P109" s="135">
        <f>SUM(D109:O109)</f>
        <v>129690</v>
      </c>
      <c r="Q109" s="136">
        <v>9115.6299999999992</v>
      </c>
      <c r="R109" s="136">
        <v>8522.16</v>
      </c>
      <c r="S109" s="136">
        <v>8688.6200000000008</v>
      </c>
      <c r="T109" s="136">
        <v>8413.3799999999992</v>
      </c>
      <c r="U109" s="136">
        <v>9065</v>
      </c>
      <c r="V109" s="136">
        <v>7418.39</v>
      </c>
      <c r="W109" s="72">
        <v>8423.57</v>
      </c>
      <c r="X109" s="72">
        <v>8227.24</v>
      </c>
      <c r="Y109" s="72">
        <v>12003</v>
      </c>
      <c r="Z109" s="72">
        <v>11497</v>
      </c>
      <c r="AA109" s="72">
        <v>11714</v>
      </c>
      <c r="AB109" s="72">
        <v>11930</v>
      </c>
      <c r="AC109" s="137">
        <f>SUM(Q109:AB109)</f>
        <v>115017.99</v>
      </c>
      <c r="AD109" s="136">
        <f t="shared" si="45"/>
        <v>14672.009999999995</v>
      </c>
      <c r="AE109" s="196">
        <f t="shared" si="46"/>
        <v>0.12756274040261001</v>
      </c>
      <c r="AF109" s="133">
        <v>41125</v>
      </c>
      <c r="AG109" s="124">
        <f t="shared" si="43"/>
        <v>-88565</v>
      </c>
    </row>
    <row r="110" spans="1:33">
      <c r="A110" s="105" t="s">
        <v>122</v>
      </c>
      <c r="B110" s="105" t="s">
        <v>381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136">
        <f t="shared" si="45"/>
        <v>0</v>
      </c>
      <c r="AE110" s="196" t="e">
        <f t="shared" si="46"/>
        <v>#DIV/0!</v>
      </c>
      <c r="AF110" s="133">
        <v>0</v>
      </c>
      <c r="AG110" s="124">
        <f t="shared" si="43"/>
        <v>0</v>
      </c>
    </row>
    <row r="111" spans="1:33">
      <c r="A111" s="105" t="s">
        <v>123</v>
      </c>
      <c r="B111" s="105" t="s">
        <v>381</v>
      </c>
      <c r="C111" s="105" t="s">
        <v>264</v>
      </c>
      <c r="D111" s="215">
        <v>2400</v>
      </c>
      <c r="E111" s="215">
        <v>2400</v>
      </c>
      <c r="F111" s="215">
        <v>2400</v>
      </c>
      <c r="G111" s="215">
        <v>2600</v>
      </c>
      <c r="H111" s="215">
        <v>2600</v>
      </c>
      <c r="I111" s="215">
        <v>2600</v>
      </c>
      <c r="J111" s="215">
        <v>2600</v>
      </c>
      <c r="K111" s="215">
        <v>2600</v>
      </c>
      <c r="L111" s="215">
        <v>2600</v>
      </c>
      <c r="M111" s="215">
        <v>2600</v>
      </c>
      <c r="N111" s="215">
        <v>2600</v>
      </c>
      <c r="O111" s="215">
        <v>2600</v>
      </c>
      <c r="P111" s="135">
        <f>SUM(D111:O111)</f>
        <v>30600</v>
      </c>
      <c r="Q111" s="136">
        <v>4221.59</v>
      </c>
      <c r="R111" s="136">
        <v>6740.78</v>
      </c>
      <c r="S111" s="136">
        <v>4764.28</v>
      </c>
      <c r="T111" s="136">
        <v>4617.62</v>
      </c>
      <c r="U111" s="136">
        <v>1632.49</v>
      </c>
      <c r="V111" s="136">
        <v>2000</v>
      </c>
      <c r="W111" s="72">
        <v>2235.85</v>
      </c>
      <c r="X111" s="72">
        <v>13837.13</v>
      </c>
      <c r="Y111" s="72">
        <v>3200</v>
      </c>
      <c r="Z111" s="72">
        <v>13200</v>
      </c>
      <c r="AA111" s="72">
        <v>13200</v>
      </c>
      <c r="AB111" s="72">
        <v>13200</v>
      </c>
      <c r="AC111" s="137">
        <f>SUM(Q111:AB111)</f>
        <v>82849.739999999991</v>
      </c>
      <c r="AD111" s="136">
        <f t="shared" si="45"/>
        <v>-52249.739999999991</v>
      </c>
      <c r="AE111" s="196">
        <f t="shared" si="46"/>
        <v>-0.63065665625504674</v>
      </c>
      <c r="AF111" s="133">
        <v>58462.850000000006</v>
      </c>
      <c r="AG111" s="124">
        <f t="shared" si="43"/>
        <v>27862.850000000006</v>
      </c>
    </row>
    <row r="112" spans="1:33">
      <c r="A112" s="105" t="s">
        <v>273</v>
      </c>
      <c r="C112" s="109" t="s">
        <v>521</v>
      </c>
      <c r="D112" s="137">
        <f t="shared" ref="D112:O112" si="47">SUM(D107:D111)</f>
        <v>62984.43</v>
      </c>
      <c r="E112" s="137">
        <f t="shared" si="47"/>
        <v>26101.68</v>
      </c>
      <c r="F112" s="137">
        <f t="shared" si="47"/>
        <v>26101.68</v>
      </c>
      <c r="G112" s="137">
        <f t="shared" si="47"/>
        <v>32784.54</v>
      </c>
      <c r="H112" s="137">
        <f t="shared" si="47"/>
        <v>41032.85</v>
      </c>
      <c r="I112" s="137">
        <f t="shared" si="47"/>
        <v>27198.35</v>
      </c>
      <c r="J112" s="137">
        <f t="shared" si="47"/>
        <v>27198.35</v>
      </c>
      <c r="K112" s="137">
        <f t="shared" si="47"/>
        <v>27198.35</v>
      </c>
      <c r="L112" s="137">
        <f t="shared" si="47"/>
        <v>27198.35</v>
      </c>
      <c r="M112" s="137">
        <f t="shared" si="47"/>
        <v>59681.11</v>
      </c>
      <c r="N112" s="137">
        <f t="shared" si="47"/>
        <v>27198.35</v>
      </c>
      <c r="O112" s="137">
        <f t="shared" si="47"/>
        <v>27198.35</v>
      </c>
      <c r="P112" s="135">
        <f>SUM(P107:P111)</f>
        <v>411876.39</v>
      </c>
      <c r="Q112" s="137">
        <f t="shared" ref="Q112:AC112" si="48">SUM(Q107:Q111)</f>
        <v>43331.16</v>
      </c>
      <c r="R112" s="137">
        <f t="shared" si="48"/>
        <v>63284.369999999995</v>
      </c>
      <c r="S112" s="137">
        <f t="shared" si="48"/>
        <v>34236.639999999999</v>
      </c>
      <c r="T112" s="137">
        <f t="shared" si="48"/>
        <v>33842</v>
      </c>
      <c r="U112" s="137">
        <f t="shared" si="48"/>
        <v>31421.31</v>
      </c>
      <c r="V112" s="137">
        <f t="shared" si="48"/>
        <v>30827.699999999997</v>
      </c>
      <c r="W112" s="137">
        <f t="shared" si="48"/>
        <v>23063.239999999998</v>
      </c>
      <c r="X112" s="137">
        <f t="shared" si="48"/>
        <v>34601.32</v>
      </c>
      <c r="Y112" s="137">
        <f t="shared" si="48"/>
        <v>36676.5</v>
      </c>
      <c r="Z112" s="137">
        <f t="shared" si="48"/>
        <v>61362.5</v>
      </c>
      <c r="AA112" s="137">
        <f t="shared" si="48"/>
        <v>36680.5</v>
      </c>
      <c r="AB112" s="137">
        <f t="shared" si="48"/>
        <v>36896.5</v>
      </c>
      <c r="AC112" s="137">
        <f t="shared" si="48"/>
        <v>466223.74</v>
      </c>
      <c r="AD112" s="136">
        <f t="shared" si="45"/>
        <v>-54347.349999999977</v>
      </c>
      <c r="AE112" s="196">
        <f t="shared" si="46"/>
        <v>-0.11656924634511313</v>
      </c>
      <c r="AF112" s="133">
        <v>330139.59999999998</v>
      </c>
      <c r="AG112" s="124">
        <f t="shared" si="43"/>
        <v>-81736.790000000037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3"/>
        <v>0</v>
      </c>
    </row>
    <row r="114" spans="1:33">
      <c r="A114" s="105" t="s">
        <v>124</v>
      </c>
      <c r="B114" s="105" t="s">
        <v>381</v>
      </c>
      <c r="C114" s="105" t="s">
        <v>266</v>
      </c>
      <c r="D114" s="215">
        <v>18252.37</v>
      </c>
      <c r="E114" s="215">
        <v>18252.37</v>
      </c>
      <c r="F114" s="215">
        <v>18252.37</v>
      </c>
      <c r="G114" s="215">
        <v>19079.609999999997</v>
      </c>
      <c r="H114" s="215">
        <v>19079.609999999997</v>
      </c>
      <c r="I114" s="215">
        <v>19079.609999999997</v>
      </c>
      <c r="J114" s="215">
        <v>19456.5</v>
      </c>
      <c r="K114" s="215">
        <v>19456.5</v>
      </c>
      <c r="L114" s="215">
        <v>19456.5</v>
      </c>
      <c r="M114" s="215">
        <v>19456.5</v>
      </c>
      <c r="N114" s="215">
        <v>19456.5</v>
      </c>
      <c r="O114" s="215">
        <v>19456.5</v>
      </c>
      <c r="P114" s="135">
        <f>SUM(D114:O114)</f>
        <v>228734.94</v>
      </c>
      <c r="Q114" s="136">
        <v>19970.060000000001</v>
      </c>
      <c r="R114" s="136">
        <v>19970.060000000001</v>
      </c>
      <c r="S114" s="136">
        <v>19949.240000000002</v>
      </c>
      <c r="T114" s="136">
        <v>19949.240000000002</v>
      </c>
      <c r="U114" s="136">
        <v>19949.240000000002</v>
      </c>
      <c r="V114" s="136">
        <v>16799.23</v>
      </c>
      <c r="W114" s="72">
        <v>17894.37</v>
      </c>
      <c r="X114" s="72">
        <v>17894.37</v>
      </c>
      <c r="Y114" s="72">
        <v>16405</v>
      </c>
      <c r="Z114" s="181">
        <v>16405</v>
      </c>
      <c r="AA114" s="181">
        <v>16405</v>
      </c>
      <c r="AB114" s="181">
        <v>16405</v>
      </c>
      <c r="AC114" s="137">
        <f t="shared" ref="AC114:AC121" si="49">SUM(Q114:AB114)</f>
        <v>217995.81</v>
      </c>
      <c r="AD114" s="136">
        <f t="shared" ref="AD114:AD122" si="50">P114-AC114</f>
        <v>10739.130000000005</v>
      </c>
      <c r="AE114" s="196">
        <f t="shared" ref="AE114:AE122" si="51">AD114/AC114</f>
        <v>4.9263011064295245E-2</v>
      </c>
      <c r="AF114" s="133">
        <v>111575.45999999999</v>
      </c>
      <c r="AG114" s="124">
        <f t="shared" si="43"/>
        <v>-117159.48000000001</v>
      </c>
    </row>
    <row r="115" spans="1:33">
      <c r="A115" s="105" t="s">
        <v>125</v>
      </c>
      <c r="B115" s="105" t="s">
        <v>381</v>
      </c>
      <c r="C115" s="105" t="s">
        <v>267</v>
      </c>
      <c r="D115" s="215">
        <v>7397.9</v>
      </c>
      <c r="E115" s="215">
        <v>7397.9</v>
      </c>
      <c r="F115" s="215">
        <v>7397.9</v>
      </c>
      <c r="G115" s="215">
        <v>7730.5399999999991</v>
      </c>
      <c r="H115" s="215">
        <v>7730.5399999999991</v>
      </c>
      <c r="I115" s="215">
        <v>7730.5399999999991</v>
      </c>
      <c r="J115" s="215">
        <v>7856.24</v>
      </c>
      <c r="K115" s="215">
        <v>7856.24</v>
      </c>
      <c r="L115" s="215">
        <v>7856.24</v>
      </c>
      <c r="M115" s="215">
        <v>7856.24</v>
      </c>
      <c r="N115" s="215">
        <v>7856.24</v>
      </c>
      <c r="O115" s="215">
        <v>7856.24</v>
      </c>
      <c r="P115" s="135">
        <f t="shared" ref="P115:P121" si="52">SUM(D115:O115)</f>
        <v>92522.760000000009</v>
      </c>
      <c r="Q115" s="136">
        <v>10609.09</v>
      </c>
      <c r="R115" s="136">
        <v>10609.09</v>
      </c>
      <c r="S115" s="136">
        <v>10598.03</v>
      </c>
      <c r="T115" s="136">
        <v>10598.03</v>
      </c>
      <c r="U115" s="136">
        <v>10598.03</v>
      </c>
      <c r="V115" s="136">
        <v>8924.58</v>
      </c>
      <c r="W115" s="72">
        <v>7269.57</v>
      </c>
      <c r="X115" s="72">
        <v>7269.57</v>
      </c>
      <c r="Y115" s="72">
        <v>8590</v>
      </c>
      <c r="Z115" s="181">
        <v>8590</v>
      </c>
      <c r="AA115" s="181">
        <v>8590</v>
      </c>
      <c r="AB115" s="181">
        <v>8590</v>
      </c>
      <c r="AC115" s="137">
        <f t="shared" si="49"/>
        <v>110835.98999999999</v>
      </c>
      <c r="AD115" s="136">
        <f t="shared" si="50"/>
        <v>-18313.229999999981</v>
      </c>
      <c r="AE115" s="196">
        <f t="shared" si="51"/>
        <v>-0.1652281898686517</v>
      </c>
      <c r="AF115" s="133">
        <v>53575.080000000009</v>
      </c>
      <c r="AG115" s="124">
        <f t="shared" si="43"/>
        <v>-38947.68</v>
      </c>
    </row>
    <row r="116" spans="1:33">
      <c r="A116" s="105" t="s">
        <v>126</v>
      </c>
      <c r="B116" s="105" t="s">
        <v>381</v>
      </c>
      <c r="C116" s="105" t="s">
        <v>268</v>
      </c>
      <c r="D116" s="215">
        <v>569.06999999999994</v>
      </c>
      <c r="E116" s="215">
        <v>569.06999999999994</v>
      </c>
      <c r="F116" s="215">
        <v>569.06999999999994</v>
      </c>
      <c r="G116" s="215">
        <v>594.65999999999985</v>
      </c>
      <c r="H116" s="215">
        <v>594.65999999999985</v>
      </c>
      <c r="I116" s="215">
        <v>594.65999999999985</v>
      </c>
      <c r="J116" s="215">
        <v>604.34999999999991</v>
      </c>
      <c r="K116" s="215">
        <v>604.34999999999991</v>
      </c>
      <c r="L116" s="215">
        <v>604.34999999999991</v>
      </c>
      <c r="M116" s="215">
        <v>604.34999999999991</v>
      </c>
      <c r="N116" s="215">
        <v>604.34999999999991</v>
      </c>
      <c r="O116" s="215">
        <v>604.34999999999991</v>
      </c>
      <c r="P116" s="135">
        <f t="shared" si="52"/>
        <v>7117.2900000000009</v>
      </c>
      <c r="Q116" s="136">
        <v>624.07000000000005</v>
      </c>
      <c r="R116" s="136">
        <v>624.07000000000005</v>
      </c>
      <c r="S116" s="136">
        <v>623.41999999999996</v>
      </c>
      <c r="T116" s="136">
        <v>623.41999999999996</v>
      </c>
      <c r="U116" s="136">
        <v>623.41999999999996</v>
      </c>
      <c r="V116" s="136">
        <v>524.99</v>
      </c>
      <c r="W116" s="72">
        <v>559.21</v>
      </c>
      <c r="X116" s="72">
        <v>559.21</v>
      </c>
      <c r="Y116" s="72">
        <v>516</v>
      </c>
      <c r="Z116" s="72">
        <v>516</v>
      </c>
      <c r="AA116" s="72">
        <v>516</v>
      </c>
      <c r="AB116" s="72">
        <v>516</v>
      </c>
      <c r="AC116" s="137">
        <f t="shared" si="49"/>
        <v>6825.81</v>
      </c>
      <c r="AD116" s="136">
        <f t="shared" si="50"/>
        <v>291.48000000000047</v>
      </c>
      <c r="AE116" s="196">
        <f t="shared" si="51"/>
        <v>4.2702624303928828E-2</v>
      </c>
      <c r="AF116" s="133">
        <v>3291.11</v>
      </c>
      <c r="AG116" s="124">
        <f t="shared" si="43"/>
        <v>-3826.1800000000007</v>
      </c>
    </row>
    <row r="117" spans="1:33">
      <c r="A117" s="105" t="s">
        <v>127</v>
      </c>
      <c r="B117" s="105" t="s">
        <v>381</v>
      </c>
      <c r="C117" s="105" t="s">
        <v>269</v>
      </c>
      <c r="D117" s="215">
        <v>136.58999999999997</v>
      </c>
      <c r="E117" s="215">
        <v>136.58999999999997</v>
      </c>
      <c r="F117" s="215">
        <v>136.58999999999997</v>
      </c>
      <c r="G117" s="215">
        <v>142.72999999999999</v>
      </c>
      <c r="H117" s="215">
        <v>142.72999999999999</v>
      </c>
      <c r="I117" s="215">
        <v>142.72999999999999</v>
      </c>
      <c r="J117" s="215">
        <v>145.07999999999996</v>
      </c>
      <c r="K117" s="215">
        <v>145.07999999999996</v>
      </c>
      <c r="L117" s="215">
        <v>145.07999999999996</v>
      </c>
      <c r="M117" s="215">
        <v>145.07999999999996</v>
      </c>
      <c r="N117" s="215">
        <v>145.07999999999996</v>
      </c>
      <c r="O117" s="215">
        <v>145.07999999999996</v>
      </c>
      <c r="P117" s="135">
        <f t="shared" si="52"/>
        <v>1708.4399999999996</v>
      </c>
      <c r="Q117" s="136">
        <v>149.81</v>
      </c>
      <c r="R117" s="136">
        <v>149.81</v>
      </c>
      <c r="S117" s="136">
        <v>149.65</v>
      </c>
      <c r="T117" s="136">
        <v>149.65</v>
      </c>
      <c r="U117" s="136">
        <v>149.65</v>
      </c>
      <c r="V117" s="136">
        <v>126.03</v>
      </c>
      <c r="W117" s="72">
        <v>134.24</v>
      </c>
      <c r="X117" s="72">
        <v>134.24</v>
      </c>
      <c r="Y117" s="72">
        <v>151</v>
      </c>
      <c r="Z117" s="72">
        <v>151</v>
      </c>
      <c r="AA117" s="72">
        <v>151</v>
      </c>
      <c r="AB117" s="72">
        <v>151</v>
      </c>
      <c r="AC117" s="137">
        <f t="shared" si="49"/>
        <v>1747.08</v>
      </c>
      <c r="AD117" s="136">
        <f t="shared" si="50"/>
        <v>-38.640000000000327</v>
      </c>
      <c r="AE117" s="196">
        <f t="shared" si="51"/>
        <v>-2.2116903633491499E-2</v>
      </c>
      <c r="AF117" s="133">
        <v>1053.0900000000001</v>
      </c>
      <c r="AG117" s="124">
        <f t="shared" si="43"/>
        <v>-655.34999999999945</v>
      </c>
    </row>
    <row r="118" spans="1:33">
      <c r="A118" s="105" t="s">
        <v>128</v>
      </c>
      <c r="B118" s="105" t="s">
        <v>381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52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9"/>
        <v>0</v>
      </c>
      <c r="AD118" s="136">
        <f t="shared" si="50"/>
        <v>0</v>
      </c>
      <c r="AE118" s="196" t="e">
        <f t="shared" si="51"/>
        <v>#DIV/0!</v>
      </c>
      <c r="AF118" s="133">
        <v>2372.2700000000004</v>
      </c>
      <c r="AG118" s="124">
        <f t="shared" si="43"/>
        <v>2372.2700000000004</v>
      </c>
    </row>
    <row r="119" spans="1:33">
      <c r="A119" s="105" t="s">
        <v>129</v>
      </c>
      <c r="B119" s="105" t="s">
        <v>381</v>
      </c>
      <c r="C119" s="105" t="s">
        <v>271</v>
      </c>
      <c r="D119" s="215">
        <v>5459.41</v>
      </c>
      <c r="E119" s="215">
        <v>5459.41</v>
      </c>
      <c r="F119" s="215">
        <v>5459.41</v>
      </c>
      <c r="G119" s="215">
        <v>5599.41</v>
      </c>
      <c r="H119" s="215">
        <v>5599.41</v>
      </c>
      <c r="I119" s="215">
        <v>5599.41</v>
      </c>
      <c r="J119" s="215">
        <v>6043.3100000000013</v>
      </c>
      <c r="K119" s="215">
        <v>5599.41</v>
      </c>
      <c r="L119" s="215">
        <v>5599.41</v>
      </c>
      <c r="M119" s="215">
        <v>5599.41</v>
      </c>
      <c r="N119" s="215">
        <v>6043.3100000000013</v>
      </c>
      <c r="O119" s="215">
        <v>5599.41</v>
      </c>
      <c r="P119" s="135">
        <f t="shared" si="52"/>
        <v>67660.720000000016</v>
      </c>
      <c r="Q119" s="136">
        <v>6212</v>
      </c>
      <c r="R119" s="136">
        <v>6212</v>
      </c>
      <c r="S119" s="136">
        <v>6206</v>
      </c>
      <c r="T119" s="136">
        <v>6206</v>
      </c>
      <c r="U119" s="136">
        <v>6206</v>
      </c>
      <c r="V119" s="136">
        <v>5058</v>
      </c>
      <c r="W119" s="72">
        <v>5400</v>
      </c>
      <c r="X119" s="72">
        <v>5400</v>
      </c>
      <c r="Y119" s="72">
        <v>4721</v>
      </c>
      <c r="Z119" s="72">
        <v>4721</v>
      </c>
      <c r="AA119" s="72">
        <v>4721</v>
      </c>
      <c r="AB119" s="72">
        <v>4721</v>
      </c>
      <c r="AC119" s="137">
        <f t="shared" si="49"/>
        <v>65784</v>
      </c>
      <c r="AD119" s="136">
        <f t="shared" si="50"/>
        <v>1876.7200000000157</v>
      </c>
      <c r="AE119" s="196">
        <f t="shared" si="51"/>
        <v>2.8528517572662285E-2</v>
      </c>
      <c r="AF119" s="133">
        <v>30854</v>
      </c>
      <c r="AG119" s="124">
        <f t="shared" si="43"/>
        <v>-36806.720000000016</v>
      </c>
    </row>
    <row r="120" spans="1:33">
      <c r="A120" s="105" t="s">
        <v>130</v>
      </c>
      <c r="B120" s="105" t="s">
        <v>381</v>
      </c>
      <c r="C120" s="105" t="s">
        <v>272</v>
      </c>
      <c r="D120" s="215">
        <v>2797</v>
      </c>
      <c r="E120" s="215">
        <v>2059</v>
      </c>
      <c r="F120" s="215">
        <v>2059</v>
      </c>
      <c r="G120" s="215">
        <v>2193</v>
      </c>
      <c r="H120" s="215">
        <v>2358</v>
      </c>
      <c r="I120" s="215">
        <v>2081</v>
      </c>
      <c r="J120" s="215">
        <v>2081</v>
      </c>
      <c r="K120" s="215">
        <v>2081</v>
      </c>
      <c r="L120" s="215">
        <v>2081</v>
      </c>
      <c r="M120" s="215">
        <v>2731</v>
      </c>
      <c r="N120" s="215">
        <v>2081</v>
      </c>
      <c r="O120" s="215">
        <v>2081</v>
      </c>
      <c r="P120" s="135">
        <f t="shared" si="52"/>
        <v>26683</v>
      </c>
      <c r="Q120" s="136">
        <v>2183.5300000000002</v>
      </c>
      <c r="R120" s="136">
        <v>2435.7199999999998</v>
      </c>
      <c r="S120" s="136">
        <v>4210.88</v>
      </c>
      <c r="T120" s="136">
        <v>3518.71</v>
      </c>
      <c r="U120" s="136">
        <v>2063.9499999999998</v>
      </c>
      <c r="V120" s="136">
        <v>2091.89</v>
      </c>
      <c r="W120" s="72">
        <v>1743.13</v>
      </c>
      <c r="X120" s="72">
        <v>1790.69</v>
      </c>
      <c r="Y120" s="72">
        <v>2750</v>
      </c>
      <c r="Z120" s="72">
        <v>2750</v>
      </c>
      <c r="AA120" s="72">
        <v>2750</v>
      </c>
      <c r="AB120" s="72">
        <v>2750</v>
      </c>
      <c r="AC120" s="137">
        <f t="shared" si="49"/>
        <v>31038.5</v>
      </c>
      <c r="AD120" s="136">
        <f t="shared" si="50"/>
        <v>-4355.5</v>
      </c>
      <c r="AE120" s="196">
        <f t="shared" si="51"/>
        <v>-0.14032572450343928</v>
      </c>
      <c r="AF120" s="133">
        <v>24107.99</v>
      </c>
      <c r="AG120" s="124">
        <f t="shared" si="43"/>
        <v>-2575.0099999999984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52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9"/>
        <v>0</v>
      </c>
      <c r="AD121" s="136">
        <f t="shared" si="50"/>
        <v>0</v>
      </c>
      <c r="AE121" s="196" t="e">
        <f t="shared" si="51"/>
        <v>#DIV/0!</v>
      </c>
      <c r="AF121" s="133">
        <v>0</v>
      </c>
      <c r="AG121" s="124">
        <f t="shared" si="43"/>
        <v>0</v>
      </c>
    </row>
    <row r="122" spans="1:33">
      <c r="A122" s="105" t="s">
        <v>273</v>
      </c>
      <c r="C122" s="109" t="s">
        <v>522</v>
      </c>
      <c r="D122" s="137">
        <f t="shared" ref="D122:AC122" si="53">SUM(D114:D121)</f>
        <v>34612.339999999997</v>
      </c>
      <c r="E122" s="137">
        <f t="shared" si="53"/>
        <v>33874.339999999997</v>
      </c>
      <c r="F122" s="137">
        <f t="shared" si="53"/>
        <v>33874.339999999997</v>
      </c>
      <c r="G122" s="137">
        <f t="shared" si="53"/>
        <v>35339.949999999997</v>
      </c>
      <c r="H122" s="137">
        <f t="shared" si="53"/>
        <v>35504.949999999997</v>
      </c>
      <c r="I122" s="137">
        <f t="shared" si="53"/>
        <v>35227.949999999997</v>
      </c>
      <c r="J122" s="137">
        <f t="shared" si="53"/>
        <v>36186.479999999996</v>
      </c>
      <c r="K122" s="137">
        <f t="shared" si="53"/>
        <v>35742.58</v>
      </c>
      <c r="L122" s="137">
        <f t="shared" si="53"/>
        <v>35742.58</v>
      </c>
      <c r="M122" s="137">
        <f t="shared" si="53"/>
        <v>36392.58</v>
      </c>
      <c r="N122" s="137">
        <f t="shared" si="53"/>
        <v>36186.479999999996</v>
      </c>
      <c r="O122" s="137">
        <f t="shared" si="53"/>
        <v>35742.58</v>
      </c>
      <c r="P122" s="135">
        <f t="shared" si="53"/>
        <v>424427.15</v>
      </c>
      <c r="Q122" s="137">
        <f t="shared" si="53"/>
        <v>39748.559999999998</v>
      </c>
      <c r="R122" s="137">
        <f t="shared" si="53"/>
        <v>40000.75</v>
      </c>
      <c r="S122" s="137">
        <f t="shared" si="53"/>
        <v>41737.22</v>
      </c>
      <c r="T122" s="137">
        <f t="shared" si="53"/>
        <v>41045.050000000003</v>
      </c>
      <c r="U122" s="137">
        <f t="shared" si="53"/>
        <v>39590.29</v>
      </c>
      <c r="V122" s="137">
        <f t="shared" si="53"/>
        <v>33524.720000000001</v>
      </c>
      <c r="W122" s="137">
        <f t="shared" si="53"/>
        <v>33000.519999999997</v>
      </c>
      <c r="X122" s="137">
        <f t="shared" si="53"/>
        <v>33048.080000000002</v>
      </c>
      <c r="Y122" s="137">
        <f t="shared" si="53"/>
        <v>33133</v>
      </c>
      <c r="Z122" s="137">
        <f t="shared" si="53"/>
        <v>33133</v>
      </c>
      <c r="AA122" s="137">
        <f t="shared" si="53"/>
        <v>33133</v>
      </c>
      <c r="AB122" s="137">
        <f t="shared" si="53"/>
        <v>33133</v>
      </c>
      <c r="AC122" s="137">
        <f t="shared" si="53"/>
        <v>434227.19</v>
      </c>
      <c r="AD122" s="136">
        <f t="shared" si="50"/>
        <v>-9800.039999999979</v>
      </c>
      <c r="AE122" s="196">
        <f t="shared" si="51"/>
        <v>-2.2568922964036359E-2</v>
      </c>
      <c r="AF122" s="133">
        <v>226828.99999999997</v>
      </c>
      <c r="AG122" s="124">
        <f t="shared" si="43"/>
        <v>-197598.15000000005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3"/>
        <v>0</v>
      </c>
    </row>
    <row r="124" spans="1:33">
      <c r="A124" s="105" t="s">
        <v>131</v>
      </c>
      <c r="B124" s="105" t="s">
        <v>381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54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5">SUM(Q124:AB124)</f>
        <v>0</v>
      </c>
      <c r="AD124" s="136">
        <f t="shared" ref="AD124:AD134" si="56">P124-AC124</f>
        <v>0</v>
      </c>
      <c r="AE124" s="196" t="e">
        <f t="shared" ref="AE124:AE134" si="57">AD124/AC124</f>
        <v>#DIV/0!</v>
      </c>
      <c r="AF124" s="133">
        <v>0</v>
      </c>
      <c r="AG124" s="124">
        <f t="shared" si="43"/>
        <v>0</v>
      </c>
    </row>
    <row r="125" spans="1:33">
      <c r="A125" s="105" t="s">
        <v>132</v>
      </c>
      <c r="B125" s="105" t="s">
        <v>381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54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5"/>
        <v>0</v>
      </c>
      <c r="AD125" s="136">
        <f t="shared" si="56"/>
        <v>0</v>
      </c>
      <c r="AE125" s="196" t="e">
        <f t="shared" si="57"/>
        <v>#DIV/0!</v>
      </c>
      <c r="AF125" s="133">
        <v>0</v>
      </c>
      <c r="AG125" s="124">
        <f t="shared" si="43"/>
        <v>0</v>
      </c>
    </row>
    <row r="126" spans="1:33">
      <c r="A126" s="105" t="s">
        <v>133</v>
      </c>
      <c r="B126" s="105" t="s">
        <v>381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54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5"/>
        <v>0</v>
      </c>
      <c r="AD126" s="136">
        <f t="shared" si="56"/>
        <v>0</v>
      </c>
      <c r="AE126" s="196" t="e">
        <f t="shared" si="57"/>
        <v>#DIV/0!</v>
      </c>
      <c r="AF126" s="133">
        <v>0</v>
      </c>
      <c r="AG126" s="124">
        <f t="shared" si="43"/>
        <v>0</v>
      </c>
    </row>
    <row r="127" spans="1:33">
      <c r="A127" s="105" t="s">
        <v>134</v>
      </c>
      <c r="B127" s="105" t="s">
        <v>381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00">
        <f t="shared" si="54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5"/>
        <v>0</v>
      </c>
      <c r="AD127" s="136">
        <f t="shared" si="56"/>
        <v>0</v>
      </c>
      <c r="AE127" s="196" t="e">
        <f t="shared" si="57"/>
        <v>#DIV/0!</v>
      </c>
      <c r="AF127" s="133">
        <v>0</v>
      </c>
      <c r="AG127" s="124">
        <f t="shared" si="43"/>
        <v>0</v>
      </c>
    </row>
    <row r="128" spans="1:33">
      <c r="A128" s="105" t="s">
        <v>135</v>
      </c>
      <c r="B128" s="105" t="s">
        <v>381</v>
      </c>
      <c r="C128" s="105" t="s">
        <v>280</v>
      </c>
      <c r="D128" s="215">
        <v>386.1</v>
      </c>
      <c r="E128" s="215">
        <v>386.1</v>
      </c>
      <c r="F128" s="215">
        <v>386.1</v>
      </c>
      <c r="G128" s="215">
        <v>386.1</v>
      </c>
      <c r="H128" s="215">
        <v>386.1</v>
      </c>
      <c r="I128" s="215">
        <v>386.1</v>
      </c>
      <c r="J128" s="215">
        <v>386.1</v>
      </c>
      <c r="K128" s="215">
        <v>386.1</v>
      </c>
      <c r="L128" s="215">
        <v>386.1</v>
      </c>
      <c r="M128" s="215">
        <v>386.1</v>
      </c>
      <c r="N128" s="215">
        <v>386.1</v>
      </c>
      <c r="O128" s="215">
        <v>386.1</v>
      </c>
      <c r="P128" s="200">
        <f t="shared" si="54"/>
        <v>4633.2</v>
      </c>
      <c r="Q128" s="136">
        <v>320.47000000000003</v>
      </c>
      <c r="R128" s="136">
        <v>323.17</v>
      </c>
      <c r="S128" s="136">
        <v>320.47000000000003</v>
      </c>
      <c r="T128" s="136">
        <v>320.47000000000003</v>
      </c>
      <c r="U128" s="136">
        <v>334.46</v>
      </c>
      <c r="V128" s="136">
        <v>355.68</v>
      </c>
      <c r="W128" s="72">
        <v>319.67</v>
      </c>
      <c r="X128" s="72">
        <v>313.42</v>
      </c>
      <c r="Y128" s="72">
        <v>363</v>
      </c>
      <c r="Z128" s="72">
        <v>363</v>
      </c>
      <c r="AA128" s="72">
        <v>363</v>
      </c>
      <c r="AB128" s="72">
        <v>363</v>
      </c>
      <c r="AC128" s="137">
        <f t="shared" si="55"/>
        <v>4059.8100000000004</v>
      </c>
      <c r="AD128" s="136">
        <f t="shared" si="56"/>
        <v>573.38999999999942</v>
      </c>
      <c r="AE128" s="196">
        <f t="shared" si="57"/>
        <v>0.14123567359063585</v>
      </c>
      <c r="AF128" s="133">
        <v>7411.13</v>
      </c>
      <c r="AG128" s="124">
        <f t="shared" si="43"/>
        <v>2777.9300000000003</v>
      </c>
    </row>
    <row r="129" spans="1:33">
      <c r="A129" s="105" t="s">
        <v>136</v>
      </c>
      <c r="B129" s="105" t="s">
        <v>381</v>
      </c>
      <c r="C129" s="105" t="s">
        <v>282</v>
      </c>
      <c r="D129" s="164">
        <v>4923</v>
      </c>
      <c r="E129" s="164">
        <v>4526</v>
      </c>
      <c r="F129" s="164">
        <v>4587</v>
      </c>
      <c r="G129" s="164">
        <v>5172</v>
      </c>
      <c r="H129" s="164">
        <v>5349</v>
      </c>
      <c r="I129" s="164">
        <v>5071</v>
      </c>
      <c r="J129" s="164">
        <v>5096</v>
      </c>
      <c r="K129" s="164">
        <v>5203</v>
      </c>
      <c r="L129" s="164">
        <v>5205</v>
      </c>
      <c r="M129" s="164">
        <v>5228</v>
      </c>
      <c r="N129" s="164">
        <v>4853</v>
      </c>
      <c r="O129" s="164">
        <v>4842</v>
      </c>
      <c r="P129" s="200">
        <f t="shared" si="54"/>
        <v>60055</v>
      </c>
      <c r="Q129" s="136">
        <v>4510.76</v>
      </c>
      <c r="R129" s="136">
        <v>5761.53</v>
      </c>
      <c r="S129" s="136">
        <v>5046.3999999999996</v>
      </c>
      <c r="T129" s="136">
        <v>5849.33</v>
      </c>
      <c r="U129" s="136">
        <v>6382.3</v>
      </c>
      <c r="V129" s="136">
        <v>5848.83</v>
      </c>
      <c r="W129" s="72">
        <v>4906.25</v>
      </c>
      <c r="X129" s="72">
        <v>5881.07</v>
      </c>
      <c r="Y129" s="72">
        <v>22194</v>
      </c>
      <c r="Z129" s="72">
        <v>21596</v>
      </c>
      <c r="AA129" s="72">
        <v>20846</v>
      </c>
      <c r="AB129" s="72">
        <v>20848</v>
      </c>
      <c r="AC129" s="137">
        <f t="shared" si="55"/>
        <v>129670.47</v>
      </c>
      <c r="AD129" s="136">
        <f t="shared" si="56"/>
        <v>-69615.47</v>
      </c>
      <c r="AE129" s="196">
        <f t="shared" si="57"/>
        <v>-0.53686448425767253</v>
      </c>
      <c r="AF129" s="133">
        <v>103871.13</v>
      </c>
      <c r="AG129" s="124">
        <f t="shared" si="43"/>
        <v>43816.130000000005</v>
      </c>
    </row>
    <row r="130" spans="1:33">
      <c r="A130" s="105" t="s">
        <v>137</v>
      </c>
      <c r="B130" s="105" t="s">
        <v>381</v>
      </c>
      <c r="C130" s="105" t="s">
        <v>283</v>
      </c>
      <c r="D130" s="164">
        <v>20645.72</v>
      </c>
      <c r="E130" s="164">
        <v>17418.72</v>
      </c>
      <c r="F130" s="164">
        <v>17433.47</v>
      </c>
      <c r="G130" s="164">
        <v>17671.47</v>
      </c>
      <c r="H130" s="164">
        <v>19018.72</v>
      </c>
      <c r="I130" s="164">
        <v>17706.53</v>
      </c>
      <c r="J130" s="164">
        <v>17603.53</v>
      </c>
      <c r="K130" s="164">
        <v>17588.53</v>
      </c>
      <c r="L130" s="164">
        <v>17693.53</v>
      </c>
      <c r="M130" s="164">
        <v>20468.59</v>
      </c>
      <c r="N130" s="164">
        <v>17621.47</v>
      </c>
      <c r="O130" s="164">
        <v>17606.47</v>
      </c>
      <c r="P130" s="200">
        <f t="shared" si="54"/>
        <v>218476.75</v>
      </c>
      <c r="Q130" s="136">
        <v>20237.740000000002</v>
      </c>
      <c r="R130" s="136">
        <v>20643.830000000002</v>
      </c>
      <c r="S130" s="136">
        <v>19743.07</v>
      </c>
      <c r="T130" s="136">
        <v>19023.189999999999</v>
      </c>
      <c r="U130" s="136">
        <v>14056.88</v>
      </c>
      <c r="V130" s="136">
        <v>16847.310000000001</v>
      </c>
      <c r="W130" s="72">
        <v>14672.77</v>
      </c>
      <c r="X130" s="72">
        <v>15288.78</v>
      </c>
      <c r="Y130" s="72">
        <v>27153</v>
      </c>
      <c r="Z130" s="72">
        <v>30140</v>
      </c>
      <c r="AA130" s="72">
        <v>27515</v>
      </c>
      <c r="AB130" s="72">
        <v>27515</v>
      </c>
      <c r="AC130" s="137">
        <f t="shared" si="55"/>
        <v>252836.57</v>
      </c>
      <c r="AD130" s="136">
        <f t="shared" si="56"/>
        <v>-34359.820000000007</v>
      </c>
      <c r="AE130" s="196">
        <f t="shared" si="57"/>
        <v>-0.13589735060873515</v>
      </c>
      <c r="AF130" s="133">
        <v>370355.69</v>
      </c>
      <c r="AG130" s="124">
        <f t="shared" si="43"/>
        <v>151878.94</v>
      </c>
    </row>
    <row r="131" spans="1:33">
      <c r="A131" s="105" t="s">
        <v>138</v>
      </c>
      <c r="B131" s="105" t="s">
        <v>381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54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5"/>
        <v>0</v>
      </c>
      <c r="AD131" s="136">
        <f t="shared" si="56"/>
        <v>0</v>
      </c>
      <c r="AE131" s="196" t="e">
        <f t="shared" si="57"/>
        <v>#DIV/0!</v>
      </c>
      <c r="AF131" s="133">
        <v>0</v>
      </c>
      <c r="AG131" s="124">
        <f t="shared" si="43"/>
        <v>0</v>
      </c>
    </row>
    <row r="132" spans="1:33">
      <c r="A132" s="105" t="s">
        <v>140</v>
      </c>
      <c r="B132" s="105" t="s">
        <v>381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54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5"/>
        <v>0</v>
      </c>
      <c r="AD132" s="136">
        <f t="shared" si="56"/>
        <v>0</v>
      </c>
      <c r="AE132" s="196" t="e">
        <f t="shared" si="57"/>
        <v>#DIV/0!</v>
      </c>
      <c r="AF132" s="133">
        <v>0</v>
      </c>
      <c r="AG132" s="124">
        <f t="shared" si="43"/>
        <v>0</v>
      </c>
    </row>
    <row r="133" spans="1:33">
      <c r="A133" s="105" t="s">
        <v>273</v>
      </c>
      <c r="C133" s="109" t="s">
        <v>523</v>
      </c>
      <c r="D133" s="137">
        <f t="shared" ref="D133:AC133" si="58">SUM(D124:D132)</f>
        <v>25954.82</v>
      </c>
      <c r="E133" s="137">
        <f t="shared" si="58"/>
        <v>22330.82</v>
      </c>
      <c r="F133" s="137">
        <f t="shared" si="58"/>
        <v>22406.57</v>
      </c>
      <c r="G133" s="137">
        <f t="shared" si="58"/>
        <v>23229.57</v>
      </c>
      <c r="H133" s="137">
        <f t="shared" si="58"/>
        <v>24753.82</v>
      </c>
      <c r="I133" s="137">
        <f t="shared" si="58"/>
        <v>23163.629999999997</v>
      </c>
      <c r="J133" s="137">
        <f t="shared" si="58"/>
        <v>23085.629999999997</v>
      </c>
      <c r="K133" s="137">
        <f t="shared" si="58"/>
        <v>23177.629999999997</v>
      </c>
      <c r="L133" s="137">
        <f t="shared" si="58"/>
        <v>23284.629999999997</v>
      </c>
      <c r="M133" s="137">
        <f t="shared" si="58"/>
        <v>26082.690000000002</v>
      </c>
      <c r="N133" s="137">
        <f t="shared" si="58"/>
        <v>22860.57</v>
      </c>
      <c r="O133" s="137">
        <f t="shared" si="58"/>
        <v>22834.57</v>
      </c>
      <c r="P133" s="135">
        <f t="shared" si="58"/>
        <v>283164.95</v>
      </c>
      <c r="Q133" s="137">
        <f t="shared" si="58"/>
        <v>25068.97</v>
      </c>
      <c r="R133" s="137">
        <f t="shared" si="58"/>
        <v>26728.530000000002</v>
      </c>
      <c r="S133" s="137">
        <f t="shared" si="58"/>
        <v>25109.94</v>
      </c>
      <c r="T133" s="137">
        <f t="shared" si="58"/>
        <v>25192.989999999998</v>
      </c>
      <c r="U133" s="137">
        <f t="shared" si="58"/>
        <v>20773.64</v>
      </c>
      <c r="V133" s="137">
        <f t="shared" si="58"/>
        <v>23051.82</v>
      </c>
      <c r="W133" s="137">
        <f t="shared" si="58"/>
        <v>19898.690000000002</v>
      </c>
      <c r="X133" s="137">
        <f t="shared" si="58"/>
        <v>21483.27</v>
      </c>
      <c r="Y133" s="137">
        <f t="shared" si="58"/>
        <v>49710</v>
      </c>
      <c r="Z133" s="137">
        <f t="shared" si="58"/>
        <v>52099</v>
      </c>
      <c r="AA133" s="137">
        <f t="shared" si="58"/>
        <v>48724</v>
      </c>
      <c r="AB133" s="137">
        <f t="shared" si="58"/>
        <v>48726</v>
      </c>
      <c r="AC133" s="137">
        <f t="shared" si="58"/>
        <v>386566.85</v>
      </c>
      <c r="AD133" s="136">
        <f t="shared" si="56"/>
        <v>-103401.89999999997</v>
      </c>
      <c r="AE133" s="196">
        <f t="shared" si="57"/>
        <v>-0.26748775793889201</v>
      </c>
      <c r="AF133" s="133">
        <v>481637.95</v>
      </c>
      <c r="AG133" s="124">
        <f t="shared" si="43"/>
        <v>198473</v>
      </c>
    </row>
    <row r="134" spans="1:33">
      <c r="A134" s="105" t="s">
        <v>273</v>
      </c>
      <c r="C134" s="109" t="s">
        <v>524</v>
      </c>
      <c r="D134" s="137">
        <f t="shared" ref="D134:AC134" si="59">D105+D112+D122+D133</f>
        <v>200421.59</v>
      </c>
      <c r="E134" s="137">
        <f t="shared" si="59"/>
        <v>159176.84</v>
      </c>
      <c r="F134" s="137">
        <f t="shared" si="59"/>
        <v>159252.59</v>
      </c>
      <c r="G134" s="137">
        <f t="shared" si="59"/>
        <v>168224.06</v>
      </c>
      <c r="H134" s="137">
        <f t="shared" si="59"/>
        <v>178161.62</v>
      </c>
      <c r="I134" s="137">
        <f t="shared" si="59"/>
        <v>162459.93</v>
      </c>
      <c r="J134" s="137">
        <f t="shared" si="59"/>
        <v>163340.46000000002</v>
      </c>
      <c r="K134" s="137">
        <f t="shared" si="59"/>
        <v>162988.56</v>
      </c>
      <c r="L134" s="137">
        <f t="shared" si="59"/>
        <v>163095.56</v>
      </c>
      <c r="M134" s="137">
        <f t="shared" si="59"/>
        <v>199026.38</v>
      </c>
      <c r="N134" s="137">
        <f t="shared" si="59"/>
        <v>163115.40000000002</v>
      </c>
      <c r="O134" s="137">
        <f t="shared" si="59"/>
        <v>162645.5</v>
      </c>
      <c r="P134" s="135">
        <f t="shared" si="59"/>
        <v>2041908.49</v>
      </c>
      <c r="Q134" s="137">
        <f t="shared" si="59"/>
        <v>191255.01</v>
      </c>
      <c r="R134" s="137">
        <f t="shared" si="59"/>
        <v>213271.69999999998</v>
      </c>
      <c r="S134" s="137">
        <f t="shared" si="59"/>
        <v>183930.93</v>
      </c>
      <c r="T134" s="137">
        <f t="shared" si="59"/>
        <v>183180.03999999998</v>
      </c>
      <c r="U134" s="137">
        <f t="shared" si="59"/>
        <v>174195.58000000002</v>
      </c>
      <c r="V134" s="137">
        <f t="shared" si="59"/>
        <v>167975.57</v>
      </c>
      <c r="W134" s="137">
        <f t="shared" si="59"/>
        <v>150245.21</v>
      </c>
      <c r="X134" s="137">
        <f t="shared" si="59"/>
        <v>164387.84</v>
      </c>
      <c r="Y134" s="137">
        <f t="shared" si="59"/>
        <v>190118.5</v>
      </c>
      <c r="Z134" s="137">
        <f t="shared" si="59"/>
        <v>217193.5</v>
      </c>
      <c r="AA134" s="137">
        <f t="shared" si="59"/>
        <v>189136.5</v>
      </c>
      <c r="AB134" s="137">
        <f t="shared" si="59"/>
        <v>189354.5</v>
      </c>
      <c r="AC134" s="137">
        <f t="shared" si="59"/>
        <v>2214244.88</v>
      </c>
      <c r="AD134" s="136">
        <f t="shared" si="56"/>
        <v>-172336.3899999999</v>
      </c>
      <c r="AE134" s="196">
        <f t="shared" si="57"/>
        <v>-7.7830772719230543E-2</v>
      </c>
      <c r="AF134" s="133">
        <v>1919925.11</v>
      </c>
      <c r="AG134" s="124">
        <f t="shared" si="43"/>
        <v>-121983.37999999989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3"/>
        <v>0</v>
      </c>
    </row>
    <row r="136" spans="1:33" s="224" customFormat="1">
      <c r="A136" s="224" t="s">
        <v>141</v>
      </c>
      <c r="B136" s="224" t="s">
        <v>381</v>
      </c>
      <c r="C136" s="224" t="s">
        <v>142</v>
      </c>
      <c r="D136" s="215">
        <v>16</v>
      </c>
      <c r="E136" s="215">
        <v>16</v>
      </c>
      <c r="F136" s="215">
        <v>16</v>
      </c>
      <c r="G136" s="215">
        <v>16</v>
      </c>
      <c r="H136" s="215">
        <v>16</v>
      </c>
      <c r="I136" s="215">
        <v>16</v>
      </c>
      <c r="J136" s="215">
        <v>16</v>
      </c>
      <c r="K136" s="215">
        <v>16</v>
      </c>
      <c r="L136" s="215">
        <v>16</v>
      </c>
      <c r="M136" s="215">
        <v>16</v>
      </c>
      <c r="N136" s="215">
        <v>16</v>
      </c>
      <c r="O136" s="215">
        <v>16</v>
      </c>
      <c r="P136" s="225">
        <f>SUM(D136:O136)/12</f>
        <v>16</v>
      </c>
      <c r="Q136" s="225">
        <v>17</v>
      </c>
      <c r="R136" s="225">
        <v>17</v>
      </c>
      <c r="S136" s="225">
        <v>17</v>
      </c>
      <c r="T136" s="225">
        <v>17</v>
      </c>
      <c r="U136" s="225">
        <v>17</v>
      </c>
      <c r="V136" s="225">
        <v>18</v>
      </c>
      <c r="W136" s="127">
        <v>16</v>
      </c>
      <c r="X136" s="127">
        <v>16</v>
      </c>
      <c r="Y136" s="127">
        <v>19</v>
      </c>
      <c r="Z136" s="127">
        <v>19</v>
      </c>
      <c r="AA136" s="127">
        <v>19</v>
      </c>
      <c r="AB136" s="127">
        <v>19</v>
      </c>
      <c r="AC136" s="225">
        <f>SUM(Q136:AB136)/12</f>
        <v>17.583333333333332</v>
      </c>
      <c r="AD136" s="225">
        <f t="shared" ref="AD136" si="60">P136-AC136</f>
        <v>-1.5833333333333321</v>
      </c>
      <c r="AE136" s="226">
        <f t="shared" ref="AE136" si="61">AD136/AC136</f>
        <v>-9.0047393364928854E-2</v>
      </c>
      <c r="AF136" s="227">
        <v>23.916666666666668</v>
      </c>
      <c r="AG136" s="228">
        <f t="shared" si="43"/>
        <v>7.9166666666666679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170">
        <v>1255</v>
      </c>
      <c r="E138" s="170">
        <v>1255</v>
      </c>
      <c r="F138" s="170">
        <v>1255</v>
      </c>
      <c r="G138" s="170">
        <v>1255</v>
      </c>
      <c r="H138" s="170">
        <v>1255</v>
      </c>
      <c r="I138" s="170">
        <v>1255</v>
      </c>
      <c r="J138" s="170">
        <v>1255</v>
      </c>
      <c r="K138" s="170">
        <v>1255</v>
      </c>
      <c r="L138" s="170">
        <v>1255</v>
      </c>
      <c r="M138" s="170">
        <v>1255</v>
      </c>
      <c r="N138" s="170">
        <v>1255</v>
      </c>
      <c r="O138" s="170">
        <v>1255</v>
      </c>
      <c r="P138" s="200">
        <f t="shared" ref="P138:P140" si="62">SUM(D138:O138)</f>
        <v>15060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16">
        <v>0</v>
      </c>
      <c r="E139" s="116">
        <v>0</v>
      </c>
      <c r="F139" s="116">
        <v>0</v>
      </c>
      <c r="G139" s="116">
        <v>0</v>
      </c>
      <c r="H139" s="116">
        <v>0</v>
      </c>
      <c r="I139" s="116">
        <v>0</v>
      </c>
      <c r="J139" s="116">
        <v>0</v>
      </c>
      <c r="K139" s="116">
        <v>0</v>
      </c>
      <c r="L139" s="116">
        <v>0</v>
      </c>
      <c r="M139" s="116">
        <v>0</v>
      </c>
      <c r="N139" s="116">
        <v>0</v>
      </c>
      <c r="O139" s="116">
        <v>0</v>
      </c>
      <c r="P139" s="200">
        <f t="shared" si="62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3"/>
      <c r="AD139" s="136"/>
      <c r="AG139" s="123"/>
    </row>
    <row r="140" spans="1:33">
      <c r="C140" s="151" t="s">
        <v>367</v>
      </c>
      <c r="D140" s="116">
        <v>35896.850000000006</v>
      </c>
      <c r="E140" s="116">
        <v>25010.34</v>
      </c>
      <c r="F140" s="116">
        <v>25130.34</v>
      </c>
      <c r="G140" s="116">
        <v>28414.26</v>
      </c>
      <c r="H140" s="116">
        <v>33284.600000000013</v>
      </c>
      <c r="I140" s="116">
        <v>27955.000000000004</v>
      </c>
      <c r="J140" s="116">
        <v>27929.000000000004</v>
      </c>
      <c r="K140" s="116">
        <v>28036.000000000004</v>
      </c>
      <c r="L140" s="116">
        <v>28091.000000000004</v>
      </c>
      <c r="M140" s="116">
        <v>39017.760000000009</v>
      </c>
      <c r="N140" s="116">
        <v>27737.000000000004</v>
      </c>
      <c r="O140" s="116">
        <v>27717.000000000004</v>
      </c>
      <c r="P140" s="200">
        <f t="shared" si="62"/>
        <v>354219.15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37151.850000000006</v>
      </c>
      <c r="E141" s="117">
        <f t="shared" ref="E141:P141" si="63">SUM(E138:E140)</f>
        <v>26265.34</v>
      </c>
      <c r="F141" s="117">
        <f t="shared" si="63"/>
        <v>26385.34</v>
      </c>
      <c r="G141" s="117">
        <f t="shared" si="63"/>
        <v>29669.26</v>
      </c>
      <c r="H141" s="117">
        <f t="shared" si="63"/>
        <v>34539.600000000013</v>
      </c>
      <c r="I141" s="117">
        <f t="shared" si="63"/>
        <v>29210.000000000004</v>
      </c>
      <c r="J141" s="117">
        <f t="shared" si="63"/>
        <v>29184.000000000004</v>
      </c>
      <c r="K141" s="117">
        <f t="shared" si="63"/>
        <v>29291.000000000004</v>
      </c>
      <c r="L141" s="117">
        <f t="shared" si="63"/>
        <v>29346.000000000004</v>
      </c>
      <c r="M141" s="117">
        <f t="shared" si="63"/>
        <v>40272.760000000009</v>
      </c>
      <c r="N141" s="117">
        <f t="shared" si="63"/>
        <v>28992.000000000004</v>
      </c>
      <c r="O141" s="117">
        <f t="shared" si="63"/>
        <v>28972.000000000004</v>
      </c>
      <c r="P141" s="117">
        <f t="shared" si="63"/>
        <v>369279.15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69">
    <dataValidation type="textLength" errorStyle="information" allowBlank="1" showInputMessage="1" showErrorMessage="1" error="XLBVal:6=8027.58_x000d__x000a_" sqref="V107">
      <formula1>0</formula1>
      <formula2>300</formula2>
    </dataValidation>
    <dataValidation type="textLength" errorStyle="information" allowBlank="1" showInputMessage="1" showErrorMessage="1" error="XLBVal:6=36247.13_x000d__x000a_" sqref="S102">
      <formula1>0</formula1>
      <formula2>300</formula2>
    </dataValidation>
    <dataValidation type="textLength" errorStyle="information" allowBlank="1" showInputMessage="1" showErrorMessage="1" error="XLBVal:6=36405.17_x000d__x000a_" sqref="Q102">
      <formula1>0</formula1>
      <formula2>300</formula2>
    </dataValidation>
    <dataValidation type="textLength" errorStyle="information" allowBlank="1" showInputMessage="1" showErrorMessage="1" error="XLBVal:6=1_x000d__x000a_" sqref="V88">
      <formula1>0</formula1>
      <formula2>300</formula2>
    </dataValidation>
    <dataValidation type="textLength" errorStyle="information" allowBlank="1" showInputMessage="1" showErrorMessage="1" error="XLBVal:6=11_x000d__x000a_" sqref="U88">
      <formula1>0</formula1>
      <formula2>300</formula2>
    </dataValidation>
    <dataValidation type="textLength" errorStyle="information" allowBlank="1" showInputMessage="1" showErrorMessage="1" error="XLBVal:6=16_x000d__x000a_" sqref="T88">
      <formula1>0</formula1>
      <formula2>300</formula2>
    </dataValidation>
    <dataValidation type="textLength" errorStyle="information" allowBlank="1" showInputMessage="1" showErrorMessage="1" error="XLBVal:6=113_x000d__x000a_" sqref="R88">
      <formula1>0</formula1>
      <formula2>300</formula2>
    </dataValidation>
    <dataValidation type="textLength" errorStyle="information" allowBlank="1" showInputMessage="1" showErrorMessage="1" error="XLBVal:6=2_x000d__x000a_" sqref="V86">
      <formula1>0</formula1>
      <formula2>300</formula2>
    </dataValidation>
    <dataValidation type="textLength" errorStyle="information" allowBlank="1" showInputMessage="1" showErrorMessage="1" error="XLBVal:6=36_x000d__x000a_" sqref="U86">
      <formula1>0</formula1>
      <formula2>300</formula2>
    </dataValidation>
    <dataValidation type="textLength" errorStyle="information" allowBlank="1" showInputMessage="1" showErrorMessage="1" error="XLBVal:6=51_x000d__x000a_" sqref="T86">
      <formula1>0</formula1>
      <formula2>300</formula2>
    </dataValidation>
    <dataValidation type="textLength" errorStyle="information" allowBlank="1" showInputMessage="1" showErrorMessage="1" error="XLBVal:6=4_x000d__x000a_" sqref="S86">
      <formula1>0</formula1>
      <formula2>300</formula2>
    </dataValidation>
    <dataValidation type="textLength" errorStyle="information" allowBlank="1" showInputMessage="1" showErrorMessage="1" error="XLBVal:6=138_x000d__x000a_" sqref="R86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3512.41_x000d__x000a_" sqref="R64">
      <formula1>0</formula1>
      <formula2>300</formula2>
    </dataValidation>
    <dataValidation type="textLength" errorStyle="information" allowBlank="1" showInputMessage="1" showErrorMessage="1" error="XLBVal:6=-29.66_x000d__x000a_" sqref="V59">
      <formula1>0</formula1>
      <formula2>300</formula2>
    </dataValidation>
    <dataValidation type="textLength" errorStyle="information" allowBlank="1" showInputMessage="1" showErrorMessage="1" error="XLBVal:6=29304.73_x000d__x000a_" sqref="R56">
      <formula1>0</formula1>
      <formula2>300</formula2>
    </dataValidation>
    <dataValidation type="textLength" errorStyle="information" allowBlank="1" showInputMessage="1" showErrorMessage="1" error="XLBVal:6=3000_x000d__x000a_" sqref="Q53:R53">
      <formula1>0</formula1>
      <formula2>300</formula2>
    </dataValidation>
    <dataValidation type="textLength" errorStyle="information" allowBlank="1" showInputMessage="1" showErrorMessage="1" error="XLBVal:6=427.7_x000d__x000a_" sqref="R48">
      <formula1>0</formula1>
      <formula2>300</formula2>
    </dataValidation>
    <dataValidation type="textLength" errorStyle="information" allowBlank="1" showInputMessage="1" showErrorMessage="1" error="XLBVal:6=0_x000d__x000a_" sqref="R44 T59">
      <formula1>0</formula1>
      <formula2>300</formula2>
    </dataValidation>
    <dataValidation type="textLength" errorStyle="information" allowBlank="1" showInputMessage="1" showErrorMessage="1" error="XLBVal:6=140_x000d__x000a_" sqref="U20">
      <formula1>0</formula1>
      <formula2>300</formula2>
    </dataValidation>
    <dataValidation type="textLength" errorStyle="information" allowBlank="1" showInputMessage="1" showErrorMessage="1" error="XLBVal:6=122_x000d__x000a_" sqref="T18">
      <formula1>0</formula1>
      <formula2>300</formula2>
    </dataValidation>
    <dataValidation type="textLength" errorStyle="information" allowBlank="1" showInputMessage="1" showErrorMessage="1" error="XLBVal:6=1479.4_x000d__x000a_" sqref="R18">
      <formula1>0</formula1>
      <formula2>300</formula2>
    </dataValidation>
    <dataValidation type="textLength" errorStyle="information" allowBlank="1" showInputMessage="1" showErrorMessage="1" error="XLBVal:6=72_x000d__x000a_" sqref="V12">
      <formula1>0</formula1>
      <formula2>300</formula2>
    </dataValidation>
    <dataValidation type="textLength" errorStyle="information" allowBlank="1" showInputMessage="1" showErrorMessage="1" error="XLBVal:6=1986.5_x000d__x000a_" sqref="U12">
      <formula1>0</formula1>
      <formula2>300</formula2>
    </dataValidation>
    <dataValidation type="textLength" errorStyle="information" allowBlank="1" showInputMessage="1" showErrorMessage="1" error="XLBVal:6=3144.9_x000d__x000a_" sqref="T12">
      <formula1>0</formula1>
      <formula2>300</formula2>
    </dataValidation>
    <dataValidation type="textLength" errorStyle="information" allowBlank="1" showInputMessage="1" showErrorMessage="1" error="XLBVal:6=34143_x000d__x000a_" sqref="D102">
      <formula1>0</formula1>
      <formula2>300</formula2>
    </dataValidation>
    <dataValidation type="textLength" errorStyle="information" allowBlank="1" showInputMessage="1" showErrorMessage="1" error="XLBVal:6=61308.36_x000d__x000a_" sqref="D103:D104 D107:O111 D114:O121 D124:O128 D136:O136">
      <formula1>0</formula1>
      <formula2>300</formula2>
    </dataValidation>
    <dataValidation type="textLength" errorStyle="information" allowBlank="1" showInputMessage="1" showErrorMessage="1" error="XLBVal:6=5058_x000d__x000a_" sqref="V119">
      <formula1>0</formula1>
      <formula2>300</formula2>
    </dataValidation>
    <dataValidation type="textLength" errorStyle="information" allowBlank="1" showInputMessage="1" showErrorMessage="1" error="XLBVal:6=13381.73_x000d__x000a_" sqref="V108">
      <formula1>0</formula1>
      <formula2>300</formula2>
    </dataValidation>
    <dataValidation type="textLength" errorStyle="information" allowBlank="1" showInputMessage="1" showErrorMessage="1" error="XLBVal:6=20855.89_x000d__x000a_" sqref="R108">
      <formula1>0</formula1>
      <formula2>300</formula2>
    </dataValidation>
    <dataValidation type="textLength" errorStyle="information" allowBlank="1" showInputMessage="1" showErrorMessage="1" error="XLBVal:6=741_x000d__x000a_" sqref="V87">
      <formula1>0</formula1>
      <formula2>300</formula2>
    </dataValidation>
    <dataValidation type="textLength" errorStyle="information" allowBlank="1" showInputMessage="1" showErrorMessage="1" error="XLBVal:6=3351_x000d__x000a_" sqref="T85">
      <formula1>0</formula1>
      <formula2>300</formula2>
    </dataValidation>
    <dataValidation type="textLength" errorStyle="information" allowBlank="1" showInputMessage="1" showErrorMessage="1" error="XLBVal:6=205.9_x000d__x000a_" sqref="V74">
      <formula1>0</formula1>
      <formula2>300</formula2>
    </dataValidation>
    <dataValidation type="textLength" errorStyle="information" allowBlank="1" showInputMessage="1" showErrorMessage="1" error="XLBVal:6=364.78_x000d__x000a_" sqref="T61:V61">
      <formula1>0</formula1>
      <formula2>300</formula2>
    </dataValidation>
    <dataValidation type="textLength" errorStyle="information" allowBlank="1" showInputMessage="1" showErrorMessage="1" error="XLBVal:6=169.21_x000d__x000a_" sqref="Q61">
      <formula1>0</formula1>
      <formula2>300</formula2>
    </dataValidation>
    <dataValidation type="textLength" errorStyle="information" allowBlank="1" showInputMessage="1" showErrorMessage="1" error="XLBVal:6=1671_x000d__x000a_" sqref="Q59:S59">
      <formula1>0</formula1>
      <formula2>300</formula2>
    </dataValidation>
    <dataValidation type="textLength" errorStyle="information" allowBlank="1" showInputMessage="1" showErrorMessage="1" error="XLBVal:6=177.7_x000d__x000a_" sqref="T56">
      <formula1>0</formula1>
      <formula2>300</formula2>
    </dataValidation>
    <dataValidation type="textLength" errorStyle="information" allowBlank="1" showInputMessage="1" showErrorMessage="1" error="XLBVal:6=20000_x000d__x000a_" sqref="R50">
      <formula1>0</formula1>
      <formula2>300</formula2>
    </dataValidation>
    <dataValidation type="textLength" errorStyle="information" allowBlank="1" showInputMessage="1" showErrorMessage="1" error="XLBVal:6=213.85_x000d__x000a_" sqref="S48:V48">
      <formula1>0</formula1>
      <formula2>300</formula2>
    </dataValidation>
    <dataValidation type="textLength" errorStyle="information" allowBlank="1" showInputMessage="1" showErrorMessage="1" error="XLBVal:6=659.4_x000d__x000a_" sqref="AB12">
      <formula1>0</formula1>
      <formula2>300</formula2>
    </dataValidation>
    <dataValidation type="textLength" errorStyle="information" allowBlank="1" showInputMessage="1" showErrorMessage="1" error="XLBVal:6=362168.11_x000d__x000a_" sqref="AB11">
      <formula1>0</formula1>
      <formula2>300</formula2>
    </dataValidation>
    <dataValidation type="textLength" errorStyle="information" allowBlank="1" showInputMessage="1" showErrorMessage="1" error="XLBVal:6=2074.49_x000d__x000a_" sqref="AB10">
      <formula1>0</formula1>
      <formula2>300</formula2>
    </dataValidation>
    <dataValidation type="textLength" errorStyle="information" allowBlank="1" showInputMessage="1" showErrorMessage="1" error="XLBVal:6=294894.4_x000d__x000a_" sqref="AB9">
      <formula1>0</formula1>
      <formula2>300</formula2>
    </dataValidation>
    <dataValidation type="textLength" errorStyle="information" allowBlank="1" showInputMessage="1" showErrorMessage="1" error="XLBVal:6=2250.9_x000d__x000a_" sqref="AA12">
      <formula1>0</formula1>
      <formula2>300</formula2>
    </dataValidation>
    <dataValidation type="textLength" errorStyle="information" allowBlank="1" showInputMessage="1" showErrorMessage="1" error="XLBVal:6=2074.6_x000d__x000a_" sqref="Z12">
      <formula1>0</formula1>
      <formula2>300</formula2>
    </dataValidation>
    <dataValidation type="textLength" errorStyle="information" allowBlank="1" showInputMessage="1" showErrorMessage="1" error="XLBVal:6=269497.01_x000d__x000a_" sqref="AA11">
      <formula1>0</formula1>
      <formula2>300</formula2>
    </dataValidation>
    <dataValidation type="textLength" errorStyle="information" allowBlank="1" showInputMessage="1" showErrorMessage="1" error="XLBVal:6=242539.39_x000d__x000a_" sqref="Z11">
      <formula1>0</formula1>
      <formula2>300</formula2>
    </dataValidation>
    <dataValidation type="textLength" errorStyle="information" allowBlank="1" showInputMessage="1" showErrorMessage="1" error="XLBVal:6=1722.98_x000d__x000a_" sqref="AA10">
      <formula1>0</formula1>
      <formula2>300</formula2>
    </dataValidation>
    <dataValidation type="textLength" errorStyle="information" allowBlank="1" showInputMessage="1" showErrorMessage="1" error="XLBVal:6=174726.7_x000d__x000a_" sqref="AA9">
      <formula1>0</formula1>
      <formula2>300</formula2>
    </dataValidation>
    <dataValidation type="textLength" errorStyle="information" allowBlank="1" showInputMessage="1" showErrorMessage="1" error="XLBVal:6=120480.7_x000d__x000a_" sqref="Z9">
      <formula1>0</formula1>
      <formula2>300</formula2>
    </dataValidation>
    <dataValidation type="textLength" errorStyle="information" allowBlank="1" showInputMessage="1" showErrorMessage="1" error="XLBVal:6=20218.9_x000d__x000a_" sqref="Y11">
      <formula1>0</formula1>
      <formula2>300</formula2>
    </dataValidation>
    <dataValidation type="textLength" errorStyle="information" allowBlank="1" showInputMessage="1" showErrorMessage="1" error="XLBVal:6=992.5_x000d__x000a_" sqref="X12">
      <formula1>0</formula1>
      <formula2>300</formula2>
    </dataValidation>
    <dataValidation type="textLength" errorStyle="information" allowBlank="1" showInputMessage="1" showErrorMessage="1" error="XLBVal:6=120935.25_x000d__x000a_" sqref="X11">
      <formula1>0</formula1>
      <formula2>300</formula2>
    </dataValidation>
    <dataValidation type="textLength" errorStyle="information" allowBlank="1" showInputMessage="1" showErrorMessage="1" error="XLBVal:6=-126_x000d__x000a_" sqref="X10">
      <formula1>0</formula1>
      <formula2>300</formula2>
    </dataValidation>
    <dataValidation type="textLength" errorStyle="information" allowBlank="1" showInputMessage="1" showErrorMessage="1" error="XLBVal:6=53387.3_x000d__x000a_" sqref="X9">
      <formula1>0</formula1>
      <formula2>300</formula2>
    </dataValidation>
    <dataValidation type="textLength" errorStyle="information" allowBlank="1" showInputMessage="1" showErrorMessage="1" error="XLBVal:6=41_x000d__x000a_" sqref="Q88">
      <formula1>0</formula1>
      <formula2>300</formula2>
    </dataValidation>
    <dataValidation type="textLength" errorStyle="information" allowBlank="1" showInputMessage="1" showErrorMessage="1" error="XLBVal:6=86.78_x000d__x000a_" sqref="Q74">
      <formula1>0</formula1>
      <formula2>300</formula2>
    </dataValidation>
    <dataValidation type="textLength" errorStyle="information" allowBlank="1" showInputMessage="1" showErrorMessage="1" error="XLBVal:6=161.07_x000d__x000a_" sqref="S71">
      <formula1>0</formula1>
      <formula2>300</formula2>
    </dataValidation>
    <dataValidation type="textLength" errorStyle="information" allowBlank="1" showInputMessage="1" showErrorMessage="1" error="XLBVal:6=316.58_x000d__x000a_" sqref="Z10">
      <formula1>0</formula1>
      <formula2>300</formula2>
    </dataValidation>
    <dataValidation type="textLength" errorStyle="information" allowBlank="1" showInputMessage="1" showErrorMessage="1" error="XLBVal:6=1200_x000d__x000a_" sqref="S61">
      <formula1>0</formula1>
      <formula2>300</formula2>
    </dataValidation>
    <dataValidation type="textLength" errorStyle="information" allowBlank="1" showInputMessage="1" showErrorMessage="1" error="XLBVal:6=13868.64_x000d__x000a_" sqref="U108">
      <formula1>0</formula1>
      <formula2>300</formula2>
    </dataValidation>
    <dataValidation type="textLength" errorStyle="information" allowBlank="1" showInputMessage="1" showErrorMessage="1" error="XLBVal:6=1155_x000d__x000a_" sqref="U56">
      <formula1>0</formula1>
      <formula2>300</formula2>
    </dataValidation>
    <dataValidation type="textLength" errorStyle="information" allowBlank="1" showInputMessage="1" showErrorMessage="1" error="XLBVal:6=1362_x000d__x000a_" sqref="V51">
      <formula1>0</formula1>
      <formula2>300</formula2>
    </dataValidation>
    <dataValidation type="textLength" errorStyle="information" allowBlank="1" showInputMessage="1" showErrorMessage="1" error="XLBVal:6=2126.8_x000d__x000a_" sqref="R49">
      <formula1>0</formula1>
      <formula2>300</formula2>
    </dataValidation>
    <dataValidation type="textLength" errorStyle="information" allowBlank="1" showInputMessage="1" showErrorMessage="1" error="XLBVal:6=28_x000d__x000a_" sqref="Q20 U18">
      <formula1>0</formula1>
      <formula2>300</formula2>
    </dataValidation>
    <dataValidation type="textLength" errorStyle="information" allowBlank="1" showInputMessage="1" showErrorMessage="1" error="XLBVal:6=2102213.42_x000d__x000a_" sqref="D9:O13">
      <formula1>0</formula1>
      <formula2>300</formula2>
    </dataValidation>
    <dataValidation type="textLength" errorStyle="information" allowBlank="1" showInputMessage="1" showErrorMessage="1" error="XLBVal:6=6755_x000d__x000a_" sqref="W12">
      <formula1>0</formula1>
      <formula2>300</formula2>
    </dataValidation>
    <dataValidation type="textLength" errorStyle="information" allowBlank="1" showInputMessage="1" showErrorMessage="1" error="XLBVal:6=490224.02_x000d__x000a_" sqref="W11 W17:AB21 W24:AB26 W30:AB32 W38:AB79 W85:AB89 W93:AB97 W102:AB104 W107:AB111 W136:AB136 W124:AB132 W114:AB121">
      <formula1>0</formula1>
      <formula2>300</formula2>
    </dataValidation>
    <dataValidation type="textLength" errorStyle="information" allowBlank="1" showInputMessage="1" showErrorMessage="1" error="XLBVal:6=3018.43_x000d__x000a_" sqref="W10">
      <formula1>0</formula1>
      <formula2>300</formula2>
    </dataValidation>
    <dataValidation type="textLength" errorStyle="information" allowBlank="1" showInputMessage="1" showErrorMessage="1" error="XLBVal:6=267932.1_x000d__x000a_" sqref="W9">
      <formula1>0</formula1>
      <formula2>300</formula2>
    </dataValidation>
    <dataValidation type="textLength" errorStyle="information" allowBlank="1" showInputMessage="1" showErrorMessage="1" error="XLBVal:6=36224.14_x000d__x000a_" sqref="V102">
      <formula1>0</formula1>
      <formula2>300</formula2>
    </dataValidation>
    <dataValidation type="textLength" errorStyle="information" allowBlank="1" showInputMessage="1" showErrorMessage="1" error="XLBVal:6=2069.53_x000d__x000a_" sqref="I31">
      <formula1>0</formula1>
      <formula2>300</formula2>
    </dataValidation>
    <dataValidation type="textLength" errorStyle="information" allowBlank="1" showInputMessage="1" showErrorMessage="1" error="XLBVal:6=8594.44_x000d__x000a_" sqref="H31">
      <formula1>0</formula1>
      <formula2>300</formula2>
    </dataValidation>
    <dataValidation type="textLength" errorStyle="information" allowBlank="1" showInputMessage="1" showErrorMessage="1" error="XLBVal:6=557_x000d__x000a_" sqref="H20">
      <formula1>0</formula1>
      <formula2>300</formula2>
    </dataValidation>
    <dataValidation type="textLength" errorStyle="information" allowBlank="1" showInputMessage="1" showErrorMessage="1" error="XLBVal:6=1005_x000d__x000a_" sqref="T87">
      <formula1>0</formula1>
      <formula2>300</formula2>
    </dataValidation>
    <dataValidation type="textLength" errorStyle="information" allowBlank="1" showInputMessage="1" showErrorMessage="1" error="XLBVal:6=11291.44_x000d__x000a_" sqref="G31">
      <formula1>0</formula1>
      <formula2>300</formula2>
    </dataValidation>
    <dataValidation type="textLength" errorStyle="information" allowBlank="1" showInputMessage="1" showErrorMessage="1" error="XLBVal:6=106_x000d__x000a_" sqref="G20">
      <formula1>0</formula1>
      <formula2>300</formula2>
    </dataValidation>
    <dataValidation type="textLength" errorStyle="information" allowBlank="1" showInputMessage="1" showErrorMessage="1" error="XLBVal:6=20783.74_x000d__x000a_" sqref="S108">
      <formula1>0</formula1>
      <formula2>300</formula2>
    </dataValidation>
    <dataValidation type="textLength" errorStyle="information" allowBlank="1" showInputMessage="1" showErrorMessage="1" error="XLBVal:6=20849.1_x000d__x000a_" sqref="Q108">
      <formula1>0</formula1>
      <formula2>300</formula2>
    </dataValidation>
    <dataValidation type="textLength" errorStyle="information" allowBlank="1" showInputMessage="1" showErrorMessage="1" error="XLBVal:6=35_x000d__x000a_" sqref="S88">
      <formula1>0</formula1>
      <formula2>300</formula2>
    </dataValidation>
    <dataValidation type="textLength" errorStyle="information" allowBlank="1" showInputMessage="1" showErrorMessage="1" error="XLBVal:6=2534_x000d__x000a_" sqref="D85:O89">
      <formula1>0</formula1>
      <formula2>300</formula2>
    </dataValidation>
    <dataValidation type="textLength" errorStyle="information" allowBlank="1" showInputMessage="1" showErrorMessage="1" error="XLBVal:6=5863.91_x000d__x000a_" sqref="D73:O78 D38:O42 D44:O71">
      <formula1>0</formula1>
      <formula2>300</formula2>
    </dataValidation>
    <dataValidation type="textLength" errorStyle="information" allowBlank="1" showInputMessage="1" showErrorMessage="1" error="XLBVal:6=5410.2_x000d__x000a_" sqref="F31">
      <formula1>0</formula1>
      <formula2>300</formula2>
    </dataValidation>
    <dataValidation type="textLength" errorStyle="information" allowBlank="1" showInputMessage="1" showErrorMessage="1" error="XLBVal:6=9044.3_x000d__x000a_" sqref="E31">
      <formula1>0</formula1>
      <formula2>300</formula2>
    </dataValidation>
    <dataValidation type="textLength" errorStyle="information" allowBlank="1" showInputMessage="1" showErrorMessage="1" error="XLBVal:6=2614.72_x000d__x000a_" sqref="D31">
      <formula1>0</formula1>
      <formula2>300</formula2>
    </dataValidation>
    <dataValidation type="textLength" errorStyle="information" allowBlank="1" showInputMessage="1" showErrorMessage="1" error="XLBVal:6=9154.8_x000d__x000a_" sqref="D26:O26">
      <formula1>0</formula1>
      <formula2>300</formula2>
    </dataValidation>
    <dataValidation type="textLength" errorStyle="information" allowBlank="1" showInputMessage="1" showErrorMessage="1" error="XLBVal:6=206_x000d__x000a_" sqref="F20">
      <formula1>0</formula1>
      <formula2>300</formula2>
    </dataValidation>
    <dataValidation type="textLength" errorStyle="information" allowBlank="1" showInputMessage="1" showErrorMessage="1" error="XLBVal:6=12708_x000d__x000a_" sqref="D19:O19">
      <formula1>0</formula1>
      <formula2>300</formula2>
    </dataValidation>
    <dataValidation type="textLength" errorStyle="information" allowBlank="1" showInputMessage="1" showErrorMessage="1" error="XLBVal:6=26000_x000d__x000a_" sqref="E102:O104">
      <formula1>0</formula1>
      <formula2>300</formula2>
    </dataValidation>
    <dataValidation type="textLength" errorStyle="information" allowBlank="1" showInputMessage="1" showErrorMessage="1" error="XLBVal:6=56_x000d__x000a_" sqref="G17">
      <formula1>0</formula1>
      <formula2>300</formula2>
    </dataValidation>
    <dataValidation type="textLength" errorStyle="information" allowBlank="1" showInputMessage="1" showErrorMessage="1" error="XLBVal:6=524.99_x000d__x000a_" sqref="V116">
      <formula1>0</formula1>
      <formula2>300</formula2>
    </dataValidation>
    <dataValidation type="textLength" errorStyle="information" allowBlank="1" showInputMessage="1" showErrorMessage="1" error="XLBVal:6=623.42_x000d__x000a_" sqref="S116:U116">
      <formula1>0</formula1>
      <formula2>300</formula2>
    </dataValidation>
    <dataValidation type="textLength" errorStyle="information" allowBlank="1" showInputMessage="1" showErrorMessage="1" error="XLBVal:6=624.07_x000d__x000a_" sqref="Q116:R116">
      <formula1>0</formula1>
      <formula2>300</formula2>
    </dataValidation>
    <dataValidation type="textLength" errorStyle="information" allowBlank="1" showInputMessage="1" showErrorMessage="1" error="XLBVal:6=13845.48_x000d__x000a_" sqref="T108">
      <formula1>0</formula1>
      <formula2>300</formula2>
    </dataValidation>
    <dataValidation type="textLength" errorStyle="information" allowBlank="1" showInputMessage="1" showErrorMessage="1" error="XLBVal:6=85.6_x000d__x000a_" sqref="S74">
      <formula1>0</formula1>
      <formula2>300</formula2>
    </dataValidation>
    <dataValidation type="textLength" errorStyle="information" allowBlank="1" showInputMessage="1" showErrorMessage="1" error="XLBVal:6=86.2_x000d__x000a_" sqref="R74 U74">
      <formula1>0</formula1>
      <formula2>300</formula2>
    </dataValidation>
    <dataValidation type="textLength" errorStyle="information" allowBlank="1" showInputMessage="1" showErrorMessage="1" error="XLBVal:6=400_x000d__x000a_" sqref="U71">
      <formula1>0</formula1>
      <formula2>300</formula2>
    </dataValidation>
    <dataValidation type="textLength" errorStyle="information" allowBlank="1" showInputMessage="1" showErrorMessage="1" error="XLBVal:6=1600.84_x000d__x000a_" sqref="V49">
      <formula1>0</formula1>
      <formula2>300</formula2>
    </dataValidation>
    <dataValidation type="textLength" errorStyle="information" allowBlank="1" showInputMessage="1" showErrorMessage="1" error="XLBVal:6=2311.9_x000d__x000a_" sqref="S49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7_x000d__x000a_" sqref="Q136:U136">
      <formula1>0</formula1>
      <formula2>300</formula2>
    </dataValidation>
    <dataValidation type="textLength" errorStyle="information" allowBlank="1" showInputMessage="1" showErrorMessage="1" error="XLBVal:6=16847.31_x000d__x000a_" sqref="V130">
      <formula1>0</formula1>
      <formula2>300</formula2>
    </dataValidation>
    <dataValidation type="textLength" errorStyle="information" allowBlank="1" showInputMessage="1" showErrorMessage="1" error="XLBVal:6=14056.88_x000d__x000a_" sqref="U130">
      <formula1>0</formula1>
      <formula2>300</formula2>
    </dataValidation>
    <dataValidation type="textLength" errorStyle="information" allowBlank="1" showInputMessage="1" showErrorMessage="1" error="XLBVal:6=19023.19_x000d__x000a_" sqref="T130">
      <formula1>0</formula1>
      <formula2>300</formula2>
    </dataValidation>
    <dataValidation type="textLength" errorStyle="information" allowBlank="1" showInputMessage="1" showErrorMessage="1" error="XLBVal:6=19743.07_x000d__x000a_" sqref="S130">
      <formula1>0</formula1>
      <formula2>300</formula2>
    </dataValidation>
    <dataValidation type="textLength" errorStyle="information" allowBlank="1" showInputMessage="1" showErrorMessage="1" error="XLBVal:6=20643.83_x000d__x000a_" sqref="R130">
      <formula1>0</formula1>
      <formula2>300</formula2>
    </dataValidation>
    <dataValidation type="textLength" errorStyle="information" allowBlank="1" showInputMessage="1" showErrorMessage="1" error="XLBVal:6=20237.74_x000d__x000a_" sqref="Q130">
      <formula1>0</formula1>
      <formula2>300</formula2>
    </dataValidation>
    <dataValidation type="textLength" errorStyle="information" allowBlank="1" showInputMessage="1" showErrorMessage="1" error="XLBVal:6=5848.83_x000d__x000a_" sqref="V129">
      <formula1>0</formula1>
      <formula2>300</formula2>
    </dataValidation>
    <dataValidation type="textLength" errorStyle="information" allowBlank="1" showInputMessage="1" showErrorMessage="1" error="XLBVal:6=6382.3_x000d__x000a_" sqref="U129">
      <formula1>0</formula1>
      <formula2>300</formula2>
    </dataValidation>
    <dataValidation type="textLength" errorStyle="information" allowBlank="1" showInputMessage="1" showErrorMessage="1" error="XLBVal:6=5849.33_x000d__x000a_" sqref="T129">
      <formula1>0</formula1>
      <formula2>300</formula2>
    </dataValidation>
    <dataValidation type="textLength" errorStyle="information" allowBlank="1" showInputMessage="1" showErrorMessage="1" error="XLBVal:6=5046.4_x000d__x000a_" sqref="S129">
      <formula1>0</formula1>
      <formula2>300</formula2>
    </dataValidation>
    <dataValidation type="textLength" errorStyle="information" allowBlank="1" showInputMessage="1" showErrorMessage="1" error="XLBVal:6=5761.53_x000d__x000a_" sqref="R129">
      <formula1>0</formula1>
      <formula2>300</formula2>
    </dataValidation>
    <dataValidation type="textLength" errorStyle="information" allowBlank="1" showInputMessage="1" showErrorMessage="1" error="XLBVal:6=4510.76_x000d__x000a_" sqref="Q129">
      <formula1>0</formula1>
      <formula2>300</formula2>
    </dataValidation>
    <dataValidation type="textLength" errorStyle="information" allowBlank="1" showInputMessage="1" showErrorMessage="1" error="XLBVal:6=355.68_x000d__x000a_" sqref="V128">
      <formula1>0</formula1>
      <formula2>300</formula2>
    </dataValidation>
    <dataValidation type="textLength" errorStyle="information" allowBlank="1" showInputMessage="1" showErrorMessage="1" error="XLBVal:6=334.46_x000d__x000a_" sqref="U128">
      <formula1>0</formula1>
      <formula2>300</formula2>
    </dataValidation>
    <dataValidation type="textLength" errorStyle="information" allowBlank="1" showInputMessage="1" showErrorMessage="1" error="XLBVal:6=323.17_x000d__x000a_" sqref="R128">
      <formula1>0</formula1>
      <formula2>300</formula2>
    </dataValidation>
    <dataValidation type="textLength" errorStyle="information" allowBlank="1" showInputMessage="1" showErrorMessage="1" error="XLBVal:6=320.47_x000d__x000a_" sqref="Q128 S128:T128">
      <formula1>0</formula1>
      <formula2>300</formula2>
    </dataValidation>
    <dataValidation type="textLength" errorStyle="information" allowBlank="1" showInputMessage="1" showErrorMessage="1" error="XLBVal:6=2091.89_x000d__x000a_" sqref="V120">
      <formula1>0</formula1>
      <formula2>300</formula2>
    </dataValidation>
    <dataValidation type="textLength" errorStyle="information" allowBlank="1" showInputMessage="1" showErrorMessage="1" error="XLBVal:6=2063.95_x000d__x000a_" sqref="U120">
      <formula1>0</formula1>
      <formula2>300</formula2>
    </dataValidation>
    <dataValidation type="textLength" errorStyle="information" allowBlank="1" showInputMessage="1" showErrorMessage="1" error="XLBVal:6=3518.71_x000d__x000a_" sqref="T120">
      <formula1>0</formula1>
      <formula2>300</formula2>
    </dataValidation>
    <dataValidation type="textLength" errorStyle="information" allowBlank="1" showInputMessage="1" showErrorMessage="1" error="XLBVal:6=4210.88_x000d__x000a_" sqref="S120">
      <formula1>0</formula1>
      <formula2>300</formula2>
    </dataValidation>
    <dataValidation type="textLength" errorStyle="information" allowBlank="1" showInputMessage="1" showErrorMessage="1" error="XLBVal:6=2435.72_x000d__x000a_" sqref="R120">
      <formula1>0</formula1>
      <formula2>300</formula2>
    </dataValidation>
    <dataValidation type="textLength" errorStyle="information" allowBlank="1" showInputMessage="1" showErrorMessage="1" error="XLBVal:6=2183.53_x000d__x000a_" sqref="Q120">
      <formula1>0</formula1>
      <formula2>300</formula2>
    </dataValidation>
    <dataValidation type="textLength" errorStyle="information" allowBlank="1" showInputMessage="1" showErrorMessage="1" error="XLBVal:6=6206_x000d__x000a_" sqref="S119:U119">
      <formula1>0</formula1>
      <formula2>300</formula2>
    </dataValidation>
    <dataValidation type="textLength" errorStyle="information" allowBlank="1" showInputMessage="1" showErrorMessage="1" error="XLBVal:6=6212_x000d__x000a_" sqref="Q119:R119">
      <formula1>0</formula1>
      <formula2>300</formula2>
    </dataValidation>
    <dataValidation type="textLength" errorStyle="information" allowBlank="1" showInputMessage="1" showErrorMessage="1" error="XLBVal:6=126.03_x000d__x000a_" sqref="V117">
      <formula1>0</formula1>
      <formula2>300</formula2>
    </dataValidation>
    <dataValidation type="textLength" errorStyle="information" allowBlank="1" showInputMessage="1" showErrorMessage="1" error="XLBVal:6=149.65_x000d__x000a_" sqref="S117:U117">
      <formula1>0</formula1>
      <formula2>300</formula2>
    </dataValidation>
    <dataValidation type="textLength" errorStyle="information" allowBlank="1" showInputMessage="1" showErrorMessage="1" error="XLBVal:6=149.81_x000d__x000a_" sqref="Q117:R117">
      <formula1>0</formula1>
      <formula2>300</formula2>
    </dataValidation>
    <dataValidation type="textLength" errorStyle="information" allowBlank="1" showInputMessage="1" showErrorMessage="1" error="XLBVal:6=8924.58_x000d__x000a_" sqref="V115">
      <formula1>0</formula1>
      <formula2>300</formula2>
    </dataValidation>
    <dataValidation type="textLength" errorStyle="information" allowBlank="1" showInputMessage="1" showErrorMessage="1" error="XLBVal:6=10598.03_x000d__x000a_" sqref="S115:U115">
      <formula1>0</formula1>
      <formula2>300</formula2>
    </dataValidation>
    <dataValidation type="textLength" errorStyle="information" allowBlank="1" showInputMessage="1" showErrorMessage="1" error="XLBVal:6=10609.09_x000d__x000a_" sqref="Q115:R115">
      <formula1>0</formula1>
      <formula2>300</formula2>
    </dataValidation>
    <dataValidation type="textLength" errorStyle="information" allowBlank="1" showInputMessage="1" showErrorMessage="1" error="XLBVal:6=16799.23_x000d__x000a_" sqref="V114">
      <formula1>0</formula1>
      <formula2>300</formula2>
    </dataValidation>
    <dataValidation type="textLength" errorStyle="information" allowBlank="1" showInputMessage="1" showErrorMessage="1" error="XLBVal:6=19949.24_x000d__x000a_" sqref="S114:U114">
      <formula1>0</formula1>
      <formula2>300</formula2>
    </dataValidation>
    <dataValidation type="textLength" errorStyle="information" allowBlank="1" showInputMessage="1" showErrorMessage="1" error="XLBVal:6=19970.06_x000d__x000a_" sqref="Q114:R114">
      <formula1>0</formula1>
      <formula2>300</formula2>
    </dataValidation>
    <dataValidation type="textLength" errorStyle="information" allowBlank="1" showInputMessage="1" showErrorMessage="1" error="XLBVal:6=2000_x000d__x000a_" sqref="V111 S53 Q54:S54">
      <formula1>0</formula1>
      <formula2>300</formula2>
    </dataValidation>
    <dataValidation type="textLength" errorStyle="information" allowBlank="1" showInputMessage="1" showErrorMessage="1" error="XLBVal:6=1632.49_x000d__x000a_" sqref="U111">
      <formula1>0</formula1>
      <formula2>300</formula2>
    </dataValidation>
    <dataValidation type="textLength" errorStyle="information" allowBlank="1" showInputMessage="1" showErrorMessage="1" error="XLBVal:6=4617.62_x000d__x000a_" sqref="T111">
      <formula1>0</formula1>
      <formula2>300</formula2>
    </dataValidation>
    <dataValidation type="textLength" errorStyle="information" allowBlank="1" showInputMessage="1" showErrorMessage="1" error="XLBVal:6=4764.28_x000d__x000a_" sqref="S111">
      <formula1>0</formula1>
      <formula2>300</formula2>
    </dataValidation>
    <dataValidation type="textLength" errorStyle="information" allowBlank="1" showInputMessage="1" showErrorMessage="1" error="XLBVal:6=6740.78_x000d__x000a_" sqref="R111">
      <formula1>0</formula1>
      <formula2>300</formula2>
    </dataValidation>
    <dataValidation type="textLength" errorStyle="information" allowBlank="1" showInputMessage="1" showErrorMessage="1" error="XLBVal:6=4221.59_x000d__x000a_" sqref="Q111">
      <formula1>0</formula1>
      <formula2>300</formula2>
    </dataValidation>
    <dataValidation type="textLength" errorStyle="information" allowBlank="1" showInputMessage="1" showErrorMessage="1" error="XLBVal:6=7418.39_x000d__x000a_" sqref="V109">
      <formula1>0</formula1>
      <formula2>300</formula2>
    </dataValidation>
    <dataValidation type="textLength" errorStyle="information" allowBlank="1" showInputMessage="1" showErrorMessage="1" error="XLBVal:6=9065_x000d__x000a_" sqref="U109">
      <formula1>0</formula1>
      <formula2>300</formula2>
    </dataValidation>
    <dataValidation type="textLength" errorStyle="information" allowBlank="1" showInputMessage="1" showErrorMessage="1" error="XLBVal:6=8413.38_x000d__x000a_" sqref="T109">
      <formula1>0</formula1>
      <formula2>300</formula2>
    </dataValidation>
    <dataValidation type="textLength" errorStyle="information" allowBlank="1" showInputMessage="1" showErrorMessage="1" error="XLBVal:6=8688.62_x000d__x000a_" sqref="S109">
      <formula1>0</formula1>
      <formula2>300</formula2>
    </dataValidation>
    <dataValidation type="textLength" errorStyle="information" allowBlank="1" showInputMessage="1" showErrorMessage="1" error="XLBVal:6=8522.16_x000d__x000a_" sqref="R109">
      <formula1>0</formula1>
      <formula2>300</formula2>
    </dataValidation>
    <dataValidation type="textLength" errorStyle="information" allowBlank="1" showInputMessage="1" showErrorMessage="1" error="XLBVal:6=9115.63_x000d__x000a_" sqref="Q109">
      <formula1>0</formula1>
      <formula2>300</formula2>
    </dataValidation>
    <dataValidation type="textLength" errorStyle="information" allowBlank="1" showInputMessage="1" showErrorMessage="1" error="XLBVal:6=6855.18_x000d__x000a_" sqref="U107">
      <formula1>0</formula1>
      <formula2>300</formula2>
    </dataValidation>
    <dataValidation type="textLength" errorStyle="information" allowBlank="1" showInputMessage="1" showErrorMessage="1" error="XLBVal:6=6965.52_x000d__x000a_" sqref="T107">
      <formula1>0</formula1>
      <formula2>300</formula2>
    </dataValidation>
    <dataValidation type="textLength" errorStyle="information" allowBlank="1" showInputMessage="1" showErrorMessage="1" error="XLBVal:6=27165.54_x000d__x000a_" sqref="R107">
      <formula1>0</formula1>
      <formula2>300</formula2>
    </dataValidation>
    <dataValidation type="textLength" errorStyle="information" allowBlank="1" showInputMessage="1" showErrorMessage="1" error="XLBVal:6=9144.84_x000d__x000a_" sqref="Q107">
      <formula1>0</formula1>
      <formula2>300</formula2>
    </dataValidation>
    <dataValidation type="textLength" errorStyle="information" allowBlank="1" showInputMessage="1" showErrorMessage="1" error="XLBVal:6=24362.06_x000d__x000a_" sqref="V104">
      <formula1>0</formula1>
      <formula2>300</formula2>
    </dataValidation>
    <dataValidation type="textLength" errorStyle="information" allowBlank="1" showInputMessage="1" showErrorMessage="1" error="XLBVal:6=24310.34_x000d__x000a_" sqref="U104">
      <formula1>0</formula1>
      <formula2>300</formula2>
    </dataValidation>
    <dataValidation type="textLength" errorStyle="information" allowBlank="1" showInputMessage="1" showErrorMessage="1" error="XLBVal:6=25000_x000d__x000a_" sqref="S104:T104">
      <formula1>0</formula1>
      <formula2>300</formula2>
    </dataValidation>
    <dataValidation type="textLength" errorStyle="information" allowBlank="1" showInputMessage="1" showErrorMessage="1" error="XLBVal:6=25200_x000d__x000a_" sqref="Q104:R104">
      <formula1>0</formula1>
      <formula2>300</formula2>
    </dataValidation>
    <dataValidation type="textLength" errorStyle="information" allowBlank="1" showInputMessage="1" showErrorMessage="1" error="XLBVal:6=19985.13_x000d__x000a_" sqref="V103">
      <formula1>0</formula1>
      <formula2>300</formula2>
    </dataValidation>
    <dataValidation type="textLength" errorStyle="information" allowBlank="1" showInputMessage="1" showErrorMessage="1" error="XLBVal:6=21600_x000d__x000a_" sqref="S103:U103">
      <formula1>0</formula1>
      <formula2>300</formula2>
    </dataValidation>
    <dataValidation type="textLength" errorStyle="information" allowBlank="1" showInputMessage="1" showErrorMessage="1" error="XLBVal:6=21558.05_x000d__x000a_" sqref="R103">
      <formula1>0</formula1>
      <formula2>300</formula2>
    </dataValidation>
    <dataValidation type="textLength" errorStyle="information" allowBlank="1" showInputMessage="1" showErrorMessage="1" error="XLBVal:6=21501.15_x000d__x000a_" sqref="Q103">
      <formula1>0</formula1>
      <formula2>300</formula2>
    </dataValidation>
    <dataValidation type="textLength" errorStyle="information" allowBlank="1" showInputMessage="1" showErrorMessage="1" error="XLBVal:6=36500_x000d__x000a_" sqref="R102 T102:U102">
      <formula1>0</formula1>
      <formula2>300</formula2>
    </dataValidation>
    <dataValidation type="textLength" errorStyle="information" allowBlank="1" showInputMessage="1" showErrorMessage="1" error="XLBVal:6=18_x000d__x000a_" sqref="V136">
      <formula1>0</formula1>
      <formula2>300</formula2>
    </dataValidation>
    <dataValidation type="textLength" errorStyle="information" allowBlank="1" showInputMessage="1" showErrorMessage="1" error="XLBVal:6=835_x000d__x000a_" sqref="U87">
      <formula1>0</formula1>
      <formula2>300</formula2>
    </dataValidation>
    <dataValidation type="textLength" errorStyle="information" allowBlank="1" showInputMessage="1" showErrorMessage="1" error="XLBVal:6=1057_x000d__x000a_" sqref="S87">
      <formula1>0</formula1>
      <formula2>300</formula2>
    </dataValidation>
    <dataValidation type="textLength" errorStyle="information" allowBlank="1" showInputMessage="1" showErrorMessage="1" error="XLBVal:6=1145_x000d__x000a_" sqref="R87">
      <formula1>0</formula1>
      <formula2>300</formula2>
    </dataValidation>
    <dataValidation type="textLength" errorStyle="information" allowBlank="1" showInputMessage="1" showErrorMessage="1" error="XLBVal:6=1084_x000d__x000a_" sqref="Q87">
      <formula1>0</formula1>
      <formula2>300</formula2>
    </dataValidation>
    <dataValidation type="textLength" errorStyle="information" allowBlank="1" showInputMessage="1" showErrorMessage="1" error="XLBVal:6=2853_x000d__x000a_" sqref="V85">
      <formula1>0</formula1>
      <formula2>300</formula2>
    </dataValidation>
    <dataValidation type="textLength" errorStyle="information" allowBlank="1" showInputMessage="1" showErrorMessage="1" error="XLBVal:6=2981_x000d__x000a_" sqref="U85">
      <formula1>0</formula1>
      <formula2>300</formula2>
    </dataValidation>
    <dataValidation type="textLength" errorStyle="information" allowBlank="1" showInputMessage="1" showErrorMessage="1" error="XLBVal:6=3340_x000d__x000a_" sqref="S85">
      <formula1>0</formula1>
      <formula2>300</formula2>
    </dataValidation>
    <dataValidation type="textLength" errorStyle="information" allowBlank="1" showInputMessage="1" showErrorMessage="1" error="XLBVal:6=3359_x000d__x000a_" sqref="R85">
      <formula1>0</formula1>
      <formula2>300</formula2>
    </dataValidation>
    <dataValidation type="textLength" errorStyle="information" allowBlank="1" showInputMessage="1" showErrorMessage="1" error="XLBVal:6=3277_x000d__x000a_" sqref="Q85">
      <formula1>0</formula1>
      <formula2>300</formula2>
    </dataValidation>
    <dataValidation type="textLength" errorStyle="information" allowBlank="1" showInputMessage="1" showErrorMessage="1" error="XLBVal:6=62652.57_x000d__x000a_" sqref="V79">
      <formula1>0</formula1>
      <formula2>300</formula2>
    </dataValidation>
    <dataValidation type="textLength" errorStyle="information" allowBlank="1" showInputMessage="1" showErrorMessage="1" error="XLBVal:6=59049.26_x000d__x000a_" sqref="U79">
      <formula1>0</formula1>
      <formula2>300</formula2>
    </dataValidation>
    <dataValidation type="textLength" errorStyle="information" allowBlank="1" showInputMessage="1" showErrorMessage="1" error="XLBVal:6=93035.94_x000d__x000a_" sqref="T79">
      <formula1>0</formula1>
      <formula2>300</formula2>
    </dataValidation>
    <dataValidation type="textLength" errorStyle="information" allowBlank="1" showInputMessage="1" showErrorMessage="1" error="XLBVal:6=91093.94_x000d__x000a_" sqref="S79">
      <formula1>0</formula1>
      <formula2>300</formula2>
    </dataValidation>
    <dataValidation type="textLength" errorStyle="information" allowBlank="1" showInputMessage="1" showErrorMessage="1" error="XLBVal:6=98834.62_x000d__x000a_" sqref="R79">
      <formula1>0</formula1>
      <formula2>300</formula2>
    </dataValidation>
    <dataValidation type="textLength" errorStyle="information" allowBlank="1" showInputMessage="1" showErrorMessage="1" error="XLBVal:6=81984.12_x000d__x000a_" sqref="Q79">
      <formula1>0</formula1>
      <formula2>300</formula2>
    </dataValidation>
    <dataValidation type="textLength" errorStyle="information" allowBlank="1" showInputMessage="1" showErrorMessage="1" error="XLBVal:6=2538.47_x000d__x000a_" sqref="V78">
      <formula1>0</formula1>
      <formula2>300</formula2>
    </dataValidation>
    <dataValidation type="textLength" errorStyle="information" allowBlank="1" showInputMessage="1" showErrorMessage="1" error="XLBVal:6=1366.8_x000d__x000a_" sqref="T78">
      <formula1>0</formula1>
      <formula2>300</formula2>
    </dataValidation>
    <dataValidation type="textLength" errorStyle="information" allowBlank="1" showInputMessage="1" showErrorMessage="1" error="XLBVal:6=2176.96_x000d__x000a_" sqref="S78">
      <formula1>0</formula1>
      <formula2>300</formula2>
    </dataValidation>
    <dataValidation type="textLength" errorStyle="information" allowBlank="1" showInputMessage="1" showErrorMessage="1" error="XLBVal:6=1490.43_x000d__x000a_" sqref="R78">
      <formula1>0</formula1>
      <formula2>300</formula2>
    </dataValidation>
    <dataValidation type="textLength" errorStyle="information" allowBlank="1" showInputMessage="1" showErrorMessage="1" error="XLBVal:6=1240.16_x000d__x000a_" sqref="Q78">
      <formula1>0</formula1>
      <formula2>300</formula2>
    </dataValidation>
    <dataValidation type="textLength" errorStyle="information" allowBlank="1" showInputMessage="1" showErrorMessage="1" error="XLBVal:6=2769.56_x000d__x000a_" sqref="V72">
      <formula1>0</formula1>
      <formula2>300</formula2>
    </dataValidation>
    <dataValidation type="textLength" errorStyle="information" allowBlank="1" showInputMessage="1" showErrorMessage="1" error="XLBVal:6=977.51_x000d__x000a_" sqref="U72">
      <formula1>0</formula1>
      <formula2>300</formula2>
    </dataValidation>
    <dataValidation type="textLength" errorStyle="information" allowBlank="1" showInputMessage="1" showErrorMessage="1" error="XLBVal:6=2694.08_x000d__x000a_" sqref="T72">
      <formula1>0</formula1>
      <formula2>300</formula2>
    </dataValidation>
    <dataValidation type="textLength" errorStyle="information" allowBlank="1" showInputMessage="1" showErrorMessage="1" error="XLBVal:6=3110.37_x000d__x000a_" sqref="S72">
      <formula1>0</formula1>
      <formula2>300</formula2>
    </dataValidation>
    <dataValidation type="textLength" errorStyle="information" allowBlank="1" showInputMessage="1" showErrorMessage="1" error="XLBVal:6=4547.23_x000d__x000a_" sqref="R72">
      <formula1>0</formula1>
      <formula2>300</formula2>
    </dataValidation>
    <dataValidation type="textLength" errorStyle="information" allowBlank="1" showInputMessage="1" showErrorMessage="1" error="XLBVal:6=4219_x000d__x000a_" sqref="Q72">
      <formula1>0</formula1>
      <formula2>300</formula2>
    </dataValidation>
    <dataValidation type="textLength" errorStyle="information" allowBlank="1" showInputMessage="1" showErrorMessage="1" error="XLBVal:6=364_x000d__x000a_" sqref="V71">
      <formula1>0</formula1>
      <formula2>300</formula2>
    </dataValidation>
    <dataValidation type="textLength" errorStyle="information" allowBlank="1" showInputMessage="1" showErrorMessage="1" error="XLBVal:6=239_x000d__x000a_" sqref="R71">
      <formula1>0</formula1>
      <formula2>300</formula2>
    </dataValidation>
    <dataValidation type="textLength" errorStyle="information" allowBlank="1" showInputMessage="1" showErrorMessage="1" error="XLBVal:6=373_x000d__x000a_" sqref="Q71">
      <formula1>0</formula1>
      <formula2>300</formula2>
    </dataValidation>
    <dataValidation type="textLength" errorStyle="information" allowBlank="1" showInputMessage="1" showErrorMessage="1" error="XLBVal:6=114.35_x000d__x000a_" sqref="Q64 S64:U64">
      <formula1>0</formula1>
      <formula2>300</formula2>
    </dataValidation>
    <dataValidation type="textLength" errorStyle="information" allowBlank="1" showInputMessage="1" showErrorMessage="1" error="XLBVal:6=1471.94_x000d__x000a_" sqref="V63">
      <formula1>0</formula1>
      <formula2>300</formula2>
    </dataValidation>
    <dataValidation type="textLength" errorStyle="information" allowBlank="1" showInputMessage="1" showErrorMessage="1" error="XLBVal:6=2708.38_x000d__x000a_" sqref="U63">
      <formula1>0</formula1>
      <formula2>300</formula2>
    </dataValidation>
    <dataValidation type="textLength" errorStyle="information" allowBlank="1" showInputMessage="1" showErrorMessage="1" error="XLBVal:6=1608.08_x000d__x000a_" sqref="T63">
      <formula1>0</formula1>
      <formula2>300</formula2>
    </dataValidation>
    <dataValidation type="textLength" errorStyle="information" allowBlank="1" showInputMessage="1" showErrorMessage="1" error="XLBVal:6=2093.2_x000d__x000a_" sqref="S63">
      <formula1>0</formula1>
      <formula2>300</formula2>
    </dataValidation>
    <dataValidation type="textLength" errorStyle="information" allowBlank="1" showInputMessage="1" showErrorMessage="1" error="XLBVal:6=4007.35_x000d__x000a_" sqref="R63">
      <formula1>0</formula1>
      <formula2>300</formula2>
    </dataValidation>
    <dataValidation type="textLength" errorStyle="information" allowBlank="1" showInputMessage="1" showErrorMessage="1" error="XLBVal:6=2951.23_x000d__x000a_" sqref="Q63">
      <formula1>0</formula1>
      <formula2>300</formula2>
    </dataValidation>
    <dataValidation type="textLength" errorStyle="information" allowBlank="1" showInputMessage="1" showErrorMessage="1" error="XLBVal:6=1389.96_x000d__x000a_" sqref="R61">
      <formula1>0</formula1>
      <formula2>300</formula2>
    </dataValidation>
    <dataValidation type="textLength" errorStyle="information" allowBlank="1" showInputMessage="1" showErrorMessage="1" error="XLBVal:6=5056.48_x000d__x000a_" sqref="U78">
      <formula1>0</formula1>
      <formula2>300</formula2>
    </dataValidation>
    <dataValidation type="textLength" errorStyle="information" allowBlank="1" showInputMessage="1" showErrorMessage="1" error="XLBVal:6=1580.58_x000d__x000a_" sqref="U51">
      <formula1>0</formula1>
      <formula2>300</formula2>
    </dataValidation>
    <dataValidation type="textLength" errorStyle="information" allowBlank="1" showInputMessage="1" showErrorMessage="1" error="XLBVal:6=1400_x000d__x000a_" sqref="T51">
      <formula1>0</formula1>
      <formula2>300</formula2>
    </dataValidation>
    <dataValidation type="textLength" errorStyle="information" allowBlank="1" showInputMessage="1" showErrorMessage="1" error="XLBVal:6=1540_x000d__x000a_" sqref="S51">
      <formula1>0</formula1>
      <formula2>300</formula2>
    </dataValidation>
    <dataValidation type="textLength" errorStyle="information" allowBlank="1" showInputMessage="1" showErrorMessage="1" error="XLBVal:6=2730_x000d__x000a_" sqref="R51">
      <formula1>0</formula1>
      <formula2>300</formula2>
    </dataValidation>
    <dataValidation type="textLength" errorStyle="information" allowBlank="1" showInputMessage="1" showErrorMessage="1" error="XLBVal:6=1260_x000d__x000a_" sqref="Q51">
      <formula1>0</formula1>
      <formula2>300</formula2>
    </dataValidation>
    <dataValidation type="textLength" errorStyle="information" allowBlank="1" showInputMessage="1" showErrorMessage="1" error="XLBVal:6=2262.2_x000d__x000a_" sqref="T49">
      <formula1>0</formula1>
      <formula2>300</formula2>
    </dataValidation>
    <dataValidation type="textLength" errorStyle="information" allowBlank="1" showInputMessage="1" showErrorMessage="1" error="XLBVal:6=2108.8_x000d__x000a_" sqref="U49">
      <formula1>0</formula1>
      <formula2>300</formula2>
    </dataValidation>
    <dataValidation type="textLength" errorStyle="information" allowBlank="1" showInputMessage="1" showErrorMessage="1" error="XLBVal:6=4029.05_x000d__x000a_" sqref="Q49">
      <formula1>0</formula1>
      <formula2>300</formula2>
    </dataValidation>
    <dataValidation type="textLength" errorStyle="information" allowBlank="1" showInputMessage="1" showErrorMessage="1" error="XLBVal:6=33501.07_x000d__x000a_" sqref="V43">
      <formula1>0</formula1>
      <formula2>300</formula2>
    </dataValidation>
    <dataValidation type="textLength" errorStyle="information" allowBlank="1" showInputMessage="1" showErrorMessage="1" error="XLBVal:6=39538.86_x000d__x000a_" sqref="U43">
      <formula1>0</formula1>
      <formula2>300</formula2>
    </dataValidation>
    <dataValidation type="textLength" errorStyle="information" allowBlank="1" showInputMessage="1" showErrorMessage="1" error="XLBVal:6=32343.84_x000d__x000a_" sqref="T43">
      <formula1>0</formula1>
      <formula2>300</formula2>
    </dataValidation>
    <dataValidation type="textLength" errorStyle="information" allowBlank="1" showInputMessage="1" showErrorMessage="1" error="XLBVal:6=46449.31_x000d__x000a_" sqref="S43">
      <formula1>0</formula1>
      <formula2>300</formula2>
    </dataValidation>
    <dataValidation type="textLength" errorStyle="information" allowBlank="1" showInputMessage="1" showErrorMessage="1" error="XLBVal:6=68910.02_x000d__x000a_" sqref="R43">
      <formula1>0</formula1>
      <formula2>300</formula2>
    </dataValidation>
    <dataValidation type="textLength" errorStyle="information" allowBlank="1" showInputMessage="1" showErrorMessage="1" error="XLBVal:6=46702.1_x000d__x000a_" sqref="Q43">
      <formula1>0</formula1>
      <formula2>300</formula2>
    </dataValidation>
    <dataValidation type="textLength" errorStyle="information" allowBlank="1" showInputMessage="1" showErrorMessage="1" error="XLBVal:6=9531.17_x000d__x000a_" sqref="V38">
      <formula1>0</formula1>
      <formula2>300</formula2>
    </dataValidation>
    <dataValidation type="textLength" errorStyle="information" allowBlank="1" showInputMessage="1" showErrorMessage="1" error="XLBVal:6=8651.06_x000d__x000a_" sqref="U38">
      <formula1>0</formula1>
      <formula2>300</formula2>
    </dataValidation>
    <dataValidation type="textLength" errorStyle="information" allowBlank="1" showInputMessage="1" showErrorMessage="1" error="XLBVal:6=9712.34_x000d__x000a_" sqref="T38">
      <formula1>0</formula1>
      <formula2>300</formula2>
    </dataValidation>
    <dataValidation type="textLength" errorStyle="information" allowBlank="1" showInputMessage="1" showErrorMessage="1" error="XLBVal:6=8453.77_x000d__x000a_" sqref="S38">
      <formula1>0</formula1>
      <formula2>300</formula2>
    </dataValidation>
    <dataValidation type="textLength" errorStyle="information" allowBlank="1" showInputMessage="1" showErrorMessage="1" error="XLBVal:6=11235.04_x000d__x000a_" sqref="R38">
      <formula1>0</formula1>
      <formula2>300</formula2>
    </dataValidation>
    <dataValidation type="textLength" errorStyle="information" allowBlank="1" showInputMessage="1" showErrorMessage="1" error="XLBVal:6=9135.62_x000d__x000a_" sqref="Q38">
      <formula1>0</formula1>
      <formula2>300</formula2>
    </dataValidation>
    <dataValidation type="textLength" errorStyle="information" allowBlank="1" showInputMessage="1" showErrorMessage="1" error="XLBVal:6=1264.42_x000d__x000a_" sqref="V31">
      <formula1>0</formula1>
      <formula2>300</formula2>
    </dataValidation>
    <dataValidation type="textLength" errorStyle="information" allowBlank="1" showInputMessage="1" showErrorMessage="1" error="XLBVal:6=1741.92_x000d__x000a_" sqref="U31">
      <formula1>0</formula1>
      <formula2>300</formula2>
    </dataValidation>
    <dataValidation type="textLength" errorStyle="information" allowBlank="1" showInputMessage="1" showErrorMessage="1" error="XLBVal:6=4670.71_x000d__x000a_" sqref="T31">
      <formula1>0</formula1>
      <formula2>300</formula2>
    </dataValidation>
    <dataValidation type="textLength" errorStyle="information" allowBlank="1" showInputMessage="1" showErrorMessage="1" error="XLBVal:6=3972.18_x000d__x000a_" sqref="S31">
      <formula1>0</formula1>
      <formula2>300</formula2>
    </dataValidation>
    <dataValidation type="textLength" errorStyle="information" allowBlank="1" showInputMessage="1" showErrorMessage="1" error="XLBVal:6=13249.8_x000d__x000a_" sqref="R31">
      <formula1>0</formula1>
      <formula2>300</formula2>
    </dataValidation>
    <dataValidation type="textLength" errorStyle="information" allowBlank="1" showInputMessage="1" showErrorMessage="1" error="XLBVal:6=3513.6_x000d__x000a_" sqref="Q31">
      <formula1>0</formula1>
      <formula2>300</formula2>
    </dataValidation>
    <dataValidation type="textLength" errorStyle="information" allowBlank="1" showInputMessage="1" showErrorMessage="1" error="XLBVal:6=198645.3_x000d__x000a_" sqref="V30">
      <formula1>0</formula1>
      <formula2>300</formula2>
    </dataValidation>
    <dataValidation type="textLength" errorStyle="information" allowBlank="1" showInputMessage="1" showErrorMessage="1" error="XLBVal:6=232487.49_x000d__x000a_" sqref="U30">
      <formula1>0</formula1>
      <formula2>300</formula2>
    </dataValidation>
    <dataValidation type="textLength" errorStyle="information" allowBlank="1" showInputMessage="1" showErrorMessage="1" error="XLBVal:6=264557.51_x000d__x000a_" sqref="T30">
      <formula1>0</formula1>
      <formula2>300</formula2>
    </dataValidation>
    <dataValidation type="textLength" errorStyle="information" allowBlank="1" showInputMessage="1" showErrorMessage="1" error="XLBVal:6=269229.67_x000d__x000a_" sqref="S30">
      <formula1>0</formula1>
      <formula2>300</formula2>
    </dataValidation>
    <dataValidation type="textLength" errorStyle="information" allowBlank="1" showInputMessage="1" showErrorMessage="1" error="XLBVal:6=408340.93_x000d__x000a_" sqref="R30">
      <formula1>0</formula1>
      <formula2>300</formula2>
    </dataValidation>
    <dataValidation type="textLength" errorStyle="information" allowBlank="1" showInputMessage="1" showErrorMessage="1" error="XLBVal:6=280097.95_x000d__x000a_" sqref="Q30">
      <formula1>0</formula1>
      <formula2>300</formula2>
    </dataValidation>
    <dataValidation type="textLength" errorStyle="information" allowBlank="1" showInputMessage="1" showErrorMessage="1" error="XLBVal:6=5501.5_x000d__x000a_" sqref="V26">
      <formula1>0</formula1>
      <formula2>300</formula2>
    </dataValidation>
    <dataValidation type="textLength" errorStyle="information" allowBlank="1" showInputMessage="1" showErrorMessage="1" error="XLBVal:6=5452.1_x000d__x000a_" sqref="U26">
      <formula1>0</formula1>
      <formula2>300</formula2>
    </dataValidation>
    <dataValidation type="textLength" errorStyle="information" allowBlank="1" showInputMessage="1" showErrorMessage="1" error="XLBVal:6=7516.3_x000d__x000a_" sqref="T26">
      <formula1>0</formula1>
      <formula2>300</formula2>
    </dataValidation>
    <dataValidation type="textLength" errorStyle="information" allowBlank="1" showInputMessage="1" showErrorMessage="1" error="XLBVal:6=9855.9_x000d__x000a_" sqref="S26">
      <formula1>0</formula1>
      <formula2>300</formula2>
    </dataValidation>
    <dataValidation type="textLength" errorStyle="information" allowBlank="1" showInputMessage="1" showErrorMessage="1" error="XLBVal:6=42378.41_x000d__x000a_" sqref="R26">
      <formula1>0</formula1>
      <formula2>300</formula2>
    </dataValidation>
    <dataValidation type="textLength" errorStyle="information" allowBlank="1" showInputMessage="1" showErrorMessage="1" error="XLBVal:6=8043.4_x000d__x000a_" sqref="Q26">
      <formula1>0</formula1>
      <formula2>300</formula2>
    </dataValidation>
    <dataValidation type="textLength" errorStyle="information" allowBlank="1" showInputMessage="1" showErrorMessage="1" error="XLBVal:6=38_x000d__x000a_" sqref="S20 H17">
      <formula1>0</formula1>
      <formula2>300</formula2>
    </dataValidation>
    <dataValidation type="textLength" errorStyle="information" allowBlank="1" showInputMessage="1" showErrorMessage="1" error="XLBVal:6=1584.1_x000d__x000a_" sqref="R20">
      <formula1>0</formula1>
      <formula2>300</formula2>
    </dataValidation>
    <dataValidation type="textLength" errorStyle="information" allowBlank="1" showInputMessage="1" showErrorMessage="1" error="XLBVal:6=7089.3_x000d__x000a_" sqref="V19">
      <formula1>0</formula1>
      <formula2>300</formula2>
    </dataValidation>
    <dataValidation type="textLength" errorStyle="information" allowBlank="1" showInputMessage="1" showErrorMessage="1" error="XLBVal:6=7108.5_x000d__x000a_" sqref="U19">
      <formula1>0</formula1>
      <formula2>300</formula2>
    </dataValidation>
    <dataValidation type="textLength" errorStyle="information" allowBlank="1" showInputMessage="1" showErrorMessage="1" error="XLBVal:6=15572_x000d__x000a_" sqref="T19">
      <formula1>0</formula1>
      <formula2>300</formula2>
    </dataValidation>
    <dataValidation type="textLength" errorStyle="information" allowBlank="1" showInputMessage="1" showErrorMessage="1" error="XLBVal:6=14398.8_x000d__x000a_" sqref="S19">
      <formula1>0</formula1>
      <formula2>300</formula2>
    </dataValidation>
    <dataValidation type="textLength" errorStyle="information" allowBlank="1" showInputMessage="1" showErrorMessage="1" error="XLBVal:6=40605.2_x000d__x000a_" sqref="R19">
      <formula1>0</formula1>
      <formula2>300</formula2>
    </dataValidation>
    <dataValidation type="textLength" errorStyle="information" allowBlank="1" showInputMessage="1" showErrorMessage="1" error="XLBVal:6=14045.7_x000d__x000a_" sqref="Q19">
      <formula1>0</formula1>
      <formula2>300</formula2>
    </dataValidation>
    <dataValidation type="textLength" errorStyle="information" allowBlank="1" showInputMessage="1" showErrorMessage="1" error="XLBVal:6=4509_x000d__x000a_" sqref="S12">
      <formula1>0</formula1>
      <formula2>300</formula2>
    </dataValidation>
    <dataValidation type="textLength" errorStyle="information" allowBlank="1" showInputMessage="1" showErrorMessage="1" error="XLBVal:6=38440.3_x000d__x000a_" sqref="R12">
      <formula1>0</formula1>
      <formula2>300</formula2>
    </dataValidation>
    <dataValidation type="textLength" errorStyle="information" allowBlank="1" showInputMessage="1" showErrorMessage="1" error="XLBVal:6=9942.6_x000d__x000a_" sqref="Q12">
      <formula1>0</formula1>
      <formula2>300</formula2>
    </dataValidation>
    <dataValidation type="textLength" errorStyle="information" allowBlank="1" showInputMessage="1" showErrorMessage="1" error="XLBVal:6=157818.71_x000d__x000a_" sqref="V11">
      <formula1>0</formula1>
      <formula2>300</formula2>
    </dataValidation>
    <dataValidation type="textLength" errorStyle="information" allowBlank="1" showInputMessage="1" showErrorMessage="1" error="XLBVal:6=247620.11_x000d__x000a_" sqref="U11">
      <formula1>0</formula1>
      <formula2>300</formula2>
    </dataValidation>
    <dataValidation type="textLength" errorStyle="information" allowBlank="1" showInputMessage="1" showErrorMessage="1" error="XLBVal:6=299883.5_x000d__x000a_" sqref="T11">
      <formula1>0</formula1>
      <formula2>300</formula2>
    </dataValidation>
    <dataValidation type="textLength" errorStyle="information" allowBlank="1" showInputMessage="1" showErrorMessage="1" error="XLBVal:6=329820.8_x000d__x000a_" sqref="S11">
      <formula1>0</formula1>
      <formula2>300</formula2>
    </dataValidation>
    <dataValidation type="textLength" errorStyle="information" allowBlank="1" showInputMessage="1" showErrorMessage="1" error="XLBVal:6=505150.51_x000d__x000a_" sqref="R11">
      <formula1>0</formula1>
      <formula2>300</formula2>
    </dataValidation>
    <dataValidation type="textLength" errorStyle="information" allowBlank="1" showInputMessage="1" showErrorMessage="1" error="XLBVal:6=322102.02_x000d__x000a_" sqref="Q11">
      <formula1>0</formula1>
      <formula2>300</formula2>
    </dataValidation>
    <dataValidation type="textLength" errorStyle="information" allowBlank="1" showInputMessage="1" showErrorMessage="1" error="XLBVal:6=2583.8_x000d__x000a_" sqref="V10">
      <formula1>0</formula1>
      <formula2>300</formula2>
    </dataValidation>
    <dataValidation type="textLength" errorStyle="information" allowBlank="1" showInputMessage="1" showErrorMessage="1" error="XLBVal:6=10124.92_x000d__x000a_" sqref="U10">
      <formula1>0</formula1>
      <formula2>300</formula2>
    </dataValidation>
    <dataValidation type="textLength" errorStyle="information" allowBlank="1" showInputMessage="1" showErrorMessage="1" error="XLBVal:6=12940.62_x000d__x000a_" sqref="T10">
      <formula1>0</formula1>
      <formula2>300</formula2>
    </dataValidation>
    <dataValidation type="textLength" errorStyle="information" allowBlank="1" showInputMessage="1" showErrorMessage="1" error="XLBVal:6=4631.74_x000d__x000a_" sqref="S10">
      <formula1>0</formula1>
      <formula2>300</formula2>
    </dataValidation>
    <dataValidation type="textLength" errorStyle="information" allowBlank="1" showInputMessage="1" showErrorMessage="1" error="XLBVal:6=51526.01_x000d__x000a_" sqref="R10">
      <formula1>0</formula1>
      <formula2>300</formula2>
    </dataValidation>
    <dataValidation type="textLength" errorStyle="information" allowBlank="1" showInputMessage="1" showErrorMessage="1" error="XLBVal:6=3565.83_x000d__x000a_" sqref="Q10">
      <formula1>0</formula1>
      <formula2>300</formula2>
    </dataValidation>
    <dataValidation type="textLength" errorStyle="information" allowBlank="1" showInputMessage="1" showErrorMessage="1" error="XLBVal:6=298294.8_x000d__x000a_" sqref="V9">
      <formula1>0</formula1>
      <formula2>300</formula2>
    </dataValidation>
    <dataValidation type="textLength" errorStyle="information" allowBlank="1" showInputMessage="1" showErrorMessage="1" error="XLBVal:6=307505.2_x000d__x000a_" sqref="U9">
      <formula1>0</formula1>
      <formula2>300</formula2>
    </dataValidation>
    <dataValidation type="textLength" errorStyle="information" allowBlank="1" showInputMessage="1" showErrorMessage="1" error="XLBVal:6=345529.8_x000d__x000a_" sqref="T9">
      <formula1>0</formula1>
      <formula2>300</formula2>
    </dataValidation>
    <dataValidation type="textLength" errorStyle="information" allowBlank="1" showInputMessage="1" showErrorMessage="1" error="XLBVal:6=344749.7_x000d__x000a_" sqref="S9">
      <formula1>0</formula1>
      <formula2>300</formula2>
    </dataValidation>
    <dataValidation type="textLength" errorStyle="information" allowBlank="1" showInputMessage="1" showErrorMessage="1" error="XLBVal:6=371731.8_x000d__x000a_" sqref="R9">
      <formula1>0</formula1>
      <formula2>300</formula2>
    </dataValidation>
    <dataValidation type="textLength" errorStyle="information" allowBlank="1" showInputMessage="1" showErrorMessage="1" error="XLBVal:6=346003.2_x000d__x000a_" sqref="Q9">
      <formula1>0</formula1>
      <formula2>300</formula2>
    </dataValidation>
    <dataValidation type="textLength" errorStyle="information" allowBlank="1" showInputMessage="1" showErrorMessage="1" error="XLBVal:6=86_x000d__x000a_" sqref="T7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2=0_x000d__x000a_" sqref="Q75:V77 S107 I17:I18 Q21:V21 D21:I21 Q86 Q118:V118 I20 Q50 D32:I32 D131:I132 D24:I25 D20:E20 D17:F17 Q32:V32 U59 J18:O18 D18:H18 Q131:V132 Q73:V73 V20 Q62:V62 Q55:V55 Q65:V70 Y9:Y10 Y12 Q121:V121 Q13:AB13 Q124:V127 Q110:V110 R57:V58 Q17:Q18 R17 S17:S18 T17:U17 V17:V18 T20 S44:V47 Q45:R47 Q52:S52 Q89:V89 Q60:V60 Q44 Q39:V42 V56 Q56:Q58 Q24:V25 Q48 T71 S56 S50:V50 T52:V54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AG161"/>
  <sheetViews>
    <sheetView view="pageBreakPreview" zoomScaleNormal="100" zoomScaleSheetLayoutView="100" workbookViewId="0">
      <pane xSplit="4" ySplit="7" topLeftCell="L77" activePane="bottomRight" state="frozen"/>
      <selection activeCell="AP43" sqref="AP43"/>
      <selection pane="topRight" activeCell="AP43" sqref="AP43"/>
      <selection pane="bottomLeft" activeCell="AP43" sqref="AP43"/>
      <selection pane="bottomRight" activeCell="AC45" sqref="AC45"/>
    </sheetView>
  </sheetViews>
  <sheetFormatPr defaultColWidth="9" defaultRowHeight="14.25" outlineLevelCol="2"/>
  <cols>
    <col min="1" max="2" width="9" style="105" hidden="1" customWidth="1" outlineLevel="1"/>
    <col min="3" max="3" width="46.75" style="105" customWidth="1" collapsed="1"/>
    <col min="4" max="15" width="14.5" style="72" bestFit="1" customWidth="1"/>
    <col min="16" max="16" width="19.5" style="127" bestFit="1" customWidth="1"/>
    <col min="17" max="21" width="14.5" style="72" hidden="1" customWidth="1" outlineLevel="1"/>
    <col min="22" max="22" width="12" style="72" hidden="1" customWidth="1" outlineLevel="1"/>
    <col min="23" max="23" width="14.5" style="72" hidden="1" customWidth="1" outlineLevel="1"/>
    <col min="24" max="25" width="14.5" style="72" hidden="1" customWidth="1" outlineLevel="2"/>
    <col min="26" max="27" width="12" style="72" hidden="1" customWidth="1" outlineLevel="2"/>
    <col min="28" max="28" width="14.5" style="72" hidden="1" customWidth="1" outlineLevel="2"/>
    <col min="29" max="29" width="16.125" style="127" customWidth="1" collapsed="1"/>
    <col min="30" max="30" width="13.875" style="72" customWidth="1"/>
    <col min="31" max="31" width="10.5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384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383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29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14172.19</v>
      </c>
      <c r="AG9" s="124">
        <f t="shared" ref="AG9:AG27" si="3">P9-AF9</f>
        <v>-14172.19</v>
      </c>
    </row>
    <row r="10" spans="1:33">
      <c r="A10" s="105" t="s">
        <v>482</v>
      </c>
      <c r="B10" s="105" t="s">
        <v>383</v>
      </c>
      <c r="C10" s="105" t="s">
        <v>483</v>
      </c>
      <c r="D10" s="210">
        <f t="shared" ref="D10:O13" si="4">ROUND(D86*D94,0)</f>
        <v>84000</v>
      </c>
      <c r="E10" s="210">
        <f t="shared" si="4"/>
        <v>92000</v>
      </c>
      <c r="F10" s="210">
        <f t="shared" si="4"/>
        <v>48000</v>
      </c>
      <c r="G10" s="210">
        <f t="shared" si="4"/>
        <v>41250</v>
      </c>
      <c r="H10" s="210">
        <f t="shared" si="4"/>
        <v>42900</v>
      </c>
      <c r="I10" s="210">
        <f t="shared" si="4"/>
        <v>39000</v>
      </c>
      <c r="J10" s="210">
        <f t="shared" si="4"/>
        <v>49140</v>
      </c>
      <c r="K10" s="210">
        <f t="shared" si="4"/>
        <v>50400</v>
      </c>
      <c r="L10" s="210">
        <f t="shared" si="4"/>
        <v>44000</v>
      </c>
      <c r="M10" s="210">
        <f t="shared" si="4"/>
        <v>45000</v>
      </c>
      <c r="N10" s="210">
        <f t="shared" si="4"/>
        <v>46400</v>
      </c>
      <c r="O10" s="210">
        <f t="shared" si="4"/>
        <v>68250</v>
      </c>
      <c r="P10" s="129">
        <f>SUM(D10:O10)</f>
        <v>650340</v>
      </c>
      <c r="Q10" s="72">
        <v>100151.75</v>
      </c>
      <c r="R10" s="72">
        <v>212726.93</v>
      </c>
      <c r="S10" s="72">
        <v>64861.14</v>
      </c>
      <c r="T10" s="72">
        <v>71752.17</v>
      </c>
      <c r="U10" s="72">
        <v>44522.71</v>
      </c>
      <c r="V10" s="72">
        <v>36482.300000000003</v>
      </c>
      <c r="W10" s="72">
        <v>81248.789999999994</v>
      </c>
      <c r="X10" s="72">
        <v>81935.02</v>
      </c>
      <c r="Y10" s="72">
        <v>24000</v>
      </c>
      <c r="Z10" s="72">
        <v>42500</v>
      </c>
      <c r="AA10" s="72">
        <v>49300</v>
      </c>
      <c r="AB10" s="72">
        <v>68250</v>
      </c>
      <c r="AC10" s="127">
        <f>SUM(Q10:AB10)</f>
        <v>877730.81</v>
      </c>
      <c r="AD10" s="72">
        <f t="shared" si="1"/>
        <v>-227390.81000000006</v>
      </c>
      <c r="AE10" s="192">
        <f t="shared" si="2"/>
        <v>-0.25906668355415258</v>
      </c>
      <c r="AF10" s="129">
        <v>466285.49</v>
      </c>
      <c r="AG10" s="124">
        <f t="shared" si="3"/>
        <v>184054.51</v>
      </c>
    </row>
    <row r="11" spans="1:33">
      <c r="A11" s="105" t="s">
        <v>484</v>
      </c>
      <c r="B11" s="105" t="s">
        <v>383</v>
      </c>
      <c r="C11" s="105" t="s">
        <v>485</v>
      </c>
      <c r="D11" s="210">
        <f t="shared" si="4"/>
        <v>1380000</v>
      </c>
      <c r="E11" s="210">
        <f t="shared" si="4"/>
        <v>1152000</v>
      </c>
      <c r="F11" s="210">
        <f t="shared" si="4"/>
        <v>864000</v>
      </c>
      <c r="G11" s="210">
        <f t="shared" si="4"/>
        <v>744000</v>
      </c>
      <c r="H11" s="210">
        <f t="shared" si="4"/>
        <v>768000</v>
      </c>
      <c r="I11" s="210">
        <f t="shared" si="4"/>
        <v>717600</v>
      </c>
      <c r="J11" s="210">
        <f t="shared" si="4"/>
        <v>1128000</v>
      </c>
      <c r="K11" s="210">
        <f t="shared" si="4"/>
        <v>1175000</v>
      </c>
      <c r="L11" s="210">
        <f t="shared" si="4"/>
        <v>704000</v>
      </c>
      <c r="M11" s="210">
        <f t="shared" si="4"/>
        <v>770000</v>
      </c>
      <c r="N11" s="210">
        <f t="shared" si="4"/>
        <v>720000</v>
      </c>
      <c r="O11" s="210">
        <f>ROUND(O87*O95,0)</f>
        <v>1178000</v>
      </c>
      <c r="P11" s="129">
        <f>SUM(D11:O11)</f>
        <v>11300600</v>
      </c>
      <c r="Q11" s="72">
        <v>942069.83</v>
      </c>
      <c r="R11" s="72">
        <v>1677334.38</v>
      </c>
      <c r="S11" s="72">
        <v>954484.5</v>
      </c>
      <c r="T11" s="72">
        <v>927796.04</v>
      </c>
      <c r="U11" s="72">
        <v>998538.85</v>
      </c>
      <c r="V11" s="72">
        <v>868193.28000000003</v>
      </c>
      <c r="W11" s="72">
        <v>1111042.75</v>
      </c>
      <c r="X11" s="72">
        <v>1307666.3500000001</v>
      </c>
      <c r="Y11" s="72">
        <v>576000</v>
      </c>
      <c r="Z11" s="72">
        <v>714000</v>
      </c>
      <c r="AA11" s="72">
        <v>645000</v>
      </c>
      <c r="AB11" s="72">
        <v>854400</v>
      </c>
      <c r="AC11" s="127">
        <f>SUM(Q11:AB11)</f>
        <v>11576525.98</v>
      </c>
      <c r="AD11" s="72">
        <f t="shared" si="1"/>
        <v>-275925.98000000045</v>
      </c>
      <c r="AE11" s="192">
        <f t="shared" si="2"/>
        <v>-2.3834955363698881E-2</v>
      </c>
      <c r="AF11" s="129">
        <v>13379269.030000001</v>
      </c>
      <c r="AG11" s="124">
        <f t="shared" si="3"/>
        <v>-2078669.0300000012</v>
      </c>
    </row>
    <row r="12" spans="1:33">
      <c r="A12" s="105" t="s">
        <v>486</v>
      </c>
      <c r="B12" s="105" t="s">
        <v>383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9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284319.28999999998</v>
      </c>
      <c r="AG12" s="124">
        <f t="shared" si="3"/>
        <v>-284319.28999999998</v>
      </c>
    </row>
    <row r="13" spans="1:33">
      <c r="A13" s="105" t="s">
        <v>488</v>
      </c>
      <c r="B13" s="105" t="s">
        <v>383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9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1464000</v>
      </c>
      <c r="E14" s="127">
        <f t="shared" si="5"/>
        <v>1244000</v>
      </c>
      <c r="F14" s="127">
        <f t="shared" si="5"/>
        <v>912000</v>
      </c>
      <c r="G14" s="127">
        <f t="shared" si="5"/>
        <v>785250</v>
      </c>
      <c r="H14" s="127">
        <f t="shared" si="5"/>
        <v>810900</v>
      </c>
      <c r="I14" s="127">
        <f t="shared" si="5"/>
        <v>756600</v>
      </c>
      <c r="J14" s="127">
        <f t="shared" si="5"/>
        <v>1177140</v>
      </c>
      <c r="K14" s="127">
        <f t="shared" si="5"/>
        <v>1225400</v>
      </c>
      <c r="L14" s="127">
        <f t="shared" si="5"/>
        <v>748000</v>
      </c>
      <c r="M14" s="127">
        <f t="shared" si="5"/>
        <v>815000</v>
      </c>
      <c r="N14" s="127">
        <f t="shared" si="5"/>
        <v>766400</v>
      </c>
      <c r="O14" s="127">
        <f t="shared" si="5"/>
        <v>1246250</v>
      </c>
      <c r="P14" s="129">
        <f t="shared" si="5"/>
        <v>11950940</v>
      </c>
      <c r="Q14" s="127">
        <f t="shared" si="5"/>
        <v>1042221.58</v>
      </c>
      <c r="R14" s="127">
        <f t="shared" si="5"/>
        <v>1890061.3099999998</v>
      </c>
      <c r="S14" s="127">
        <f t="shared" si="5"/>
        <v>1019345.64</v>
      </c>
      <c r="T14" s="127">
        <f t="shared" si="5"/>
        <v>999548.21000000008</v>
      </c>
      <c r="U14" s="127">
        <f t="shared" si="5"/>
        <v>1043061.5599999999</v>
      </c>
      <c r="V14" s="127">
        <f t="shared" si="5"/>
        <v>904675.58000000007</v>
      </c>
      <c r="W14" s="127">
        <f t="shared" si="5"/>
        <v>1192291.54</v>
      </c>
      <c r="X14" s="127">
        <f t="shared" si="5"/>
        <v>1389601.37</v>
      </c>
      <c r="Y14" s="127">
        <f t="shared" si="5"/>
        <v>600000</v>
      </c>
      <c r="Z14" s="127">
        <f t="shared" si="5"/>
        <v>756500</v>
      </c>
      <c r="AA14" s="127">
        <f t="shared" si="5"/>
        <v>694300</v>
      </c>
      <c r="AB14" s="127">
        <f t="shared" si="5"/>
        <v>922650</v>
      </c>
      <c r="AC14" s="127">
        <f t="shared" si="5"/>
        <v>12454256.790000001</v>
      </c>
      <c r="AD14" s="72">
        <f t="shared" si="1"/>
        <v>-503316.79000000097</v>
      </c>
      <c r="AE14" s="192">
        <f t="shared" si="2"/>
        <v>-4.0413233682810627E-2</v>
      </c>
      <c r="AF14" s="129">
        <v>14144046</v>
      </c>
      <c r="AG14" s="124">
        <f t="shared" si="3"/>
        <v>-2193106</v>
      </c>
    </row>
    <row r="15" spans="1:33">
      <c r="C15" s="105" t="s">
        <v>154</v>
      </c>
      <c r="P15" s="129"/>
      <c r="AF15" s="129"/>
      <c r="AG15" s="124">
        <f t="shared" si="3"/>
        <v>0</v>
      </c>
    </row>
    <row r="16" spans="1:33">
      <c r="C16" s="105" t="s">
        <v>491</v>
      </c>
      <c r="P16" s="129"/>
      <c r="AF16" s="129"/>
      <c r="AG16" s="124">
        <f t="shared" si="3"/>
        <v>0</v>
      </c>
    </row>
    <row r="17" spans="1:33">
      <c r="A17" s="105" t="s">
        <v>492</v>
      </c>
      <c r="B17" s="105" t="s">
        <v>383</v>
      </c>
      <c r="C17" s="105" t="s">
        <v>481</v>
      </c>
      <c r="P17" s="129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-76</v>
      </c>
      <c r="AG17" s="124">
        <f t="shared" si="3"/>
        <v>76</v>
      </c>
    </row>
    <row r="18" spans="1:33">
      <c r="A18" s="105" t="s">
        <v>535</v>
      </c>
      <c r="B18" s="105" t="s">
        <v>383</v>
      </c>
      <c r="C18" s="105" t="s">
        <v>483</v>
      </c>
      <c r="D18" s="72">
        <v>4350</v>
      </c>
      <c r="E18" s="72">
        <v>6663</v>
      </c>
      <c r="F18" s="72">
        <v>3638</v>
      </c>
      <c r="G18" s="72">
        <v>3612</v>
      </c>
      <c r="H18" s="72">
        <v>3436</v>
      </c>
      <c r="I18" s="72">
        <v>2762</v>
      </c>
      <c r="J18" s="72">
        <v>4279</v>
      </c>
      <c r="K18" s="72">
        <v>4454</v>
      </c>
      <c r="L18" s="72">
        <v>2418</v>
      </c>
      <c r="M18" s="72">
        <v>3172</v>
      </c>
      <c r="N18" s="72">
        <v>2449</v>
      </c>
      <c r="O18" s="72">
        <v>4722</v>
      </c>
      <c r="P18" s="129">
        <f>SUM(D18:O18)</f>
        <v>45955</v>
      </c>
      <c r="Q18" s="72">
        <v>3910</v>
      </c>
      <c r="R18" s="72">
        <v>9110</v>
      </c>
      <c r="S18" s="72">
        <v>4376</v>
      </c>
      <c r="T18" s="72">
        <v>6157</v>
      </c>
      <c r="U18" s="72">
        <v>4184</v>
      </c>
      <c r="V18" s="72">
        <v>4156.5</v>
      </c>
      <c r="W18" s="72">
        <v>5013.8999999999996</v>
      </c>
      <c r="X18" s="72">
        <v>4935.1000000000004</v>
      </c>
      <c r="Y18" s="72">
        <v>2622</v>
      </c>
      <c r="Z18" s="72">
        <v>3401</v>
      </c>
      <c r="AA18" s="72">
        <v>3218</v>
      </c>
      <c r="AB18" s="72">
        <v>4624</v>
      </c>
      <c r="AC18" s="127">
        <f>SUM(Q18:AB18)</f>
        <v>55707.5</v>
      </c>
      <c r="AD18" s="72">
        <f t="shared" si="6"/>
        <v>-9752.5</v>
      </c>
      <c r="AE18" s="192">
        <f t="shared" si="7"/>
        <v>-0.17506619395952072</v>
      </c>
      <c r="AF18" s="129">
        <v>28476.410000000003</v>
      </c>
      <c r="AG18" s="124">
        <f t="shared" si="3"/>
        <v>17478.589999999997</v>
      </c>
    </row>
    <row r="19" spans="1:33">
      <c r="A19" s="105" t="s">
        <v>494</v>
      </c>
      <c r="B19" s="105" t="s">
        <v>383</v>
      </c>
      <c r="C19" s="105" t="s">
        <v>485</v>
      </c>
      <c r="D19" s="72">
        <v>120000</v>
      </c>
      <c r="E19" s="72">
        <v>150000</v>
      </c>
      <c r="F19" s="72">
        <v>100000</v>
      </c>
      <c r="G19" s="72">
        <v>100000</v>
      </c>
      <c r="H19" s="72">
        <v>100000</v>
      </c>
      <c r="I19" s="72">
        <v>70000</v>
      </c>
      <c r="J19" s="72">
        <v>100000</v>
      </c>
      <c r="K19" s="72">
        <v>90000</v>
      </c>
      <c r="L19" s="72">
        <v>50000</v>
      </c>
      <c r="M19" s="72">
        <v>60000</v>
      </c>
      <c r="N19" s="72">
        <v>50000</v>
      </c>
      <c r="O19" s="72">
        <v>100000</v>
      </c>
      <c r="P19" s="129">
        <f>SUM(D19:O19)</f>
        <v>1090000</v>
      </c>
      <c r="Q19" s="72">
        <v>114229</v>
      </c>
      <c r="R19" s="72">
        <v>249174.8</v>
      </c>
      <c r="S19" s="72">
        <v>147288.5</v>
      </c>
      <c r="T19" s="72">
        <v>120855.4</v>
      </c>
      <c r="U19" s="72">
        <v>118673.7</v>
      </c>
      <c r="V19" s="72">
        <v>105744.1</v>
      </c>
      <c r="W19" s="72">
        <v>39221.199999999997</v>
      </c>
      <c r="X19" s="72">
        <v>101.3</v>
      </c>
      <c r="Y19" s="72">
        <v>44951</v>
      </c>
      <c r="Z19" s="72">
        <v>58307</v>
      </c>
      <c r="AA19" s="72">
        <v>55169</v>
      </c>
      <c r="AB19" s="72">
        <v>79266</v>
      </c>
      <c r="AC19" s="127">
        <f>SUM(Q19:AB19)</f>
        <v>1132981</v>
      </c>
      <c r="AD19" s="72">
        <f t="shared" si="6"/>
        <v>-42981</v>
      </c>
      <c r="AE19" s="192">
        <f t="shared" si="7"/>
        <v>-3.7936205461521419E-2</v>
      </c>
      <c r="AF19" s="129">
        <v>75844.030000000013</v>
      </c>
      <c r="AG19" s="124">
        <f t="shared" si="3"/>
        <v>1014155.97</v>
      </c>
    </row>
    <row r="20" spans="1:33">
      <c r="A20" s="105" t="s">
        <v>495</v>
      </c>
      <c r="B20" s="105" t="s">
        <v>383</v>
      </c>
      <c r="C20" s="105" t="s">
        <v>487</v>
      </c>
      <c r="P20" s="129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27155.42</v>
      </c>
      <c r="AG20" s="124">
        <f t="shared" si="3"/>
        <v>-27155.42</v>
      </c>
    </row>
    <row r="21" spans="1:33">
      <c r="A21" s="105" t="s">
        <v>497</v>
      </c>
      <c r="B21" s="105" t="s">
        <v>383</v>
      </c>
      <c r="C21" s="105" t="s">
        <v>489</v>
      </c>
      <c r="P21" s="129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124350</v>
      </c>
      <c r="E22" s="127">
        <f t="shared" si="8"/>
        <v>156663</v>
      </c>
      <c r="F22" s="127">
        <f t="shared" si="8"/>
        <v>103638</v>
      </c>
      <c r="G22" s="127">
        <f t="shared" si="8"/>
        <v>103612</v>
      </c>
      <c r="H22" s="127">
        <f t="shared" si="8"/>
        <v>103436</v>
      </c>
      <c r="I22" s="127">
        <f t="shared" si="8"/>
        <v>72762</v>
      </c>
      <c r="J22" s="127">
        <f t="shared" si="8"/>
        <v>104279</v>
      </c>
      <c r="K22" s="127">
        <f t="shared" si="8"/>
        <v>94454</v>
      </c>
      <c r="L22" s="127">
        <f t="shared" si="8"/>
        <v>52418</v>
      </c>
      <c r="M22" s="127">
        <f t="shared" si="8"/>
        <v>63172</v>
      </c>
      <c r="N22" s="127">
        <f t="shared" si="8"/>
        <v>52449</v>
      </c>
      <c r="O22" s="127">
        <f t="shared" si="8"/>
        <v>104722</v>
      </c>
      <c r="P22" s="129">
        <f>SUM(P17:P21)</f>
        <v>1135955</v>
      </c>
      <c r="Q22" s="127">
        <f t="shared" ref="Q22:AC22" si="9">SUM(Q17:Q21)</f>
        <v>118139</v>
      </c>
      <c r="R22" s="127">
        <f t="shared" si="9"/>
        <v>258284.79999999999</v>
      </c>
      <c r="S22" s="127">
        <f t="shared" si="9"/>
        <v>151664.5</v>
      </c>
      <c r="T22" s="127">
        <f t="shared" si="9"/>
        <v>127012.4</v>
      </c>
      <c r="U22" s="127">
        <f t="shared" si="9"/>
        <v>122857.7</v>
      </c>
      <c r="V22" s="127">
        <f t="shared" si="9"/>
        <v>109900.6</v>
      </c>
      <c r="W22" s="127">
        <f t="shared" si="9"/>
        <v>44235.1</v>
      </c>
      <c r="X22" s="127">
        <f t="shared" si="9"/>
        <v>5036.4000000000005</v>
      </c>
      <c r="Y22" s="127">
        <f t="shared" si="9"/>
        <v>47573</v>
      </c>
      <c r="Z22" s="127">
        <f t="shared" si="9"/>
        <v>61708</v>
      </c>
      <c r="AA22" s="127">
        <f t="shared" si="9"/>
        <v>58387</v>
      </c>
      <c r="AB22" s="127">
        <f t="shared" si="9"/>
        <v>83890</v>
      </c>
      <c r="AC22" s="127">
        <f t="shared" si="9"/>
        <v>1188688.5</v>
      </c>
      <c r="AD22" s="72">
        <f t="shared" si="6"/>
        <v>-52733.5</v>
      </c>
      <c r="AE22" s="192">
        <f t="shared" si="7"/>
        <v>-4.4362757778846185E-2</v>
      </c>
      <c r="AF22" s="129">
        <v>131399.86000000002</v>
      </c>
      <c r="AG22" s="124">
        <f t="shared" si="3"/>
        <v>1004555.14</v>
      </c>
    </row>
    <row r="23" spans="1:33">
      <c r="C23" s="105" t="s">
        <v>154</v>
      </c>
      <c r="P23" s="129"/>
      <c r="AF23" s="129"/>
      <c r="AG23" s="124">
        <f t="shared" si="3"/>
        <v>0</v>
      </c>
    </row>
    <row r="24" spans="1:33">
      <c r="A24" s="105" t="s">
        <v>406</v>
      </c>
      <c r="B24" s="105" t="s">
        <v>383</v>
      </c>
      <c r="C24" s="105" t="s">
        <v>408</v>
      </c>
      <c r="J24" s="123"/>
      <c r="K24" s="123"/>
      <c r="L24" s="123"/>
      <c r="M24" s="123"/>
      <c r="N24" s="123"/>
      <c r="O24" s="123"/>
      <c r="P24" s="129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383</v>
      </c>
      <c r="C25" s="105" t="s">
        <v>499</v>
      </c>
      <c r="P25" s="129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</row>
    <row r="26" spans="1:33">
      <c r="A26" s="105" t="s">
        <v>169</v>
      </c>
      <c r="B26" s="105" t="s">
        <v>383</v>
      </c>
      <c r="C26" s="105" t="s">
        <v>170</v>
      </c>
      <c r="D26" s="230">
        <f>ROUND((D14+D22)*0.013,0)</f>
        <v>20649</v>
      </c>
      <c r="E26" s="230">
        <f t="shared" ref="E26:O26" si="10">ROUND((E14+E22)*0.013,0)</f>
        <v>18209</v>
      </c>
      <c r="F26" s="230">
        <f t="shared" si="10"/>
        <v>13203</v>
      </c>
      <c r="G26" s="230">
        <f t="shared" si="10"/>
        <v>11555</v>
      </c>
      <c r="H26" s="230">
        <f t="shared" si="10"/>
        <v>11886</v>
      </c>
      <c r="I26" s="230">
        <f t="shared" si="10"/>
        <v>10782</v>
      </c>
      <c r="J26" s="230">
        <f t="shared" si="10"/>
        <v>16658</v>
      </c>
      <c r="K26" s="230">
        <f t="shared" si="10"/>
        <v>17158</v>
      </c>
      <c r="L26" s="230">
        <f t="shared" si="10"/>
        <v>10405</v>
      </c>
      <c r="M26" s="230">
        <f t="shared" si="10"/>
        <v>11416</v>
      </c>
      <c r="N26" s="230">
        <f t="shared" si="10"/>
        <v>10645</v>
      </c>
      <c r="O26" s="230">
        <f t="shared" si="10"/>
        <v>17563</v>
      </c>
      <c r="P26" s="129">
        <f>SUM(D26:O26)</f>
        <v>170129</v>
      </c>
      <c r="Q26" s="72">
        <v>8172.45</v>
      </c>
      <c r="R26" s="72">
        <v>38057</v>
      </c>
      <c r="S26" s="72">
        <v>5393.6</v>
      </c>
      <c r="T26" s="72">
        <v>4416.5</v>
      </c>
      <c r="U26" s="72">
        <v>3890</v>
      </c>
      <c r="V26" s="72">
        <v>4144.6000000000004</v>
      </c>
      <c r="W26" s="72">
        <v>26570.2</v>
      </c>
      <c r="X26" s="72">
        <v>32411.1</v>
      </c>
      <c r="Y26" s="72">
        <v>9610</v>
      </c>
      <c r="Z26" s="72">
        <v>10637</v>
      </c>
      <c r="AA26" s="72">
        <v>9785</v>
      </c>
      <c r="AB26" s="72">
        <v>13085</v>
      </c>
      <c r="AC26" s="127">
        <f>SUM(Q26:AB26)</f>
        <v>166172.44999999998</v>
      </c>
      <c r="AD26" s="72">
        <f>P26-AC26</f>
        <v>3956.5500000000175</v>
      </c>
      <c r="AE26" s="192">
        <f>AD26/AC26</f>
        <v>2.3809903506869026E-2</v>
      </c>
      <c r="AF26" s="129">
        <v>411964.5</v>
      </c>
      <c r="AG26" s="124">
        <f t="shared" si="3"/>
        <v>-241835.5</v>
      </c>
    </row>
    <row r="27" spans="1:33">
      <c r="C27" s="109" t="s">
        <v>500</v>
      </c>
      <c r="D27" s="127">
        <f t="shared" ref="D27:P27" si="11">SUM(D24:D26)+D14+D22</f>
        <v>1608999</v>
      </c>
      <c r="E27" s="127">
        <f t="shared" si="11"/>
        <v>1418872</v>
      </c>
      <c r="F27" s="127">
        <f t="shared" si="11"/>
        <v>1028841</v>
      </c>
      <c r="G27" s="127">
        <f t="shared" si="11"/>
        <v>900417</v>
      </c>
      <c r="H27" s="127">
        <f t="shared" si="11"/>
        <v>926222</v>
      </c>
      <c r="I27" s="127">
        <f t="shared" si="11"/>
        <v>840144</v>
      </c>
      <c r="J27" s="127">
        <f t="shared" si="11"/>
        <v>1298077</v>
      </c>
      <c r="K27" s="127">
        <f t="shared" si="11"/>
        <v>1337012</v>
      </c>
      <c r="L27" s="127">
        <f t="shared" si="11"/>
        <v>810823</v>
      </c>
      <c r="M27" s="127">
        <f t="shared" si="11"/>
        <v>889588</v>
      </c>
      <c r="N27" s="127">
        <f t="shared" si="11"/>
        <v>829494</v>
      </c>
      <c r="O27" s="127">
        <f t="shared" si="11"/>
        <v>1368535</v>
      </c>
      <c r="P27" s="129">
        <f t="shared" si="11"/>
        <v>13257024</v>
      </c>
      <c r="Q27" s="127">
        <f t="shared" ref="Q27:V27" si="12">SUM(Q24:Q26)+Q14+Q22</f>
        <v>1168533.03</v>
      </c>
      <c r="R27" s="127">
        <f t="shared" si="12"/>
        <v>2186403.11</v>
      </c>
      <c r="S27" s="127">
        <f t="shared" si="12"/>
        <v>1176403.74</v>
      </c>
      <c r="T27" s="127">
        <f t="shared" si="12"/>
        <v>1130977.1100000001</v>
      </c>
      <c r="U27" s="127">
        <f t="shared" si="12"/>
        <v>1169809.26</v>
      </c>
      <c r="V27" s="127">
        <f t="shared" si="12"/>
        <v>1018720.78</v>
      </c>
      <c r="W27" s="127">
        <f t="shared" ref="W27:AC27" si="13">SUM(W24:W26)+W14+W22</f>
        <v>1263096.8400000001</v>
      </c>
      <c r="X27" s="127">
        <f t="shared" si="13"/>
        <v>1427048.87</v>
      </c>
      <c r="Y27" s="127">
        <f t="shared" si="13"/>
        <v>657183</v>
      </c>
      <c r="Z27" s="127">
        <f t="shared" si="13"/>
        <v>828845</v>
      </c>
      <c r="AA27" s="127">
        <f t="shared" si="13"/>
        <v>762472</v>
      </c>
      <c r="AB27" s="127">
        <f t="shared" si="13"/>
        <v>1019625</v>
      </c>
      <c r="AC27" s="127">
        <f t="shared" si="13"/>
        <v>13809117.74</v>
      </c>
      <c r="AD27" s="72">
        <f>P27-AC27</f>
        <v>-552093.74000000022</v>
      </c>
      <c r="AE27" s="192">
        <f>AD27/AC27</f>
        <v>-3.9980377486447602E-2</v>
      </c>
      <c r="AF27" s="129">
        <v>14687410.359999999</v>
      </c>
      <c r="AG27" s="124">
        <f t="shared" si="3"/>
        <v>-1430386.3599999994</v>
      </c>
    </row>
    <row r="28" spans="1:33">
      <c r="C28" s="105" t="s">
        <v>154</v>
      </c>
      <c r="AF28" s="129"/>
    </row>
    <row r="29" spans="1:33">
      <c r="C29" s="105" t="s">
        <v>414</v>
      </c>
      <c r="D29" s="132">
        <f t="shared" ref="D29:O29" si="14">D30/D14</f>
        <v>0.4</v>
      </c>
      <c r="E29" s="132">
        <f t="shared" si="14"/>
        <v>0.39600000000000002</v>
      </c>
      <c r="F29" s="132">
        <f t="shared" si="14"/>
        <v>0.4</v>
      </c>
      <c r="G29" s="132">
        <f t="shared" si="14"/>
        <v>0.4</v>
      </c>
      <c r="H29" s="132">
        <f t="shared" si="14"/>
        <v>0.4</v>
      </c>
      <c r="I29" s="132">
        <f t="shared" si="14"/>
        <v>0.4</v>
      </c>
      <c r="J29" s="132">
        <f t="shared" si="14"/>
        <v>0.4</v>
      </c>
      <c r="K29" s="132">
        <f t="shared" si="14"/>
        <v>0.4</v>
      </c>
      <c r="L29" s="132">
        <f t="shared" si="14"/>
        <v>0.4</v>
      </c>
      <c r="M29" s="132">
        <f t="shared" si="14"/>
        <v>0.4</v>
      </c>
      <c r="N29" s="132">
        <f t="shared" si="14"/>
        <v>0.4</v>
      </c>
      <c r="O29" s="132">
        <f t="shared" si="14"/>
        <v>0.4</v>
      </c>
      <c r="P29" s="132">
        <f>P30/P14</f>
        <v>0.39958363107839218</v>
      </c>
      <c r="AC29" s="211">
        <f>AC30/AC14</f>
        <v>0.43509263791243852</v>
      </c>
      <c r="AF29" s="211">
        <f>AF30/AF14</f>
        <v>0.38431741172221867</v>
      </c>
    </row>
    <row r="30" spans="1:33">
      <c r="A30" s="105" t="s">
        <v>415</v>
      </c>
      <c r="B30" s="105" t="s">
        <v>383</v>
      </c>
      <c r="C30" s="105" t="s">
        <v>416</v>
      </c>
      <c r="D30" s="72">
        <f>ROUND(D14*0.4,0)</f>
        <v>585600</v>
      </c>
      <c r="E30" s="72">
        <f>ROUND(E14*0.396,0)</f>
        <v>492624</v>
      </c>
      <c r="F30" s="72">
        <f t="shared" ref="F30:O30" si="15">ROUND(F14*0.4,0)</f>
        <v>364800</v>
      </c>
      <c r="G30" s="72">
        <f t="shared" si="15"/>
        <v>314100</v>
      </c>
      <c r="H30" s="72">
        <f t="shared" si="15"/>
        <v>324360</v>
      </c>
      <c r="I30" s="72">
        <f t="shared" si="15"/>
        <v>302640</v>
      </c>
      <c r="J30" s="72">
        <f t="shared" si="15"/>
        <v>470856</v>
      </c>
      <c r="K30" s="72">
        <f t="shared" si="15"/>
        <v>490160</v>
      </c>
      <c r="L30" s="72">
        <f t="shared" si="15"/>
        <v>299200</v>
      </c>
      <c r="M30" s="72">
        <f t="shared" si="15"/>
        <v>326000</v>
      </c>
      <c r="N30" s="72">
        <f t="shared" si="15"/>
        <v>306560</v>
      </c>
      <c r="O30" s="72">
        <f t="shared" si="15"/>
        <v>498500</v>
      </c>
      <c r="P30" s="129">
        <f>SUM(D30:O30)</f>
        <v>4775400</v>
      </c>
      <c r="Q30" s="72">
        <v>467568.32</v>
      </c>
      <c r="R30" s="72">
        <v>748901.48</v>
      </c>
      <c r="S30" s="72">
        <v>442040.48</v>
      </c>
      <c r="T30" s="72">
        <v>433447.13</v>
      </c>
      <c r="U30" s="72">
        <v>505844.51</v>
      </c>
      <c r="V30" s="72">
        <v>457835.26</v>
      </c>
      <c r="W30" s="72">
        <v>533133.4</v>
      </c>
      <c r="X30" s="72">
        <v>616604.86</v>
      </c>
      <c r="Y30" s="72">
        <v>264000</v>
      </c>
      <c r="Z30" s="72">
        <v>302600</v>
      </c>
      <c r="AA30" s="72">
        <v>277720</v>
      </c>
      <c r="AB30" s="72">
        <v>369060</v>
      </c>
      <c r="AC30" s="127">
        <f>SUM(Q30:AB30)</f>
        <v>5418755.4399999995</v>
      </c>
      <c r="AD30" s="72">
        <f t="shared" ref="AD30:AD33" si="16">P30-AC30</f>
        <v>-643355.43999999948</v>
      </c>
      <c r="AE30" s="192">
        <f t="shared" ref="AE30:AE33" si="17">AD30/AC30</f>
        <v>-0.11872752832705798</v>
      </c>
      <c r="AF30" s="129">
        <v>5435803.1500000004</v>
      </c>
      <c r="AG30" s="124">
        <f t="shared" ref="AG30:AG80" si="18">AF30-P30</f>
        <v>660403.15000000037</v>
      </c>
    </row>
    <row r="31" spans="1:33">
      <c r="A31" s="105" t="s">
        <v>417</v>
      </c>
      <c r="B31" s="105" t="s">
        <v>383</v>
      </c>
      <c r="C31" s="105" t="s">
        <v>418</v>
      </c>
      <c r="D31" s="72">
        <f>ROUND(D22*0.2,0)</f>
        <v>24870</v>
      </c>
      <c r="E31" s="72">
        <f t="shared" ref="E31:O31" si="19">ROUND(E22*0.2,0)</f>
        <v>31333</v>
      </c>
      <c r="F31" s="72">
        <f t="shared" si="19"/>
        <v>20728</v>
      </c>
      <c r="G31" s="72">
        <f t="shared" si="19"/>
        <v>20722</v>
      </c>
      <c r="H31" s="72">
        <f t="shared" si="19"/>
        <v>20687</v>
      </c>
      <c r="I31" s="72">
        <f t="shared" si="19"/>
        <v>14552</v>
      </c>
      <c r="J31" s="72">
        <f t="shared" si="19"/>
        <v>20856</v>
      </c>
      <c r="K31" s="72">
        <f t="shared" si="19"/>
        <v>18891</v>
      </c>
      <c r="L31" s="72">
        <f t="shared" si="19"/>
        <v>10484</v>
      </c>
      <c r="M31" s="72">
        <f t="shared" si="19"/>
        <v>12634</v>
      </c>
      <c r="N31" s="72">
        <f t="shared" si="19"/>
        <v>10490</v>
      </c>
      <c r="O31" s="72">
        <f t="shared" si="19"/>
        <v>20944</v>
      </c>
      <c r="P31" s="129">
        <f>SUM(D31:O31)</f>
        <v>227191</v>
      </c>
      <c r="Q31" s="72">
        <v>24839.09</v>
      </c>
      <c r="R31" s="72">
        <v>46348.18</v>
      </c>
      <c r="S31" s="72">
        <v>29979.84</v>
      </c>
      <c r="T31" s="72">
        <v>26668.6</v>
      </c>
      <c r="U31" s="72">
        <v>31909.48</v>
      </c>
      <c r="V31" s="72">
        <v>27856.97</v>
      </c>
      <c r="W31" s="72">
        <v>8869.73</v>
      </c>
      <c r="X31" s="72">
        <v>933.05</v>
      </c>
      <c r="Y31" s="72">
        <v>9515</v>
      </c>
      <c r="Z31" s="72">
        <v>12342</v>
      </c>
      <c r="AA31" s="72">
        <v>11677</v>
      </c>
      <c r="AB31" s="72">
        <v>16778</v>
      </c>
      <c r="AC31" s="127">
        <f>SUM(Q31:AB31)</f>
        <v>247716.94</v>
      </c>
      <c r="AD31" s="72">
        <f t="shared" si="16"/>
        <v>-20525.940000000002</v>
      </c>
      <c r="AE31" s="192">
        <f t="shared" si="17"/>
        <v>-8.2860461622043302E-2</v>
      </c>
      <c r="AF31" s="129">
        <v>18852.599999999999</v>
      </c>
      <c r="AG31" s="124">
        <f t="shared" si="18"/>
        <v>-208338.4</v>
      </c>
    </row>
    <row r="32" spans="1:33">
      <c r="A32" s="105" t="s">
        <v>421</v>
      </c>
      <c r="B32" s="105" t="s">
        <v>383</v>
      </c>
      <c r="C32" s="105" t="s">
        <v>422</v>
      </c>
      <c r="P32" s="129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6"/>
        <v>0</v>
      </c>
      <c r="AE32" s="192" t="e">
        <f t="shared" si="17"/>
        <v>#DIV/0!</v>
      </c>
      <c r="AF32" s="129">
        <v>0</v>
      </c>
      <c r="AG32" s="124">
        <f t="shared" si="18"/>
        <v>0</v>
      </c>
    </row>
    <row r="33" spans="1:33">
      <c r="C33" s="109" t="s">
        <v>501</v>
      </c>
      <c r="D33" s="127">
        <f t="shared" ref="D33:AC33" si="20">SUM(D30:D32)</f>
        <v>610470</v>
      </c>
      <c r="E33" s="127">
        <f t="shared" si="20"/>
        <v>523957</v>
      </c>
      <c r="F33" s="127">
        <f t="shared" si="20"/>
        <v>385528</v>
      </c>
      <c r="G33" s="127">
        <f t="shared" si="20"/>
        <v>334822</v>
      </c>
      <c r="H33" s="127">
        <f t="shared" si="20"/>
        <v>345047</v>
      </c>
      <c r="I33" s="127">
        <f t="shared" si="20"/>
        <v>317192</v>
      </c>
      <c r="J33" s="127">
        <f t="shared" si="20"/>
        <v>491712</v>
      </c>
      <c r="K33" s="127">
        <f t="shared" si="20"/>
        <v>509051</v>
      </c>
      <c r="L33" s="127">
        <f t="shared" si="20"/>
        <v>309684</v>
      </c>
      <c r="M33" s="127">
        <f t="shared" si="20"/>
        <v>338634</v>
      </c>
      <c r="N33" s="127">
        <f t="shared" si="20"/>
        <v>317050</v>
      </c>
      <c r="O33" s="127">
        <f t="shared" si="20"/>
        <v>519444</v>
      </c>
      <c r="P33" s="129">
        <f t="shared" si="20"/>
        <v>5002591</v>
      </c>
      <c r="Q33" s="127">
        <f t="shared" si="20"/>
        <v>492407.41000000003</v>
      </c>
      <c r="R33" s="127">
        <f t="shared" si="20"/>
        <v>795249.66</v>
      </c>
      <c r="S33" s="127">
        <f t="shared" si="20"/>
        <v>472020.32</v>
      </c>
      <c r="T33" s="127">
        <f t="shared" si="20"/>
        <v>460115.73</v>
      </c>
      <c r="U33" s="127">
        <f t="shared" si="20"/>
        <v>537753.99</v>
      </c>
      <c r="V33" s="127">
        <f t="shared" si="20"/>
        <v>485692.23</v>
      </c>
      <c r="W33" s="127">
        <f t="shared" si="20"/>
        <v>542003.13</v>
      </c>
      <c r="X33" s="127">
        <f t="shared" si="20"/>
        <v>617537.91</v>
      </c>
      <c r="Y33" s="127">
        <f t="shared" si="20"/>
        <v>273515</v>
      </c>
      <c r="Z33" s="127">
        <f t="shared" si="20"/>
        <v>314942</v>
      </c>
      <c r="AA33" s="127">
        <f t="shared" si="20"/>
        <v>289397</v>
      </c>
      <c r="AB33" s="127">
        <f t="shared" si="20"/>
        <v>385838</v>
      </c>
      <c r="AC33" s="127">
        <f t="shared" si="20"/>
        <v>5666472.3799999999</v>
      </c>
      <c r="AD33" s="72">
        <f t="shared" si="16"/>
        <v>-663881.37999999989</v>
      </c>
      <c r="AE33" s="192">
        <f t="shared" si="17"/>
        <v>-0.11715955456576317</v>
      </c>
      <c r="AF33" s="129">
        <v>5454655.75</v>
      </c>
      <c r="AG33" s="124">
        <f t="shared" si="18"/>
        <v>452064.75</v>
      </c>
    </row>
    <row r="34" spans="1:33">
      <c r="C34" s="105" t="s">
        <v>154</v>
      </c>
      <c r="P34" s="129"/>
      <c r="AF34" s="129"/>
      <c r="AG34" s="124">
        <f t="shared" si="18"/>
        <v>0</v>
      </c>
    </row>
    <row r="35" spans="1:33" s="109" customFormat="1">
      <c r="C35" s="109" t="s">
        <v>289</v>
      </c>
      <c r="D35" s="127">
        <f t="shared" ref="D35:AB35" si="21">D134</f>
        <v>156481.96</v>
      </c>
      <c r="E35" s="127">
        <f t="shared" si="21"/>
        <v>126020.34</v>
      </c>
      <c r="F35" s="127">
        <f t="shared" si="21"/>
        <v>126081.9</v>
      </c>
      <c r="G35" s="127">
        <f t="shared" si="21"/>
        <v>131611.88999999998</v>
      </c>
      <c r="H35" s="127">
        <f t="shared" si="21"/>
        <v>140692.84</v>
      </c>
      <c r="I35" s="127">
        <f t="shared" si="21"/>
        <v>126663.45</v>
      </c>
      <c r="J35" s="127">
        <f t="shared" si="21"/>
        <v>127447.29</v>
      </c>
      <c r="K35" s="127">
        <f t="shared" si="21"/>
        <v>127178.2</v>
      </c>
      <c r="L35" s="127">
        <f t="shared" si="21"/>
        <v>127261.2</v>
      </c>
      <c r="M35" s="127">
        <f t="shared" si="21"/>
        <v>159369.06</v>
      </c>
      <c r="N35" s="127">
        <f t="shared" si="21"/>
        <v>127276.73999999999</v>
      </c>
      <c r="O35" s="127">
        <f t="shared" si="21"/>
        <v>126917.65</v>
      </c>
      <c r="P35" s="129">
        <f t="shared" si="21"/>
        <v>1603002.5199999998</v>
      </c>
      <c r="Q35" s="127">
        <f t="shared" si="21"/>
        <v>138857.54999999999</v>
      </c>
      <c r="R35" s="127">
        <f t="shared" si="21"/>
        <v>159578.20000000001</v>
      </c>
      <c r="S35" s="127">
        <f t="shared" si="21"/>
        <v>138369.97</v>
      </c>
      <c r="T35" s="127">
        <f t="shared" si="21"/>
        <v>128212.43</v>
      </c>
      <c r="U35" s="127">
        <f t="shared" si="21"/>
        <v>108346.6</v>
      </c>
      <c r="V35" s="127">
        <f t="shared" si="21"/>
        <v>119412.03</v>
      </c>
      <c r="W35" s="127">
        <f t="shared" si="21"/>
        <v>109191.41</v>
      </c>
      <c r="X35" s="127">
        <f t="shared" si="21"/>
        <v>138019.65</v>
      </c>
      <c r="Y35" s="127">
        <f t="shared" si="21"/>
        <v>158777.16999999998</v>
      </c>
      <c r="Z35" s="127">
        <f t="shared" si="21"/>
        <v>198174.16999999998</v>
      </c>
      <c r="AA35" s="127">
        <f t="shared" si="21"/>
        <v>166269.16999999998</v>
      </c>
      <c r="AB35" s="127">
        <f t="shared" si="21"/>
        <v>166270.16999999998</v>
      </c>
      <c r="AC35" s="127">
        <f>SUM(Q35:AB35)</f>
        <v>1729478.5199999998</v>
      </c>
      <c r="AD35" s="127">
        <f t="shared" ref="AD35" si="22">P35-AC35</f>
        <v>-126476</v>
      </c>
      <c r="AE35" s="132">
        <f t="shared" ref="AE35" si="23">AD35/AC35</f>
        <v>-7.3129558151436319E-2</v>
      </c>
      <c r="AF35" s="129">
        <v>1663432.2999999998</v>
      </c>
      <c r="AG35" s="124">
        <f t="shared" si="18"/>
        <v>60429.780000000028</v>
      </c>
    </row>
    <row r="36" spans="1:33">
      <c r="C36" s="105" t="s">
        <v>154</v>
      </c>
      <c r="AF36" s="129"/>
      <c r="AG36" s="124">
        <f t="shared" si="18"/>
        <v>0</v>
      </c>
    </row>
    <row r="37" spans="1:33">
      <c r="C37" s="109" t="s">
        <v>502</v>
      </c>
      <c r="D37" s="128">
        <f>D38/D27</f>
        <v>2.4860177041750801E-2</v>
      </c>
      <c r="E37" s="128">
        <f t="shared" ref="E37:P37" si="24">E38/E27</f>
        <v>3.523926048297521E-2</v>
      </c>
      <c r="F37" s="128">
        <f t="shared" si="24"/>
        <v>2.9159024572310007E-2</v>
      </c>
      <c r="G37" s="128">
        <f t="shared" si="24"/>
        <v>3.3317896041500775E-2</v>
      </c>
      <c r="H37" s="128">
        <f t="shared" si="24"/>
        <v>3.2389643087726266E-2</v>
      </c>
      <c r="I37" s="128">
        <f t="shared" si="24"/>
        <v>4.7610885752918546E-2</v>
      </c>
      <c r="J37" s="128">
        <f t="shared" si="24"/>
        <v>3.0814812988751824E-2</v>
      </c>
      <c r="K37" s="128">
        <f t="shared" si="24"/>
        <v>2.9917457734111585E-2</v>
      </c>
      <c r="L37" s="128">
        <f t="shared" si="24"/>
        <v>3.6999443775028583E-2</v>
      </c>
      <c r="M37" s="128">
        <f t="shared" si="24"/>
        <v>4.4964635314325284E-2</v>
      </c>
      <c r="N37" s="128">
        <f t="shared" si="24"/>
        <v>3.6166626883377094E-2</v>
      </c>
      <c r="O37" s="128">
        <f t="shared" si="24"/>
        <v>2.9228335409762995E-2</v>
      </c>
      <c r="P37" s="128">
        <f t="shared" si="24"/>
        <v>3.31899527375073E-2</v>
      </c>
      <c r="AC37" s="128">
        <f>AC38/AC27</f>
        <v>3.3682360362002388E-2</v>
      </c>
      <c r="AF37" s="129"/>
      <c r="AG37" s="124">
        <f t="shared" si="18"/>
        <v>-3.31899527375073E-2</v>
      </c>
    </row>
    <row r="38" spans="1:33">
      <c r="A38" s="105" t="s">
        <v>424</v>
      </c>
      <c r="B38" s="105" t="s">
        <v>383</v>
      </c>
      <c r="C38" s="105" t="s">
        <v>425</v>
      </c>
      <c r="D38" s="72">
        <v>40000</v>
      </c>
      <c r="E38" s="72">
        <v>50000</v>
      </c>
      <c r="F38" s="72">
        <v>30000</v>
      </c>
      <c r="G38" s="72">
        <v>30000</v>
      </c>
      <c r="H38" s="72">
        <v>30000</v>
      </c>
      <c r="I38" s="72">
        <v>40000</v>
      </c>
      <c r="J38" s="72">
        <v>40000</v>
      </c>
      <c r="K38" s="72">
        <v>40000</v>
      </c>
      <c r="L38" s="72">
        <v>30000</v>
      </c>
      <c r="M38" s="72">
        <v>40000</v>
      </c>
      <c r="N38" s="72">
        <v>30000</v>
      </c>
      <c r="O38" s="72">
        <v>40000</v>
      </c>
      <c r="P38" s="200">
        <f t="shared" ref="P38:P78" si="25">SUM(D38:O38)</f>
        <v>440000</v>
      </c>
      <c r="Q38" s="72">
        <v>25112.95</v>
      </c>
      <c r="R38" s="72">
        <v>28433.18</v>
      </c>
      <c r="S38" s="72">
        <v>27724.98</v>
      </c>
      <c r="T38" s="72">
        <v>31411.96</v>
      </c>
      <c r="U38" s="72">
        <v>30309.72</v>
      </c>
      <c r="V38" s="72">
        <v>46307.91</v>
      </c>
      <c r="W38" s="72">
        <v>55890.55</v>
      </c>
      <c r="X38" s="72">
        <v>69932.429999999993</v>
      </c>
      <c r="Y38" s="72">
        <v>30000</v>
      </c>
      <c r="Z38" s="72">
        <v>40000</v>
      </c>
      <c r="AA38" s="72">
        <v>30000</v>
      </c>
      <c r="AB38" s="72">
        <v>50000</v>
      </c>
      <c r="AC38" s="127">
        <f t="shared" ref="AC38:AC79" si="26">SUM(Q38:AB38)</f>
        <v>465123.68</v>
      </c>
      <c r="AD38" s="72">
        <f t="shared" ref="AD38:AD82" si="27">P38-AC38</f>
        <v>-25123.679999999993</v>
      </c>
      <c r="AE38" s="192">
        <f t="shared" ref="AE38:AE82" si="28">AD38/AC38</f>
        <v>-5.401505251248441E-2</v>
      </c>
      <c r="AF38" s="129">
        <v>467920.55</v>
      </c>
      <c r="AG38" s="124">
        <f t="shared" si="18"/>
        <v>27920.549999999988</v>
      </c>
    </row>
    <row r="39" spans="1:33">
      <c r="A39" s="105" t="s">
        <v>273</v>
      </c>
      <c r="C39" s="105" t="s">
        <v>426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200">
        <f t="shared" si="25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6"/>
        <v>0</v>
      </c>
      <c r="AD39" s="72">
        <f t="shared" si="27"/>
        <v>0</v>
      </c>
      <c r="AE39" s="192" t="e">
        <f t="shared" si="28"/>
        <v>#DIV/0!</v>
      </c>
      <c r="AF39" s="129">
        <v>0</v>
      </c>
      <c r="AG39" s="124">
        <f t="shared" si="18"/>
        <v>0</v>
      </c>
    </row>
    <row r="40" spans="1:33">
      <c r="A40" s="105" t="s">
        <v>273</v>
      </c>
      <c r="C40" s="105" t="s">
        <v>427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200">
        <f t="shared" si="25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6"/>
        <v>0</v>
      </c>
      <c r="AD40" s="72">
        <f t="shared" si="27"/>
        <v>0</v>
      </c>
      <c r="AE40" s="192" t="e">
        <f t="shared" si="28"/>
        <v>#DIV/0!</v>
      </c>
      <c r="AF40" s="129">
        <v>0</v>
      </c>
      <c r="AG40" s="124">
        <f t="shared" si="18"/>
        <v>0</v>
      </c>
    </row>
    <row r="41" spans="1:33">
      <c r="A41" s="105" t="s">
        <v>273</v>
      </c>
      <c r="C41" s="105" t="s">
        <v>428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200">
        <f t="shared" si="25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6"/>
        <v>0</v>
      </c>
      <c r="AD41" s="72">
        <f t="shared" si="27"/>
        <v>0</v>
      </c>
      <c r="AE41" s="192" t="e">
        <f t="shared" si="28"/>
        <v>#DIV/0!</v>
      </c>
      <c r="AF41" s="129">
        <v>0</v>
      </c>
      <c r="AG41" s="124">
        <f t="shared" si="18"/>
        <v>0</v>
      </c>
    </row>
    <row r="42" spans="1:33">
      <c r="A42" s="105" t="s">
        <v>429</v>
      </c>
      <c r="B42" s="105" t="s">
        <v>383</v>
      </c>
      <c r="C42" s="105" t="s">
        <v>143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200">
        <f t="shared" si="25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6"/>
        <v>0</v>
      </c>
      <c r="AD42" s="72">
        <f t="shared" si="27"/>
        <v>0</v>
      </c>
      <c r="AE42" s="192" t="e">
        <f t="shared" si="28"/>
        <v>#DIV/0!</v>
      </c>
      <c r="AF42" s="129">
        <v>0</v>
      </c>
      <c r="AG42" s="124">
        <f t="shared" si="18"/>
        <v>0</v>
      </c>
    </row>
    <row r="43" spans="1:33">
      <c r="A43" s="105" t="s">
        <v>180</v>
      </c>
      <c r="B43" s="105" t="s">
        <v>383</v>
      </c>
      <c r="C43" s="105" t="s">
        <v>144</v>
      </c>
      <c r="D43" s="174">
        <f t="shared" ref="D43:O43" si="29">+D138+D139+D140</f>
        <v>63682.23</v>
      </c>
      <c r="E43" s="174">
        <f t="shared" si="29"/>
        <v>53057.72</v>
      </c>
      <c r="F43" s="174">
        <f t="shared" si="29"/>
        <v>53149.72</v>
      </c>
      <c r="G43" s="174">
        <f t="shared" si="29"/>
        <v>56290.64</v>
      </c>
      <c r="H43" s="174">
        <f t="shared" si="29"/>
        <v>60544.650000000009</v>
      </c>
      <c r="I43" s="174">
        <f t="shared" si="29"/>
        <v>55347.05</v>
      </c>
      <c r="J43" s="174">
        <f t="shared" si="29"/>
        <v>55334.05</v>
      </c>
      <c r="K43" s="174">
        <f t="shared" si="29"/>
        <v>55423.05</v>
      </c>
      <c r="L43" s="174">
        <f t="shared" si="29"/>
        <v>55462.05</v>
      </c>
      <c r="M43" s="174">
        <f t="shared" si="29"/>
        <v>64570.58</v>
      </c>
      <c r="N43" s="174">
        <f t="shared" si="29"/>
        <v>55167.05</v>
      </c>
      <c r="O43" s="174">
        <f t="shared" si="29"/>
        <v>55150.05</v>
      </c>
      <c r="P43" s="200">
        <f t="shared" si="25"/>
        <v>683178.84000000008</v>
      </c>
      <c r="Q43" s="72">
        <v>85874.69</v>
      </c>
      <c r="R43" s="72">
        <v>142683.29999999999</v>
      </c>
      <c r="S43" s="72">
        <v>95697.78</v>
      </c>
      <c r="T43" s="72">
        <v>92267.69</v>
      </c>
      <c r="U43" s="72">
        <v>67712.12</v>
      </c>
      <c r="V43" s="72">
        <v>58796.12</v>
      </c>
      <c r="W43" s="72">
        <v>71562.53</v>
      </c>
      <c r="X43" s="72">
        <v>47564.4</v>
      </c>
      <c r="Y43" s="72">
        <v>26200</v>
      </c>
      <c r="Z43" s="72">
        <v>6200</v>
      </c>
      <c r="AA43" s="72">
        <v>6200</v>
      </c>
      <c r="AB43" s="72">
        <v>6200</v>
      </c>
      <c r="AC43" s="127">
        <f t="shared" si="26"/>
        <v>706958.63000000012</v>
      </c>
      <c r="AD43" s="72">
        <f t="shared" si="27"/>
        <v>-23779.790000000037</v>
      </c>
      <c r="AE43" s="192">
        <f t="shared" si="28"/>
        <v>-3.3636749013163658E-2</v>
      </c>
      <c r="AF43" s="129">
        <v>7819.67</v>
      </c>
      <c r="AG43" s="124">
        <f t="shared" si="18"/>
        <v>-675359.17</v>
      </c>
    </row>
    <row r="44" spans="1:33">
      <c r="A44" s="105" t="s">
        <v>181</v>
      </c>
      <c r="B44" s="105" t="s">
        <v>383</v>
      </c>
      <c r="C44" s="105" t="s">
        <v>182</v>
      </c>
      <c r="D44" s="72">
        <v>1000</v>
      </c>
      <c r="E44" s="72">
        <v>1000</v>
      </c>
      <c r="F44" s="72">
        <v>1000</v>
      </c>
      <c r="G44" s="72">
        <v>1000</v>
      </c>
      <c r="H44" s="72">
        <v>1000</v>
      </c>
      <c r="I44" s="72">
        <v>1000</v>
      </c>
      <c r="J44" s="72">
        <v>1000</v>
      </c>
      <c r="K44" s="72">
        <v>1000</v>
      </c>
      <c r="L44" s="72">
        <v>1000</v>
      </c>
      <c r="M44" s="72">
        <v>1000</v>
      </c>
      <c r="N44" s="72">
        <v>1000</v>
      </c>
      <c r="O44" s="72">
        <v>1000</v>
      </c>
      <c r="P44" s="200">
        <f t="shared" si="25"/>
        <v>12000</v>
      </c>
      <c r="Q44" s="72">
        <v>5312.92</v>
      </c>
      <c r="R44" s="72">
        <v>0</v>
      </c>
      <c r="S44" s="72">
        <v>0</v>
      </c>
      <c r="T44" s="72">
        <v>0</v>
      </c>
      <c r="U44" s="72">
        <v>9445.58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6"/>
        <v>14758.5</v>
      </c>
      <c r="AD44" s="72">
        <f t="shared" si="27"/>
        <v>-2758.5</v>
      </c>
      <c r="AE44" s="192">
        <f t="shared" si="28"/>
        <v>-0.18690923874377477</v>
      </c>
      <c r="AF44" s="129">
        <v>6200.86</v>
      </c>
      <c r="AG44" s="124">
        <f t="shared" si="18"/>
        <v>-5799.14</v>
      </c>
    </row>
    <row r="45" spans="1:33">
      <c r="A45" s="105" t="s">
        <v>430</v>
      </c>
      <c r="B45" s="105" t="s">
        <v>383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200">
        <f t="shared" si="25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6"/>
        <v>0</v>
      </c>
      <c r="AD45" s="72">
        <f t="shared" si="27"/>
        <v>0</v>
      </c>
      <c r="AE45" s="192" t="e">
        <f t="shared" si="28"/>
        <v>#DIV/0!</v>
      </c>
      <c r="AF45" s="129">
        <v>0</v>
      </c>
      <c r="AG45" s="124">
        <f t="shared" si="18"/>
        <v>0</v>
      </c>
    </row>
    <row r="46" spans="1:33">
      <c r="A46" s="105" t="s">
        <v>183</v>
      </c>
      <c r="B46" s="105" t="s">
        <v>383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200">
        <f t="shared" si="25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6"/>
        <v>0</v>
      </c>
      <c r="AD46" s="72">
        <f t="shared" si="27"/>
        <v>0</v>
      </c>
      <c r="AE46" s="192" t="e">
        <f t="shared" si="28"/>
        <v>#DIV/0!</v>
      </c>
      <c r="AF46" s="129">
        <v>0</v>
      </c>
      <c r="AG46" s="124">
        <f t="shared" si="18"/>
        <v>0</v>
      </c>
    </row>
    <row r="47" spans="1:33">
      <c r="A47" s="105" t="s">
        <v>273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200">
        <f t="shared" si="25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6"/>
        <v>0</v>
      </c>
      <c r="AD47" s="72">
        <f t="shared" si="27"/>
        <v>0</v>
      </c>
      <c r="AE47" s="192" t="e">
        <f t="shared" si="28"/>
        <v>#DIV/0!</v>
      </c>
      <c r="AF47" s="129">
        <v>0</v>
      </c>
      <c r="AG47" s="124">
        <f t="shared" si="18"/>
        <v>0</v>
      </c>
    </row>
    <row r="48" spans="1:33">
      <c r="A48" s="105" t="s">
        <v>185</v>
      </c>
      <c r="B48" s="105" t="s">
        <v>383</v>
      </c>
      <c r="C48" s="105" t="s">
        <v>186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200">
        <f t="shared" si="25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6"/>
        <v>0</v>
      </c>
      <c r="AD48" s="72">
        <f t="shared" si="27"/>
        <v>0</v>
      </c>
      <c r="AE48" s="192" t="e">
        <f t="shared" si="28"/>
        <v>#DIV/0!</v>
      </c>
      <c r="AF48" s="129">
        <v>0</v>
      </c>
      <c r="AG48" s="124">
        <f t="shared" si="18"/>
        <v>0</v>
      </c>
    </row>
    <row r="49" spans="1:33">
      <c r="A49" s="105" t="s">
        <v>187</v>
      </c>
      <c r="B49" s="105" t="s">
        <v>383</v>
      </c>
      <c r="C49" s="105" t="s">
        <v>188</v>
      </c>
      <c r="D49" s="72">
        <v>3000</v>
      </c>
      <c r="E49" s="72">
        <v>4000</v>
      </c>
      <c r="F49" s="72">
        <v>3000</v>
      </c>
      <c r="G49" s="72">
        <v>3000</v>
      </c>
      <c r="H49" s="72">
        <v>3000</v>
      </c>
      <c r="I49" s="72">
        <v>2500</v>
      </c>
      <c r="J49" s="72">
        <v>4000</v>
      </c>
      <c r="K49" s="72">
        <v>4000</v>
      </c>
      <c r="L49" s="72">
        <v>3000</v>
      </c>
      <c r="M49" s="72">
        <v>3000</v>
      </c>
      <c r="N49" s="72">
        <v>3000</v>
      </c>
      <c r="O49" s="72">
        <v>4000</v>
      </c>
      <c r="P49" s="200">
        <f t="shared" si="25"/>
        <v>39500</v>
      </c>
      <c r="Q49" s="72">
        <v>1582.4</v>
      </c>
      <c r="R49" s="72">
        <v>5508.59</v>
      </c>
      <c r="S49" s="72">
        <v>2385.3000000000002</v>
      </c>
      <c r="T49" s="72">
        <v>2791.48</v>
      </c>
      <c r="U49" s="72">
        <v>4522.41</v>
      </c>
      <c r="V49" s="72">
        <v>4352.74</v>
      </c>
      <c r="W49" s="72">
        <v>4078.4</v>
      </c>
      <c r="X49" s="72">
        <v>4743.8999999999996</v>
      </c>
      <c r="Y49" s="72">
        <v>1000</v>
      </c>
      <c r="Z49" s="72">
        <v>1500</v>
      </c>
      <c r="AA49" s="72">
        <v>2000</v>
      </c>
      <c r="AB49" s="72">
        <v>2000</v>
      </c>
      <c r="AC49" s="127">
        <f t="shared" si="26"/>
        <v>36465.22</v>
      </c>
      <c r="AD49" s="72">
        <f t="shared" si="27"/>
        <v>3034.7799999999988</v>
      </c>
      <c r="AE49" s="192">
        <f t="shared" si="28"/>
        <v>8.3223959707359477E-2</v>
      </c>
      <c r="AF49" s="129">
        <v>15413.340000000002</v>
      </c>
      <c r="AG49" s="124">
        <f t="shared" si="18"/>
        <v>-24086.659999999996</v>
      </c>
    </row>
    <row r="50" spans="1:33">
      <c r="A50" s="105" t="s">
        <v>195</v>
      </c>
      <c r="B50" s="105" t="s">
        <v>383</v>
      </c>
      <c r="C50" s="105" t="s">
        <v>196</v>
      </c>
      <c r="D50" s="72">
        <v>10000</v>
      </c>
      <c r="E50" s="72">
        <v>10000</v>
      </c>
      <c r="F50" s="72">
        <v>10000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200">
        <f t="shared" si="25"/>
        <v>30000</v>
      </c>
      <c r="Q50" s="72">
        <v>10000</v>
      </c>
      <c r="R50" s="72">
        <v>10000</v>
      </c>
      <c r="S50" s="72">
        <v>10000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6"/>
        <v>30000</v>
      </c>
      <c r="AD50" s="72">
        <f t="shared" si="27"/>
        <v>0</v>
      </c>
      <c r="AE50" s="192">
        <f t="shared" si="28"/>
        <v>0</v>
      </c>
      <c r="AF50" s="129">
        <v>0</v>
      </c>
      <c r="AG50" s="124">
        <f t="shared" si="18"/>
        <v>-30000</v>
      </c>
    </row>
    <row r="51" spans="1:33">
      <c r="A51" s="105" t="s">
        <v>197</v>
      </c>
      <c r="B51" s="105" t="s">
        <v>383</v>
      </c>
      <c r="C51" s="105" t="s">
        <v>305</v>
      </c>
      <c r="D51" s="72">
        <v>4000</v>
      </c>
      <c r="E51" s="72">
        <v>4000</v>
      </c>
      <c r="F51" s="72">
        <v>3000</v>
      </c>
      <c r="G51" s="72">
        <v>3000</v>
      </c>
      <c r="H51" s="72">
        <v>2000</v>
      </c>
      <c r="I51" s="72">
        <v>2000</v>
      </c>
      <c r="J51" s="72">
        <v>2000</v>
      </c>
      <c r="K51" s="72">
        <v>2000</v>
      </c>
      <c r="L51" s="72">
        <v>2000</v>
      </c>
      <c r="M51" s="72">
        <v>2000</v>
      </c>
      <c r="N51" s="72">
        <v>2000</v>
      </c>
      <c r="O51" s="72">
        <v>2000</v>
      </c>
      <c r="P51" s="200">
        <f t="shared" si="25"/>
        <v>30000</v>
      </c>
      <c r="Q51" s="72">
        <v>3771.45</v>
      </c>
      <c r="R51" s="72">
        <v>3669.8</v>
      </c>
      <c r="S51" s="72">
        <v>2806.8</v>
      </c>
      <c r="T51" s="72">
        <v>2571.8000000000002</v>
      </c>
      <c r="U51" s="72">
        <v>1346.8</v>
      </c>
      <c r="V51" s="72">
        <v>1585.8</v>
      </c>
      <c r="W51" s="72">
        <v>1871.8</v>
      </c>
      <c r="X51" s="72">
        <v>1433.43</v>
      </c>
      <c r="Y51" s="72">
        <v>1240</v>
      </c>
      <c r="Z51" s="72">
        <v>1467</v>
      </c>
      <c r="AA51" s="72">
        <v>1194</v>
      </c>
      <c r="AB51" s="72">
        <v>1967</v>
      </c>
      <c r="AC51" s="127">
        <f t="shared" si="26"/>
        <v>24925.679999999997</v>
      </c>
      <c r="AD51" s="72">
        <f t="shared" si="27"/>
        <v>5074.3200000000033</v>
      </c>
      <c r="AE51" s="192">
        <f t="shared" si="28"/>
        <v>0.20357799666849627</v>
      </c>
      <c r="AF51" s="129">
        <v>20665.66</v>
      </c>
      <c r="AG51" s="124">
        <f t="shared" si="18"/>
        <v>-9334.34</v>
      </c>
    </row>
    <row r="52" spans="1:33">
      <c r="A52" s="105" t="s">
        <v>434</v>
      </c>
      <c r="B52" s="105" t="s">
        <v>383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200">
        <f t="shared" si="25"/>
        <v>0</v>
      </c>
      <c r="Q52" s="72">
        <v>0</v>
      </c>
      <c r="R52" s="72">
        <v>50000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6"/>
        <v>50000</v>
      </c>
      <c r="AD52" s="72">
        <f t="shared" si="27"/>
        <v>-50000</v>
      </c>
      <c r="AE52" s="192">
        <f t="shared" si="28"/>
        <v>-1</v>
      </c>
      <c r="AF52" s="129">
        <v>0</v>
      </c>
      <c r="AG52" s="124">
        <f t="shared" si="18"/>
        <v>0</v>
      </c>
    </row>
    <row r="53" spans="1:33">
      <c r="A53" s="105" t="s">
        <v>436</v>
      </c>
      <c r="B53" s="105" t="s">
        <v>383</v>
      </c>
      <c r="C53" s="105" t="s">
        <v>437</v>
      </c>
      <c r="P53" s="200">
        <f t="shared" si="25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6"/>
        <v>0</v>
      </c>
      <c r="AD53" s="72">
        <f t="shared" si="27"/>
        <v>0</v>
      </c>
      <c r="AE53" s="192" t="e">
        <f t="shared" si="28"/>
        <v>#DIV/0!</v>
      </c>
      <c r="AF53" s="129">
        <v>467.88</v>
      </c>
      <c r="AG53" s="124">
        <f t="shared" si="18"/>
        <v>467.88</v>
      </c>
    </row>
    <row r="54" spans="1:33">
      <c r="A54" s="105" t="s">
        <v>199</v>
      </c>
      <c r="B54" s="105" t="s">
        <v>383</v>
      </c>
      <c r="C54" s="105" t="s">
        <v>200</v>
      </c>
      <c r="P54" s="200">
        <f t="shared" si="25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6"/>
        <v>0</v>
      </c>
      <c r="AD54" s="72">
        <f t="shared" si="27"/>
        <v>0</v>
      </c>
      <c r="AE54" s="192" t="e">
        <f t="shared" si="28"/>
        <v>#DIV/0!</v>
      </c>
      <c r="AF54" s="129">
        <v>22854</v>
      </c>
      <c r="AG54" s="124">
        <f t="shared" si="18"/>
        <v>22854</v>
      </c>
    </row>
    <row r="55" spans="1:33">
      <c r="A55" s="105" t="s">
        <v>438</v>
      </c>
      <c r="B55" s="105" t="s">
        <v>383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200">
        <f t="shared" si="25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6"/>
        <v>0</v>
      </c>
      <c r="AD55" s="72">
        <f t="shared" si="27"/>
        <v>0</v>
      </c>
      <c r="AE55" s="192" t="e">
        <f t="shared" si="28"/>
        <v>#DIV/0!</v>
      </c>
      <c r="AF55" s="129">
        <v>0</v>
      </c>
      <c r="AG55" s="124">
        <f t="shared" si="18"/>
        <v>0</v>
      </c>
    </row>
    <row r="56" spans="1:33">
      <c r="A56" s="105" t="s">
        <v>201</v>
      </c>
      <c r="B56" s="105" t="s">
        <v>383</v>
      </c>
      <c r="C56" s="105" t="s">
        <v>202</v>
      </c>
      <c r="D56" s="72">
        <v>10000</v>
      </c>
      <c r="E56" s="72">
        <v>20000</v>
      </c>
      <c r="F56" s="72">
        <v>0</v>
      </c>
      <c r="G56" s="72">
        <v>0</v>
      </c>
      <c r="H56" s="72">
        <v>0</v>
      </c>
      <c r="I56" s="72">
        <v>0</v>
      </c>
      <c r="J56" s="72">
        <v>5000</v>
      </c>
      <c r="K56" s="72">
        <v>5000</v>
      </c>
      <c r="L56" s="72">
        <v>0</v>
      </c>
      <c r="M56" s="72">
        <v>0</v>
      </c>
      <c r="N56" s="72">
        <v>0</v>
      </c>
      <c r="O56" s="72">
        <v>2000</v>
      </c>
      <c r="P56" s="200">
        <f t="shared" si="25"/>
        <v>42000</v>
      </c>
      <c r="Q56" s="72">
        <v>2617.6</v>
      </c>
      <c r="R56" s="72">
        <v>20967.2</v>
      </c>
      <c r="S56" s="72">
        <v>0</v>
      </c>
      <c r="T56" s="72">
        <v>447.6</v>
      </c>
      <c r="U56" s="72">
        <v>0</v>
      </c>
      <c r="V56" s="72">
        <v>0</v>
      </c>
      <c r="W56" s="72">
        <v>4425</v>
      </c>
      <c r="X56" s="72">
        <v>24600</v>
      </c>
      <c r="Y56" s="72">
        <v>0</v>
      </c>
      <c r="Z56" s="72">
        <v>0</v>
      </c>
      <c r="AA56" s="72">
        <v>0</v>
      </c>
      <c r="AB56" s="72">
        <v>2308</v>
      </c>
      <c r="AC56" s="127">
        <f t="shared" si="26"/>
        <v>55365.399999999994</v>
      </c>
      <c r="AD56" s="72">
        <f t="shared" si="27"/>
        <v>-13365.399999999994</v>
      </c>
      <c r="AE56" s="192">
        <f t="shared" si="28"/>
        <v>-0.24140347581702642</v>
      </c>
      <c r="AF56" s="129">
        <v>2570.38</v>
      </c>
      <c r="AG56" s="124">
        <f t="shared" si="18"/>
        <v>-39429.620000000003</v>
      </c>
    </row>
    <row r="57" spans="1:33">
      <c r="A57" s="105" t="s">
        <v>440</v>
      </c>
      <c r="B57" s="105" t="s">
        <v>383</v>
      </c>
      <c r="C57" s="105" t="s">
        <v>441</v>
      </c>
      <c r="P57" s="200">
        <f t="shared" si="25"/>
        <v>0</v>
      </c>
      <c r="Q57" s="72">
        <v>10000</v>
      </c>
      <c r="R57" s="72">
        <v>10000</v>
      </c>
      <c r="S57" s="72">
        <v>10000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6"/>
        <v>30000</v>
      </c>
      <c r="AD57" s="72">
        <f t="shared" si="27"/>
        <v>-30000</v>
      </c>
      <c r="AE57" s="192">
        <f t="shared" si="28"/>
        <v>-1</v>
      </c>
      <c r="AF57" s="129">
        <v>3691</v>
      </c>
      <c r="AG57" s="124">
        <f t="shared" si="18"/>
        <v>3691</v>
      </c>
    </row>
    <row r="58" spans="1:33">
      <c r="A58" s="105" t="s">
        <v>442</v>
      </c>
      <c r="B58" s="105" t="s">
        <v>383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200">
        <f t="shared" si="25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95.58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6"/>
        <v>95.58</v>
      </c>
      <c r="AD58" s="72">
        <f t="shared" si="27"/>
        <v>-95.58</v>
      </c>
      <c r="AE58" s="192">
        <f t="shared" si="28"/>
        <v>-1</v>
      </c>
      <c r="AF58" s="129">
        <v>1092.8800000000001</v>
      </c>
      <c r="AG58" s="124">
        <f t="shared" si="18"/>
        <v>1092.8800000000001</v>
      </c>
    </row>
    <row r="59" spans="1:33">
      <c r="A59" s="105" t="s">
        <v>203</v>
      </c>
      <c r="B59" s="105" t="s">
        <v>383</v>
      </c>
      <c r="C59" s="105" t="s">
        <v>204</v>
      </c>
      <c r="D59" s="72">
        <v>1094</v>
      </c>
      <c r="E59" s="72">
        <v>1094</v>
      </c>
      <c r="F59" s="72">
        <v>1094</v>
      </c>
      <c r="G59" s="72">
        <v>1094</v>
      </c>
      <c r="H59" s="72">
        <v>1094</v>
      </c>
      <c r="I59" s="72">
        <v>1094</v>
      </c>
      <c r="J59" s="72">
        <v>1094</v>
      </c>
      <c r="K59" s="72">
        <v>1094</v>
      </c>
      <c r="L59" s="72">
        <v>1094</v>
      </c>
      <c r="M59" s="72">
        <v>1094</v>
      </c>
      <c r="N59" s="72">
        <v>1094</v>
      </c>
      <c r="O59" s="72">
        <v>1094</v>
      </c>
      <c r="P59" s="200">
        <f t="shared" si="25"/>
        <v>13128</v>
      </c>
      <c r="Q59" s="72">
        <v>953</v>
      </c>
      <c r="R59" s="72">
        <v>953</v>
      </c>
      <c r="S59" s="72">
        <v>953</v>
      </c>
      <c r="T59" s="72">
        <v>0</v>
      </c>
      <c r="U59" s="72">
        <v>0</v>
      </c>
      <c r="V59" s="72">
        <v>-35.85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6"/>
        <v>2823.15</v>
      </c>
      <c r="AD59" s="72">
        <f t="shared" si="27"/>
        <v>10304.85</v>
      </c>
      <c r="AE59" s="192">
        <f t="shared" si="28"/>
        <v>3.6501248605281336</v>
      </c>
      <c r="AF59" s="129">
        <v>15292.529999999999</v>
      </c>
      <c r="AG59" s="124">
        <f t="shared" si="18"/>
        <v>2164.5299999999988</v>
      </c>
    </row>
    <row r="60" spans="1:33">
      <c r="A60" s="105" t="s">
        <v>444</v>
      </c>
      <c r="B60" s="105" t="s">
        <v>383</v>
      </c>
      <c r="C60" s="105" t="s">
        <v>445</v>
      </c>
      <c r="D60" s="72">
        <v>0</v>
      </c>
      <c r="E60" s="72">
        <v>2000</v>
      </c>
      <c r="F60" s="72">
        <v>0</v>
      </c>
      <c r="G60" s="72">
        <v>0</v>
      </c>
      <c r="H60" s="72">
        <v>2000</v>
      </c>
      <c r="I60" s="72">
        <v>0</v>
      </c>
      <c r="J60" s="72">
        <v>0</v>
      </c>
      <c r="K60" s="72">
        <v>2000</v>
      </c>
      <c r="L60" s="72">
        <v>0</v>
      </c>
      <c r="M60" s="72">
        <v>0</v>
      </c>
      <c r="N60" s="72">
        <v>0</v>
      </c>
      <c r="O60" s="72">
        <v>800</v>
      </c>
      <c r="P60" s="200">
        <f t="shared" si="25"/>
        <v>6800</v>
      </c>
      <c r="Q60" s="72">
        <v>0</v>
      </c>
      <c r="R60" s="72">
        <v>0</v>
      </c>
      <c r="S60" s="72">
        <v>0</v>
      </c>
      <c r="T60" s="72">
        <v>0</v>
      </c>
      <c r="U60" s="72">
        <v>1280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800</v>
      </c>
      <c r="AC60" s="127">
        <f t="shared" si="26"/>
        <v>2080</v>
      </c>
      <c r="AD60" s="72">
        <f t="shared" si="27"/>
        <v>4720</v>
      </c>
      <c r="AE60" s="192">
        <f t="shared" si="28"/>
        <v>2.2692307692307692</v>
      </c>
      <c r="AF60" s="129">
        <v>210</v>
      </c>
      <c r="AG60" s="124">
        <f t="shared" si="18"/>
        <v>-6590</v>
      </c>
    </row>
    <row r="61" spans="1:33">
      <c r="A61" s="105" t="s">
        <v>446</v>
      </c>
      <c r="B61" s="105" t="s">
        <v>383</v>
      </c>
      <c r="C61" s="105" t="s">
        <v>447</v>
      </c>
      <c r="D61" s="72">
        <v>500</v>
      </c>
      <c r="E61" s="72">
        <v>500</v>
      </c>
      <c r="F61" s="72">
        <v>500</v>
      </c>
      <c r="G61" s="72">
        <v>500</v>
      </c>
      <c r="H61" s="72">
        <v>10500</v>
      </c>
      <c r="I61" s="72">
        <v>500</v>
      </c>
      <c r="J61" s="72">
        <v>5500</v>
      </c>
      <c r="K61" s="72">
        <v>500</v>
      </c>
      <c r="L61" s="72">
        <v>500</v>
      </c>
      <c r="M61" s="72">
        <v>10500</v>
      </c>
      <c r="N61" s="72">
        <v>500</v>
      </c>
      <c r="O61" s="72">
        <v>20500</v>
      </c>
      <c r="P61" s="200">
        <f t="shared" si="25"/>
        <v>51000</v>
      </c>
      <c r="Q61" s="72">
        <v>695.39</v>
      </c>
      <c r="R61" s="72">
        <v>498.74</v>
      </c>
      <c r="S61" s="72">
        <v>1173.99</v>
      </c>
      <c r="T61" s="72">
        <v>-248.43</v>
      </c>
      <c r="U61" s="72">
        <v>364.78</v>
      </c>
      <c r="V61" s="72">
        <v>364.78</v>
      </c>
      <c r="W61" s="72">
        <v>564.78</v>
      </c>
      <c r="X61" s="72">
        <v>1081.81</v>
      </c>
      <c r="Y61" s="72">
        <v>300</v>
      </c>
      <c r="Z61" s="72">
        <v>8000</v>
      </c>
      <c r="AA61" s="72">
        <v>300</v>
      </c>
      <c r="AB61" s="72">
        <v>40000</v>
      </c>
      <c r="AC61" s="127">
        <f t="shared" si="26"/>
        <v>53095.839999999997</v>
      </c>
      <c r="AD61" s="72">
        <f t="shared" si="27"/>
        <v>-2095.8399999999965</v>
      </c>
      <c r="AE61" s="192">
        <f t="shared" si="28"/>
        <v>-3.9472772254850789E-2</v>
      </c>
      <c r="AF61" s="129">
        <v>104088.78</v>
      </c>
      <c r="AG61" s="124">
        <f t="shared" si="18"/>
        <v>53088.78</v>
      </c>
    </row>
    <row r="62" spans="1:33">
      <c r="A62" s="105" t="s">
        <v>273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200">
        <f t="shared" si="25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6"/>
        <v>0</v>
      </c>
      <c r="AD62" s="72">
        <f t="shared" si="27"/>
        <v>0</v>
      </c>
      <c r="AE62" s="192" t="e">
        <f t="shared" si="28"/>
        <v>#DIV/0!</v>
      </c>
      <c r="AF62" s="129">
        <v>0</v>
      </c>
      <c r="AG62" s="124">
        <f t="shared" si="18"/>
        <v>0</v>
      </c>
    </row>
    <row r="63" spans="1:33">
      <c r="A63" s="105" t="s">
        <v>207</v>
      </c>
      <c r="B63" s="105" t="s">
        <v>383</v>
      </c>
      <c r="C63" s="105" t="s">
        <v>208</v>
      </c>
      <c r="D63" s="72">
        <v>1500</v>
      </c>
      <c r="E63" s="72">
        <v>1500</v>
      </c>
      <c r="F63" s="72">
        <v>1500</v>
      </c>
      <c r="G63" s="72">
        <v>1500</v>
      </c>
      <c r="H63" s="72">
        <v>1500</v>
      </c>
      <c r="I63" s="72">
        <v>1000</v>
      </c>
      <c r="J63" s="72">
        <v>1500</v>
      </c>
      <c r="K63" s="72">
        <v>1500</v>
      </c>
      <c r="L63" s="72">
        <v>1000</v>
      </c>
      <c r="M63" s="72">
        <v>1500</v>
      </c>
      <c r="N63" s="72">
        <v>1500</v>
      </c>
      <c r="O63" s="72">
        <v>1500</v>
      </c>
      <c r="P63" s="200">
        <f t="shared" si="25"/>
        <v>17000</v>
      </c>
      <c r="Q63" s="72">
        <v>910.5</v>
      </c>
      <c r="R63" s="72">
        <v>1440.49</v>
      </c>
      <c r="S63" s="72">
        <v>1849.14</v>
      </c>
      <c r="T63" s="72">
        <v>1650.44</v>
      </c>
      <c r="U63" s="72">
        <v>1396.66</v>
      </c>
      <c r="V63" s="72">
        <v>727.14</v>
      </c>
      <c r="W63" s="72">
        <v>658.72</v>
      </c>
      <c r="X63" s="72">
        <v>508.85</v>
      </c>
      <c r="Y63" s="72">
        <v>1000</v>
      </c>
      <c r="Z63" s="72">
        <v>1000</v>
      </c>
      <c r="AA63" s="72">
        <v>1000</v>
      </c>
      <c r="AB63" s="72">
        <v>3000</v>
      </c>
      <c r="AC63" s="127">
        <f t="shared" si="26"/>
        <v>15141.94</v>
      </c>
      <c r="AD63" s="72">
        <f t="shared" si="27"/>
        <v>1858.0599999999995</v>
      </c>
      <c r="AE63" s="192">
        <f t="shared" si="28"/>
        <v>0.12270950750035989</v>
      </c>
      <c r="AF63" s="129">
        <v>15661.279999999999</v>
      </c>
      <c r="AG63" s="124">
        <f t="shared" si="18"/>
        <v>-1338.7200000000012</v>
      </c>
    </row>
    <row r="64" spans="1:33">
      <c r="A64" s="105" t="s">
        <v>449</v>
      </c>
      <c r="B64" s="105" t="s">
        <v>383</v>
      </c>
      <c r="C64" s="105" t="s">
        <v>450</v>
      </c>
      <c r="D64" s="72">
        <v>114</v>
      </c>
      <c r="E64" s="72">
        <v>114</v>
      </c>
      <c r="F64" s="72">
        <v>114</v>
      </c>
      <c r="G64" s="72">
        <v>114</v>
      </c>
      <c r="H64" s="72">
        <v>114</v>
      </c>
      <c r="I64" s="72">
        <v>54</v>
      </c>
      <c r="J64" s="72">
        <v>54</v>
      </c>
      <c r="K64" s="72">
        <v>115</v>
      </c>
      <c r="L64" s="72">
        <v>115</v>
      </c>
      <c r="M64" s="72">
        <v>115</v>
      </c>
      <c r="N64" s="72">
        <v>115</v>
      </c>
      <c r="O64" s="72">
        <v>115</v>
      </c>
      <c r="P64" s="200">
        <f t="shared" si="25"/>
        <v>1253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115</v>
      </c>
      <c r="Z64" s="72">
        <v>115</v>
      </c>
      <c r="AA64" s="72">
        <v>115</v>
      </c>
      <c r="AB64" s="72">
        <v>115</v>
      </c>
      <c r="AC64" s="127">
        <f t="shared" si="26"/>
        <v>1194.5</v>
      </c>
      <c r="AD64" s="72">
        <f t="shared" si="27"/>
        <v>58.5</v>
      </c>
      <c r="AE64" s="192">
        <f t="shared" si="28"/>
        <v>4.8974466303892843E-2</v>
      </c>
      <c r="AF64" s="129">
        <v>2037.1400000000003</v>
      </c>
      <c r="AG64" s="124">
        <f t="shared" si="18"/>
        <v>784.14000000000033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200">
        <f t="shared" si="25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6"/>
        <v>0</v>
      </c>
      <c r="AD65" s="72">
        <f t="shared" si="27"/>
        <v>0</v>
      </c>
      <c r="AE65" s="192" t="e">
        <f t="shared" si="28"/>
        <v>#DIV/0!</v>
      </c>
      <c r="AF65" s="129">
        <v>0</v>
      </c>
      <c r="AG65" s="124">
        <f t="shared" si="18"/>
        <v>0</v>
      </c>
    </row>
    <row r="66" spans="1:33">
      <c r="A66" s="105" t="s">
        <v>452</v>
      </c>
      <c r="B66" s="105" t="s">
        <v>383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200">
        <f t="shared" si="25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6"/>
        <v>0</v>
      </c>
      <c r="AD66" s="72">
        <f t="shared" si="27"/>
        <v>0</v>
      </c>
      <c r="AE66" s="192" t="e">
        <f t="shared" si="28"/>
        <v>#DIV/0!</v>
      </c>
      <c r="AF66" s="129">
        <v>0</v>
      </c>
      <c r="AG66" s="124">
        <f t="shared" si="18"/>
        <v>0</v>
      </c>
    </row>
    <row r="67" spans="1:33">
      <c r="A67" s="105" t="s">
        <v>454</v>
      </c>
      <c r="B67" s="105" t="s">
        <v>383</v>
      </c>
      <c r="C67" s="105" t="s">
        <v>455</v>
      </c>
      <c r="D67" s="72">
        <v>6500</v>
      </c>
      <c r="E67" s="72">
        <v>6500</v>
      </c>
      <c r="F67" s="72">
        <v>6500</v>
      </c>
      <c r="G67" s="72">
        <v>6500</v>
      </c>
      <c r="H67" s="72">
        <v>6500</v>
      </c>
      <c r="I67" s="72">
        <v>6500</v>
      </c>
      <c r="J67" s="72">
        <v>6500</v>
      </c>
      <c r="K67" s="72">
        <v>6500</v>
      </c>
      <c r="L67" s="72">
        <v>6500</v>
      </c>
      <c r="M67" s="72">
        <v>6500</v>
      </c>
      <c r="N67" s="72">
        <v>6500</v>
      </c>
      <c r="O67" s="72">
        <v>6500</v>
      </c>
      <c r="P67" s="200">
        <f t="shared" si="25"/>
        <v>78000</v>
      </c>
      <c r="Q67" s="136">
        <v>6510</v>
      </c>
      <c r="R67" s="136">
        <v>7830</v>
      </c>
      <c r="S67" s="136">
        <v>6510</v>
      </c>
      <c r="T67" s="136">
        <v>6300</v>
      </c>
      <c r="U67" s="136">
        <v>8370</v>
      </c>
      <c r="V67" s="136">
        <v>8100</v>
      </c>
      <c r="W67" s="72">
        <v>8100</v>
      </c>
      <c r="X67" s="72">
        <v>8100</v>
      </c>
      <c r="Y67" s="72">
        <v>5000</v>
      </c>
      <c r="Z67" s="72">
        <v>5000</v>
      </c>
      <c r="AA67" s="72">
        <v>5000</v>
      </c>
      <c r="AB67" s="72">
        <v>5000</v>
      </c>
      <c r="AC67" s="137">
        <f t="shared" si="26"/>
        <v>79820</v>
      </c>
      <c r="AD67" s="136">
        <f t="shared" si="27"/>
        <v>-1820</v>
      </c>
      <c r="AE67" s="196">
        <f t="shared" si="28"/>
        <v>-2.2801302931596091E-2</v>
      </c>
      <c r="AF67" s="133">
        <v>41880</v>
      </c>
      <c r="AG67" s="124">
        <f t="shared" si="18"/>
        <v>-36120</v>
      </c>
    </row>
    <row r="68" spans="1:33">
      <c r="A68" s="105" t="s">
        <v>456</v>
      </c>
      <c r="B68" s="105" t="s">
        <v>383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200">
        <f t="shared" si="25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6"/>
        <v>0</v>
      </c>
      <c r="AD68" s="136">
        <f t="shared" si="27"/>
        <v>0</v>
      </c>
      <c r="AE68" s="196" t="e">
        <f t="shared" si="28"/>
        <v>#DIV/0!</v>
      </c>
      <c r="AF68" s="133">
        <v>0</v>
      </c>
      <c r="AG68" s="124">
        <f t="shared" si="18"/>
        <v>0</v>
      </c>
    </row>
    <row r="69" spans="1:33">
      <c r="A69" s="105" t="s">
        <v>273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200">
        <f t="shared" si="25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6"/>
        <v>0</v>
      </c>
      <c r="AD69" s="136">
        <f t="shared" si="27"/>
        <v>0</v>
      </c>
      <c r="AE69" s="196" t="e">
        <f t="shared" si="28"/>
        <v>#DIV/0!</v>
      </c>
      <c r="AF69" s="133">
        <v>0</v>
      </c>
      <c r="AG69" s="124">
        <f t="shared" si="18"/>
        <v>0</v>
      </c>
    </row>
    <row r="70" spans="1:33">
      <c r="A70" s="105" t="s">
        <v>209</v>
      </c>
      <c r="B70" s="105" t="s">
        <v>383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200">
        <f t="shared" si="25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6"/>
        <v>0</v>
      </c>
      <c r="AD70" s="136">
        <f t="shared" si="27"/>
        <v>0</v>
      </c>
      <c r="AE70" s="196" t="e">
        <f t="shared" si="28"/>
        <v>#DIV/0!</v>
      </c>
      <c r="AF70" s="133">
        <v>0</v>
      </c>
      <c r="AG70" s="124">
        <f t="shared" si="18"/>
        <v>0</v>
      </c>
    </row>
    <row r="71" spans="1:33">
      <c r="A71" s="105" t="s">
        <v>211</v>
      </c>
      <c r="B71" s="105" t="s">
        <v>383</v>
      </c>
      <c r="C71" s="105" t="s">
        <v>212</v>
      </c>
      <c r="D71" s="72">
        <v>800</v>
      </c>
      <c r="E71" s="72">
        <v>800</v>
      </c>
      <c r="F71" s="72">
        <v>500</v>
      </c>
      <c r="G71" s="72">
        <v>500</v>
      </c>
      <c r="H71" s="72">
        <v>500</v>
      </c>
      <c r="I71" s="72">
        <v>500</v>
      </c>
      <c r="J71" s="72">
        <v>800</v>
      </c>
      <c r="K71" s="72">
        <v>800</v>
      </c>
      <c r="L71" s="72">
        <v>500</v>
      </c>
      <c r="M71" s="72">
        <v>800</v>
      </c>
      <c r="N71" s="72">
        <v>500</v>
      </c>
      <c r="O71" s="72">
        <v>800</v>
      </c>
      <c r="P71" s="200">
        <f t="shared" si="25"/>
        <v>7800</v>
      </c>
      <c r="Q71" s="136">
        <v>682</v>
      </c>
      <c r="R71" s="136">
        <v>1653.44</v>
      </c>
      <c r="S71" s="136">
        <v>61</v>
      </c>
      <c r="T71" s="136">
        <v>331</v>
      </c>
      <c r="U71" s="136">
        <v>381.41</v>
      </c>
      <c r="V71" s="136">
        <v>790</v>
      </c>
      <c r="W71" s="72">
        <v>1096.6300000000001</v>
      </c>
      <c r="X71" s="72">
        <v>225</v>
      </c>
      <c r="Y71" s="72">
        <v>500</v>
      </c>
      <c r="Z71" s="72">
        <v>900</v>
      </c>
      <c r="AA71" s="72">
        <v>800</v>
      </c>
      <c r="AB71" s="72">
        <v>900</v>
      </c>
      <c r="AC71" s="137">
        <f t="shared" si="26"/>
        <v>8320.48</v>
      </c>
      <c r="AD71" s="136">
        <f t="shared" si="27"/>
        <v>-520.47999999999956</v>
      </c>
      <c r="AE71" s="196">
        <f t="shared" si="28"/>
        <v>-6.2554083418264281E-2</v>
      </c>
      <c r="AF71" s="133">
        <v>12108.73</v>
      </c>
      <c r="AG71" s="124">
        <f t="shared" si="18"/>
        <v>4308.7299999999996</v>
      </c>
    </row>
    <row r="72" spans="1:33">
      <c r="A72" s="105" t="s">
        <v>213</v>
      </c>
      <c r="B72" s="105" t="s">
        <v>383</v>
      </c>
      <c r="C72" s="105" t="s">
        <v>214</v>
      </c>
      <c r="D72" s="222">
        <f>Laundry!E129</f>
        <v>2170</v>
      </c>
      <c r="E72" s="222">
        <f>Laundry!F129</f>
        <v>1978</v>
      </c>
      <c r="F72" s="222">
        <f>Laundry!G129</f>
        <v>2001</v>
      </c>
      <c r="G72" s="222">
        <f>Laundry!H129</f>
        <v>2056</v>
      </c>
      <c r="H72" s="222">
        <f>Laundry!I129</f>
        <v>2114</v>
      </c>
      <c r="I72" s="222">
        <f>Laundry!J129</f>
        <v>2020</v>
      </c>
      <c r="J72" s="222">
        <f>Laundry!K129</f>
        <v>2154</v>
      </c>
      <c r="K72" s="222">
        <f>Laundry!L129</f>
        <v>2143</v>
      </c>
      <c r="L72" s="222">
        <f>Laundry!M129</f>
        <v>2069</v>
      </c>
      <c r="M72" s="222">
        <f>Laundry!N129</f>
        <v>2354</v>
      </c>
      <c r="N72" s="222">
        <f>Laundry!O129</f>
        <v>2079</v>
      </c>
      <c r="O72" s="222">
        <f>Laundry!P129</f>
        <v>2069</v>
      </c>
      <c r="P72" s="200">
        <f t="shared" si="25"/>
        <v>25207</v>
      </c>
      <c r="Q72" s="136">
        <v>3705.39</v>
      </c>
      <c r="R72" s="136">
        <v>4255.2</v>
      </c>
      <c r="S72" s="136">
        <v>2015.98</v>
      </c>
      <c r="T72" s="136">
        <v>1751.16</v>
      </c>
      <c r="U72" s="136">
        <v>655.04</v>
      </c>
      <c r="V72" s="136">
        <v>2016.96</v>
      </c>
      <c r="W72" s="72">
        <v>1725.35</v>
      </c>
      <c r="X72" s="72">
        <v>1646.81</v>
      </c>
      <c r="Y72" s="72">
        <v>1841</v>
      </c>
      <c r="Z72" s="72">
        <v>2059</v>
      </c>
      <c r="AA72" s="72">
        <v>1730</v>
      </c>
      <c r="AB72" s="72">
        <v>1769</v>
      </c>
      <c r="AC72" s="137">
        <f t="shared" si="26"/>
        <v>25170.89</v>
      </c>
      <c r="AD72" s="136">
        <f t="shared" si="27"/>
        <v>36.110000000000582</v>
      </c>
      <c r="AE72" s="196">
        <f t="shared" si="28"/>
        <v>1.4345936913633401E-3</v>
      </c>
      <c r="AF72" s="133">
        <v>19770.849999999995</v>
      </c>
      <c r="AG72" s="124">
        <f t="shared" si="18"/>
        <v>-5436.1500000000051</v>
      </c>
    </row>
    <row r="73" spans="1:33">
      <c r="A73" s="105" t="s">
        <v>306</v>
      </c>
      <c r="B73" s="105" t="s">
        <v>383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200">
        <f t="shared" si="25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6"/>
        <v>0</v>
      </c>
      <c r="AD73" s="136">
        <f t="shared" si="27"/>
        <v>0</v>
      </c>
      <c r="AE73" s="196" t="e">
        <f t="shared" si="28"/>
        <v>#DIV/0!</v>
      </c>
      <c r="AF73" s="133">
        <v>0</v>
      </c>
      <c r="AG73" s="124">
        <f t="shared" si="18"/>
        <v>0</v>
      </c>
    </row>
    <row r="74" spans="1:33">
      <c r="A74" s="105" t="s">
        <v>215</v>
      </c>
      <c r="B74" s="105" t="s">
        <v>383</v>
      </c>
      <c r="C74" s="105" t="s">
        <v>216</v>
      </c>
      <c r="D74" s="72">
        <v>150</v>
      </c>
      <c r="E74" s="72">
        <v>150</v>
      </c>
      <c r="F74" s="72">
        <v>150</v>
      </c>
      <c r="G74" s="72">
        <v>150</v>
      </c>
      <c r="H74" s="72">
        <v>150</v>
      </c>
      <c r="I74" s="72">
        <v>150</v>
      </c>
      <c r="J74" s="72">
        <v>150</v>
      </c>
      <c r="K74" s="72">
        <v>150</v>
      </c>
      <c r="L74" s="72">
        <v>150</v>
      </c>
      <c r="M74" s="72">
        <v>150</v>
      </c>
      <c r="N74" s="72">
        <v>150</v>
      </c>
      <c r="O74" s="72">
        <v>150</v>
      </c>
      <c r="P74" s="200">
        <f t="shared" si="25"/>
        <v>1800</v>
      </c>
      <c r="Q74" s="136">
        <v>23.6</v>
      </c>
      <c r="R74" s="136">
        <v>22.9</v>
      </c>
      <c r="S74" s="136">
        <v>22.9</v>
      </c>
      <c r="T74" s="136">
        <v>33.4</v>
      </c>
      <c r="U74" s="136">
        <v>65.2</v>
      </c>
      <c r="V74" s="136">
        <v>52.86</v>
      </c>
      <c r="W74" s="72">
        <v>17.02</v>
      </c>
      <c r="X74" s="72">
        <v>52.6</v>
      </c>
      <c r="Y74" s="72">
        <v>150</v>
      </c>
      <c r="Z74" s="72">
        <v>150</v>
      </c>
      <c r="AA74" s="72">
        <v>150</v>
      </c>
      <c r="AB74" s="72">
        <v>150</v>
      </c>
      <c r="AC74" s="137">
        <f t="shared" si="26"/>
        <v>890.48</v>
      </c>
      <c r="AD74" s="136">
        <f t="shared" si="27"/>
        <v>909.52</v>
      </c>
      <c r="AE74" s="196">
        <f t="shared" si="28"/>
        <v>1.0213817267091905</v>
      </c>
      <c r="AF74" s="133">
        <v>795.57999999999993</v>
      </c>
      <c r="AG74" s="124">
        <f t="shared" si="18"/>
        <v>-1004.4200000000001</v>
      </c>
    </row>
    <row r="75" spans="1:33">
      <c r="A75" s="105" t="s">
        <v>217</v>
      </c>
      <c r="B75" s="105" t="s">
        <v>383</v>
      </c>
      <c r="C75" s="105" t="s">
        <v>218</v>
      </c>
      <c r="D75" s="72">
        <v>0</v>
      </c>
      <c r="E75" s="72">
        <v>200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300</v>
      </c>
      <c r="P75" s="200">
        <f t="shared" si="25"/>
        <v>500</v>
      </c>
      <c r="Q75" s="136">
        <v>0</v>
      </c>
      <c r="R75" s="136">
        <v>182.66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300</v>
      </c>
      <c r="AC75" s="137">
        <f t="shared" si="26"/>
        <v>482.65999999999997</v>
      </c>
      <c r="AD75" s="136">
        <f t="shared" si="27"/>
        <v>17.340000000000032</v>
      </c>
      <c r="AE75" s="196">
        <f t="shared" si="28"/>
        <v>3.5925910578875467E-2</v>
      </c>
      <c r="AF75" s="133">
        <v>55.5</v>
      </c>
      <c r="AG75" s="124">
        <f t="shared" si="18"/>
        <v>-444.5</v>
      </c>
    </row>
    <row r="76" spans="1:33">
      <c r="A76" s="105" t="s">
        <v>219</v>
      </c>
      <c r="B76" s="105" t="s">
        <v>383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200">
        <f t="shared" si="25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6"/>
        <v>0</v>
      </c>
      <c r="AD76" s="136">
        <f t="shared" si="27"/>
        <v>0</v>
      </c>
      <c r="AE76" s="196" t="e">
        <f t="shared" si="28"/>
        <v>#DIV/0!</v>
      </c>
      <c r="AF76" s="133">
        <v>0</v>
      </c>
      <c r="AG76" s="124">
        <f t="shared" si="18"/>
        <v>0</v>
      </c>
    </row>
    <row r="77" spans="1:33">
      <c r="A77" s="105" t="s">
        <v>273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200">
        <f t="shared" si="25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6"/>
        <v>0</v>
      </c>
      <c r="AD77" s="136">
        <f t="shared" si="27"/>
        <v>0</v>
      </c>
      <c r="AE77" s="196" t="e">
        <f t="shared" si="28"/>
        <v>#DIV/0!</v>
      </c>
      <c r="AF77" s="133">
        <v>0</v>
      </c>
      <c r="AG77" s="124">
        <f t="shared" si="18"/>
        <v>0</v>
      </c>
    </row>
    <row r="78" spans="1:33">
      <c r="A78" s="105" t="s">
        <v>221</v>
      </c>
      <c r="B78" s="105" t="s">
        <v>383</v>
      </c>
      <c r="C78" s="105" t="s">
        <v>222</v>
      </c>
      <c r="D78" s="72">
        <v>1000</v>
      </c>
      <c r="E78" s="72">
        <v>1000</v>
      </c>
      <c r="F78" s="72">
        <v>1000</v>
      </c>
      <c r="G78" s="72">
        <v>1000</v>
      </c>
      <c r="H78" s="72">
        <v>1000</v>
      </c>
      <c r="I78" s="72">
        <v>1000</v>
      </c>
      <c r="J78" s="72">
        <v>1000</v>
      </c>
      <c r="K78" s="72">
        <v>1000</v>
      </c>
      <c r="L78" s="72">
        <v>1000</v>
      </c>
      <c r="M78" s="72">
        <v>1000</v>
      </c>
      <c r="N78" s="72">
        <v>1000</v>
      </c>
      <c r="O78" s="72">
        <v>1000</v>
      </c>
      <c r="P78" s="200">
        <f t="shared" si="25"/>
        <v>12000</v>
      </c>
      <c r="Q78" s="136">
        <v>3090</v>
      </c>
      <c r="R78" s="136">
        <v>3384</v>
      </c>
      <c r="S78" s="136">
        <v>1765.3</v>
      </c>
      <c r="T78" s="136">
        <v>2569.58</v>
      </c>
      <c r="U78" s="136">
        <v>1159.5</v>
      </c>
      <c r="V78" s="136">
        <v>672</v>
      </c>
      <c r="W78" s="72">
        <v>1908.5</v>
      </c>
      <c r="X78" s="72">
        <v>1913.66</v>
      </c>
      <c r="Y78" s="72">
        <v>0</v>
      </c>
      <c r="Z78" s="72">
        <v>3000</v>
      </c>
      <c r="AA78" s="72">
        <v>0</v>
      </c>
      <c r="AB78" s="72">
        <v>6000</v>
      </c>
      <c r="AC78" s="137">
        <f t="shared" si="26"/>
        <v>25462.54</v>
      </c>
      <c r="AD78" s="136">
        <f t="shared" si="27"/>
        <v>-13462.54</v>
      </c>
      <c r="AE78" s="196">
        <f t="shared" si="28"/>
        <v>-0.52871944432880613</v>
      </c>
      <c r="AF78" s="133">
        <v>44089.110000000008</v>
      </c>
      <c r="AG78" s="124">
        <f t="shared" si="18"/>
        <v>32089.110000000008</v>
      </c>
    </row>
    <row r="79" spans="1:33">
      <c r="A79" s="105" t="s">
        <v>505</v>
      </c>
      <c r="B79" s="105" t="s">
        <v>383</v>
      </c>
      <c r="C79" s="105" t="s">
        <v>506</v>
      </c>
      <c r="D79" s="223">
        <f>SUM('F&amp;B Admin:Main Kichen'!D161)</f>
        <v>134534</v>
      </c>
      <c r="E79" s="223">
        <f>SUM('F&amp;B Admin:Main Kichen'!E161)</f>
        <v>116200</v>
      </c>
      <c r="F79" s="223">
        <f>SUM('F&amp;B Admin:Main Kichen'!F161)</f>
        <v>116457</v>
      </c>
      <c r="G79" s="223">
        <f>SUM('F&amp;B Admin:Main Kichen'!G161)</f>
        <v>108639</v>
      </c>
      <c r="H79" s="223">
        <f>SUM('F&amp;B Admin:Main Kichen'!H161)</f>
        <v>114249</v>
      </c>
      <c r="I79" s="223">
        <f>SUM('F&amp;B Admin:Main Kichen'!I161)</f>
        <v>110100</v>
      </c>
      <c r="J79" s="223">
        <f>SUM('F&amp;B Admin:Main Kichen'!J161)</f>
        <v>125820</v>
      </c>
      <c r="K79" s="223">
        <f>SUM('F&amp;B Admin:Main Kichen'!K161)</f>
        <v>125552</v>
      </c>
      <c r="L79" s="223">
        <f>SUM('F&amp;B Admin:Main Kichen'!L161)</f>
        <v>108155</v>
      </c>
      <c r="M79" s="223">
        <f>SUM('F&amp;B Admin:Main Kichen'!M161)</f>
        <v>115945</v>
      </c>
      <c r="N79" s="223">
        <f>SUM('F&amp;B Admin:Main Kichen'!N161)</f>
        <v>96218</v>
      </c>
      <c r="O79" s="223">
        <f>SUM('F&amp;B Admin:Main Kichen'!O161)</f>
        <v>129567</v>
      </c>
      <c r="P79" s="135">
        <f>SUM(D79:O79)</f>
        <v>1401436</v>
      </c>
      <c r="Q79" s="136">
        <v>126119.67999999999</v>
      </c>
      <c r="R79" s="136">
        <v>192737.69</v>
      </c>
      <c r="S79" s="136">
        <v>138003.73000000001</v>
      </c>
      <c r="T79" s="136">
        <v>143411.69</v>
      </c>
      <c r="U79" s="136">
        <v>107562.58</v>
      </c>
      <c r="V79" s="136">
        <v>120987.32</v>
      </c>
      <c r="W79" s="72">
        <v>128439.66</v>
      </c>
      <c r="X79" s="72">
        <v>134545.43</v>
      </c>
      <c r="Y79" s="72">
        <v>111464</v>
      </c>
      <c r="Z79" s="72">
        <v>108256</v>
      </c>
      <c r="AA79" s="72">
        <v>96165</v>
      </c>
      <c r="AB79" s="72">
        <v>109834</v>
      </c>
      <c r="AC79" s="137">
        <f t="shared" si="26"/>
        <v>1517526.78</v>
      </c>
      <c r="AD79" s="136">
        <f t="shared" si="27"/>
        <v>-116090.78000000003</v>
      </c>
      <c r="AE79" s="196">
        <f t="shared" si="28"/>
        <v>-7.6499987697086977E-2</v>
      </c>
      <c r="AF79" s="133">
        <v>1715522.01</v>
      </c>
      <c r="AG79" s="124">
        <f t="shared" si="18"/>
        <v>314086.01</v>
      </c>
    </row>
    <row r="80" spans="1:33">
      <c r="C80" s="109" t="s">
        <v>507</v>
      </c>
      <c r="D80" s="137">
        <f t="shared" ref="D80:O80" si="30">SUM(D38:D79)</f>
        <v>280044.23</v>
      </c>
      <c r="E80" s="137">
        <f t="shared" si="30"/>
        <v>274093.71999999997</v>
      </c>
      <c r="F80" s="137">
        <f t="shared" si="30"/>
        <v>229965.72</v>
      </c>
      <c r="G80" s="137">
        <f t="shared" si="30"/>
        <v>215343.64</v>
      </c>
      <c r="H80" s="137">
        <f t="shared" si="30"/>
        <v>236265.65000000002</v>
      </c>
      <c r="I80" s="137">
        <f t="shared" si="30"/>
        <v>223765.05</v>
      </c>
      <c r="J80" s="137">
        <f t="shared" si="30"/>
        <v>251906.05</v>
      </c>
      <c r="K80" s="137">
        <f t="shared" si="30"/>
        <v>248777.05</v>
      </c>
      <c r="L80" s="137">
        <f t="shared" si="30"/>
        <v>212545.05</v>
      </c>
      <c r="M80" s="137">
        <f t="shared" si="30"/>
        <v>250528.58000000002</v>
      </c>
      <c r="N80" s="137">
        <f t="shared" si="30"/>
        <v>200823.05</v>
      </c>
      <c r="O80" s="137">
        <f t="shared" si="30"/>
        <v>268545.05</v>
      </c>
      <c r="P80" s="135">
        <f>SUM(P38:P79)</f>
        <v>2892602.84</v>
      </c>
      <c r="Q80" s="137">
        <f t="shared" ref="Q80:AC80" si="31">SUM(Q38:Q79)</f>
        <v>287075.92000000004</v>
      </c>
      <c r="R80" s="137">
        <f t="shared" si="31"/>
        <v>484334.53999999992</v>
      </c>
      <c r="S80" s="137">
        <f t="shared" si="31"/>
        <v>301084.25</v>
      </c>
      <c r="T80" s="137">
        <f t="shared" si="31"/>
        <v>285403.71999999997</v>
      </c>
      <c r="U80" s="137">
        <f t="shared" si="31"/>
        <v>234686.15000000002</v>
      </c>
      <c r="V80" s="137">
        <f t="shared" si="31"/>
        <v>244772.03000000003</v>
      </c>
      <c r="W80" s="137">
        <f t="shared" si="31"/>
        <v>280488.77</v>
      </c>
      <c r="X80" s="137">
        <f t="shared" si="31"/>
        <v>296402.56999999995</v>
      </c>
      <c r="Y80" s="137">
        <f t="shared" si="31"/>
        <v>178810</v>
      </c>
      <c r="Z80" s="137">
        <f t="shared" si="31"/>
        <v>177647</v>
      </c>
      <c r="AA80" s="137">
        <f t="shared" si="31"/>
        <v>144654</v>
      </c>
      <c r="AB80" s="137">
        <f t="shared" si="31"/>
        <v>230343</v>
      </c>
      <c r="AC80" s="137">
        <f t="shared" si="31"/>
        <v>3145701.9499999997</v>
      </c>
      <c r="AD80" s="136">
        <f t="shared" si="27"/>
        <v>-253099.10999999987</v>
      </c>
      <c r="AE80" s="196">
        <f t="shared" si="28"/>
        <v>-8.0458706521766912E-2</v>
      </c>
      <c r="AF80" s="133">
        <v>2520207.73</v>
      </c>
      <c r="AG80" s="124">
        <f t="shared" si="18"/>
        <v>-372395.10999999987</v>
      </c>
    </row>
    <row r="81" spans="1:33">
      <c r="C81" s="109" t="s">
        <v>508</v>
      </c>
      <c r="D81" s="137">
        <f t="shared" ref="D81:AC81" si="32">D27-D33-D35-D80</f>
        <v>562002.81000000006</v>
      </c>
      <c r="E81" s="137">
        <f t="shared" si="32"/>
        <v>494800.94000000006</v>
      </c>
      <c r="F81" s="137">
        <f t="shared" si="32"/>
        <v>287265.38</v>
      </c>
      <c r="G81" s="137">
        <f t="shared" si="32"/>
        <v>218639.46999999997</v>
      </c>
      <c r="H81" s="137">
        <f t="shared" si="32"/>
        <v>204216.51</v>
      </c>
      <c r="I81" s="137">
        <f t="shared" si="32"/>
        <v>172523.5</v>
      </c>
      <c r="J81" s="137">
        <f t="shared" si="32"/>
        <v>427011.66</v>
      </c>
      <c r="K81" s="137">
        <f t="shared" si="32"/>
        <v>452005.75000000006</v>
      </c>
      <c r="L81" s="137">
        <f t="shared" si="32"/>
        <v>161332.75</v>
      </c>
      <c r="M81" s="137">
        <f t="shared" si="32"/>
        <v>141056.35999999999</v>
      </c>
      <c r="N81" s="137">
        <f t="shared" si="32"/>
        <v>184344.21000000002</v>
      </c>
      <c r="O81" s="137">
        <f t="shared" si="32"/>
        <v>453628.3</v>
      </c>
      <c r="P81" s="135">
        <f t="shared" si="32"/>
        <v>3758827.6400000006</v>
      </c>
      <c r="Q81" s="137">
        <f t="shared" si="32"/>
        <v>250192.15000000002</v>
      </c>
      <c r="R81" s="137">
        <f t="shared" si="32"/>
        <v>747240.70999999985</v>
      </c>
      <c r="S81" s="137">
        <f t="shared" si="32"/>
        <v>264929.19999999995</v>
      </c>
      <c r="T81" s="137">
        <f t="shared" si="32"/>
        <v>257245.23000000021</v>
      </c>
      <c r="U81" s="137">
        <f t="shared" si="32"/>
        <v>289022.52</v>
      </c>
      <c r="V81" s="137">
        <f t="shared" si="32"/>
        <v>168844.49</v>
      </c>
      <c r="W81" s="137">
        <f t="shared" si="32"/>
        <v>331413.53000000003</v>
      </c>
      <c r="X81" s="137">
        <f t="shared" si="32"/>
        <v>375088.74000000011</v>
      </c>
      <c r="Y81" s="137">
        <f t="shared" si="32"/>
        <v>46080.830000000016</v>
      </c>
      <c r="Z81" s="137">
        <f t="shared" si="32"/>
        <v>138081.83000000002</v>
      </c>
      <c r="AA81" s="137">
        <f t="shared" si="32"/>
        <v>162151.83000000002</v>
      </c>
      <c r="AB81" s="137">
        <f t="shared" si="32"/>
        <v>237173.83000000002</v>
      </c>
      <c r="AC81" s="137">
        <f t="shared" si="32"/>
        <v>3267464.8900000011</v>
      </c>
      <c r="AD81" s="136">
        <f t="shared" si="27"/>
        <v>491362.74999999953</v>
      </c>
      <c r="AE81" s="196">
        <f t="shared" si="28"/>
        <v>0.15038042229736073</v>
      </c>
      <c r="AF81" s="133">
        <v>5049114.58</v>
      </c>
      <c r="AG81" s="124">
        <f>P81-AF81</f>
        <v>-1290286.9399999995</v>
      </c>
    </row>
    <row r="82" spans="1:33">
      <c r="C82" s="109" t="s">
        <v>509</v>
      </c>
      <c r="D82" s="213">
        <f t="shared" ref="D82:AC82" si="33">D81/D27</f>
        <v>0.34928723386403598</v>
      </c>
      <c r="E82" s="213">
        <f t="shared" si="33"/>
        <v>0.34872838423761976</v>
      </c>
      <c r="F82" s="213">
        <f t="shared" si="33"/>
        <v>0.27921260913979906</v>
      </c>
      <c r="G82" s="213">
        <f t="shared" si="33"/>
        <v>0.2428202377342942</v>
      </c>
      <c r="H82" s="213">
        <f t="shared" si="33"/>
        <v>0.22048332905070275</v>
      </c>
      <c r="I82" s="213">
        <f t="shared" si="33"/>
        <v>0.20534991620484108</v>
      </c>
      <c r="J82" s="213">
        <f t="shared" si="33"/>
        <v>0.32895711117291193</v>
      </c>
      <c r="K82" s="213">
        <f t="shared" si="33"/>
        <v>0.33807157303001023</v>
      </c>
      <c r="L82" s="213">
        <f t="shared" si="33"/>
        <v>0.19897406708985807</v>
      </c>
      <c r="M82" s="213">
        <f t="shared" si="33"/>
        <v>0.15856369465415449</v>
      </c>
      <c r="N82" s="213">
        <f t="shared" si="33"/>
        <v>0.22223694203936378</v>
      </c>
      <c r="O82" s="213">
        <f t="shared" si="33"/>
        <v>0.33147000259401477</v>
      </c>
      <c r="P82" s="213">
        <f t="shared" si="33"/>
        <v>0.2835347993637185</v>
      </c>
      <c r="Q82" s="213">
        <f t="shared" si="33"/>
        <v>0.21410789731805871</v>
      </c>
      <c r="R82" s="213">
        <f t="shared" si="33"/>
        <v>0.34176712728880076</v>
      </c>
      <c r="S82" s="213">
        <f t="shared" si="33"/>
        <v>0.2252026162378572</v>
      </c>
      <c r="T82" s="213">
        <f t="shared" si="33"/>
        <v>0.22745396677391658</v>
      </c>
      <c r="U82" s="213">
        <f t="shared" si="33"/>
        <v>0.24706807330282204</v>
      </c>
      <c r="V82" s="213">
        <f t="shared" si="33"/>
        <v>0.16574167653672481</v>
      </c>
      <c r="W82" s="213">
        <f t="shared" si="33"/>
        <v>0.26238172680409844</v>
      </c>
      <c r="X82" s="213">
        <f t="shared" si="33"/>
        <v>0.26284225290756869</v>
      </c>
      <c r="Y82" s="213">
        <f t="shared" si="33"/>
        <v>7.0118718834784252E-2</v>
      </c>
      <c r="Z82" s="213">
        <f t="shared" si="33"/>
        <v>0.16659547925124724</v>
      </c>
      <c r="AA82" s="213">
        <f t="shared" si="33"/>
        <v>0.21266594707740089</v>
      </c>
      <c r="AB82" s="213">
        <f t="shared" si="33"/>
        <v>0.23260888071594951</v>
      </c>
      <c r="AC82" s="213">
        <f t="shared" si="33"/>
        <v>0.23661648423311951</v>
      </c>
      <c r="AD82" s="136">
        <f t="shared" si="27"/>
        <v>4.6918315130598992E-2</v>
      </c>
      <c r="AE82" s="105">
        <f t="shared" si="28"/>
        <v>0.19828844673549492</v>
      </c>
      <c r="AF82" s="133">
        <v>0.34377160140843238</v>
      </c>
      <c r="AG82" s="124">
        <f>P82-AF82</f>
        <v>-6.0236802044713877E-2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>
        <f>P87/'Rooms+Summary'!Q52</f>
        <v>0.21074557373031919</v>
      </c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214">
        <f>AC87/'Rooms+Summary'!AD52</f>
        <v>0.20254527700078942</v>
      </c>
      <c r="AD84" s="136"/>
      <c r="AF84" s="133"/>
      <c r="AG84" s="123"/>
    </row>
    <row r="85" spans="1:33">
      <c r="A85" s="105" t="s">
        <v>510</v>
      </c>
      <c r="B85" s="105" t="s">
        <v>383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136">
        <f t="shared" ref="AD85:AD90" si="34">P85-AC85</f>
        <v>0</v>
      </c>
      <c r="AE85" s="196" t="e">
        <f t="shared" ref="AE85:AE90" si="35">AD85/AC85</f>
        <v>#DIV/0!</v>
      </c>
      <c r="AF85" s="133">
        <v>268</v>
      </c>
      <c r="AG85" s="124">
        <f t="shared" ref="AG85:AG98" si="36">P85-AF85</f>
        <v>-268</v>
      </c>
    </row>
    <row r="86" spans="1:33">
      <c r="A86" s="105" t="s">
        <v>511</v>
      </c>
      <c r="B86" s="105" t="s">
        <v>383</v>
      </c>
      <c r="C86" s="105" t="s">
        <v>483</v>
      </c>
      <c r="D86" s="136">
        <v>800</v>
      </c>
      <c r="E86" s="136">
        <v>800</v>
      </c>
      <c r="F86" s="136">
        <v>600</v>
      </c>
      <c r="G86" s="136">
        <v>550</v>
      </c>
      <c r="H86" s="136">
        <v>550</v>
      </c>
      <c r="I86" s="136">
        <v>500</v>
      </c>
      <c r="J86" s="136">
        <v>630</v>
      </c>
      <c r="K86" s="136">
        <v>630</v>
      </c>
      <c r="L86" s="136">
        <v>550</v>
      </c>
      <c r="M86" s="136">
        <v>600</v>
      </c>
      <c r="N86" s="136">
        <v>580</v>
      </c>
      <c r="O86" s="136">
        <v>650</v>
      </c>
      <c r="P86" s="137">
        <f>SUM(D86:O86)</f>
        <v>7440</v>
      </c>
      <c r="Q86" s="136">
        <v>750</v>
      </c>
      <c r="R86" s="136">
        <v>1327</v>
      </c>
      <c r="S86" s="136">
        <v>430</v>
      </c>
      <c r="T86" s="136">
        <v>640</v>
      </c>
      <c r="U86" s="136">
        <v>367</v>
      </c>
      <c r="V86" s="136">
        <v>355</v>
      </c>
      <c r="W86" s="72">
        <v>944</v>
      </c>
      <c r="X86" s="72">
        <v>1162</v>
      </c>
      <c r="Y86" s="72">
        <v>300</v>
      </c>
      <c r="Z86" s="72">
        <v>500</v>
      </c>
      <c r="AA86" s="72">
        <v>580</v>
      </c>
      <c r="AB86" s="72">
        <v>650</v>
      </c>
      <c r="AC86" s="137">
        <f>SUM(Q86:AB86)</f>
        <v>8005</v>
      </c>
      <c r="AD86" s="136">
        <f t="shared" si="34"/>
        <v>-565</v>
      </c>
      <c r="AE86" s="196">
        <f t="shared" si="35"/>
        <v>-7.0580886945658963E-2</v>
      </c>
      <c r="AF86" s="133">
        <v>4623</v>
      </c>
      <c r="AG86" s="124">
        <f t="shared" si="36"/>
        <v>2817</v>
      </c>
    </row>
    <row r="87" spans="1:33">
      <c r="A87" s="105" t="s">
        <v>512</v>
      </c>
      <c r="B87" s="105" t="s">
        <v>383</v>
      </c>
      <c r="C87" s="105" t="s">
        <v>485</v>
      </c>
      <c r="D87" s="136">
        <v>4600</v>
      </c>
      <c r="E87" s="136">
        <v>3600</v>
      </c>
      <c r="F87" s="136">
        <v>3600</v>
      </c>
      <c r="G87" s="136">
        <v>3100</v>
      </c>
      <c r="H87" s="136">
        <v>3200</v>
      </c>
      <c r="I87" s="136">
        <v>3120</v>
      </c>
      <c r="J87" s="136">
        <v>4700</v>
      </c>
      <c r="K87" s="136">
        <v>4700</v>
      </c>
      <c r="L87" s="136">
        <v>3200</v>
      </c>
      <c r="M87" s="136">
        <v>3500</v>
      </c>
      <c r="N87" s="136">
        <v>3600</v>
      </c>
      <c r="O87" s="136">
        <v>3800</v>
      </c>
      <c r="P87" s="137">
        <f>SUM(D87:O87)</f>
        <v>44720</v>
      </c>
      <c r="Q87" s="136">
        <v>3481</v>
      </c>
      <c r="R87" s="136">
        <v>4087</v>
      </c>
      <c r="S87" s="136">
        <v>3927</v>
      </c>
      <c r="T87" s="136">
        <v>3911</v>
      </c>
      <c r="U87" s="136">
        <v>4328</v>
      </c>
      <c r="V87" s="136">
        <v>4136</v>
      </c>
      <c r="W87" s="72">
        <v>4610</v>
      </c>
      <c r="X87" s="72">
        <v>5458</v>
      </c>
      <c r="Y87" s="72">
        <v>2400</v>
      </c>
      <c r="Z87" s="72">
        <v>2800</v>
      </c>
      <c r="AA87" s="72">
        <v>2580</v>
      </c>
      <c r="AB87" s="72">
        <v>2670</v>
      </c>
      <c r="AC87" s="137">
        <f>SUM(Q87:AB87)</f>
        <v>44388</v>
      </c>
      <c r="AD87" s="136">
        <f t="shared" si="34"/>
        <v>332</v>
      </c>
      <c r="AE87" s="196">
        <f t="shared" si="35"/>
        <v>7.4794989636838786E-3</v>
      </c>
      <c r="AF87" s="133">
        <v>46371</v>
      </c>
      <c r="AG87" s="124">
        <f t="shared" si="36"/>
        <v>-1651</v>
      </c>
    </row>
    <row r="88" spans="1:33">
      <c r="A88" s="105" t="s">
        <v>513</v>
      </c>
      <c r="B88" s="105" t="s">
        <v>383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136">
        <f t="shared" si="34"/>
        <v>0</v>
      </c>
      <c r="AE88" s="196" t="e">
        <f t="shared" si="35"/>
        <v>#DIV/0!</v>
      </c>
      <c r="AF88" s="133">
        <v>3317</v>
      </c>
      <c r="AG88" s="124">
        <f t="shared" si="36"/>
        <v>-3317</v>
      </c>
    </row>
    <row r="89" spans="1:33">
      <c r="A89" s="105" t="s">
        <v>514</v>
      </c>
      <c r="B89" s="105" t="s">
        <v>383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136">
        <f t="shared" si="34"/>
        <v>0</v>
      </c>
      <c r="AE89" s="196" t="e">
        <f t="shared" si="35"/>
        <v>#DIV/0!</v>
      </c>
      <c r="AF89" s="133">
        <v>0</v>
      </c>
      <c r="AG89" s="124">
        <f t="shared" si="36"/>
        <v>0</v>
      </c>
    </row>
    <row r="90" spans="1:33">
      <c r="C90" s="109" t="s">
        <v>462</v>
      </c>
      <c r="D90" s="137">
        <f t="shared" ref="D90:AC90" si="37">SUM(D85:D89)</f>
        <v>5400</v>
      </c>
      <c r="E90" s="137">
        <f t="shared" si="37"/>
        <v>4400</v>
      </c>
      <c r="F90" s="137">
        <f t="shared" si="37"/>
        <v>4200</v>
      </c>
      <c r="G90" s="137">
        <f t="shared" si="37"/>
        <v>3650</v>
      </c>
      <c r="H90" s="137">
        <f t="shared" si="37"/>
        <v>3750</v>
      </c>
      <c r="I90" s="137">
        <f t="shared" si="37"/>
        <v>3620</v>
      </c>
      <c r="J90" s="137">
        <f t="shared" si="37"/>
        <v>5330</v>
      </c>
      <c r="K90" s="137">
        <f t="shared" si="37"/>
        <v>5330</v>
      </c>
      <c r="L90" s="137">
        <f t="shared" si="37"/>
        <v>3750</v>
      </c>
      <c r="M90" s="137">
        <f t="shared" si="37"/>
        <v>4100</v>
      </c>
      <c r="N90" s="137">
        <f t="shared" si="37"/>
        <v>4180</v>
      </c>
      <c r="O90" s="137">
        <f t="shared" si="37"/>
        <v>4450</v>
      </c>
      <c r="P90" s="137">
        <f t="shared" si="37"/>
        <v>52160</v>
      </c>
      <c r="Q90" s="137">
        <f t="shared" si="37"/>
        <v>4231</v>
      </c>
      <c r="R90" s="137">
        <f t="shared" si="37"/>
        <v>5414</v>
      </c>
      <c r="S90" s="137">
        <f t="shared" si="37"/>
        <v>4357</v>
      </c>
      <c r="T90" s="137">
        <f t="shared" si="37"/>
        <v>4551</v>
      </c>
      <c r="U90" s="137">
        <f t="shared" si="37"/>
        <v>4695</v>
      </c>
      <c r="V90" s="137">
        <f t="shared" si="37"/>
        <v>4491</v>
      </c>
      <c r="W90" s="137">
        <f t="shared" si="37"/>
        <v>5554</v>
      </c>
      <c r="X90" s="137">
        <f t="shared" si="37"/>
        <v>6620</v>
      </c>
      <c r="Y90" s="137">
        <f t="shared" si="37"/>
        <v>2700</v>
      </c>
      <c r="Z90" s="137">
        <f t="shared" si="37"/>
        <v>3300</v>
      </c>
      <c r="AA90" s="137">
        <f t="shared" si="37"/>
        <v>3160</v>
      </c>
      <c r="AB90" s="137">
        <f t="shared" si="37"/>
        <v>3320</v>
      </c>
      <c r="AC90" s="137">
        <f t="shared" si="37"/>
        <v>52393</v>
      </c>
      <c r="AD90" s="136">
        <f t="shared" si="34"/>
        <v>-233</v>
      </c>
      <c r="AE90" s="196">
        <f t="shared" si="35"/>
        <v>-4.4471589716183462E-3</v>
      </c>
      <c r="AF90" s="133">
        <v>54579</v>
      </c>
      <c r="AG90" s="124">
        <f t="shared" si="36"/>
        <v>-2419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6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6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8">P9/P85</f>
        <v>#DIV/0!</v>
      </c>
      <c r="Q93" s="136" t="e">
        <f t="shared" si="38"/>
        <v>#DIV/0!</v>
      </c>
      <c r="R93" s="136" t="e">
        <f t="shared" si="38"/>
        <v>#DIV/0!</v>
      </c>
      <c r="S93" s="136" t="e">
        <f t="shared" si="38"/>
        <v>#DIV/0!</v>
      </c>
      <c r="T93" s="136" t="e">
        <f t="shared" si="38"/>
        <v>#DIV/0!</v>
      </c>
      <c r="U93" s="136" t="e">
        <f t="shared" si="38"/>
        <v>#DIV/0!</v>
      </c>
      <c r="V93" s="136" t="e">
        <f t="shared" si="38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9">AC9/AC85</f>
        <v>#DIV/0!</v>
      </c>
      <c r="AD93" s="136" t="e">
        <f t="shared" ref="AD93:AD98" si="40">P93-AC93</f>
        <v>#DIV/0!</v>
      </c>
      <c r="AE93" s="196" t="e">
        <f t="shared" ref="AE93:AE98" si="41">AD93/AC93</f>
        <v>#DIV/0!</v>
      </c>
      <c r="AF93" s="133">
        <v>52.881305970149256</v>
      </c>
      <c r="AG93" s="124" t="e">
        <f t="shared" si="36"/>
        <v>#DIV/0!</v>
      </c>
    </row>
    <row r="94" spans="1:33">
      <c r="C94" s="105" t="s">
        <v>483</v>
      </c>
      <c r="D94" s="136">
        <v>105</v>
      </c>
      <c r="E94" s="136">
        <v>115</v>
      </c>
      <c r="F94" s="136">
        <v>80</v>
      </c>
      <c r="G94" s="136">
        <v>75</v>
      </c>
      <c r="H94" s="136">
        <v>78</v>
      </c>
      <c r="I94" s="136">
        <v>78</v>
      </c>
      <c r="J94" s="136">
        <v>78</v>
      </c>
      <c r="K94" s="136">
        <v>80</v>
      </c>
      <c r="L94" s="136">
        <v>80</v>
      </c>
      <c r="M94" s="136">
        <v>75</v>
      </c>
      <c r="N94" s="136">
        <v>80</v>
      </c>
      <c r="O94" s="136">
        <v>105</v>
      </c>
      <c r="P94" s="137">
        <f t="shared" si="38"/>
        <v>87.411290322580641</v>
      </c>
      <c r="Q94" s="136">
        <f t="shared" si="38"/>
        <v>133.53566666666666</v>
      </c>
      <c r="R94" s="136">
        <f t="shared" si="38"/>
        <v>160.30665410700828</v>
      </c>
      <c r="S94" s="136">
        <f t="shared" si="38"/>
        <v>150.83986046511629</v>
      </c>
      <c r="T94" s="136">
        <f t="shared" si="38"/>
        <v>112.11276562499999</v>
      </c>
      <c r="U94" s="136">
        <f t="shared" si="38"/>
        <v>121.31528610354223</v>
      </c>
      <c r="V94" s="136">
        <f t="shared" si="38"/>
        <v>102.76704225352114</v>
      </c>
      <c r="W94" s="72">
        <v>86.068633474576259</v>
      </c>
      <c r="X94" s="72">
        <v>70.512065404475052</v>
      </c>
      <c r="Y94" s="72">
        <v>80</v>
      </c>
      <c r="Z94" s="72">
        <v>85</v>
      </c>
      <c r="AA94" s="72">
        <v>85</v>
      </c>
      <c r="AB94" s="72">
        <v>105</v>
      </c>
      <c r="AC94" s="137">
        <f t="shared" si="39"/>
        <v>109.64782136164898</v>
      </c>
      <c r="AD94" s="136">
        <f t="shared" si="40"/>
        <v>-22.236531039068339</v>
      </c>
      <c r="AE94" s="196">
        <f t="shared" si="41"/>
        <v>-0.20279957014126238</v>
      </c>
      <c r="AF94" s="133">
        <v>100.86210036772658</v>
      </c>
      <c r="AG94" s="124">
        <f t="shared" si="36"/>
        <v>-13.450810045145943</v>
      </c>
    </row>
    <row r="95" spans="1:33">
      <c r="C95" s="105" t="s">
        <v>485</v>
      </c>
      <c r="D95" s="136">
        <v>300</v>
      </c>
      <c r="E95" s="136">
        <v>320</v>
      </c>
      <c r="F95" s="136">
        <v>240</v>
      </c>
      <c r="G95" s="136">
        <v>240</v>
      </c>
      <c r="H95" s="136">
        <v>240</v>
      </c>
      <c r="I95" s="136">
        <v>230</v>
      </c>
      <c r="J95" s="136">
        <v>240</v>
      </c>
      <c r="K95" s="136">
        <v>250</v>
      </c>
      <c r="L95" s="136">
        <v>220</v>
      </c>
      <c r="M95" s="136">
        <v>220</v>
      </c>
      <c r="N95" s="136">
        <v>200</v>
      </c>
      <c r="O95" s="136">
        <v>310</v>
      </c>
      <c r="P95" s="137">
        <f t="shared" si="38"/>
        <v>252.69677996422183</v>
      </c>
      <c r="Q95" s="136">
        <f t="shared" si="38"/>
        <v>270.63195346164895</v>
      </c>
      <c r="R95" s="136">
        <f t="shared" si="38"/>
        <v>410.40723758257889</v>
      </c>
      <c r="S95" s="136">
        <f t="shared" si="38"/>
        <v>243.05691367456075</v>
      </c>
      <c r="T95" s="136">
        <f t="shared" si="38"/>
        <v>237.22731782152903</v>
      </c>
      <c r="U95" s="136">
        <f t="shared" si="38"/>
        <v>230.71600046210722</v>
      </c>
      <c r="V95" s="136">
        <f t="shared" si="38"/>
        <v>209.911334622824</v>
      </c>
      <c r="W95" s="72">
        <v>241.00710412147507</v>
      </c>
      <c r="X95" s="72">
        <v>239.58709234151706</v>
      </c>
      <c r="Y95" s="72">
        <v>240</v>
      </c>
      <c r="Z95" s="72">
        <v>255</v>
      </c>
      <c r="AA95" s="72">
        <v>250</v>
      </c>
      <c r="AB95" s="72">
        <v>320</v>
      </c>
      <c r="AC95" s="137">
        <f t="shared" si="39"/>
        <v>260.80305442912498</v>
      </c>
      <c r="AD95" s="136">
        <f t="shared" si="40"/>
        <v>-8.1062744649031515</v>
      </c>
      <c r="AE95" s="196">
        <f t="shared" si="41"/>
        <v>-3.1081976714755415E-2</v>
      </c>
      <c r="AF95" s="133">
        <v>288.52664445450824</v>
      </c>
      <c r="AG95" s="124">
        <f t="shared" si="36"/>
        <v>-35.829864490286411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8"/>
        <v>#DIV/0!</v>
      </c>
      <c r="Q96" s="136" t="e">
        <f t="shared" si="38"/>
        <v>#DIV/0!</v>
      </c>
      <c r="R96" s="136" t="e">
        <f t="shared" si="38"/>
        <v>#DIV/0!</v>
      </c>
      <c r="S96" s="136" t="e">
        <f t="shared" si="38"/>
        <v>#DIV/0!</v>
      </c>
      <c r="T96" s="136" t="e">
        <f t="shared" si="38"/>
        <v>#DIV/0!</v>
      </c>
      <c r="U96" s="136" t="e">
        <f t="shared" si="38"/>
        <v>#DIV/0!</v>
      </c>
      <c r="V96" s="136" t="e">
        <f t="shared" si="38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9"/>
        <v>#DIV/0!</v>
      </c>
      <c r="AD96" s="136" t="e">
        <f t="shared" si="40"/>
        <v>#DIV/0!</v>
      </c>
      <c r="AE96" s="196" t="e">
        <f t="shared" si="41"/>
        <v>#DIV/0!</v>
      </c>
      <c r="AF96" s="133">
        <v>85.715794392523364</v>
      </c>
      <c r="AG96" s="124" t="e">
        <f t="shared" si="36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8"/>
        <v>#DIV/0!</v>
      </c>
      <c r="Q97" s="136" t="e">
        <f t="shared" si="38"/>
        <v>#DIV/0!</v>
      </c>
      <c r="R97" s="136" t="e">
        <f t="shared" si="38"/>
        <v>#DIV/0!</v>
      </c>
      <c r="S97" s="136" t="e">
        <f t="shared" si="38"/>
        <v>#DIV/0!</v>
      </c>
      <c r="T97" s="136" t="e">
        <f t="shared" si="38"/>
        <v>#DIV/0!</v>
      </c>
      <c r="U97" s="136" t="e">
        <f t="shared" si="38"/>
        <v>#DIV/0!</v>
      </c>
      <c r="V97" s="136" t="e">
        <f t="shared" si="38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9"/>
        <v>#DIV/0!</v>
      </c>
      <c r="AD97" s="136" t="e">
        <f t="shared" si="40"/>
        <v>#DIV/0!</v>
      </c>
      <c r="AE97" s="196" t="e">
        <f t="shared" si="41"/>
        <v>#DIV/0!</v>
      </c>
      <c r="AF97" s="133" t="e">
        <v>#DIV/0!</v>
      </c>
      <c r="AG97" s="124" t="e">
        <f t="shared" si="36"/>
        <v>#DIV/0!</v>
      </c>
    </row>
    <row r="98" spans="1:33">
      <c r="C98" s="109" t="s">
        <v>463</v>
      </c>
      <c r="D98" s="136">
        <f t="shared" ref="D98:O98" si="42">D14/D90</f>
        <v>271.11111111111109</v>
      </c>
      <c r="E98" s="136">
        <f t="shared" si="42"/>
        <v>282.72727272727275</v>
      </c>
      <c r="F98" s="136">
        <f t="shared" si="42"/>
        <v>217.14285714285714</v>
      </c>
      <c r="G98" s="136">
        <f t="shared" si="42"/>
        <v>215.13698630136986</v>
      </c>
      <c r="H98" s="136">
        <f t="shared" si="42"/>
        <v>216.24</v>
      </c>
      <c r="I98" s="136">
        <f t="shared" si="42"/>
        <v>209.00552486187846</v>
      </c>
      <c r="J98" s="136">
        <f t="shared" si="42"/>
        <v>220.85178236397749</v>
      </c>
      <c r="K98" s="136">
        <f t="shared" si="42"/>
        <v>229.90619136960601</v>
      </c>
      <c r="L98" s="136">
        <f t="shared" si="42"/>
        <v>199.46666666666667</v>
      </c>
      <c r="M98" s="136">
        <f t="shared" si="42"/>
        <v>198.78048780487805</v>
      </c>
      <c r="N98" s="136">
        <f t="shared" si="42"/>
        <v>183.34928229665073</v>
      </c>
      <c r="O98" s="136">
        <f t="shared" si="42"/>
        <v>280.0561797752809</v>
      </c>
      <c r="P98" s="137">
        <f t="shared" si="38"/>
        <v>229.12078220858896</v>
      </c>
      <c r="Q98" s="136">
        <f t="shared" si="38"/>
        <v>246.32984637201605</v>
      </c>
      <c r="R98" s="136">
        <f t="shared" si="38"/>
        <v>349.10626339120796</v>
      </c>
      <c r="S98" s="136">
        <f t="shared" si="38"/>
        <v>233.95585035574936</v>
      </c>
      <c r="T98" s="136">
        <f t="shared" si="38"/>
        <v>219.63265436167876</v>
      </c>
      <c r="U98" s="136">
        <f t="shared" si="38"/>
        <v>222.1643365282215</v>
      </c>
      <c r="V98" s="136">
        <f t="shared" si="38"/>
        <v>201.44190158093969</v>
      </c>
      <c r="W98" s="136">
        <f t="shared" si="38"/>
        <v>214.67258552394671</v>
      </c>
      <c r="X98" s="136">
        <f t="shared" si="38"/>
        <v>209.90957250755289</v>
      </c>
      <c r="Y98" s="136">
        <f t="shared" si="38"/>
        <v>222.22222222222223</v>
      </c>
      <c r="Z98" s="136">
        <f t="shared" si="38"/>
        <v>229.24242424242425</v>
      </c>
      <c r="AA98" s="136">
        <f t="shared" si="38"/>
        <v>219.71518987341773</v>
      </c>
      <c r="AB98" s="136">
        <f t="shared" si="38"/>
        <v>277.90662650602411</v>
      </c>
      <c r="AC98" s="137">
        <f t="shared" si="39"/>
        <v>237.70841123814253</v>
      </c>
      <c r="AD98" s="136">
        <f t="shared" si="40"/>
        <v>-8.5876290295535682</v>
      </c>
      <c r="AE98" s="196">
        <f t="shared" si="41"/>
        <v>-3.6126736049530261E-2</v>
      </c>
      <c r="AF98" s="133">
        <v>259.14813389765294</v>
      </c>
      <c r="AG98" s="124">
        <f t="shared" si="36"/>
        <v>-30.027351689063977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383</v>
      </c>
      <c r="C102" s="105" t="s">
        <v>250</v>
      </c>
      <c r="D102" s="215">
        <v>24918.17</v>
      </c>
      <c r="E102" s="136">
        <v>24918.17</v>
      </c>
      <c r="F102" s="136">
        <v>24918.17</v>
      </c>
      <c r="G102" s="136">
        <v>24918.17</v>
      </c>
      <c r="H102" s="136">
        <v>24918.17</v>
      </c>
      <c r="I102" s="136">
        <v>24918.17</v>
      </c>
      <c r="J102" s="136">
        <v>24918.17</v>
      </c>
      <c r="K102" s="136">
        <v>24918.17</v>
      </c>
      <c r="L102" s="136">
        <v>24918.17</v>
      </c>
      <c r="M102" s="136">
        <v>24918.17</v>
      </c>
      <c r="N102" s="136">
        <v>24918.17</v>
      </c>
      <c r="O102" s="136">
        <v>24918.17</v>
      </c>
      <c r="P102" s="137">
        <f>SUM(D102:O102)</f>
        <v>299018.03999999992</v>
      </c>
      <c r="Q102" s="136">
        <v>20000</v>
      </c>
      <c r="R102" s="136">
        <v>20000</v>
      </c>
      <c r="S102" s="136">
        <v>20000</v>
      </c>
      <c r="T102" s="136">
        <v>20000</v>
      </c>
      <c r="U102" s="136">
        <v>20000</v>
      </c>
      <c r="V102" s="136">
        <v>20000</v>
      </c>
      <c r="W102" s="72">
        <v>20000</v>
      </c>
      <c r="X102" s="72">
        <v>20000</v>
      </c>
      <c r="Y102" s="72">
        <v>24800</v>
      </c>
      <c r="Z102" s="72">
        <v>24800</v>
      </c>
      <c r="AA102" s="72">
        <v>24800</v>
      </c>
      <c r="AB102" s="72">
        <v>24800</v>
      </c>
      <c r="AC102" s="137">
        <f>SUM(Q102:AB102)</f>
        <v>259200</v>
      </c>
      <c r="AD102" s="136">
        <f t="shared" ref="AD102:AD105" si="43">P102-AC102</f>
        <v>39818.039999999921</v>
      </c>
      <c r="AE102" s="196">
        <f t="shared" ref="AE102:AE105" si="44">AD102/AC102</f>
        <v>0.15361898148148118</v>
      </c>
      <c r="AF102" s="133">
        <v>317017.19</v>
      </c>
      <c r="AG102" s="124">
        <f t="shared" ref="AG102:AG136" si="45">AF102-P102</f>
        <v>17999.150000000081</v>
      </c>
    </row>
    <row r="103" spans="1:33">
      <c r="A103" s="105" t="s">
        <v>251</v>
      </c>
      <c r="B103" s="105" t="s">
        <v>536</v>
      </c>
      <c r="C103" s="105" t="s">
        <v>468</v>
      </c>
      <c r="D103" s="215">
        <v>8418</v>
      </c>
      <c r="E103" s="136">
        <v>8418</v>
      </c>
      <c r="F103" s="136">
        <v>8418</v>
      </c>
      <c r="G103" s="136">
        <v>8418</v>
      </c>
      <c r="H103" s="136">
        <v>8418</v>
      </c>
      <c r="I103" s="136">
        <v>8418</v>
      </c>
      <c r="J103" s="136">
        <v>8418</v>
      </c>
      <c r="K103" s="136">
        <v>8418</v>
      </c>
      <c r="L103" s="136">
        <v>8418</v>
      </c>
      <c r="M103" s="136">
        <v>8418</v>
      </c>
      <c r="N103" s="136">
        <v>8418</v>
      </c>
      <c r="O103" s="136">
        <v>8418</v>
      </c>
      <c r="P103" s="137">
        <f>SUM(D103:O103)</f>
        <v>101016</v>
      </c>
      <c r="Q103" s="136">
        <v>11035.63</v>
      </c>
      <c r="R103" s="136">
        <v>13500</v>
      </c>
      <c r="S103" s="136">
        <v>13500</v>
      </c>
      <c r="T103" s="136">
        <v>9258.06</v>
      </c>
      <c r="U103" s="136">
        <v>9500</v>
      </c>
      <c r="V103" s="136">
        <v>9500</v>
      </c>
      <c r="W103" s="72">
        <v>9500</v>
      </c>
      <c r="X103" s="72">
        <v>9500</v>
      </c>
      <c r="Y103" s="72">
        <v>4909</v>
      </c>
      <c r="Z103" s="72">
        <v>4909</v>
      </c>
      <c r="AA103" s="72">
        <v>4909</v>
      </c>
      <c r="AB103" s="72">
        <v>4909</v>
      </c>
      <c r="AC103" s="137">
        <f>SUM(Q103:AB103)</f>
        <v>104929.69</v>
      </c>
      <c r="AD103" s="136">
        <f t="shared" si="43"/>
        <v>-3913.6900000000023</v>
      </c>
      <c r="AE103" s="196">
        <f t="shared" si="44"/>
        <v>-3.7298213689566817E-2</v>
      </c>
      <c r="AF103" s="133">
        <v>108342.20999999999</v>
      </c>
      <c r="AG103" s="124">
        <f t="shared" si="45"/>
        <v>7326.2099999999919</v>
      </c>
    </row>
    <row r="104" spans="1:33">
      <c r="A104" s="105" t="s">
        <v>251</v>
      </c>
      <c r="B104" s="105" t="s">
        <v>537</v>
      </c>
      <c r="C104" s="105" t="s">
        <v>470</v>
      </c>
      <c r="D104" s="215">
        <v>18083.7</v>
      </c>
      <c r="E104" s="136">
        <v>18083.7</v>
      </c>
      <c r="F104" s="136">
        <v>18083.7</v>
      </c>
      <c r="G104" s="136">
        <v>18083.7</v>
      </c>
      <c r="H104" s="136">
        <v>18083.7</v>
      </c>
      <c r="I104" s="136">
        <v>18083.7</v>
      </c>
      <c r="J104" s="136">
        <v>18083.7</v>
      </c>
      <c r="K104" s="136">
        <v>18083.7</v>
      </c>
      <c r="L104" s="136">
        <v>18083.7</v>
      </c>
      <c r="M104" s="136">
        <v>18083.7</v>
      </c>
      <c r="N104" s="136">
        <v>18083.7</v>
      </c>
      <c r="O104" s="136">
        <v>18083.7</v>
      </c>
      <c r="P104" s="137">
        <f>SUM(D104:O104)</f>
        <v>217004.40000000005</v>
      </c>
      <c r="Q104" s="136">
        <v>21300</v>
      </c>
      <c r="R104" s="136">
        <v>21300</v>
      </c>
      <c r="S104" s="136">
        <v>21300</v>
      </c>
      <c r="T104" s="136">
        <v>21300</v>
      </c>
      <c r="U104" s="136">
        <v>21300</v>
      </c>
      <c r="V104" s="136">
        <v>20996.55</v>
      </c>
      <c r="W104" s="72">
        <v>19474.669999999998</v>
      </c>
      <c r="X104" s="72">
        <v>24100</v>
      </c>
      <c r="Y104" s="72">
        <v>24384</v>
      </c>
      <c r="Z104" s="72">
        <v>24384</v>
      </c>
      <c r="AA104" s="72">
        <v>24384</v>
      </c>
      <c r="AB104" s="72">
        <v>24384</v>
      </c>
      <c r="AC104" s="137">
        <f>SUM(Q104:AB104)</f>
        <v>268607.21999999997</v>
      </c>
      <c r="AD104" s="136">
        <f t="shared" si="43"/>
        <v>-51602.81999999992</v>
      </c>
      <c r="AE104" s="196">
        <f t="shared" si="44"/>
        <v>-0.19211255751055362</v>
      </c>
      <c r="AF104" s="133">
        <v>290072.78000000003</v>
      </c>
      <c r="AG104" s="124">
        <f t="shared" si="45"/>
        <v>73068.379999999976</v>
      </c>
    </row>
    <row r="105" spans="1:33">
      <c r="A105" s="105" t="s">
        <v>273</v>
      </c>
      <c r="C105" s="109" t="s">
        <v>520</v>
      </c>
      <c r="D105" s="137">
        <f t="shared" ref="D105:AC105" si="46">SUM(D102:D104)</f>
        <v>51419.869999999995</v>
      </c>
      <c r="E105" s="137">
        <f t="shared" si="46"/>
        <v>51419.869999999995</v>
      </c>
      <c r="F105" s="137">
        <f t="shared" si="46"/>
        <v>51419.869999999995</v>
      </c>
      <c r="G105" s="137">
        <f t="shared" si="46"/>
        <v>51419.869999999995</v>
      </c>
      <c r="H105" s="137">
        <f t="shared" si="46"/>
        <v>51419.869999999995</v>
      </c>
      <c r="I105" s="137">
        <f t="shared" si="46"/>
        <v>51419.869999999995</v>
      </c>
      <c r="J105" s="137">
        <f t="shared" si="46"/>
        <v>51419.869999999995</v>
      </c>
      <c r="K105" s="137">
        <f t="shared" si="46"/>
        <v>51419.869999999995</v>
      </c>
      <c r="L105" s="137">
        <f t="shared" si="46"/>
        <v>51419.869999999995</v>
      </c>
      <c r="M105" s="137">
        <f t="shared" si="46"/>
        <v>51419.869999999995</v>
      </c>
      <c r="N105" s="137">
        <f t="shared" si="46"/>
        <v>51419.869999999995</v>
      </c>
      <c r="O105" s="137">
        <f t="shared" si="46"/>
        <v>51419.869999999995</v>
      </c>
      <c r="P105" s="137">
        <f t="shared" si="46"/>
        <v>617038.43999999994</v>
      </c>
      <c r="Q105" s="137">
        <f t="shared" si="46"/>
        <v>52335.63</v>
      </c>
      <c r="R105" s="137">
        <f t="shared" si="46"/>
        <v>54800</v>
      </c>
      <c r="S105" s="137">
        <f t="shared" si="46"/>
        <v>54800</v>
      </c>
      <c r="T105" s="137">
        <f t="shared" si="46"/>
        <v>50558.06</v>
      </c>
      <c r="U105" s="137">
        <f t="shared" si="46"/>
        <v>50800</v>
      </c>
      <c r="V105" s="137">
        <f t="shared" si="46"/>
        <v>50496.55</v>
      </c>
      <c r="W105" s="137">
        <f t="shared" si="46"/>
        <v>48974.67</v>
      </c>
      <c r="X105" s="137">
        <f t="shared" si="46"/>
        <v>53600</v>
      </c>
      <c r="Y105" s="137">
        <f t="shared" si="46"/>
        <v>54093</v>
      </c>
      <c r="Z105" s="137">
        <f t="shared" si="46"/>
        <v>54093</v>
      </c>
      <c r="AA105" s="137">
        <f t="shared" si="46"/>
        <v>54093</v>
      </c>
      <c r="AB105" s="137">
        <f t="shared" si="46"/>
        <v>54093</v>
      </c>
      <c r="AC105" s="137">
        <f t="shared" si="46"/>
        <v>632736.90999999992</v>
      </c>
      <c r="AD105" s="136">
        <f t="shared" si="43"/>
        <v>-15698.469999999972</v>
      </c>
      <c r="AE105" s="196">
        <f t="shared" si="44"/>
        <v>-2.4810422391827867E-2</v>
      </c>
      <c r="AF105" s="133">
        <v>715432.18</v>
      </c>
      <c r="AG105" s="124">
        <f t="shared" si="45"/>
        <v>98393.740000000107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7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5"/>
        <v>0</v>
      </c>
    </row>
    <row r="107" spans="1:33">
      <c r="A107" s="105" t="s">
        <v>119</v>
      </c>
      <c r="B107" s="105" t="s">
        <v>383</v>
      </c>
      <c r="C107" s="105" t="s">
        <v>260</v>
      </c>
      <c r="D107" s="215">
        <v>27158.62</v>
      </c>
      <c r="E107" s="215">
        <v>0</v>
      </c>
      <c r="F107" s="215">
        <v>0</v>
      </c>
      <c r="G107" s="215">
        <v>4799.99</v>
      </c>
      <c r="H107" s="215">
        <v>12565.500000000002</v>
      </c>
      <c r="I107" s="215">
        <v>0</v>
      </c>
      <c r="J107" s="215">
        <v>0</v>
      </c>
      <c r="K107" s="215">
        <v>0</v>
      </c>
      <c r="L107" s="215">
        <v>0</v>
      </c>
      <c r="M107" s="215">
        <v>29379.32</v>
      </c>
      <c r="N107" s="215">
        <v>0</v>
      </c>
      <c r="O107" s="215">
        <v>0</v>
      </c>
      <c r="P107" s="137">
        <f>SUM(D107:O107)</f>
        <v>73903.429999999993</v>
      </c>
      <c r="Q107" s="136">
        <v>5393.06</v>
      </c>
      <c r="R107" s="136">
        <v>16855.11</v>
      </c>
      <c r="S107" s="136">
        <v>0</v>
      </c>
      <c r="T107" s="136">
        <v>3241.35</v>
      </c>
      <c r="U107" s="136">
        <v>5834.46</v>
      </c>
      <c r="V107" s="136">
        <v>6165.48</v>
      </c>
      <c r="W107" s="72">
        <v>0</v>
      </c>
      <c r="X107" s="72">
        <v>0</v>
      </c>
      <c r="Y107" s="72">
        <v>9656</v>
      </c>
      <c r="Z107" s="72">
        <v>28969</v>
      </c>
      <c r="AA107" s="72">
        <v>0</v>
      </c>
      <c r="AB107" s="72">
        <v>0</v>
      </c>
      <c r="AC107" s="137">
        <f>SUM(Q107:AB107)</f>
        <v>76114.459999999992</v>
      </c>
      <c r="AD107" s="136">
        <f t="shared" ref="AD107:AD112" si="47">P107-AC107</f>
        <v>-2211.0299999999988</v>
      </c>
      <c r="AE107" s="196">
        <f t="shared" ref="AE107:AE112" si="48">AD107/AC107</f>
        <v>-2.9048751052033989E-2</v>
      </c>
      <c r="AF107" s="133">
        <v>65261.359999999993</v>
      </c>
      <c r="AG107" s="124">
        <f t="shared" si="45"/>
        <v>-8642.07</v>
      </c>
    </row>
    <row r="108" spans="1:33">
      <c r="A108" s="105" t="s">
        <v>120</v>
      </c>
      <c r="B108" s="105" t="s">
        <v>383</v>
      </c>
      <c r="C108" s="105" t="s">
        <v>261</v>
      </c>
      <c r="D108" s="215">
        <v>13504.18</v>
      </c>
      <c r="E108" s="215">
        <v>13504.18</v>
      </c>
      <c r="F108" s="215">
        <v>13504.18</v>
      </c>
      <c r="G108" s="215">
        <v>13504.18</v>
      </c>
      <c r="H108" s="215">
        <v>13504.18</v>
      </c>
      <c r="I108" s="215">
        <v>13504.18</v>
      </c>
      <c r="J108" s="215">
        <v>13504.18</v>
      </c>
      <c r="K108" s="215">
        <v>13504.18</v>
      </c>
      <c r="L108" s="215">
        <v>13504.18</v>
      </c>
      <c r="M108" s="215">
        <v>13504.18</v>
      </c>
      <c r="N108" s="215">
        <v>13504.18</v>
      </c>
      <c r="O108" s="215">
        <v>13504.18</v>
      </c>
      <c r="P108" s="137">
        <f>SUM(D108:O108)</f>
        <v>162050.15999999995</v>
      </c>
      <c r="Q108" s="136">
        <v>13690.91</v>
      </c>
      <c r="R108" s="136">
        <v>13722.77</v>
      </c>
      <c r="S108" s="136">
        <v>13675.3</v>
      </c>
      <c r="T108" s="136">
        <v>8453.51</v>
      </c>
      <c r="U108" s="136">
        <v>8487.43</v>
      </c>
      <c r="V108" s="136">
        <v>8451.1299999999992</v>
      </c>
      <c r="W108" s="72">
        <v>8399.7800000000007</v>
      </c>
      <c r="X108" s="72">
        <v>8923.1</v>
      </c>
      <c r="Y108" s="72">
        <v>5682.17</v>
      </c>
      <c r="Z108" s="72">
        <v>5682.17</v>
      </c>
      <c r="AA108" s="72">
        <v>5682.17</v>
      </c>
      <c r="AB108" s="72">
        <v>5682.17</v>
      </c>
      <c r="AC108" s="137">
        <f>SUM(Q108:AB108)</f>
        <v>106532.61</v>
      </c>
      <c r="AD108" s="136">
        <f t="shared" si="47"/>
        <v>55517.549999999945</v>
      </c>
      <c r="AE108" s="196">
        <f t="shared" si="48"/>
        <v>0.52113198015142914</v>
      </c>
      <c r="AF108" s="133">
        <v>124463.22</v>
      </c>
      <c r="AG108" s="124">
        <f t="shared" si="45"/>
        <v>-37586.939999999944</v>
      </c>
    </row>
    <row r="109" spans="1:33">
      <c r="A109" s="105" t="s">
        <v>121</v>
      </c>
      <c r="B109" s="105" t="s">
        <v>383</v>
      </c>
      <c r="C109" s="105" t="s">
        <v>262</v>
      </c>
      <c r="D109" s="215">
        <v>10920</v>
      </c>
      <c r="E109" s="215">
        <v>10920</v>
      </c>
      <c r="F109" s="215">
        <v>10920</v>
      </c>
      <c r="G109" s="215">
        <v>10920</v>
      </c>
      <c r="H109" s="215">
        <v>10920</v>
      </c>
      <c r="I109" s="215">
        <v>10920</v>
      </c>
      <c r="J109" s="215">
        <v>10720</v>
      </c>
      <c r="K109" s="215">
        <v>10720</v>
      </c>
      <c r="L109" s="215">
        <v>10720</v>
      </c>
      <c r="M109" s="215">
        <v>10720</v>
      </c>
      <c r="N109" s="215">
        <v>10720</v>
      </c>
      <c r="O109" s="215">
        <v>10720</v>
      </c>
      <c r="P109" s="137">
        <f>SUM(D109:O109)</f>
        <v>129840</v>
      </c>
      <c r="Q109" s="136">
        <v>6693.87</v>
      </c>
      <c r="R109" s="136">
        <v>7410</v>
      </c>
      <c r="S109" s="136">
        <v>7235</v>
      </c>
      <c r="T109" s="136">
        <v>7010</v>
      </c>
      <c r="U109" s="136">
        <v>7750</v>
      </c>
      <c r="V109" s="136">
        <v>6486.13</v>
      </c>
      <c r="W109" s="72">
        <v>7181</v>
      </c>
      <c r="X109" s="72">
        <v>7825</v>
      </c>
      <c r="Y109" s="72">
        <v>13300</v>
      </c>
      <c r="Z109" s="72">
        <v>11495</v>
      </c>
      <c r="AA109" s="72">
        <v>11495</v>
      </c>
      <c r="AB109" s="72">
        <v>11495</v>
      </c>
      <c r="AC109" s="137">
        <f>SUM(Q109:AB109)</f>
        <v>105376</v>
      </c>
      <c r="AD109" s="136">
        <f t="shared" si="47"/>
        <v>24464</v>
      </c>
      <c r="AE109" s="196">
        <f t="shared" si="48"/>
        <v>0.23215912541755238</v>
      </c>
      <c r="AF109" s="133">
        <v>37685</v>
      </c>
      <c r="AG109" s="124">
        <f t="shared" si="45"/>
        <v>-92155</v>
      </c>
    </row>
    <row r="110" spans="1:33">
      <c r="A110" s="105" t="s">
        <v>122</v>
      </c>
      <c r="B110" s="105" t="s">
        <v>383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7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136">
        <f t="shared" si="47"/>
        <v>0</v>
      </c>
      <c r="AE110" s="196" t="e">
        <f t="shared" si="48"/>
        <v>#DIV/0!</v>
      </c>
      <c r="AF110" s="133">
        <v>0</v>
      </c>
      <c r="AG110" s="124">
        <f t="shared" si="45"/>
        <v>0</v>
      </c>
    </row>
    <row r="111" spans="1:33">
      <c r="A111" s="105" t="s">
        <v>123</v>
      </c>
      <c r="B111" s="105" t="s">
        <v>383</v>
      </c>
      <c r="C111" s="105" t="s">
        <v>264</v>
      </c>
      <c r="D111" s="215">
        <v>1800</v>
      </c>
      <c r="E111" s="215">
        <v>1800</v>
      </c>
      <c r="F111" s="215">
        <v>1800</v>
      </c>
      <c r="G111" s="215">
        <v>1800</v>
      </c>
      <c r="H111" s="215">
        <v>1800</v>
      </c>
      <c r="I111" s="215">
        <v>1800</v>
      </c>
      <c r="J111" s="215">
        <v>2000</v>
      </c>
      <c r="K111" s="215">
        <v>2000</v>
      </c>
      <c r="L111" s="215">
        <v>2000</v>
      </c>
      <c r="M111" s="215">
        <v>2000</v>
      </c>
      <c r="N111" s="215">
        <v>2000</v>
      </c>
      <c r="O111" s="215">
        <v>2000</v>
      </c>
      <c r="P111" s="137">
        <f>SUM(D111:O111)</f>
        <v>22800</v>
      </c>
      <c r="Q111" s="136">
        <v>10212.26</v>
      </c>
      <c r="R111" s="136">
        <v>15650.62</v>
      </c>
      <c r="S111" s="136">
        <v>12134.64</v>
      </c>
      <c r="T111" s="136">
        <v>10199.89</v>
      </c>
      <c r="U111" s="136">
        <v>-6612.85</v>
      </c>
      <c r="V111" s="136">
        <v>4378.33</v>
      </c>
      <c r="W111" s="72">
        <v>4119.0600000000004</v>
      </c>
      <c r="X111" s="72">
        <v>24184.78</v>
      </c>
      <c r="Y111" s="72">
        <v>2800</v>
      </c>
      <c r="Z111" s="72">
        <v>22800</v>
      </c>
      <c r="AA111" s="72">
        <v>22800</v>
      </c>
      <c r="AB111" s="72">
        <v>22800</v>
      </c>
      <c r="AC111" s="137">
        <f>SUM(Q111:AB111)</f>
        <v>145466.73000000001</v>
      </c>
      <c r="AD111" s="136">
        <f t="shared" si="47"/>
        <v>-122666.73000000001</v>
      </c>
      <c r="AE111" s="196">
        <f t="shared" si="48"/>
        <v>-0.84326312965170802</v>
      </c>
      <c r="AF111" s="133">
        <v>155942.07</v>
      </c>
      <c r="AG111" s="124">
        <f t="shared" si="45"/>
        <v>133142.07</v>
      </c>
    </row>
    <row r="112" spans="1:33">
      <c r="A112" s="105" t="s">
        <v>273</v>
      </c>
      <c r="C112" s="109" t="s">
        <v>521</v>
      </c>
      <c r="D112" s="137">
        <f t="shared" ref="D112:O112" si="49">SUM(D107:D111)</f>
        <v>53382.8</v>
      </c>
      <c r="E112" s="137">
        <f t="shared" si="49"/>
        <v>26224.18</v>
      </c>
      <c r="F112" s="137">
        <f t="shared" si="49"/>
        <v>26224.18</v>
      </c>
      <c r="G112" s="137">
        <f t="shared" si="49"/>
        <v>31024.17</v>
      </c>
      <c r="H112" s="137">
        <f t="shared" si="49"/>
        <v>38789.68</v>
      </c>
      <c r="I112" s="137">
        <f t="shared" si="49"/>
        <v>26224.18</v>
      </c>
      <c r="J112" s="137">
        <f t="shared" si="49"/>
        <v>26224.18</v>
      </c>
      <c r="K112" s="137">
        <f t="shared" si="49"/>
        <v>26224.18</v>
      </c>
      <c r="L112" s="137">
        <f t="shared" si="49"/>
        <v>26224.18</v>
      </c>
      <c r="M112" s="137">
        <f t="shared" si="49"/>
        <v>55603.5</v>
      </c>
      <c r="N112" s="137">
        <f t="shared" si="49"/>
        <v>26224.18</v>
      </c>
      <c r="O112" s="137">
        <f t="shared" si="49"/>
        <v>26224.18</v>
      </c>
      <c r="P112" s="137">
        <f>SUM(P107:P111)</f>
        <v>388593.58999999997</v>
      </c>
      <c r="Q112" s="137">
        <f t="shared" ref="Q112:AC112" si="50">SUM(Q107:Q111)</f>
        <v>35990.1</v>
      </c>
      <c r="R112" s="137">
        <f t="shared" si="50"/>
        <v>53638.500000000007</v>
      </c>
      <c r="S112" s="137">
        <f t="shared" si="50"/>
        <v>33044.94</v>
      </c>
      <c r="T112" s="137">
        <f t="shared" si="50"/>
        <v>28904.75</v>
      </c>
      <c r="U112" s="137">
        <f t="shared" si="50"/>
        <v>15459.039999999999</v>
      </c>
      <c r="V112" s="137">
        <f t="shared" si="50"/>
        <v>25481.07</v>
      </c>
      <c r="W112" s="137">
        <f t="shared" si="50"/>
        <v>19699.84</v>
      </c>
      <c r="X112" s="137">
        <f t="shared" si="50"/>
        <v>40932.879999999997</v>
      </c>
      <c r="Y112" s="137">
        <f t="shared" si="50"/>
        <v>31438.17</v>
      </c>
      <c r="Z112" s="137">
        <f t="shared" si="50"/>
        <v>68946.17</v>
      </c>
      <c r="AA112" s="137">
        <f t="shared" si="50"/>
        <v>39977.17</v>
      </c>
      <c r="AB112" s="137">
        <f t="shared" si="50"/>
        <v>39977.17</v>
      </c>
      <c r="AC112" s="137">
        <f t="shared" si="50"/>
        <v>433489.80000000005</v>
      </c>
      <c r="AD112" s="136">
        <f t="shared" si="47"/>
        <v>-44896.210000000079</v>
      </c>
      <c r="AE112" s="196">
        <f t="shared" si="48"/>
        <v>-0.10356924199831247</v>
      </c>
      <c r="AF112" s="133">
        <v>383351.65</v>
      </c>
      <c r="AG112" s="124">
        <f t="shared" si="45"/>
        <v>-5241.9399999999441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5"/>
        <v>0</v>
      </c>
    </row>
    <row r="114" spans="1:33">
      <c r="A114" s="105" t="s">
        <v>124</v>
      </c>
      <c r="B114" s="105" t="s">
        <v>383</v>
      </c>
      <c r="C114" s="105" t="s">
        <v>266</v>
      </c>
      <c r="D114" s="215">
        <v>17385.96</v>
      </c>
      <c r="E114" s="215">
        <v>17385.96</v>
      </c>
      <c r="F114" s="215">
        <v>17385.96</v>
      </c>
      <c r="G114" s="215">
        <v>17385.96</v>
      </c>
      <c r="H114" s="215">
        <v>17385.96</v>
      </c>
      <c r="I114" s="215">
        <v>17385.96</v>
      </c>
      <c r="J114" s="215">
        <v>17767.039999999997</v>
      </c>
      <c r="K114" s="215">
        <v>17767.039999999997</v>
      </c>
      <c r="L114" s="215">
        <v>17767.039999999997</v>
      </c>
      <c r="M114" s="215">
        <v>17767.039999999997</v>
      </c>
      <c r="N114" s="215">
        <v>17767.039999999997</v>
      </c>
      <c r="O114" s="215">
        <v>17767.039999999997</v>
      </c>
      <c r="P114" s="137">
        <f>SUM(D114:O114)</f>
        <v>210918</v>
      </c>
      <c r="Q114" s="136">
        <v>12526.68</v>
      </c>
      <c r="R114" s="136">
        <v>13299.48</v>
      </c>
      <c r="S114" s="136">
        <v>13299.48</v>
      </c>
      <c r="T114" s="136">
        <v>13299.48</v>
      </c>
      <c r="U114" s="136">
        <v>12100.93</v>
      </c>
      <c r="V114" s="136">
        <v>12100.93</v>
      </c>
      <c r="W114" s="72">
        <v>12100.93</v>
      </c>
      <c r="X114" s="72">
        <v>12873.73</v>
      </c>
      <c r="Y114" s="72">
        <v>14047</v>
      </c>
      <c r="Z114" s="72">
        <v>14047</v>
      </c>
      <c r="AA114" s="72">
        <v>14047</v>
      </c>
      <c r="AB114" s="72">
        <v>14047</v>
      </c>
      <c r="AC114" s="137">
        <f t="shared" ref="AC114:AC121" si="51">SUM(Q114:AB114)</f>
        <v>157789.64000000001</v>
      </c>
      <c r="AD114" s="136">
        <f t="shared" ref="AD114:AD122" si="52">P114-AC114</f>
        <v>53128.359999999986</v>
      </c>
      <c r="AE114" s="196">
        <f t="shared" ref="AE114:AE122" si="53">AD114/AC114</f>
        <v>0.33670372782395586</v>
      </c>
      <c r="AF114" s="133">
        <v>95611.150000000009</v>
      </c>
      <c r="AG114" s="124">
        <f t="shared" si="45"/>
        <v>-115306.84999999999</v>
      </c>
    </row>
    <row r="115" spans="1:33">
      <c r="A115" s="105" t="s">
        <v>125</v>
      </c>
      <c r="B115" s="105" t="s">
        <v>383</v>
      </c>
      <c r="C115" s="105" t="s">
        <v>267</v>
      </c>
      <c r="D115" s="215">
        <v>6706.42</v>
      </c>
      <c r="E115" s="215">
        <v>6706.42</v>
      </c>
      <c r="F115" s="215">
        <v>6706.42</v>
      </c>
      <c r="G115" s="215">
        <v>6706.42</v>
      </c>
      <c r="H115" s="215">
        <v>6706.42</v>
      </c>
      <c r="I115" s="215">
        <v>6706.42</v>
      </c>
      <c r="J115" s="215">
        <v>6818.5599999999995</v>
      </c>
      <c r="K115" s="215">
        <v>6818.5599999999995</v>
      </c>
      <c r="L115" s="215">
        <v>6818.5599999999995</v>
      </c>
      <c r="M115" s="215">
        <v>6818.5599999999995</v>
      </c>
      <c r="N115" s="215">
        <v>6818.5599999999995</v>
      </c>
      <c r="O115" s="215">
        <v>6818.5599999999995</v>
      </c>
      <c r="P115" s="137">
        <f t="shared" ref="P115:P121" si="54">SUM(D115:O115)</f>
        <v>81149.87999999999</v>
      </c>
      <c r="Q115" s="136">
        <v>6654.79</v>
      </c>
      <c r="R115" s="136">
        <v>7065.34</v>
      </c>
      <c r="S115" s="136">
        <v>7065.34</v>
      </c>
      <c r="T115" s="136">
        <v>7065.34</v>
      </c>
      <c r="U115" s="136">
        <v>6428.61</v>
      </c>
      <c r="V115" s="136">
        <v>6428.61</v>
      </c>
      <c r="W115" s="72">
        <v>4916</v>
      </c>
      <c r="X115" s="72">
        <v>5229.95</v>
      </c>
      <c r="Y115" s="72">
        <v>7102</v>
      </c>
      <c r="Z115" s="72">
        <v>7102</v>
      </c>
      <c r="AA115" s="72">
        <v>7102</v>
      </c>
      <c r="AB115" s="72">
        <v>7102</v>
      </c>
      <c r="AC115" s="137">
        <f t="shared" si="51"/>
        <v>79261.98</v>
      </c>
      <c r="AD115" s="136">
        <f t="shared" si="52"/>
        <v>1887.8999999999942</v>
      </c>
      <c r="AE115" s="196">
        <f t="shared" si="53"/>
        <v>2.3818481445959265E-2</v>
      </c>
      <c r="AF115" s="133">
        <v>46554.87</v>
      </c>
      <c r="AG115" s="124">
        <f t="shared" si="45"/>
        <v>-34595.009999999987</v>
      </c>
    </row>
    <row r="116" spans="1:33">
      <c r="A116" s="105" t="s">
        <v>126</v>
      </c>
      <c r="B116" s="105" t="s">
        <v>383</v>
      </c>
      <c r="C116" s="105" t="s">
        <v>268</v>
      </c>
      <c r="D116" s="215">
        <v>541.49</v>
      </c>
      <c r="E116" s="215">
        <v>541.49</v>
      </c>
      <c r="F116" s="215">
        <v>541.49</v>
      </c>
      <c r="G116" s="215">
        <v>541.49</v>
      </c>
      <c r="H116" s="215">
        <v>541.49</v>
      </c>
      <c r="I116" s="215">
        <v>541.49</v>
      </c>
      <c r="J116" s="215">
        <v>551.56999999999994</v>
      </c>
      <c r="K116" s="215">
        <v>551.56999999999994</v>
      </c>
      <c r="L116" s="215">
        <v>551.56999999999994</v>
      </c>
      <c r="M116" s="215">
        <v>551.56999999999994</v>
      </c>
      <c r="N116" s="215">
        <v>551.56999999999994</v>
      </c>
      <c r="O116" s="215">
        <v>551.56999999999994</v>
      </c>
      <c r="P116" s="137">
        <f t="shared" si="54"/>
        <v>6558.3599999999979</v>
      </c>
      <c r="Q116" s="136">
        <v>391.45</v>
      </c>
      <c r="R116" s="136">
        <v>415.6</v>
      </c>
      <c r="S116" s="136">
        <v>415.6</v>
      </c>
      <c r="T116" s="136">
        <v>415.6</v>
      </c>
      <c r="U116" s="136">
        <v>378.15</v>
      </c>
      <c r="V116" s="136">
        <v>378.15</v>
      </c>
      <c r="W116" s="72">
        <v>378.15</v>
      </c>
      <c r="X116" s="72">
        <v>402.3</v>
      </c>
      <c r="Y116" s="72">
        <v>444</v>
      </c>
      <c r="Z116" s="72">
        <v>444</v>
      </c>
      <c r="AA116" s="72">
        <v>444</v>
      </c>
      <c r="AB116" s="72">
        <v>444</v>
      </c>
      <c r="AC116" s="137">
        <f t="shared" si="51"/>
        <v>4951</v>
      </c>
      <c r="AD116" s="136">
        <f t="shared" si="52"/>
        <v>1607.3599999999979</v>
      </c>
      <c r="AE116" s="196">
        <f t="shared" si="53"/>
        <v>0.32465360533225568</v>
      </c>
      <c r="AF116" s="133">
        <v>2856.4700000000003</v>
      </c>
      <c r="AG116" s="124">
        <f t="shared" si="45"/>
        <v>-3701.8899999999976</v>
      </c>
    </row>
    <row r="117" spans="1:33">
      <c r="A117" s="105" t="s">
        <v>127</v>
      </c>
      <c r="B117" s="105" t="s">
        <v>383</v>
      </c>
      <c r="C117" s="105" t="s">
        <v>269</v>
      </c>
      <c r="D117" s="215">
        <v>129.94</v>
      </c>
      <c r="E117" s="215">
        <v>129.94</v>
      </c>
      <c r="F117" s="215">
        <v>129.94</v>
      </c>
      <c r="G117" s="215">
        <v>129.94</v>
      </c>
      <c r="H117" s="215">
        <v>129.94</v>
      </c>
      <c r="I117" s="215">
        <v>129.94</v>
      </c>
      <c r="J117" s="215">
        <v>132.39000000000001</v>
      </c>
      <c r="K117" s="215">
        <v>132.39000000000001</v>
      </c>
      <c r="L117" s="215">
        <v>132.39000000000001</v>
      </c>
      <c r="M117" s="215">
        <v>132.39000000000001</v>
      </c>
      <c r="N117" s="215">
        <v>132.39000000000001</v>
      </c>
      <c r="O117" s="215">
        <v>132.39000000000001</v>
      </c>
      <c r="P117" s="137">
        <f t="shared" si="54"/>
        <v>1573.9800000000005</v>
      </c>
      <c r="Q117" s="136">
        <v>93.97</v>
      </c>
      <c r="R117" s="136">
        <v>99.77</v>
      </c>
      <c r="S117" s="136">
        <v>99.77</v>
      </c>
      <c r="T117" s="136">
        <v>99.77</v>
      </c>
      <c r="U117" s="136">
        <v>90.78</v>
      </c>
      <c r="V117" s="136">
        <v>90.78</v>
      </c>
      <c r="W117" s="72">
        <v>90.78</v>
      </c>
      <c r="X117" s="72">
        <v>96.58</v>
      </c>
      <c r="Y117" s="72">
        <v>135</v>
      </c>
      <c r="Z117" s="72">
        <v>135</v>
      </c>
      <c r="AA117" s="72">
        <v>135</v>
      </c>
      <c r="AB117" s="72">
        <v>135</v>
      </c>
      <c r="AC117" s="137">
        <f t="shared" si="51"/>
        <v>1302.1999999999998</v>
      </c>
      <c r="AD117" s="136">
        <f t="shared" si="52"/>
        <v>271.78000000000065</v>
      </c>
      <c r="AE117" s="196">
        <f t="shared" si="53"/>
        <v>0.20870833973276048</v>
      </c>
      <c r="AF117" s="133">
        <v>914.22</v>
      </c>
      <c r="AG117" s="124">
        <f t="shared" si="45"/>
        <v>-659.76000000000045</v>
      </c>
    </row>
    <row r="118" spans="1:33">
      <c r="A118" s="105" t="s">
        <v>128</v>
      </c>
      <c r="B118" s="105" t="s">
        <v>383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7">
        <f t="shared" si="54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51"/>
        <v>0</v>
      </c>
      <c r="AD118" s="136">
        <f t="shared" si="52"/>
        <v>0</v>
      </c>
      <c r="AE118" s="196" t="e">
        <f t="shared" si="53"/>
        <v>#DIV/0!</v>
      </c>
      <c r="AF118" s="133">
        <v>2005.3</v>
      </c>
      <c r="AG118" s="124">
        <f t="shared" si="45"/>
        <v>2005.3</v>
      </c>
    </row>
    <row r="119" spans="1:33">
      <c r="A119" s="105" t="s">
        <v>129</v>
      </c>
      <c r="B119" s="105" t="s">
        <v>383</v>
      </c>
      <c r="C119" s="105" t="s">
        <v>271</v>
      </c>
      <c r="D119" s="215">
        <v>5175.26</v>
      </c>
      <c r="E119" s="215">
        <v>5175.26</v>
      </c>
      <c r="F119" s="215">
        <v>5175.26</v>
      </c>
      <c r="G119" s="215">
        <v>5175.26</v>
      </c>
      <c r="H119" s="215">
        <v>5175.26</v>
      </c>
      <c r="I119" s="215">
        <v>5175.26</v>
      </c>
      <c r="J119" s="215">
        <v>5515.35</v>
      </c>
      <c r="K119" s="215">
        <v>5175.26</v>
      </c>
      <c r="L119" s="215">
        <v>5175.26</v>
      </c>
      <c r="M119" s="215">
        <v>5175.26</v>
      </c>
      <c r="N119" s="215">
        <v>5515.35</v>
      </c>
      <c r="O119" s="215">
        <v>5175.26</v>
      </c>
      <c r="P119" s="137">
        <f t="shared" si="54"/>
        <v>62783.30000000001</v>
      </c>
      <c r="Q119" s="136">
        <v>3826</v>
      </c>
      <c r="R119" s="136">
        <v>3986</v>
      </c>
      <c r="S119" s="136">
        <v>3986</v>
      </c>
      <c r="T119" s="136">
        <v>3986</v>
      </c>
      <c r="U119" s="136">
        <v>3611</v>
      </c>
      <c r="V119" s="136">
        <v>3611</v>
      </c>
      <c r="W119" s="72">
        <v>3522</v>
      </c>
      <c r="X119" s="72">
        <v>3729</v>
      </c>
      <c r="Y119" s="72">
        <v>3817</v>
      </c>
      <c r="Z119" s="72">
        <v>3817</v>
      </c>
      <c r="AA119" s="72">
        <v>3817</v>
      </c>
      <c r="AB119" s="72">
        <v>3817</v>
      </c>
      <c r="AC119" s="137">
        <f t="shared" si="51"/>
        <v>45525</v>
      </c>
      <c r="AD119" s="136">
        <f t="shared" si="52"/>
        <v>17258.30000000001</v>
      </c>
      <c r="AE119" s="196">
        <f t="shared" si="53"/>
        <v>0.37909500274574431</v>
      </c>
      <c r="AF119" s="133">
        <v>26866</v>
      </c>
      <c r="AG119" s="124">
        <f t="shared" si="45"/>
        <v>-35917.30000000001</v>
      </c>
    </row>
    <row r="120" spans="1:33">
      <c r="A120" s="105" t="s">
        <v>130</v>
      </c>
      <c r="B120" s="105" t="s">
        <v>383</v>
      </c>
      <c r="C120" s="105" t="s">
        <v>272</v>
      </c>
      <c r="D120" s="215">
        <v>1926</v>
      </c>
      <c r="E120" s="215">
        <v>1382</v>
      </c>
      <c r="F120" s="215">
        <v>1382</v>
      </c>
      <c r="G120" s="215">
        <v>1478</v>
      </c>
      <c r="H120" s="215">
        <v>1634</v>
      </c>
      <c r="I120" s="215">
        <v>1382</v>
      </c>
      <c r="J120" s="215">
        <v>1382</v>
      </c>
      <c r="K120" s="215">
        <v>1382</v>
      </c>
      <c r="L120" s="215">
        <v>1382</v>
      </c>
      <c r="M120" s="215">
        <v>1970</v>
      </c>
      <c r="N120" s="215">
        <v>1382</v>
      </c>
      <c r="O120" s="215">
        <v>1382</v>
      </c>
      <c r="P120" s="137">
        <f t="shared" si="54"/>
        <v>18064</v>
      </c>
      <c r="Q120" s="136">
        <v>1384.85</v>
      </c>
      <c r="R120" s="136">
        <v>1666.1</v>
      </c>
      <c r="S120" s="136">
        <v>2591.9699999999998</v>
      </c>
      <c r="T120" s="136">
        <v>2151.2399999999998</v>
      </c>
      <c r="U120" s="136">
        <v>1360.49</v>
      </c>
      <c r="V120" s="136">
        <v>1350.16</v>
      </c>
      <c r="W120" s="72">
        <v>1191.9100000000001</v>
      </c>
      <c r="X120" s="72">
        <v>1317.94</v>
      </c>
      <c r="Y120" s="72">
        <v>2522</v>
      </c>
      <c r="Z120" s="72">
        <v>2522</v>
      </c>
      <c r="AA120" s="72">
        <v>2522</v>
      </c>
      <c r="AB120" s="72">
        <v>2522</v>
      </c>
      <c r="AC120" s="137">
        <f t="shared" si="51"/>
        <v>23102.66</v>
      </c>
      <c r="AD120" s="136">
        <f t="shared" si="52"/>
        <v>-5038.66</v>
      </c>
      <c r="AE120" s="196">
        <f t="shared" si="53"/>
        <v>-0.21809869512861288</v>
      </c>
      <c r="AF120" s="133">
        <v>19778.030000000002</v>
      </c>
      <c r="AG120" s="124">
        <f t="shared" si="45"/>
        <v>1714.0300000000025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7">
        <f t="shared" si="54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51"/>
        <v>0</v>
      </c>
      <c r="AD121" s="136">
        <f t="shared" si="52"/>
        <v>0</v>
      </c>
      <c r="AE121" s="196" t="e">
        <f t="shared" si="53"/>
        <v>#DIV/0!</v>
      </c>
      <c r="AF121" s="133">
        <v>0</v>
      </c>
      <c r="AG121" s="124">
        <f t="shared" si="45"/>
        <v>0</v>
      </c>
    </row>
    <row r="122" spans="1:33">
      <c r="A122" s="105" t="s">
        <v>273</v>
      </c>
      <c r="C122" s="109" t="s">
        <v>522</v>
      </c>
      <c r="D122" s="137">
        <f t="shared" ref="D122:AC122" si="55">SUM(D114:D121)</f>
        <v>31865.07</v>
      </c>
      <c r="E122" s="137">
        <f t="shared" si="55"/>
        <v>31321.07</v>
      </c>
      <c r="F122" s="137">
        <f t="shared" si="55"/>
        <v>31321.07</v>
      </c>
      <c r="G122" s="137">
        <f t="shared" si="55"/>
        <v>31417.07</v>
      </c>
      <c r="H122" s="137">
        <f t="shared" si="55"/>
        <v>31573.07</v>
      </c>
      <c r="I122" s="137">
        <f t="shared" si="55"/>
        <v>31321.07</v>
      </c>
      <c r="J122" s="137">
        <f t="shared" si="55"/>
        <v>32166.909999999996</v>
      </c>
      <c r="K122" s="137">
        <f t="shared" si="55"/>
        <v>31826.82</v>
      </c>
      <c r="L122" s="137">
        <f t="shared" si="55"/>
        <v>31826.82</v>
      </c>
      <c r="M122" s="137">
        <f t="shared" si="55"/>
        <v>32414.82</v>
      </c>
      <c r="N122" s="137">
        <f t="shared" si="55"/>
        <v>32166.909999999996</v>
      </c>
      <c r="O122" s="137">
        <f t="shared" si="55"/>
        <v>31826.82</v>
      </c>
      <c r="P122" s="137">
        <f t="shared" si="55"/>
        <v>381047.51999999996</v>
      </c>
      <c r="Q122" s="137">
        <f t="shared" si="55"/>
        <v>24877.74</v>
      </c>
      <c r="R122" s="137">
        <f t="shared" si="55"/>
        <v>26532.289999999997</v>
      </c>
      <c r="S122" s="137">
        <f t="shared" si="55"/>
        <v>27458.16</v>
      </c>
      <c r="T122" s="137">
        <f t="shared" si="55"/>
        <v>27017.43</v>
      </c>
      <c r="U122" s="137">
        <f t="shared" si="55"/>
        <v>23969.960000000003</v>
      </c>
      <c r="V122" s="137">
        <f t="shared" si="55"/>
        <v>23959.63</v>
      </c>
      <c r="W122" s="137">
        <f t="shared" si="55"/>
        <v>22199.77</v>
      </c>
      <c r="X122" s="137">
        <f t="shared" si="55"/>
        <v>23649.5</v>
      </c>
      <c r="Y122" s="137">
        <f t="shared" si="55"/>
        <v>28067</v>
      </c>
      <c r="Z122" s="137">
        <f t="shared" si="55"/>
        <v>28067</v>
      </c>
      <c r="AA122" s="137">
        <f t="shared" si="55"/>
        <v>28067</v>
      </c>
      <c r="AB122" s="137">
        <f t="shared" si="55"/>
        <v>28067</v>
      </c>
      <c r="AC122" s="137">
        <f t="shared" si="55"/>
        <v>311932.48</v>
      </c>
      <c r="AD122" s="136">
        <f t="shared" si="52"/>
        <v>69115.039999999979</v>
      </c>
      <c r="AE122" s="196">
        <f t="shared" si="53"/>
        <v>0.22157051423436247</v>
      </c>
      <c r="AF122" s="133">
        <v>194586.04</v>
      </c>
      <c r="AG122" s="124">
        <f t="shared" si="45"/>
        <v>-186461.47999999995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7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5"/>
        <v>0</v>
      </c>
    </row>
    <row r="124" spans="1:33">
      <c r="A124" s="105" t="s">
        <v>131</v>
      </c>
      <c r="B124" s="105" t="s">
        <v>383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16">
        <f t="shared" ref="P124:P132" si="56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7">SUM(Q124:AB124)</f>
        <v>0</v>
      </c>
      <c r="AD124" s="136">
        <f t="shared" ref="AD124:AD134" si="58">P124-AC124</f>
        <v>0</v>
      </c>
      <c r="AE124" s="196" t="e">
        <f t="shared" ref="AE124:AE134" si="59">AD124/AC124</f>
        <v>#DIV/0!</v>
      </c>
      <c r="AF124" s="133">
        <v>0</v>
      </c>
      <c r="AG124" s="124">
        <f t="shared" si="45"/>
        <v>0</v>
      </c>
    </row>
    <row r="125" spans="1:33">
      <c r="A125" s="105" t="s">
        <v>132</v>
      </c>
      <c r="B125" s="105" t="s">
        <v>383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16">
        <f t="shared" si="56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7"/>
        <v>0</v>
      </c>
      <c r="AD125" s="136">
        <f t="shared" si="58"/>
        <v>0</v>
      </c>
      <c r="AE125" s="196" t="e">
        <f t="shared" si="59"/>
        <v>#DIV/0!</v>
      </c>
      <c r="AF125" s="133">
        <v>0</v>
      </c>
      <c r="AG125" s="124">
        <f t="shared" si="45"/>
        <v>0</v>
      </c>
    </row>
    <row r="126" spans="1:33">
      <c r="A126" s="105" t="s">
        <v>133</v>
      </c>
      <c r="B126" s="105" t="s">
        <v>383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16">
        <f t="shared" si="56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7"/>
        <v>0</v>
      </c>
      <c r="AD126" s="136">
        <f t="shared" si="58"/>
        <v>0</v>
      </c>
      <c r="AE126" s="196" t="e">
        <f t="shared" si="59"/>
        <v>#DIV/0!</v>
      </c>
      <c r="AF126" s="133">
        <v>0</v>
      </c>
      <c r="AG126" s="124">
        <f t="shared" si="45"/>
        <v>0</v>
      </c>
    </row>
    <row r="127" spans="1:33">
      <c r="A127" s="105" t="s">
        <v>134</v>
      </c>
      <c r="B127" s="105" t="s">
        <v>383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16">
        <f t="shared" si="56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7"/>
        <v>0</v>
      </c>
      <c r="AD127" s="136">
        <f t="shared" si="58"/>
        <v>0</v>
      </c>
      <c r="AE127" s="196" t="e">
        <f t="shared" si="59"/>
        <v>#DIV/0!</v>
      </c>
      <c r="AF127" s="133">
        <v>0</v>
      </c>
      <c r="AG127" s="124">
        <f t="shared" si="45"/>
        <v>0</v>
      </c>
    </row>
    <row r="128" spans="1:33">
      <c r="A128" s="105" t="s">
        <v>135</v>
      </c>
      <c r="B128" s="105" t="s">
        <v>383</v>
      </c>
      <c r="C128" s="105" t="s">
        <v>280</v>
      </c>
      <c r="D128" s="215">
        <v>340.68</v>
      </c>
      <c r="E128" s="215">
        <v>340.68</v>
      </c>
      <c r="F128" s="215">
        <v>340.68</v>
      </c>
      <c r="G128" s="215">
        <v>340.68</v>
      </c>
      <c r="H128" s="215">
        <v>340.68</v>
      </c>
      <c r="I128" s="215">
        <v>340.68</v>
      </c>
      <c r="J128" s="215">
        <v>340.68</v>
      </c>
      <c r="K128" s="215">
        <v>340.68</v>
      </c>
      <c r="L128" s="215">
        <v>340.68</v>
      </c>
      <c r="M128" s="215">
        <v>340.68</v>
      </c>
      <c r="N128" s="215">
        <v>340.68</v>
      </c>
      <c r="O128" s="215">
        <v>340.68</v>
      </c>
      <c r="P128" s="216">
        <f t="shared" si="56"/>
        <v>4088.1599999999994</v>
      </c>
      <c r="Q128" s="136">
        <v>282.76</v>
      </c>
      <c r="R128" s="136">
        <v>285.14999999999998</v>
      </c>
      <c r="S128" s="136">
        <v>282.76</v>
      </c>
      <c r="T128" s="136">
        <v>263.91000000000003</v>
      </c>
      <c r="U128" s="136">
        <v>275.44</v>
      </c>
      <c r="V128" s="136">
        <v>276.64</v>
      </c>
      <c r="W128" s="72">
        <v>279.70999999999998</v>
      </c>
      <c r="X128" s="72">
        <v>274.23</v>
      </c>
      <c r="Y128" s="72">
        <v>356</v>
      </c>
      <c r="Z128" s="72">
        <v>356</v>
      </c>
      <c r="AA128" s="72">
        <v>356</v>
      </c>
      <c r="AB128" s="72">
        <v>356</v>
      </c>
      <c r="AC128" s="137">
        <f t="shared" si="57"/>
        <v>3644.6</v>
      </c>
      <c r="AD128" s="136">
        <f t="shared" si="58"/>
        <v>443.55999999999949</v>
      </c>
      <c r="AE128" s="196">
        <f t="shared" si="59"/>
        <v>0.12170334193052722</v>
      </c>
      <c r="AF128" s="133">
        <v>5418.34</v>
      </c>
      <c r="AG128" s="124">
        <f t="shared" si="45"/>
        <v>1330.1800000000007</v>
      </c>
    </row>
    <row r="129" spans="1:33">
      <c r="A129" s="105" t="s">
        <v>136</v>
      </c>
      <c r="B129" s="105" t="s">
        <v>383</v>
      </c>
      <c r="C129" s="105" t="s">
        <v>282</v>
      </c>
      <c r="D129" s="164">
        <v>3783</v>
      </c>
      <c r="E129" s="164">
        <v>3478</v>
      </c>
      <c r="F129" s="164">
        <v>3526</v>
      </c>
      <c r="G129" s="164">
        <v>3974</v>
      </c>
      <c r="H129" s="164">
        <v>4112</v>
      </c>
      <c r="I129" s="164">
        <v>3898</v>
      </c>
      <c r="J129" s="164">
        <v>3917</v>
      </c>
      <c r="K129" s="164">
        <v>3999</v>
      </c>
      <c r="L129" s="164">
        <v>4000</v>
      </c>
      <c r="M129" s="164">
        <v>4019</v>
      </c>
      <c r="N129" s="164">
        <v>3730</v>
      </c>
      <c r="O129" s="164">
        <v>3721</v>
      </c>
      <c r="P129" s="216">
        <f t="shared" si="56"/>
        <v>46157</v>
      </c>
      <c r="Q129" s="136">
        <v>5746.28</v>
      </c>
      <c r="R129" s="136">
        <v>6096.23</v>
      </c>
      <c r="S129" s="136">
        <v>5337.82</v>
      </c>
      <c r="T129" s="136">
        <v>5772.89</v>
      </c>
      <c r="U129" s="136">
        <v>6305.1</v>
      </c>
      <c r="V129" s="136">
        <v>6069.32</v>
      </c>
      <c r="W129" s="72">
        <v>5202.21</v>
      </c>
      <c r="X129" s="72">
        <v>6234.38</v>
      </c>
      <c r="Y129" s="72">
        <v>12195</v>
      </c>
      <c r="Z129" s="72">
        <v>11596</v>
      </c>
      <c r="AA129" s="72">
        <v>10846</v>
      </c>
      <c r="AB129" s="72">
        <v>10847</v>
      </c>
      <c r="AC129" s="137">
        <f t="shared" si="57"/>
        <v>92248.23</v>
      </c>
      <c r="AD129" s="136">
        <f t="shared" si="58"/>
        <v>-46091.229999999996</v>
      </c>
      <c r="AE129" s="196">
        <f t="shared" si="59"/>
        <v>-0.49964351619537845</v>
      </c>
      <c r="AF129" s="133">
        <v>78386.73</v>
      </c>
      <c r="AG129" s="124">
        <f t="shared" si="45"/>
        <v>32229.729999999996</v>
      </c>
    </row>
    <row r="130" spans="1:33">
      <c r="A130" s="105" t="s">
        <v>137</v>
      </c>
      <c r="B130" s="105" t="s">
        <v>383</v>
      </c>
      <c r="C130" s="105" t="s">
        <v>283</v>
      </c>
      <c r="D130" s="164">
        <v>15690.54</v>
      </c>
      <c r="E130" s="164">
        <v>13236.54</v>
      </c>
      <c r="F130" s="164">
        <v>13250.1</v>
      </c>
      <c r="G130" s="164">
        <v>13436.1</v>
      </c>
      <c r="H130" s="164">
        <v>14457.54</v>
      </c>
      <c r="I130" s="164">
        <v>13459.65</v>
      </c>
      <c r="J130" s="164">
        <v>13378.65</v>
      </c>
      <c r="K130" s="164">
        <v>13367.65</v>
      </c>
      <c r="L130" s="164">
        <v>13449.65</v>
      </c>
      <c r="M130" s="164">
        <v>15571.19</v>
      </c>
      <c r="N130" s="164">
        <v>13395.1</v>
      </c>
      <c r="O130" s="164">
        <v>13385.1</v>
      </c>
      <c r="P130" s="216">
        <f t="shared" si="56"/>
        <v>166077.81</v>
      </c>
      <c r="Q130" s="136">
        <v>19625.04</v>
      </c>
      <c r="R130" s="136">
        <v>18226.03</v>
      </c>
      <c r="S130" s="136">
        <v>17446.29</v>
      </c>
      <c r="T130" s="136">
        <v>15695.39</v>
      </c>
      <c r="U130" s="136">
        <v>11537.06</v>
      </c>
      <c r="V130" s="136">
        <v>13128.82</v>
      </c>
      <c r="W130" s="72">
        <v>12835.21</v>
      </c>
      <c r="X130" s="72">
        <v>13328.66</v>
      </c>
      <c r="Y130" s="72">
        <v>32628</v>
      </c>
      <c r="Z130" s="72">
        <v>35116</v>
      </c>
      <c r="AA130" s="72">
        <v>32930</v>
      </c>
      <c r="AB130" s="72">
        <v>32930</v>
      </c>
      <c r="AC130" s="137">
        <f t="shared" si="57"/>
        <v>255426.5</v>
      </c>
      <c r="AD130" s="136">
        <f t="shared" si="58"/>
        <v>-89348.69</v>
      </c>
      <c r="AE130" s="196">
        <f t="shared" si="59"/>
        <v>-0.34980195868478803</v>
      </c>
      <c r="AF130" s="133">
        <v>286257.36</v>
      </c>
      <c r="AG130" s="124">
        <f t="shared" si="45"/>
        <v>120179.54999999999</v>
      </c>
    </row>
    <row r="131" spans="1:33">
      <c r="A131" s="105" t="s">
        <v>138</v>
      </c>
      <c r="B131" s="105" t="s">
        <v>383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16">
        <f t="shared" si="56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7"/>
        <v>0</v>
      </c>
      <c r="AD131" s="136">
        <f t="shared" si="58"/>
        <v>0</v>
      </c>
      <c r="AE131" s="196" t="e">
        <f t="shared" si="59"/>
        <v>#DIV/0!</v>
      </c>
      <c r="AF131" s="133">
        <v>0</v>
      </c>
      <c r="AG131" s="124">
        <f t="shared" si="45"/>
        <v>0</v>
      </c>
    </row>
    <row r="132" spans="1:33">
      <c r="A132" s="105" t="s">
        <v>140</v>
      </c>
      <c r="B132" s="105" t="s">
        <v>383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16">
        <f t="shared" si="56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7"/>
        <v>0</v>
      </c>
      <c r="AD132" s="136">
        <f t="shared" si="58"/>
        <v>0</v>
      </c>
      <c r="AE132" s="196" t="e">
        <f t="shared" si="59"/>
        <v>#DIV/0!</v>
      </c>
      <c r="AF132" s="133">
        <v>0</v>
      </c>
      <c r="AG132" s="124">
        <f t="shared" si="45"/>
        <v>0</v>
      </c>
    </row>
    <row r="133" spans="1:33">
      <c r="A133" s="105" t="s">
        <v>273</v>
      </c>
      <c r="C133" s="109" t="s">
        <v>523</v>
      </c>
      <c r="D133" s="137">
        <f t="shared" ref="D133:AC133" si="60">SUM(D124:D132)</f>
        <v>19814.22</v>
      </c>
      <c r="E133" s="137">
        <f t="shared" si="60"/>
        <v>17055.22</v>
      </c>
      <c r="F133" s="137">
        <f t="shared" si="60"/>
        <v>17116.78</v>
      </c>
      <c r="G133" s="137">
        <f t="shared" si="60"/>
        <v>17750.78</v>
      </c>
      <c r="H133" s="137">
        <f t="shared" si="60"/>
        <v>18910.22</v>
      </c>
      <c r="I133" s="137">
        <f t="shared" si="60"/>
        <v>17698.330000000002</v>
      </c>
      <c r="J133" s="137">
        <f t="shared" si="60"/>
        <v>17636.330000000002</v>
      </c>
      <c r="K133" s="137">
        <f t="shared" si="60"/>
        <v>17707.330000000002</v>
      </c>
      <c r="L133" s="137">
        <f t="shared" si="60"/>
        <v>17790.330000000002</v>
      </c>
      <c r="M133" s="137">
        <f t="shared" si="60"/>
        <v>19930.870000000003</v>
      </c>
      <c r="N133" s="137">
        <f t="shared" si="60"/>
        <v>17465.78</v>
      </c>
      <c r="O133" s="137">
        <f t="shared" si="60"/>
        <v>17446.78</v>
      </c>
      <c r="P133" s="137">
        <f t="shared" si="60"/>
        <v>216322.97</v>
      </c>
      <c r="Q133" s="137">
        <f t="shared" si="60"/>
        <v>25654.080000000002</v>
      </c>
      <c r="R133" s="137">
        <f t="shared" si="60"/>
        <v>24607.409999999996</v>
      </c>
      <c r="S133" s="137">
        <f t="shared" si="60"/>
        <v>23066.870000000003</v>
      </c>
      <c r="T133" s="137">
        <f t="shared" si="60"/>
        <v>21732.19</v>
      </c>
      <c r="U133" s="137">
        <f t="shared" si="60"/>
        <v>18117.599999999999</v>
      </c>
      <c r="V133" s="137">
        <f t="shared" si="60"/>
        <v>19474.78</v>
      </c>
      <c r="W133" s="137">
        <f t="shared" si="60"/>
        <v>18317.129999999997</v>
      </c>
      <c r="X133" s="137">
        <f t="shared" si="60"/>
        <v>19837.27</v>
      </c>
      <c r="Y133" s="137">
        <f t="shared" si="60"/>
        <v>45179</v>
      </c>
      <c r="Z133" s="137">
        <f t="shared" si="60"/>
        <v>47068</v>
      </c>
      <c r="AA133" s="137">
        <f t="shared" si="60"/>
        <v>44132</v>
      </c>
      <c r="AB133" s="137">
        <f t="shared" si="60"/>
        <v>44133</v>
      </c>
      <c r="AC133" s="137">
        <f t="shared" si="60"/>
        <v>351319.33</v>
      </c>
      <c r="AD133" s="136">
        <f t="shared" si="58"/>
        <v>-134996.36000000002</v>
      </c>
      <c r="AE133" s="196">
        <f t="shared" si="59"/>
        <v>-0.38425542938385998</v>
      </c>
      <c r="AF133" s="133">
        <v>370062.43</v>
      </c>
      <c r="AG133" s="124">
        <f t="shared" si="45"/>
        <v>153739.46</v>
      </c>
    </row>
    <row r="134" spans="1:33">
      <c r="A134" s="105" t="s">
        <v>273</v>
      </c>
      <c r="C134" s="109" t="s">
        <v>524</v>
      </c>
      <c r="D134" s="137">
        <f t="shared" ref="D134:AC134" si="61">D105+D112+D122+D133</f>
        <v>156481.96</v>
      </c>
      <c r="E134" s="137">
        <f t="shared" si="61"/>
        <v>126020.34</v>
      </c>
      <c r="F134" s="137">
        <f t="shared" si="61"/>
        <v>126081.9</v>
      </c>
      <c r="G134" s="137">
        <f t="shared" si="61"/>
        <v>131611.88999999998</v>
      </c>
      <c r="H134" s="137">
        <f t="shared" si="61"/>
        <v>140692.84</v>
      </c>
      <c r="I134" s="137">
        <f t="shared" si="61"/>
        <v>126663.45</v>
      </c>
      <c r="J134" s="137">
        <f t="shared" si="61"/>
        <v>127447.29</v>
      </c>
      <c r="K134" s="137">
        <f t="shared" si="61"/>
        <v>127178.2</v>
      </c>
      <c r="L134" s="137">
        <f t="shared" si="61"/>
        <v>127261.2</v>
      </c>
      <c r="M134" s="137">
        <f t="shared" si="61"/>
        <v>159369.06</v>
      </c>
      <c r="N134" s="137">
        <f t="shared" si="61"/>
        <v>127276.73999999999</v>
      </c>
      <c r="O134" s="137">
        <f t="shared" si="61"/>
        <v>126917.65</v>
      </c>
      <c r="P134" s="137">
        <f t="shared" si="61"/>
        <v>1603002.5199999998</v>
      </c>
      <c r="Q134" s="137">
        <f t="shared" si="61"/>
        <v>138857.54999999999</v>
      </c>
      <c r="R134" s="137">
        <f t="shared" si="61"/>
        <v>159578.20000000001</v>
      </c>
      <c r="S134" s="137">
        <f t="shared" si="61"/>
        <v>138369.97</v>
      </c>
      <c r="T134" s="137">
        <f t="shared" si="61"/>
        <v>128212.43</v>
      </c>
      <c r="U134" s="137">
        <f t="shared" si="61"/>
        <v>108346.6</v>
      </c>
      <c r="V134" s="137">
        <f t="shared" si="61"/>
        <v>119412.03</v>
      </c>
      <c r="W134" s="137">
        <f t="shared" si="61"/>
        <v>109191.41</v>
      </c>
      <c r="X134" s="137">
        <f t="shared" si="61"/>
        <v>138019.65</v>
      </c>
      <c r="Y134" s="137">
        <f t="shared" si="61"/>
        <v>158777.16999999998</v>
      </c>
      <c r="Z134" s="137">
        <f t="shared" si="61"/>
        <v>198174.16999999998</v>
      </c>
      <c r="AA134" s="137">
        <f t="shared" si="61"/>
        <v>166269.16999999998</v>
      </c>
      <c r="AB134" s="137">
        <f t="shared" si="61"/>
        <v>166270.16999999998</v>
      </c>
      <c r="AC134" s="137">
        <f t="shared" si="61"/>
        <v>1729478.52</v>
      </c>
      <c r="AD134" s="136">
        <f t="shared" si="58"/>
        <v>-126476.00000000023</v>
      </c>
      <c r="AE134" s="196">
        <f t="shared" si="59"/>
        <v>-7.3129558151436444E-2</v>
      </c>
      <c r="AF134" s="133">
        <v>1663432.3</v>
      </c>
      <c r="AG134" s="124">
        <f t="shared" si="45"/>
        <v>60429.780000000261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5"/>
        <v>0</v>
      </c>
    </row>
    <row r="136" spans="1:33" s="224" customFormat="1">
      <c r="A136" s="224" t="s">
        <v>141</v>
      </c>
      <c r="B136" s="224" t="s">
        <v>383</v>
      </c>
      <c r="C136" s="224" t="s">
        <v>142</v>
      </c>
      <c r="D136" s="215">
        <v>15</v>
      </c>
      <c r="E136" s="215">
        <v>15</v>
      </c>
      <c r="F136" s="215">
        <v>15</v>
      </c>
      <c r="G136" s="215">
        <v>15</v>
      </c>
      <c r="H136" s="215">
        <v>15</v>
      </c>
      <c r="I136" s="215">
        <v>15</v>
      </c>
      <c r="J136" s="215">
        <v>15</v>
      </c>
      <c r="K136" s="215">
        <v>15</v>
      </c>
      <c r="L136" s="215">
        <v>15</v>
      </c>
      <c r="M136" s="215">
        <v>15</v>
      </c>
      <c r="N136" s="215">
        <v>15</v>
      </c>
      <c r="O136" s="215">
        <v>15</v>
      </c>
      <c r="P136" s="225">
        <f>SUM(D136:O136)/12</f>
        <v>15</v>
      </c>
      <c r="Q136" s="225">
        <v>15</v>
      </c>
      <c r="R136" s="225">
        <v>15</v>
      </c>
      <c r="S136" s="225">
        <v>15</v>
      </c>
      <c r="T136" s="225">
        <v>14</v>
      </c>
      <c r="U136" s="225">
        <v>14</v>
      </c>
      <c r="V136" s="225">
        <v>14</v>
      </c>
      <c r="W136" s="127">
        <v>14</v>
      </c>
      <c r="X136" s="127">
        <v>14</v>
      </c>
      <c r="Y136" s="127">
        <v>1</v>
      </c>
      <c r="Z136" s="127">
        <v>1</v>
      </c>
      <c r="AA136" s="127">
        <v>1</v>
      </c>
      <c r="AB136" s="127">
        <v>1</v>
      </c>
      <c r="AC136" s="225">
        <f>SUM(Q136:AB136)/12</f>
        <v>9.9166666666666661</v>
      </c>
      <c r="AD136" s="225">
        <f t="shared" ref="AD136" si="62">P136-AC136</f>
        <v>5.0833333333333339</v>
      </c>
      <c r="AE136" s="226">
        <f t="shared" ref="AE136" si="63">AD136/AC136</f>
        <v>0.51260504201680679</v>
      </c>
      <c r="AF136" s="227">
        <v>18.5</v>
      </c>
      <c r="AG136" s="228">
        <f t="shared" si="45"/>
        <v>3.5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143">
        <v>17070.830000000002</v>
      </c>
      <c r="E138" s="143">
        <v>17070.830000000002</v>
      </c>
      <c r="F138" s="143">
        <v>17070.830000000002</v>
      </c>
      <c r="G138" s="143">
        <v>17070.830000000002</v>
      </c>
      <c r="H138" s="143">
        <v>17070.830000000002</v>
      </c>
      <c r="I138" s="143">
        <v>17070.830000000002</v>
      </c>
      <c r="J138" s="143">
        <v>17070.830000000002</v>
      </c>
      <c r="K138" s="143">
        <v>17070.830000000002</v>
      </c>
      <c r="L138" s="143">
        <v>17070.830000000002</v>
      </c>
      <c r="M138" s="143">
        <v>17070.830000000002</v>
      </c>
      <c r="N138" s="143">
        <v>17070.830000000002</v>
      </c>
      <c r="O138" s="143">
        <v>17070.830000000002</v>
      </c>
      <c r="P138" s="216">
        <f t="shared" ref="P138:P140" si="64">SUM(D138:O138)</f>
        <v>204849.96000000008</v>
      </c>
      <c r="Q138" s="140"/>
      <c r="R138" s="140"/>
      <c r="S138" s="140"/>
      <c r="T138" s="140"/>
      <c r="U138" s="140"/>
      <c r="V138" s="140"/>
      <c r="W138" s="140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0</v>
      </c>
      <c r="E139" s="136">
        <v>0</v>
      </c>
      <c r="F139" s="136">
        <v>0</v>
      </c>
      <c r="G139" s="136">
        <v>0</v>
      </c>
      <c r="H139" s="136">
        <v>0</v>
      </c>
      <c r="I139" s="136">
        <v>0</v>
      </c>
      <c r="J139" s="136">
        <v>0</v>
      </c>
      <c r="K139" s="136">
        <v>0</v>
      </c>
      <c r="L139" s="136">
        <v>0</v>
      </c>
      <c r="M139" s="136">
        <v>0</v>
      </c>
      <c r="N139" s="136">
        <v>0</v>
      </c>
      <c r="O139" s="136">
        <v>0</v>
      </c>
      <c r="P139" s="216">
        <f t="shared" si="64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46611.4</v>
      </c>
      <c r="E140" s="136">
        <v>35986.89</v>
      </c>
      <c r="F140" s="136">
        <v>36078.89</v>
      </c>
      <c r="G140" s="136">
        <v>39219.81</v>
      </c>
      <c r="H140" s="136">
        <v>43473.820000000007</v>
      </c>
      <c r="I140" s="136">
        <v>38276.22</v>
      </c>
      <c r="J140" s="136">
        <v>38263.22</v>
      </c>
      <c r="K140" s="136">
        <v>38352.22</v>
      </c>
      <c r="L140" s="136">
        <v>38391.22</v>
      </c>
      <c r="M140" s="136">
        <v>47499.75</v>
      </c>
      <c r="N140" s="136">
        <v>38096.22</v>
      </c>
      <c r="O140" s="136">
        <v>38079.22</v>
      </c>
      <c r="P140" s="216">
        <f t="shared" si="64"/>
        <v>478328.87999999989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63682.23</v>
      </c>
      <c r="E141" s="117">
        <f t="shared" ref="E141:P141" si="65">SUM(E138:E140)</f>
        <v>53057.72</v>
      </c>
      <c r="F141" s="117">
        <f t="shared" si="65"/>
        <v>53149.72</v>
      </c>
      <c r="G141" s="117">
        <f t="shared" si="65"/>
        <v>56290.64</v>
      </c>
      <c r="H141" s="117">
        <f t="shared" si="65"/>
        <v>60544.650000000009</v>
      </c>
      <c r="I141" s="117">
        <f t="shared" si="65"/>
        <v>55347.05</v>
      </c>
      <c r="J141" s="117">
        <f t="shared" si="65"/>
        <v>55334.05</v>
      </c>
      <c r="K141" s="117">
        <f t="shared" si="65"/>
        <v>55423.05</v>
      </c>
      <c r="L141" s="117">
        <f t="shared" si="65"/>
        <v>55462.05</v>
      </c>
      <c r="M141" s="117">
        <f t="shared" si="65"/>
        <v>64570.58</v>
      </c>
      <c r="N141" s="117">
        <f t="shared" si="65"/>
        <v>55167.05</v>
      </c>
      <c r="O141" s="117">
        <f t="shared" si="65"/>
        <v>55150.05</v>
      </c>
      <c r="P141" s="117">
        <f t="shared" si="65"/>
        <v>683178.84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37">
    <dataValidation type="textLength" errorStyle="information" allowBlank="1" showInputMessage="1" showErrorMessage="1" error="XLBVal:6=15_x000d__x000a_" sqref="Q136:S136">
      <formula1>0</formula1>
      <formula2>300</formula2>
    </dataValidation>
    <dataValidation type="textLength" errorStyle="information" allowBlank="1" showInputMessage="1" showErrorMessage="1" error="XLBVal:6=93.97_x000d__x000a_" sqref="Q117">
      <formula1>0</formula1>
      <formula2>300</formula2>
    </dataValidation>
    <dataValidation type="textLength" errorStyle="information" allowBlank="1" showInputMessage="1" showErrorMessage="1" error="XLBVal:6=391.45_x000d__x000a_" sqref="Q116">
      <formula1>0</formula1>
      <formula2>300</formula2>
    </dataValidation>
    <dataValidation type="textLength" errorStyle="information" allowBlank="1" showInputMessage="1" showErrorMessage="1" error="XLBVal:6=6654.79_x000d__x000a_" sqref="Q115">
      <formula1>0</formula1>
      <formula2>300</formula2>
    </dataValidation>
    <dataValidation type="textLength" errorStyle="information" allowBlank="1" showInputMessage="1" showErrorMessage="1" error="XLBVal:6=12526.68_x000d__x000a_" sqref="Q114">
      <formula1>0</formula1>
      <formula2>300</formula2>
    </dataValidation>
    <dataValidation type="textLength" errorStyle="information" allowBlank="1" showInputMessage="1" showErrorMessage="1" error="XLBVal:6=13690.91_x000d__x000a_" sqref="Q108">
      <formula1>0</formula1>
      <formula2>300</formula2>
    </dataValidation>
    <dataValidation type="textLength" errorStyle="information" allowBlank="1" showInputMessage="1" showErrorMessage="1" error="XLBVal:6=6165.48_x000d__x000a_" sqref="V107">
      <formula1>0</formula1>
      <formula2>300</formula2>
    </dataValidation>
    <dataValidation type="textLength" errorStyle="information" allowBlank="1" showInputMessage="1" showErrorMessage="1" error="XLBVal:6=11035.63_x000d__x000a_" sqref="Q103">
      <formula1>0</formula1>
      <formula2>300</formula2>
    </dataValidation>
    <dataValidation type="textLength" errorStyle="information" allowBlank="1" showInputMessage="1" showErrorMessage="1" error="XLBVal:6=182.66_x000d__x000a_" sqref="R75">
      <formula1>0</formula1>
      <formula2>300</formula2>
    </dataValidation>
    <dataValidation type="textLength" errorStyle="information" allowBlank="1" showInputMessage="1" showErrorMessage="1" error="XLBVal:6=33.4_x000d__x000a_" sqref="T74">
      <formula1>0</formula1>
      <formula2>300</formula2>
    </dataValidation>
    <dataValidation type="textLength" errorStyle="information" allowBlank="1" showInputMessage="1" showErrorMessage="1" error="XLBVal:6=8370_x000d__x000a_" sqref="U67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1396.66_x000d__x000a_" sqref="U63">
      <formula1>0</formula1>
      <formula2>300</formula2>
    </dataValidation>
    <dataValidation type="textLength" errorStyle="information" allowBlank="1" showInputMessage="1" showErrorMessage="1" error="XLBVal:6=910.5_x000d__x000a_" sqref="Q63">
      <formula1>0</formula1>
      <formula2>300</formula2>
    </dataValidation>
    <dataValidation type="textLength" errorStyle="information" allowBlank="1" showInputMessage="1" showErrorMessage="1" error="XLBVal:6=1280_x000d__x000a_" sqref="U60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50000_x000d__x000a_" sqref="R52">
      <formula1>0</formula1>
      <formula2>300</formula2>
    </dataValidation>
    <dataValidation type="textLength" errorStyle="information" allowBlank="1" showInputMessage="1" showErrorMessage="1" error="XLBVal:6=9445.58_x000d__x000a_" sqref="U44">
      <formula1>0</formula1>
      <formula2>300</formula2>
    </dataValidation>
    <dataValidation type="textLength" errorStyle="information" allowBlank="1" showInputMessage="1" showErrorMessage="1" error="XLBVal:6=5312.92_x000d__x000a_" sqref="Q44">
      <formula1>0</formula1>
      <formula2>300</formula2>
    </dataValidation>
    <dataValidation type="textLength" errorStyle="information" allowBlank="1" showInputMessage="1" showErrorMessage="1" error="XLBVal:6=85874.69_x000d__x000a_" sqref="Q43">
      <formula1>0</formula1>
      <formula2>300</formula2>
    </dataValidation>
    <dataValidation type="textLength" errorStyle="information" allowBlank="1" showInputMessage="1" showErrorMessage="1" error="XLBVal:6=61308.36_x000d__x000a_" sqref="D103:D104 D107:O111 D114:O121 D124:O128 D136:O136">
      <formula1>0</formula1>
      <formula2>300</formula2>
    </dataValidation>
    <dataValidation type="textLength" errorStyle="information" allowBlank="1" showInputMessage="1" showErrorMessage="1" error="XLBVal:6=34143_x000d__x000a_" sqref="D102">
      <formula1>0</formula1>
      <formula2>300</formula2>
    </dataValidation>
    <dataValidation type="textLength" errorStyle="information" allowBlank="1" showInputMessage="1" showErrorMessage="1" error="XLBVal:6=6708.7_x000d__x000a_" sqref="D26:O26">
      <formula1>0</formula1>
      <formula2>300</formula2>
    </dataValidation>
    <dataValidation type="textLength" errorStyle="information" allowBlank="1" showInputMessage="1" showErrorMessage="1" error="XLBVal:6=8451.13_x000d__x000a_" sqref="V108">
      <formula1>0</formula1>
      <formula2>300</formula2>
    </dataValidation>
    <dataValidation type="textLength" errorStyle="information" allowBlank="1" showInputMessage="1" showErrorMessage="1" error="XLBVal:6=8487.43_x000d__x000a_" sqref="U108">
      <formula1>0</formula1>
      <formula2>300</formula2>
    </dataValidation>
    <dataValidation type="textLength" errorStyle="information" allowBlank="1" showInputMessage="1" showErrorMessage="1" error="XLBVal:6=23.6_x000d__x000a_" sqref="Q74">
      <formula1>0</formula1>
      <formula2>300</formula2>
    </dataValidation>
    <dataValidation type="textLength" errorStyle="information" allowBlank="1" showInputMessage="1" showErrorMessage="1" error="XLBVal:6=364.78_x000d__x000a_" sqref="U61:V61">
      <formula1>0</formula1>
      <formula2>300</formula2>
    </dataValidation>
    <dataValidation type="textLength" errorStyle="information" allowBlank="1" showInputMessage="1" showErrorMessage="1" error="XLBVal:6=695.39_x000d__x000a_" sqref="Q61">
      <formula1>0</formula1>
      <formula2>300</formula2>
    </dataValidation>
    <dataValidation type="textLength" errorStyle="information" allowBlank="1" showInputMessage="1" showErrorMessage="1" error="XLBVal:6=2617.6_x000d__x000a_" sqref="Q56">
      <formula1>0</formula1>
      <formula2>300</formula2>
    </dataValidation>
    <dataValidation type="textLength" errorStyle="information" allowBlank="1" showInputMessage="1" showErrorMessage="1" error="XLBVal:6=1250486.93_x000d__x000a_" sqref="AB11">
      <formula1>0</formula1>
      <formula2>300</formula2>
    </dataValidation>
    <dataValidation type="textLength" errorStyle="information" allowBlank="1" showInputMessage="1" showErrorMessage="1" error="XLBVal:6=86718.37_x000d__x000a_" sqref="AB10">
      <formula1>0</formula1>
      <formula2>300</formula2>
    </dataValidation>
    <dataValidation type="textLength" errorStyle="information" allowBlank="1" showInputMessage="1" showErrorMessage="1" error="XLBVal:6=613466.06_x000d__x000a_" sqref="AA11">
      <formula1>0</formula1>
      <formula2>300</formula2>
    </dataValidation>
    <dataValidation type="textLength" errorStyle="information" allowBlank="1" showInputMessage="1" showErrorMessage="1" error="XLBVal:6=302173.8_x000d__x000a_" sqref="Z11">
      <formula1>0</formula1>
      <formula2>300</formula2>
    </dataValidation>
    <dataValidation type="textLength" errorStyle="information" allowBlank="1" showInputMessage="1" showErrorMessage="1" error="XLBVal:6=29940.68_x000d__x000a_" sqref="AA10">
      <formula1>0</formula1>
      <formula2>300</formula2>
    </dataValidation>
    <dataValidation type="textLength" errorStyle="information" allowBlank="1" showInputMessage="1" showErrorMessage="1" error="XLBVal:6=21969.37_x000d__x000a_" sqref="Z10">
      <formula1>0</formula1>
      <formula2>300</formula2>
    </dataValidation>
    <dataValidation type="textLength" errorStyle="information" allowBlank="1" showInputMessage="1" showErrorMessage="1" error="XLBVal:6=904.94_x000d__x000a_" sqref="Y10">
      <formula1>0</formula1>
      <formula2>300</formula2>
    </dataValidation>
    <dataValidation type="textLength" errorStyle="information" allowBlank="1" showInputMessage="1" showErrorMessage="1" error="XLBVal:6=212216.15_x000d__x000a_" sqref="X11">
      <formula1>0</formula1>
      <formula2>300</formula2>
    </dataValidation>
    <dataValidation type="textLength" errorStyle="information" allowBlank="1" showInputMessage="1" showErrorMessage="1" error="XLBVal:6=16296.79_x000d__x000a_" sqref="X10">
      <formula1>0</formula1>
      <formula2>300</formula2>
    </dataValidation>
    <dataValidation type="textLength" errorStyle="information" allowBlank="1" showInputMessage="1" showErrorMessage="1" error="XLBVal:6=8100_x000d__x000a_" sqref="V67">
      <formula1>0</formula1>
      <formula2>300</formula2>
    </dataValidation>
    <dataValidation type="textLength" errorStyle="information" allowBlank="1" showInputMessage="1" showErrorMessage="1" error="XLBVal:6=-248.43_x000d__x000a_" sqref="T61">
      <formula1>0</formula1>
      <formula2>300</formula2>
    </dataValidation>
    <dataValidation type="textLength" errorStyle="information" allowBlank="1" showInputMessage="1" showErrorMessage="1" error="XLBVal:6=10000_x000d__x000a_" sqref="Q50:S50 Q57:S57">
      <formula1>0</formula1>
      <formula2>300</formula2>
    </dataValidation>
    <dataValidation type="textLength" errorStyle="information" allowBlank="1" showInputMessage="1" showErrorMessage="1" error="XLBVal:6=67712.12_x000d__x000a_" sqref="U43">
      <formula1>0</formula1>
      <formula2>300</formula2>
    </dataValidation>
    <dataValidation type="textLength" errorStyle="information" allowBlank="1" showInputMessage="1" showErrorMessage="1" error="XLBVal:6=95697.78_x000d__x000a_" sqref="S43">
      <formula1>0</formula1>
      <formula2>300</formula2>
    </dataValidation>
    <dataValidation type="textLength" errorStyle="information" allowBlank="1" showInputMessage="1" showErrorMessage="1" error="XLBVal:6=1362626.14_x000d__x000a_" sqref="W11">
      <formula1>0</formula1>
      <formula2>300</formula2>
    </dataValidation>
    <dataValidation type="textLength" errorStyle="information" allowBlank="1" showInputMessage="1" showErrorMessage="1" error="XLBVal:6=106256.47_x000d__x000a_" sqref="W10 W17:AB21 W24:AB26 W30:AB32 W38:AB79 W85:AB89 W93:AB97 W102:AB104 W107:AB111 W114:AB121 W124:AB132 W136:AB136">
      <formula1>0</formula1>
      <formula2>300</formula2>
    </dataValidation>
    <dataValidation type="textLength" errorStyle="information" allowBlank="1" showInputMessage="1" showErrorMessage="1" error="XLBVal:6=10041.26_x000d__x000a_" sqref="I31">
      <formula1>0</formula1>
      <formula2>300</formula2>
    </dataValidation>
    <dataValidation type="textLength" errorStyle="information" allowBlank="1" showInputMessage="1" showErrorMessage="1" error="XLBVal:6=4328_x000d__x000a_" sqref="U87">
      <formula1>0</formula1>
      <formula2>300</formula2>
    </dataValidation>
    <dataValidation type="textLength" errorStyle="information" allowBlank="1" showInputMessage="1" showErrorMessage="1" error="XLBVal:6=1440.49_x000d__x000a_" sqref="R63">
      <formula1>0</formula1>
      <formula2>300</formula2>
    </dataValidation>
    <dataValidation type="textLength" errorStyle="information" allowBlank="1" showInputMessage="1" showErrorMessage="1" error="XLBVal:6=8362.67_x000d__x000a_" sqref="H31">
      <formula1>0</formula1>
      <formula2>300</formula2>
    </dataValidation>
    <dataValidation type="textLength" errorStyle="information" allowBlank="1" showInputMessage="1" showErrorMessage="1" error="XLBVal:6=11819.34_x000d__x000a_" sqref="G31">
      <formula1>0</formula1>
      <formula2>300</formula2>
    </dataValidation>
    <dataValidation type="textLength" errorStyle="information" allowBlank="1" showInputMessage="1" showErrorMessage="1" error="XLBVal:6=13675.3_x000d__x000a_" sqref="S108">
      <formula1>0</formula1>
      <formula2>300</formula2>
    </dataValidation>
    <dataValidation type="textLength" errorStyle="information" allowBlank="1" showInputMessage="1" showErrorMessage="1" error="XLBVal:6=13722.77_x000d__x000a_" sqref="R108">
      <formula1>0</formula1>
      <formula2>300</formula2>
    </dataValidation>
    <dataValidation type="textLength" errorStyle="information" allowBlank="1" showInputMessage="1" showErrorMessage="1" error="XLBVal:6=23612.9_x000d__x000a_" sqref="E102:O104">
      <formula1>0</formula1>
      <formula2>300</formula2>
    </dataValidation>
    <dataValidation type="textLength" errorStyle="information" allowBlank="1" showInputMessage="1" showErrorMessage="1" error="XLBVal:6=430_x000d__x000a_" sqref="S86">
      <formula1>0</formula1>
      <formula2>300</formula2>
    </dataValidation>
    <dataValidation type="textLength" errorStyle="information" allowBlank="1" showInputMessage="1" showErrorMessage="1" error="XLBVal:6=687_x000d__x000a_" sqref="D86:O89">
      <formula1>0</formula1>
      <formula2>300</formula2>
    </dataValidation>
    <dataValidation type="textLength" errorStyle="information" allowBlank="1" showInputMessage="1" showErrorMessage="1" error="XLBVal:6=4_x000d__x000a_" sqref="E85">
      <formula1>0</formula1>
      <formula2>300</formula2>
    </dataValidation>
    <dataValidation type="textLength" errorStyle="information" allowBlank="1" showInputMessage="1" showErrorMessage="1" error="XLBVal:6=7830_x000d__x000a_" sqref="R67">
      <formula1>0</formula1>
      <formula2>300</formula2>
    </dataValidation>
    <dataValidation type="textLength" errorStyle="information" allowBlank="1" showInputMessage="1" showErrorMessage="1" error="XLBVal:6=12035.66_x000d__x000a_" sqref="F31">
      <formula1>0</formula1>
      <formula2>300</formula2>
    </dataValidation>
    <dataValidation type="textLength" errorStyle="information" allowBlank="1" showInputMessage="1" showErrorMessage="1" error="XLBVal:6=7112.77_x000d__x000a_" sqref="E31">
      <formula1>0</formula1>
      <formula2>300</formula2>
    </dataValidation>
    <dataValidation type="textLength" errorStyle="information" allowBlank="1" showInputMessage="1" showErrorMessage="1" error="XLBVal:6=9726.42_x000d__x000a_" sqref="D31">
      <formula1>0</formula1>
      <formula2>300</formula2>
    </dataValidation>
    <dataValidation type="textLength" errorStyle="information" allowBlank="1" showInputMessage="1" showErrorMessage="1" error="XLBVal:6=442040.48_x000d__x000a_" sqref="S30">
      <formula1>0</formula1>
      <formula2>300</formula2>
    </dataValidation>
    <dataValidation type="textLength" errorStyle="information" allowBlank="1" showInputMessage="1" showErrorMessage="1" error="XLBVal:6=45_x000d__x000a_" sqref="D9:O13">
      <formula1>0</formula1>
      <formula2>300</formula2>
    </dataValidation>
    <dataValidation type="textLength" errorStyle="information" allowBlank="1" showInputMessage="1" showErrorMessage="1" error="XLBVal:6=1_x000d__x000a_" sqref="F85:I85 D85">
      <formula1>0</formula1>
      <formula2>300</formula2>
    </dataValidation>
    <dataValidation type="textLength" errorStyle="information" allowBlank="1" showInputMessage="1" showErrorMessage="1" error="XLBVal:6=378.15_x000d__x000a_" sqref="U116:V116">
      <formula1>0</formula1>
      <formula2>300</formula2>
    </dataValidation>
    <dataValidation type="textLength" errorStyle="information" allowBlank="1" showInputMessage="1" showErrorMessage="1" error="XLBVal:6=415.6_x000d__x000a_" sqref="R116:T116">
      <formula1>0</formula1>
      <formula2>300</formula2>
    </dataValidation>
    <dataValidation type="textLength" errorStyle="information" allowBlank="1" showInputMessage="1" showErrorMessage="1" error="XLBVal:6=8453.51_x000d__x000a_" sqref="T108">
      <formula1>0</formula1>
      <formula2>300</formula2>
    </dataValidation>
    <dataValidation type="textLength" errorStyle="information" allowBlank="1" showInputMessage="1" showErrorMessage="1" error="XLBVal:6=65.2_x000d__x000a_" sqref="U74">
      <formula1>0</formula1>
      <formula2>300</formula2>
    </dataValidation>
    <dataValidation type="textLength" errorStyle="information" allowBlank="1" showInputMessage="1" showErrorMessage="1" error="XLBVal:6=22.9_x000d__x000a_" sqref="R74:S74">
      <formula1>0</formula1>
      <formula2>300</formula2>
    </dataValidation>
    <dataValidation type="textLength" errorStyle="information" allowBlank="1" showInputMessage="1" showErrorMessage="1" error="XLBVal:6=58796.12_x000d__x000a_" sqref="V43">
      <formula1>0</formula1>
      <formula2>300</formula2>
    </dataValidation>
    <dataValidation type="textLength" errorStyle="information" allowBlank="1" showInputMessage="1" showErrorMessage="1" error="XLBVal:6=142683.3_x000d__x000a_" sqref="R43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3128.82_x000d__x000a_" sqref="V130">
      <formula1>0</formula1>
      <formula2>300</formula2>
    </dataValidation>
    <dataValidation type="textLength" errorStyle="information" allowBlank="1" showInputMessage="1" showErrorMessage="1" error="XLBVal:6=11537.06_x000d__x000a_" sqref="U130">
      <formula1>0</formula1>
      <formula2>300</formula2>
    </dataValidation>
    <dataValidation type="textLength" errorStyle="information" allowBlank="1" showInputMessage="1" showErrorMessage="1" error="XLBVal:6=15695.39_x000d__x000a_" sqref="T130">
      <formula1>0</formula1>
      <formula2>300</formula2>
    </dataValidation>
    <dataValidation type="textLength" errorStyle="information" allowBlank="1" showInputMessage="1" showErrorMessage="1" error="XLBVal:6=17446.29_x000d__x000a_" sqref="S130">
      <formula1>0</formula1>
      <formula2>300</formula2>
    </dataValidation>
    <dataValidation type="textLength" errorStyle="information" allowBlank="1" showInputMessage="1" showErrorMessage="1" error="XLBVal:6=18226.03_x000d__x000a_" sqref="R130">
      <formula1>0</formula1>
      <formula2>300</formula2>
    </dataValidation>
    <dataValidation type="textLength" errorStyle="information" allowBlank="1" showInputMessage="1" showErrorMessage="1" error="XLBVal:6=19625.04_x000d__x000a_" sqref="Q130">
      <formula1>0</formula1>
      <formula2>300</formula2>
    </dataValidation>
    <dataValidation type="textLength" errorStyle="information" allowBlank="1" showInputMessage="1" showErrorMessage="1" error="XLBVal:6=6069.32_x000d__x000a_" sqref="V129">
      <formula1>0</formula1>
      <formula2>300</formula2>
    </dataValidation>
    <dataValidation type="textLength" errorStyle="information" allowBlank="1" showInputMessage="1" showErrorMessage="1" error="XLBVal:6=6305.1_x000d__x000a_" sqref="U129">
      <formula1>0</formula1>
      <formula2>300</formula2>
    </dataValidation>
    <dataValidation type="textLength" errorStyle="information" allowBlank="1" showInputMessage="1" showErrorMessage="1" error="XLBVal:6=5772.89_x000d__x000a_" sqref="T129">
      <formula1>0</formula1>
      <formula2>300</formula2>
    </dataValidation>
    <dataValidation type="textLength" errorStyle="information" allowBlank="1" showInputMessage="1" showErrorMessage="1" error="XLBVal:6=5337.82_x000d__x000a_" sqref="S129">
      <formula1>0</formula1>
      <formula2>300</formula2>
    </dataValidation>
    <dataValidation type="textLength" errorStyle="information" allowBlank="1" showInputMessage="1" showErrorMessage="1" error="XLBVal:6=6096.23_x000d__x000a_" sqref="R129">
      <formula1>0</formula1>
      <formula2>300</formula2>
    </dataValidation>
    <dataValidation type="textLength" errorStyle="information" allowBlank="1" showInputMessage="1" showErrorMessage="1" error="XLBVal:6=5746.28_x000d__x000a_" sqref="Q129">
      <formula1>0</formula1>
      <formula2>300</formula2>
    </dataValidation>
    <dataValidation type="textLength" errorStyle="information" allowBlank="1" showInputMessage="1" showErrorMessage="1" error="XLBVal:6=276.64_x000d__x000a_" sqref="V128">
      <formula1>0</formula1>
      <formula2>300</formula2>
    </dataValidation>
    <dataValidation type="textLength" errorStyle="information" allowBlank="1" showInputMessage="1" showErrorMessage="1" error="XLBVal:6=275.44_x000d__x000a_" sqref="U128">
      <formula1>0</formula1>
      <formula2>300</formula2>
    </dataValidation>
    <dataValidation type="textLength" errorStyle="information" allowBlank="1" showInputMessage="1" showErrorMessage="1" error="XLBVal:6=263.91_x000d__x000a_" sqref="T128">
      <formula1>0</formula1>
      <formula2>300</formula2>
    </dataValidation>
    <dataValidation type="textLength" errorStyle="information" allowBlank="1" showInputMessage="1" showErrorMessage="1" error="XLBVal:6=285.15_x000d__x000a_" sqref="R128">
      <formula1>0</formula1>
      <formula2>300</formula2>
    </dataValidation>
    <dataValidation type="textLength" errorStyle="information" allowBlank="1" showInputMessage="1" showErrorMessage="1" error="XLBVal:6=282.76_x000d__x000a_" sqref="Q128 S128">
      <formula1>0</formula1>
      <formula2>300</formula2>
    </dataValidation>
    <dataValidation type="textLength" errorStyle="information" allowBlank="1" showInputMessage="1" showErrorMessage="1" error="XLBVal:6=1350.16_x000d__x000a_" sqref="V120">
      <formula1>0</formula1>
      <formula2>300</formula2>
    </dataValidation>
    <dataValidation type="textLength" errorStyle="information" allowBlank="1" showInputMessage="1" showErrorMessage="1" error="XLBVal:6=1360.49_x000d__x000a_" sqref="U120">
      <formula1>0</formula1>
      <formula2>300</formula2>
    </dataValidation>
    <dataValidation type="textLength" errorStyle="information" allowBlank="1" showInputMessage="1" showErrorMessage="1" error="XLBVal:6=2151.24_x000d__x000a_" sqref="T120">
      <formula1>0</formula1>
      <formula2>300</formula2>
    </dataValidation>
    <dataValidation type="textLength" errorStyle="information" allowBlank="1" showInputMessage="1" showErrorMessage="1" error="XLBVal:6=2591.97_x000d__x000a_" sqref="S120">
      <formula1>0</formula1>
      <formula2>300</formula2>
    </dataValidation>
    <dataValidation type="textLength" errorStyle="information" allowBlank="1" showInputMessage="1" showErrorMessage="1" error="XLBVal:6=1666.1_x000d__x000a_" sqref="R120">
      <formula1>0</formula1>
      <formula2>300</formula2>
    </dataValidation>
    <dataValidation type="textLength" errorStyle="information" allowBlank="1" showInputMessage="1" showErrorMessage="1" error="XLBVal:6=1384.85_x000d__x000a_" sqref="Q120">
      <formula1>0</formula1>
      <formula2>300</formula2>
    </dataValidation>
    <dataValidation type="textLength" errorStyle="information" allowBlank="1" showInputMessage="1" showErrorMessage="1" error="XLBVal:6=3611_x000d__x000a_" sqref="U119:V119">
      <formula1>0</formula1>
      <formula2>300</formula2>
    </dataValidation>
    <dataValidation type="textLength" errorStyle="information" allowBlank="1" showInputMessage="1" showErrorMessage="1" error="XLBVal:6=3986_x000d__x000a_" sqref="R119:T119">
      <formula1>0</formula1>
      <formula2>300</formula2>
    </dataValidation>
    <dataValidation type="textLength" errorStyle="information" allowBlank="1" showInputMessage="1" showErrorMessage="1" error="XLBVal:6=3826_x000d__x000a_" sqref="Q119">
      <formula1>0</formula1>
      <formula2>300</formula2>
    </dataValidation>
    <dataValidation type="textLength" errorStyle="information" allowBlank="1" showInputMessage="1" showErrorMessage="1" error="XLBVal:6=90.78_x000d__x000a_" sqref="U117:V117">
      <formula1>0</formula1>
      <formula2>300</formula2>
    </dataValidation>
    <dataValidation type="textLength" errorStyle="information" allowBlank="1" showInputMessage="1" showErrorMessage="1" error="XLBVal:6=99.77_x000d__x000a_" sqref="R117:T117">
      <formula1>0</formula1>
      <formula2>300</formula2>
    </dataValidation>
    <dataValidation type="textLength" errorStyle="information" allowBlank="1" showInputMessage="1" showErrorMessage="1" error="XLBVal:6=6428.61_x000d__x000a_" sqref="U115:V115">
      <formula1>0</formula1>
      <formula2>300</formula2>
    </dataValidation>
    <dataValidation type="textLength" errorStyle="information" allowBlank="1" showInputMessage="1" showErrorMessage="1" error="XLBVal:6=7065.34_x000d__x000a_" sqref="R115:T115">
      <formula1>0</formula1>
      <formula2>300</formula2>
    </dataValidation>
    <dataValidation type="textLength" errorStyle="information" allowBlank="1" showInputMessage="1" showErrorMessage="1" error="XLBVal:6=12100.93_x000d__x000a_" sqref="U114:V114">
      <formula1>0</formula1>
      <formula2>300</formula2>
    </dataValidation>
    <dataValidation type="textLength" errorStyle="information" allowBlank="1" showInputMessage="1" showErrorMessage="1" error="XLBVal:6=13299.48_x000d__x000a_" sqref="R114:T114">
      <formula1>0</formula1>
      <formula2>300</formula2>
    </dataValidation>
    <dataValidation type="textLength" errorStyle="information" allowBlank="1" showInputMessage="1" showErrorMessage="1" error="XLBVal:6=4378.33_x000d__x000a_" sqref="V111">
      <formula1>0</formula1>
      <formula2>300</formula2>
    </dataValidation>
    <dataValidation type="textLength" errorStyle="information" allowBlank="1" showInputMessage="1" showErrorMessage="1" error="XLBVal:6=-6612.85_x000d__x000a_" sqref="U111">
      <formula1>0</formula1>
      <formula2>300</formula2>
    </dataValidation>
    <dataValidation type="textLength" errorStyle="information" allowBlank="1" showInputMessage="1" showErrorMessage="1" error="XLBVal:6=10199.89_x000d__x000a_" sqref="T111">
      <formula1>0</formula1>
      <formula2>300</formula2>
    </dataValidation>
    <dataValidation type="textLength" errorStyle="information" allowBlank="1" showInputMessage="1" showErrorMessage="1" error="XLBVal:6=12134.64_x000d__x000a_" sqref="S111">
      <formula1>0</formula1>
      <formula2>300</formula2>
    </dataValidation>
    <dataValidation type="textLength" errorStyle="information" allowBlank="1" showInputMessage="1" showErrorMessage="1" error="XLBVal:6=15650.62_x000d__x000a_" sqref="R111">
      <formula1>0</formula1>
      <formula2>300</formula2>
    </dataValidation>
    <dataValidation type="textLength" errorStyle="information" allowBlank="1" showInputMessage="1" showErrorMessage="1" error="XLBVal:6=10212.26_x000d__x000a_" sqref="Q111">
      <formula1>0</formula1>
      <formula2>300</formula2>
    </dataValidation>
    <dataValidation type="textLength" errorStyle="information" allowBlank="1" showInputMessage="1" showErrorMessage="1" error="XLBVal:6=6486.13_x000d__x000a_" sqref="V109">
      <formula1>0</formula1>
      <formula2>300</formula2>
    </dataValidation>
    <dataValidation type="textLength" errorStyle="information" allowBlank="1" showInputMessage="1" showErrorMessage="1" error="XLBVal:6=7750_x000d__x000a_" sqref="U109">
      <formula1>0</formula1>
      <formula2>300</formula2>
    </dataValidation>
    <dataValidation type="textLength" errorStyle="information" allowBlank="1" showInputMessage="1" showErrorMessage="1" error="XLBVal:6=7010_x000d__x000a_" sqref="T109">
      <formula1>0</formula1>
      <formula2>300</formula2>
    </dataValidation>
    <dataValidation type="textLength" errorStyle="information" allowBlank="1" showInputMessage="1" showErrorMessage="1" error="XLBVal:6=7235_x000d__x000a_" sqref="S109">
      <formula1>0</formula1>
      <formula2>300</formula2>
    </dataValidation>
    <dataValidation type="textLength" errorStyle="information" allowBlank="1" showInputMessage="1" showErrorMessage="1" error="XLBVal:6=7410_x000d__x000a_" sqref="R109">
      <formula1>0</formula1>
      <formula2>300</formula2>
    </dataValidation>
    <dataValidation type="textLength" errorStyle="information" allowBlank="1" showInputMessage="1" showErrorMessage="1" error="XLBVal:6=6693.87_x000d__x000a_" sqref="Q109">
      <formula1>0</formula1>
      <formula2>300</formula2>
    </dataValidation>
    <dataValidation type="textLength" errorStyle="information" allowBlank="1" showInputMessage="1" showErrorMessage="1" error="XLBVal:6=5834.46_x000d__x000a_" sqref="U107">
      <formula1>0</formula1>
      <formula2>300</formula2>
    </dataValidation>
    <dataValidation type="textLength" errorStyle="information" allowBlank="1" showInputMessage="1" showErrorMessage="1" error="XLBVal:6=3241.35_x000d__x000a_" sqref="T107">
      <formula1>0</formula1>
      <formula2>300</formula2>
    </dataValidation>
    <dataValidation type="textLength" errorStyle="information" allowBlank="1" showInputMessage="1" showErrorMessage="1" error="XLBVal:6=16855.11_x000d__x000a_" sqref="R107">
      <formula1>0</formula1>
      <formula2>300</formula2>
    </dataValidation>
    <dataValidation type="textLength" errorStyle="information" allowBlank="1" showInputMessage="1" showErrorMessage="1" error="XLBVal:6=5393.06_x000d__x000a_" sqref="Q107">
      <formula1>0</formula1>
      <formula2>300</formula2>
    </dataValidation>
    <dataValidation type="textLength" errorStyle="information" allowBlank="1" showInputMessage="1" showErrorMessage="1" error="XLBVal:6=20996.55_x000d__x000a_" sqref="V104">
      <formula1>0</formula1>
      <formula2>300</formula2>
    </dataValidation>
    <dataValidation type="textLength" errorStyle="information" allowBlank="1" showInputMessage="1" showErrorMessage="1" error="XLBVal:6=21300_x000d__x000a_" sqref="Q104:U104">
      <formula1>0</formula1>
      <formula2>300</formula2>
    </dataValidation>
    <dataValidation type="textLength" errorStyle="information" allowBlank="1" showInputMessage="1" showErrorMessage="1" error="XLBVal:6=6600_x000d__x000a_" sqref="D18:O19 D38:O42 D73:O78 D44:O71">
      <formula1>0</formula1>
      <formula2>300</formula2>
    </dataValidation>
    <dataValidation type="textLength" errorStyle="information" allowBlank="1" showInputMessage="1" showErrorMessage="1" error="XLBVal:6=9500_x000d__x000a_" sqref="U103:V103">
      <formula1>0</formula1>
      <formula2>300</formula2>
    </dataValidation>
    <dataValidation type="textLength" errorStyle="information" allowBlank="1" showInputMessage="1" showErrorMessage="1" error="XLBVal:6=9258.06_x000d__x000a_" sqref="T103">
      <formula1>0</formula1>
      <formula2>300</formula2>
    </dataValidation>
    <dataValidation type="textLength" errorStyle="information" allowBlank="1" showInputMessage="1" showErrorMessage="1" error="XLBVal:6=13500_x000d__x000a_" sqref="R103:S103">
      <formula1>0</formula1>
      <formula2>300</formula2>
    </dataValidation>
    <dataValidation type="textLength" errorStyle="information" allowBlank="1" showInputMessage="1" showErrorMessage="1" error="XLBVal:6=20000_x000d__x000a_" sqref="Q102:V102">
      <formula1>0</formula1>
      <formula2>300</formula2>
    </dataValidation>
    <dataValidation type="textLength" errorStyle="information" allowBlank="1" showInputMessage="1" showErrorMessage="1" error="XLBVal:6=4136_x000d__x000a_" sqref="V87">
      <formula1>0</formula1>
      <formula2>300</formula2>
    </dataValidation>
    <dataValidation type="textLength" errorStyle="information" allowBlank="1" showInputMessage="1" showErrorMessage="1" error="XLBVal:6=3911_x000d__x000a_" sqref="T87">
      <formula1>0</formula1>
      <formula2>300</formula2>
    </dataValidation>
    <dataValidation type="textLength" errorStyle="information" allowBlank="1" showInputMessage="1" showErrorMessage="1" error="XLBVal:6=3927_x000d__x000a_" sqref="S87">
      <formula1>0</formula1>
      <formula2>300</formula2>
    </dataValidation>
    <dataValidation type="textLength" errorStyle="information" allowBlank="1" showInputMessage="1" showErrorMessage="1" error="XLBVal:6=4087_x000d__x000a_" sqref="R87">
      <formula1>0</formula1>
      <formula2>300</formula2>
    </dataValidation>
    <dataValidation type="textLength" errorStyle="information" allowBlank="1" showInputMessage="1" showErrorMessage="1" error="XLBVal:6=3481_x000d__x000a_" sqref="Q87">
      <formula1>0</formula1>
      <formula2>300</formula2>
    </dataValidation>
    <dataValidation type="textLength" errorStyle="information" allowBlank="1" showInputMessage="1" showErrorMessage="1" error="XLBVal:6=355_x000d__x000a_" sqref="V86">
      <formula1>0</formula1>
      <formula2>300</formula2>
    </dataValidation>
    <dataValidation type="textLength" errorStyle="information" allowBlank="1" showInputMessage="1" showErrorMessage="1" error="XLBVal:6=367_x000d__x000a_" sqref="U86">
      <formula1>0</formula1>
      <formula2>300</formula2>
    </dataValidation>
    <dataValidation type="textLength" errorStyle="information" allowBlank="1" showInputMessage="1" showErrorMessage="1" error="XLBVal:6=640_x000d__x000a_" sqref="T86">
      <formula1>0</formula1>
      <formula2>300</formula2>
    </dataValidation>
    <dataValidation type="textLength" errorStyle="information" allowBlank="1" showInputMessage="1" showErrorMessage="1" error="XLBVal:6=1327_x000d__x000a_" sqref="R86">
      <formula1>0</formula1>
      <formula2>300</formula2>
    </dataValidation>
    <dataValidation type="textLength" errorStyle="information" allowBlank="1" showInputMessage="1" showErrorMessage="1" error="XLBVal:6=14_x000d__x000a_" sqref="T136:V136">
      <formula1>0</formula1>
      <formula2>300</formula2>
    </dataValidation>
    <dataValidation type="textLength" errorStyle="information" allowBlank="1" showInputMessage="1" showErrorMessage="1" error="XLBVal:6=120987.32_x000d__x000a_" sqref="V79">
      <formula1>0</formula1>
      <formula2>300</formula2>
    </dataValidation>
    <dataValidation type="textLength" errorStyle="information" allowBlank="1" showInputMessage="1" showErrorMessage="1" error="XLBVal:6=107562.58_x000d__x000a_" sqref="U79">
      <formula1>0</formula1>
      <formula2>300</formula2>
    </dataValidation>
    <dataValidation type="textLength" errorStyle="information" allowBlank="1" showInputMessage="1" showErrorMessage="1" error="XLBVal:6=143411.69_x000d__x000a_" sqref="T79">
      <formula1>0</formula1>
      <formula2>300</formula2>
    </dataValidation>
    <dataValidation type="textLength" errorStyle="information" allowBlank="1" showInputMessage="1" showErrorMessage="1" error="XLBVal:6=138003.73_x000d__x000a_" sqref="S79">
      <formula1>0</formula1>
      <formula2>300</formula2>
    </dataValidation>
    <dataValidation type="textLength" errorStyle="information" allowBlank="1" showInputMessage="1" showErrorMessage="1" error="XLBVal:6=192737.69_x000d__x000a_" sqref="R79">
      <formula1>0</formula1>
      <formula2>300</formula2>
    </dataValidation>
    <dataValidation type="textLength" errorStyle="information" allowBlank="1" showInputMessage="1" showErrorMessage="1" error="XLBVal:6=126119.68_x000d__x000a_" sqref="Q79">
      <formula1>0</formula1>
      <formula2>300</formula2>
    </dataValidation>
    <dataValidation type="textLength" errorStyle="information" allowBlank="1" showInputMessage="1" showErrorMessage="1" error="XLBVal:6=672_x000d__x000a_" sqref="V78">
      <formula1>0</formula1>
      <formula2>300</formula2>
    </dataValidation>
    <dataValidation type="textLength" errorStyle="information" allowBlank="1" showInputMessage="1" showErrorMessage="1" error="XLBVal:6=1159.5_x000d__x000a_" sqref="U78">
      <formula1>0</formula1>
      <formula2>300</formula2>
    </dataValidation>
    <dataValidation type="textLength" errorStyle="information" allowBlank="1" showInputMessage="1" showErrorMessage="1" error="XLBVal:6=2569.58_x000d__x000a_" sqref="T78">
      <formula1>0</formula1>
      <formula2>300</formula2>
    </dataValidation>
    <dataValidation type="textLength" errorStyle="information" allowBlank="1" showInputMessage="1" showErrorMessage="1" error="XLBVal:6=1765.3_x000d__x000a_" sqref="S78">
      <formula1>0</formula1>
      <formula2>300</formula2>
    </dataValidation>
    <dataValidation type="textLength" errorStyle="information" allowBlank="1" showInputMessage="1" showErrorMessage="1" error="XLBVal:6=3384_x000d__x000a_" sqref="R78">
      <formula1>0</formula1>
      <formula2>300</formula2>
    </dataValidation>
    <dataValidation type="textLength" errorStyle="information" allowBlank="1" showInputMessage="1" showErrorMessage="1" error="XLBVal:6=3090_x000d__x000a_" sqref="Q78">
      <formula1>0</formula1>
      <formula2>300</formula2>
    </dataValidation>
    <dataValidation type="textLength" errorStyle="information" allowBlank="1" showInputMessage="1" showErrorMessage="1" error="XLBVal:6=52.86_x000d__x000a_" sqref="V74">
      <formula1>0</formula1>
      <formula2>300</formula2>
    </dataValidation>
    <dataValidation type="textLength" errorStyle="information" allowBlank="1" showInputMessage="1" showErrorMessage="1" error="XLBVal:6=2016.96_x000d__x000a_" sqref="V72">
      <formula1>0</formula1>
      <formula2>300</formula2>
    </dataValidation>
    <dataValidation type="textLength" errorStyle="information" allowBlank="1" showInputMessage="1" showErrorMessage="1" error="XLBVal:6=655.04_x000d__x000a_" sqref="U72">
      <formula1>0</formula1>
      <formula2>300</formula2>
    </dataValidation>
    <dataValidation type="textLength" errorStyle="information" allowBlank="1" showInputMessage="1" showErrorMessage="1" error="XLBVal:6=1751.16_x000d__x000a_" sqref="T72">
      <formula1>0</formula1>
      <formula2>300</formula2>
    </dataValidation>
    <dataValidation type="textLength" errorStyle="information" allowBlank="1" showInputMessage="1" showErrorMessage="1" error="XLBVal:6=2015.98_x000d__x000a_" sqref="S72">
      <formula1>0</formula1>
      <formula2>300</formula2>
    </dataValidation>
    <dataValidation type="textLength" errorStyle="information" allowBlank="1" showInputMessage="1" showErrorMessage="1" error="XLBVal:6=4255.2_x000d__x000a_" sqref="R72">
      <formula1>0</formula1>
      <formula2>300</formula2>
    </dataValidation>
    <dataValidation type="textLength" errorStyle="information" allowBlank="1" showInputMessage="1" showErrorMessage="1" error="XLBVal:6=3705.39_x000d__x000a_" sqref="Q72">
      <formula1>0</formula1>
      <formula2>300</formula2>
    </dataValidation>
    <dataValidation type="textLength" errorStyle="information" allowBlank="1" showInputMessage="1" showErrorMessage="1" error="XLBVal:6=790_x000d__x000a_" sqref="V71">
      <formula1>0</formula1>
      <formula2>300</formula2>
    </dataValidation>
    <dataValidation type="textLength" errorStyle="information" allowBlank="1" showInputMessage="1" showErrorMessage="1" error="XLBVal:6=381.41_x000d__x000a_" sqref="U71">
      <formula1>0</formula1>
      <formula2>300</formula2>
    </dataValidation>
    <dataValidation type="textLength" errorStyle="information" allowBlank="1" showInputMessage="1" showErrorMessage="1" error="XLBVal:6=331_x000d__x000a_" sqref="T71">
      <formula1>0</formula1>
      <formula2>300</formula2>
    </dataValidation>
    <dataValidation type="textLength" errorStyle="information" allowBlank="1" showInputMessage="1" showErrorMessage="1" error="XLBVal:6=61_x000d__x000a_" sqref="S71">
      <formula1>0</formula1>
      <formula2>300</formula2>
    </dataValidation>
    <dataValidation type="textLength" errorStyle="information" allowBlank="1" showInputMessage="1" showErrorMessage="1" error="XLBVal:6=1653.44_x000d__x000a_" sqref="R71">
      <formula1>0</formula1>
      <formula2>300</formula2>
    </dataValidation>
    <dataValidation type="textLength" errorStyle="information" allowBlank="1" showInputMessage="1" showErrorMessage="1" error="XLBVal:6=682_x000d__x000a_" sqref="Q71">
      <formula1>0</formula1>
      <formula2>300</formula2>
    </dataValidation>
    <dataValidation type="textLength" errorStyle="information" allowBlank="1" showInputMessage="1" showErrorMessage="1" error="XLBVal:6=6300_x000d__x000a_" sqref="T67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727.14_x000d__x000a_" sqref="V63">
      <formula1>0</formula1>
      <formula2>300</formula2>
    </dataValidation>
    <dataValidation type="textLength" errorStyle="information" allowBlank="1" showInputMessage="1" showErrorMessage="1" error="XLBVal:6=1849.14_x000d__x000a_" sqref="S63">
      <formula1>0</formula1>
      <formula2>300</formula2>
    </dataValidation>
    <dataValidation type="textLength" errorStyle="information" allowBlank="1" showInputMessage="1" showErrorMessage="1" error="XLBVal:6=1173.99_x000d__x000a_" sqref="S61">
      <formula1>0</formula1>
      <formula2>300</formula2>
    </dataValidation>
    <dataValidation type="textLength" errorStyle="information" allowBlank="1" showInputMessage="1" showErrorMessage="1" error="XLBVal:6=498.74_x000d__x000a_" sqref="R61">
      <formula1>0</formula1>
      <formula2>300</formula2>
    </dataValidation>
    <dataValidation type="textLength" errorStyle="information" allowBlank="1" showInputMessage="1" showErrorMessage="1" error="XLBVal:6=-35.85_x000d__x000a_" sqref="V59">
      <formula1>0</formula1>
      <formula2>300</formula2>
    </dataValidation>
    <dataValidation type="textLength" errorStyle="information" allowBlank="1" showInputMessage="1" showErrorMessage="1" error="XLBVal:6=953_x000d__x000a_" sqref="Q59:S59">
      <formula1>0</formula1>
      <formula2>300</formula2>
    </dataValidation>
    <dataValidation type="textLength" errorStyle="information" allowBlank="1" showInputMessage="1" showErrorMessage="1" error="XLBVal:6=447.6_x000d__x000a_" sqref="T56">
      <formula1>0</formula1>
      <formula2>300</formula2>
    </dataValidation>
    <dataValidation type="textLength" errorStyle="information" allowBlank="1" showInputMessage="1" showErrorMessage="1" error="XLBVal:6=20967.2_x000d__x000a_" sqref="R56">
      <formula1>0</formula1>
      <formula2>300</formula2>
    </dataValidation>
    <dataValidation type="textLength" errorStyle="information" allowBlank="1" showInputMessage="1" showErrorMessage="1" error="XLBVal:6=1650.44_x000d__x000a_" sqref="T63">
      <formula1>0</formula1>
      <formula2>300</formula2>
    </dataValidation>
    <dataValidation type="textLength" errorStyle="information" allowBlank="1" showInputMessage="1" showErrorMessage="1" error="XLBVal:6=1585.8_x000d__x000a_" sqref="V51">
      <formula1>0</formula1>
      <formula2>300</formula2>
    </dataValidation>
    <dataValidation type="textLength" errorStyle="information" allowBlank="1" showInputMessage="1" showErrorMessage="1" error="XLBVal:6=1346.8_x000d__x000a_" sqref="U51">
      <formula1>0</formula1>
      <formula2>300</formula2>
    </dataValidation>
    <dataValidation type="textLength" errorStyle="information" allowBlank="1" showInputMessage="1" showErrorMessage="1" error="XLBVal:6=2571.8_x000d__x000a_" sqref="T51">
      <formula1>0</formula1>
      <formula2>300</formula2>
    </dataValidation>
    <dataValidation type="textLength" errorStyle="information" allowBlank="1" showInputMessage="1" showErrorMessage="1" error="XLBVal:6=2806.8_x000d__x000a_" sqref="S51">
      <formula1>0</formula1>
      <formula2>300</formula2>
    </dataValidation>
    <dataValidation type="textLength" errorStyle="information" allowBlank="1" showInputMessage="1" showErrorMessage="1" error="XLBVal:6=3669.8_x000d__x000a_" sqref="R51">
      <formula1>0</formula1>
      <formula2>300</formula2>
    </dataValidation>
    <dataValidation type="textLength" errorStyle="information" allowBlank="1" showInputMessage="1" showErrorMessage="1" error="XLBVal:6=3771.45_x000d__x000a_" sqref="Q51">
      <formula1>0</formula1>
      <formula2>300</formula2>
    </dataValidation>
    <dataValidation type="textLength" errorStyle="information" allowBlank="1" showInputMessage="1" showErrorMessage="1" error="XLBVal:6=4352.74_x000d__x000a_" sqref="V49">
      <formula1>0</formula1>
      <formula2>300</formula2>
    </dataValidation>
    <dataValidation type="textLength" errorStyle="information" allowBlank="1" showInputMessage="1" showErrorMessage="1" error="XLBVal:6=4522.41_x000d__x000a_" sqref="U49">
      <formula1>0</formula1>
      <formula2>300</formula2>
    </dataValidation>
    <dataValidation type="textLength" errorStyle="information" allowBlank="1" showInputMessage="1" showErrorMessage="1" error="XLBVal:6=2791.48_x000d__x000a_" sqref="T49">
      <formula1>0</formula1>
      <formula2>300</formula2>
    </dataValidation>
    <dataValidation type="textLength" errorStyle="information" allowBlank="1" showInputMessage="1" showErrorMessage="1" error="XLBVal:6=2385.3_x000d__x000a_" sqref="S49">
      <formula1>0</formula1>
      <formula2>300</formula2>
    </dataValidation>
    <dataValidation type="textLength" errorStyle="information" allowBlank="1" showInputMessage="1" showErrorMessage="1" error="XLBVal:6=5508.59_x000d__x000a_" sqref="R49">
      <formula1>0</formula1>
      <formula2>300</formula2>
    </dataValidation>
    <dataValidation type="textLength" errorStyle="information" allowBlank="1" showInputMessage="1" showErrorMessage="1" error="XLBVal:6=1582.4_x000d__x000a_" sqref="Q49">
      <formula1>0</formula1>
      <formula2>300</formula2>
    </dataValidation>
    <dataValidation type="textLength" errorStyle="information" allowBlank="1" showInputMessage="1" showErrorMessage="1" error="XLBVal:6=92267.69_x000d__x000a_" sqref="T43">
      <formula1>0</formula1>
      <formula2>300</formula2>
    </dataValidation>
    <dataValidation type="textLength" errorStyle="information" allowBlank="1" showInputMessage="1" showErrorMessage="1" error="XLBVal:6=46307.91_x000d__x000a_" sqref="V38">
      <formula1>0</formula1>
      <formula2>300</formula2>
    </dataValidation>
    <dataValidation type="textLength" errorStyle="information" allowBlank="1" showInputMessage="1" showErrorMessage="1" error="XLBVal:6=30309.72_x000d__x000a_" sqref="U38">
      <formula1>0</formula1>
      <formula2>300</formula2>
    </dataValidation>
    <dataValidation type="textLength" errorStyle="information" allowBlank="1" showInputMessage="1" showErrorMessage="1" error="XLBVal:6=31411.96_x000d__x000a_" sqref="T38">
      <formula1>0</formula1>
      <formula2>300</formula2>
    </dataValidation>
    <dataValidation type="textLength" errorStyle="information" allowBlank="1" showInputMessage="1" showErrorMessage="1" error="XLBVal:6=27724.98_x000d__x000a_" sqref="S38">
      <formula1>0</formula1>
      <formula2>300</formula2>
    </dataValidation>
    <dataValidation type="textLength" errorStyle="information" allowBlank="1" showInputMessage="1" showErrorMessage="1" error="XLBVal:6=28433.18_x000d__x000a_" sqref="R38">
      <formula1>0</formula1>
      <formula2>300</formula2>
    </dataValidation>
    <dataValidation type="textLength" errorStyle="information" allowBlank="1" showInputMessage="1" showErrorMessage="1" error="XLBVal:6=25112.95_x000d__x000a_" sqref="Q38">
      <formula1>0</formula1>
      <formula2>300</formula2>
    </dataValidation>
    <dataValidation type="textLength" errorStyle="information" allowBlank="1" showInputMessage="1" showErrorMessage="1" error="XLBVal:6=27856.97_x000d__x000a_" sqref="V31">
      <formula1>0</formula1>
      <formula2>300</formula2>
    </dataValidation>
    <dataValidation type="textLength" errorStyle="information" allowBlank="1" showInputMessage="1" showErrorMessage="1" error="XLBVal:6=31909.48_x000d__x000a_" sqref="U31">
      <formula1>0</formula1>
      <formula2>300</formula2>
    </dataValidation>
    <dataValidation type="textLength" errorStyle="information" allowBlank="1" showInputMessage="1" showErrorMessage="1" error="XLBVal:6=26668.6_x000d__x000a_" sqref="T31">
      <formula1>0</formula1>
      <formula2>300</formula2>
    </dataValidation>
    <dataValidation type="textLength" errorStyle="information" allowBlank="1" showInputMessage="1" showErrorMessage="1" error="XLBVal:6=29979.84_x000d__x000a_" sqref="S31">
      <formula1>0</formula1>
      <formula2>300</formula2>
    </dataValidation>
    <dataValidation type="textLength" errorStyle="information" allowBlank="1" showInputMessage="1" showErrorMessage="1" error="XLBVal:6=46348.18_x000d__x000a_" sqref="R31">
      <formula1>0</formula1>
      <formula2>300</formula2>
    </dataValidation>
    <dataValidation type="textLength" errorStyle="information" allowBlank="1" showInputMessage="1" showErrorMessage="1" error="XLBVal:6=24839.09_x000d__x000a_" sqref="Q31">
      <formula1>0</formula1>
      <formula2>300</formula2>
    </dataValidation>
    <dataValidation type="textLength" errorStyle="information" allowBlank="1" showInputMessage="1" showErrorMessage="1" error="XLBVal:6=457835.26_x000d__x000a_" sqref="V30">
      <formula1>0</formula1>
      <formula2>300</formula2>
    </dataValidation>
    <dataValidation type="textLength" errorStyle="information" allowBlank="1" showInputMessage="1" showErrorMessage="1" error="XLBVal:6=505844.51_x000d__x000a_" sqref="U30">
      <formula1>0</formula1>
      <formula2>300</formula2>
    </dataValidation>
    <dataValidation type="textLength" errorStyle="information" allowBlank="1" showInputMessage="1" showErrorMessage="1" error="XLBVal:6=433447.13_x000d__x000a_" sqref="T30">
      <formula1>0</formula1>
      <formula2>300</formula2>
    </dataValidation>
    <dataValidation type="textLength" errorStyle="information" allowBlank="1" showInputMessage="1" showErrorMessage="1" error="XLBVal:6=748901.48_x000d__x000a_" sqref="R30">
      <formula1>0</formula1>
      <formula2>300</formula2>
    </dataValidation>
    <dataValidation type="textLength" errorStyle="information" allowBlank="1" showInputMessage="1" showErrorMessage="1" error="XLBVal:6=467568.32_x000d__x000a_" sqref="Q30">
      <formula1>0</formula1>
      <formula2>300</formula2>
    </dataValidation>
    <dataValidation type="textLength" errorStyle="information" allowBlank="1" showInputMessage="1" showErrorMessage="1" error="XLBVal:6=4144.6_x000d__x000a_" sqref="V26">
      <formula1>0</formula1>
      <formula2>300</formula2>
    </dataValidation>
    <dataValidation type="textLength" errorStyle="information" allowBlank="1" showInputMessage="1" showErrorMessage="1" error="XLBVal:6=3890_x000d__x000a_" sqref="U26">
      <formula1>0</formula1>
      <formula2>300</formula2>
    </dataValidation>
    <dataValidation type="textLength" errorStyle="information" allowBlank="1" showInputMessage="1" showErrorMessage="1" error="XLBVal:6=4416.5_x000d__x000a_" sqref="T26">
      <formula1>0</formula1>
      <formula2>300</formula2>
    </dataValidation>
    <dataValidation type="textLength" errorStyle="information" allowBlank="1" showInputMessage="1" showErrorMessage="1" error="XLBVal:6=5393.6_x000d__x000a_" sqref="S26">
      <formula1>0</formula1>
      <formula2>300</formula2>
    </dataValidation>
    <dataValidation type="textLength" errorStyle="information" allowBlank="1" showInputMessage="1" showErrorMessage="1" error="XLBVal:6=38057_x000d__x000a_" sqref="R26">
      <formula1>0</formula1>
      <formula2>300</formula2>
    </dataValidation>
    <dataValidation type="textLength" errorStyle="information" allowBlank="1" showInputMessage="1" showErrorMessage="1" error="XLBVal:6=8172.45_x000d__x000a_" sqref="Q26">
      <formula1>0</formula1>
      <formula2>300</formula2>
    </dataValidation>
    <dataValidation type="textLength" errorStyle="information" allowBlank="1" showInputMessage="1" showErrorMessage="1" error="XLBVal:6=105744.1_x000d__x000a_" sqref="V19">
      <formula1>0</formula1>
      <formula2>300</formula2>
    </dataValidation>
    <dataValidation type="textLength" errorStyle="information" allowBlank="1" showInputMessage="1" showErrorMessage="1" error="XLBVal:6=118673.7_x000d__x000a_" sqref="U19">
      <formula1>0</formula1>
      <formula2>300</formula2>
    </dataValidation>
    <dataValidation type="textLength" errorStyle="information" allowBlank="1" showInputMessage="1" showErrorMessage="1" error="XLBVal:6=120855.4_x000d__x000a_" sqref="T19">
      <formula1>0</formula1>
      <formula2>300</formula2>
    </dataValidation>
    <dataValidation type="textLength" errorStyle="information" allowBlank="1" showInputMessage="1" showErrorMessage="1" error="XLBVal:6=147288.5_x000d__x000a_" sqref="S19">
      <formula1>0</formula1>
      <formula2>300</formula2>
    </dataValidation>
    <dataValidation type="textLength" errorStyle="information" allowBlank="1" showInputMessage="1" showErrorMessage="1" error="XLBVal:6=249174.8_x000d__x000a_" sqref="R19">
      <formula1>0</formula1>
      <formula2>300</formula2>
    </dataValidation>
    <dataValidation type="textLength" errorStyle="information" allowBlank="1" showInputMessage="1" showErrorMessage="1" error="XLBVal:6=114229_x000d__x000a_" sqref="Q19">
      <formula1>0</formula1>
      <formula2>300</formula2>
    </dataValidation>
    <dataValidation type="textLength" errorStyle="information" allowBlank="1" showInputMessage="1" showErrorMessage="1" error="XLBVal:6=4156.5_x000d__x000a_" sqref="V18">
      <formula1>0</formula1>
      <formula2>300</formula2>
    </dataValidation>
    <dataValidation type="textLength" errorStyle="information" allowBlank="1" showInputMessage="1" showErrorMessage="1" error="XLBVal:6=4184_x000d__x000a_" sqref="U18">
      <formula1>0</formula1>
      <formula2>300</formula2>
    </dataValidation>
    <dataValidation type="textLength" errorStyle="information" allowBlank="1" showInputMessage="1" showErrorMessage="1" error="XLBVal:6=6157_x000d__x000a_" sqref="T18">
      <formula1>0</formula1>
      <formula2>300</formula2>
    </dataValidation>
    <dataValidation type="textLength" errorStyle="information" allowBlank="1" showInputMessage="1" showErrorMessage="1" error="XLBVal:6=4376_x000d__x000a_" sqref="S18">
      <formula1>0</formula1>
      <formula2>300</formula2>
    </dataValidation>
    <dataValidation type="textLength" errorStyle="information" allowBlank="1" showInputMessage="1" showErrorMessage="1" error="XLBVal:6=9110_x000d__x000a_" sqref="R18">
      <formula1>0</formula1>
      <formula2>300</formula2>
    </dataValidation>
    <dataValidation type="textLength" errorStyle="information" allowBlank="1" showInputMessage="1" showErrorMessage="1" error="XLBVal:6=3910_x000d__x000a_" sqref="Q18">
      <formula1>0</formula1>
      <formula2>300</formula2>
    </dataValidation>
    <dataValidation type="textLength" errorStyle="information" allowBlank="1" showInputMessage="1" showErrorMessage="1" error="XLBVal:6=868193.28_x000d__x000a_" sqref="V11">
      <formula1>0</formula1>
      <formula2>300</formula2>
    </dataValidation>
    <dataValidation type="textLength" errorStyle="information" allowBlank="1" showInputMessage="1" showErrorMessage="1" error="XLBVal:6=998538.85_x000d__x000a_" sqref="U11">
      <formula1>0</formula1>
      <formula2>300</formula2>
    </dataValidation>
    <dataValidation type="textLength" errorStyle="information" allowBlank="1" showInputMessage="1" showErrorMessage="1" error="XLBVal:6=927796.04_x000d__x000a_" sqref="T11">
      <formula1>0</formula1>
      <formula2>300</formula2>
    </dataValidation>
    <dataValidation type="textLength" errorStyle="information" allowBlank="1" showInputMessage="1" showErrorMessage="1" error="XLBVal:6=954484.5_x000d__x000a_" sqref="S11">
      <formula1>0</formula1>
      <formula2>300</formula2>
    </dataValidation>
    <dataValidation type="textLength" errorStyle="information" allowBlank="1" showInputMessage="1" showErrorMessage="1" error="XLBVal:6=1677334.38_x000d__x000a_" sqref="R11">
      <formula1>0</formula1>
      <formula2>300</formula2>
    </dataValidation>
    <dataValidation type="textLength" errorStyle="information" allowBlank="1" showInputMessage="1" showErrorMessage="1" error="XLBVal:6=942069.83_x000d__x000a_" sqref="Q11">
      <formula1>0</formula1>
      <formula2>300</formula2>
    </dataValidation>
    <dataValidation type="textLength" errorStyle="information" allowBlank="1" showInputMessage="1" showErrorMessage="1" error="XLBVal:6=36482.3_x000d__x000a_" sqref="V10">
      <formula1>0</formula1>
      <formula2>300</formula2>
    </dataValidation>
    <dataValidation type="textLength" errorStyle="information" allowBlank="1" showInputMessage="1" showErrorMessage="1" error="XLBVal:6=44522.71_x000d__x000a_" sqref="U10">
      <formula1>0</formula1>
      <formula2>300</formula2>
    </dataValidation>
    <dataValidation type="textLength" errorStyle="information" allowBlank="1" showInputMessage="1" showErrorMessage="1" error="XLBVal:6=71752.17_x000d__x000a_" sqref="T10">
      <formula1>0</formula1>
      <formula2>300</formula2>
    </dataValidation>
    <dataValidation type="textLength" errorStyle="information" allowBlank="1" showInputMessage="1" showErrorMessage="1" error="XLBVal:6=64861.14_x000d__x000a_" sqref="S10">
      <formula1>0</formula1>
      <formula2>300</formula2>
    </dataValidation>
    <dataValidation type="textLength" errorStyle="information" allowBlank="1" showInputMessage="1" showErrorMessage="1" error="XLBVal:6=212726.93_x000d__x000a_" sqref="R10">
      <formula1>0</formula1>
      <formula2>300</formula2>
    </dataValidation>
    <dataValidation type="textLength" errorStyle="information" allowBlank="1" showInputMessage="1" showErrorMessage="1" error="XLBVal:6=100151.75_x000d__x000a_" sqref="Q10">
      <formula1>0</formula1>
      <formula2>300</formula2>
    </dataValidation>
    <dataValidation type="textLength" errorStyle="information" allowBlank="1" showInputMessage="1" showErrorMessage="1" error="XLBVal:6=750_x000d__x000a_" sqref="Q86">
      <formula1>0</formula1>
      <formula2>300</formula2>
    </dataValidation>
    <dataValidation type="textLength" errorStyle="information" allowBlank="1" showInputMessage="1" showErrorMessage="1" error="XLBVal:6=6510_x000d__x000a_" sqref="S67 Q67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2=0_x000d__x000a_" sqref="Q68:V70 V60 Q73:V73 Y11 Q24:V25 S56 Q85:V85 Q118:V118 Q88:V89 Q76:V77 U45:U48 Q20:V21 Q12:AB13 Q9:AB9 Q58:T58 S107 Q65:V66 S52:V52 Q32:V32 D131:I132 Q131:V132 Q110:V110 D17:I17 Q124:V127 Q45:Q48 D32:I32 D24:I25 Q62:V62 Q17:V17 Q121:V121 Q39:V42 U59 Q60:T60 D20:I21 R44:T48 V44:V48 T50:V50 T57 Q75 S75:V75 Q53:V55 Q52 U56:V58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28" orientation="landscape" r:id="rId1"/>
  <headerFooter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AG161"/>
  <sheetViews>
    <sheetView view="pageBreakPreview" zoomScaleNormal="100" zoomScaleSheetLayoutView="100" workbookViewId="0">
      <pane xSplit="4" ySplit="7" topLeftCell="L65" activePane="bottomRight" state="frozen"/>
      <selection activeCell="AP43" sqref="AP43"/>
      <selection pane="topRight" activeCell="AP43" sqref="AP43"/>
      <selection pane="bottomLeft" activeCell="AP43" sqref="AP43"/>
      <selection pane="bottomRight" activeCell="AC124" sqref="AC124"/>
    </sheetView>
  </sheetViews>
  <sheetFormatPr defaultColWidth="9" defaultRowHeight="14.25" outlineLevelCol="2"/>
  <cols>
    <col min="1" max="2" width="9" style="105" hidden="1" customWidth="1" outlineLevel="1"/>
    <col min="3" max="3" width="53.375" style="105" customWidth="1" collapsed="1"/>
    <col min="4" max="15" width="14.5" style="72" bestFit="1" customWidth="1"/>
    <col min="16" max="16" width="18.25" style="127" bestFit="1" customWidth="1"/>
    <col min="17" max="23" width="15.375" style="72" hidden="1" customWidth="1" outlineLevel="1"/>
    <col min="24" max="28" width="15.37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386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385</v>
      </c>
      <c r="C9" s="105" t="s">
        <v>481</v>
      </c>
      <c r="D9" s="210">
        <f>ROUND(D85*D93,0)</f>
        <v>20400</v>
      </c>
      <c r="E9" s="210">
        <f t="shared" ref="E9:O9" si="0">ROUND(E85*E93,0)</f>
        <v>28000</v>
      </c>
      <c r="F9" s="210">
        <f t="shared" si="0"/>
        <v>10500</v>
      </c>
      <c r="G9" s="210">
        <f t="shared" si="0"/>
        <v>10500</v>
      </c>
      <c r="H9" s="210">
        <f t="shared" si="0"/>
        <v>10500</v>
      </c>
      <c r="I9" s="210">
        <f t="shared" si="0"/>
        <v>10500</v>
      </c>
      <c r="J9" s="210">
        <f t="shared" si="0"/>
        <v>22500</v>
      </c>
      <c r="K9" s="210">
        <f t="shared" si="0"/>
        <v>22500</v>
      </c>
      <c r="L9" s="210">
        <f t="shared" si="0"/>
        <v>10500</v>
      </c>
      <c r="M9" s="210">
        <f t="shared" si="0"/>
        <v>15000</v>
      </c>
      <c r="N9" s="210">
        <f t="shared" si="0"/>
        <v>10500</v>
      </c>
      <c r="O9" s="210">
        <f t="shared" si="0"/>
        <v>10500</v>
      </c>
      <c r="P9" s="117">
        <f>SUM(D9:O9)</f>
        <v>181900</v>
      </c>
      <c r="Q9" s="72">
        <v>20578.400000000001</v>
      </c>
      <c r="R9" s="72">
        <v>21217.3</v>
      </c>
      <c r="S9" s="72">
        <v>13700.9</v>
      </c>
      <c r="T9" s="72">
        <v>17740.38</v>
      </c>
      <c r="U9" s="72">
        <v>12804.3</v>
      </c>
      <c r="V9" s="72">
        <v>13317.1</v>
      </c>
      <c r="W9" s="72">
        <v>15633.2</v>
      </c>
      <c r="X9" s="72">
        <v>19301.2</v>
      </c>
      <c r="Y9" s="72">
        <v>10500</v>
      </c>
      <c r="Z9" s="72">
        <v>15000</v>
      </c>
      <c r="AA9" s="72">
        <v>10500</v>
      </c>
      <c r="AB9" s="72">
        <v>10500</v>
      </c>
      <c r="AC9" s="127">
        <f>SUM(Q9:AB9)</f>
        <v>180792.78</v>
      </c>
      <c r="AD9" s="72">
        <f t="shared" ref="AD9:AD14" si="1">P9-AC9</f>
        <v>1107.2200000000012</v>
      </c>
      <c r="AE9" s="192">
        <f t="shared" ref="AE9:AE14" si="2">AD9/AC9</f>
        <v>6.1242489882615955E-3</v>
      </c>
      <c r="AF9" s="129">
        <v>268717.78999999992</v>
      </c>
      <c r="AG9" s="124">
        <f t="shared" ref="AG9:AG27" si="3">P9-AF9</f>
        <v>-86817.789999999921</v>
      </c>
    </row>
    <row r="10" spans="1:33">
      <c r="A10" s="105" t="s">
        <v>482</v>
      </c>
      <c r="B10" s="105" t="s">
        <v>385</v>
      </c>
      <c r="C10" s="105" t="s">
        <v>483</v>
      </c>
      <c r="D10" s="210">
        <f t="shared" ref="D10:O13" si="4">ROUND(D86*D94,0)</f>
        <v>130000</v>
      </c>
      <c r="E10" s="210">
        <f t="shared" si="4"/>
        <v>162500</v>
      </c>
      <c r="F10" s="210">
        <f t="shared" si="4"/>
        <v>65000</v>
      </c>
      <c r="G10" s="210">
        <f t="shared" si="4"/>
        <v>60000</v>
      </c>
      <c r="H10" s="210">
        <f t="shared" si="4"/>
        <v>65000</v>
      </c>
      <c r="I10" s="210">
        <f t="shared" si="4"/>
        <v>42000</v>
      </c>
      <c r="J10" s="210">
        <f t="shared" si="4"/>
        <v>78000</v>
      </c>
      <c r="K10" s="210">
        <f t="shared" si="4"/>
        <v>78000</v>
      </c>
      <c r="L10" s="210">
        <f t="shared" si="4"/>
        <v>49500</v>
      </c>
      <c r="M10" s="210">
        <f t="shared" si="4"/>
        <v>84500</v>
      </c>
      <c r="N10" s="210">
        <f t="shared" si="4"/>
        <v>52000</v>
      </c>
      <c r="O10" s="210">
        <f t="shared" si="4"/>
        <v>58500</v>
      </c>
      <c r="P10" s="117">
        <f>SUM(D10:O10)</f>
        <v>925000</v>
      </c>
      <c r="Q10" s="72">
        <v>101844.1</v>
      </c>
      <c r="R10" s="72">
        <v>162024.4</v>
      </c>
      <c r="S10" s="72">
        <v>91165.3</v>
      </c>
      <c r="T10" s="72">
        <v>82408.800000000003</v>
      </c>
      <c r="U10" s="72">
        <v>73490.5</v>
      </c>
      <c r="V10" s="72">
        <v>62268.5</v>
      </c>
      <c r="W10" s="72">
        <v>129915.1</v>
      </c>
      <c r="X10" s="72">
        <v>149354.9</v>
      </c>
      <c r="Y10" s="72">
        <v>49500</v>
      </c>
      <c r="Z10" s="72">
        <v>84500</v>
      </c>
      <c r="AA10" s="72">
        <v>52000</v>
      </c>
      <c r="AB10" s="72">
        <v>58500</v>
      </c>
      <c r="AC10" s="127">
        <f>SUM(Q10:AB10)</f>
        <v>1096971.6000000001</v>
      </c>
      <c r="AD10" s="72">
        <f t="shared" si="1"/>
        <v>-171971.60000000009</v>
      </c>
      <c r="AE10" s="192">
        <f t="shared" si="2"/>
        <v>-0.15676941864310806</v>
      </c>
      <c r="AF10" s="129">
        <v>754627.82000000007</v>
      </c>
      <c r="AG10" s="124">
        <f t="shared" si="3"/>
        <v>170372.17999999993</v>
      </c>
    </row>
    <row r="11" spans="1:33">
      <c r="A11" s="105" t="s">
        <v>484</v>
      </c>
      <c r="B11" s="105" t="s">
        <v>385</v>
      </c>
      <c r="C11" s="105" t="s">
        <v>485</v>
      </c>
      <c r="D11" s="210">
        <f t="shared" si="4"/>
        <v>52000</v>
      </c>
      <c r="E11" s="210">
        <f t="shared" si="4"/>
        <v>97500</v>
      </c>
      <c r="F11" s="210">
        <f t="shared" si="4"/>
        <v>97500</v>
      </c>
      <c r="G11" s="210">
        <f t="shared" si="4"/>
        <v>45000</v>
      </c>
      <c r="H11" s="210">
        <f t="shared" si="4"/>
        <v>50000</v>
      </c>
      <c r="I11" s="210">
        <f t="shared" si="4"/>
        <v>50000</v>
      </c>
      <c r="J11" s="210">
        <f t="shared" si="4"/>
        <v>72000</v>
      </c>
      <c r="K11" s="210">
        <f t="shared" si="4"/>
        <v>90000</v>
      </c>
      <c r="L11" s="210">
        <f t="shared" si="4"/>
        <v>40000</v>
      </c>
      <c r="M11" s="210">
        <f t="shared" si="4"/>
        <v>60000</v>
      </c>
      <c r="N11" s="210">
        <f t="shared" si="4"/>
        <v>54000</v>
      </c>
      <c r="O11" s="210">
        <f t="shared" si="4"/>
        <v>60000</v>
      </c>
      <c r="P11" s="117">
        <f>SUM(D11:O11)</f>
        <v>768000</v>
      </c>
      <c r="Q11" s="72">
        <v>35086.800000000003</v>
      </c>
      <c r="R11" s="72">
        <v>113083.7</v>
      </c>
      <c r="S11" s="72">
        <v>61703</v>
      </c>
      <c r="T11" s="72">
        <v>35422.300000000003</v>
      </c>
      <c r="U11" s="72">
        <v>35187.1</v>
      </c>
      <c r="V11" s="72">
        <v>29328.6</v>
      </c>
      <c r="W11" s="72">
        <v>37433.699999999997</v>
      </c>
      <c r="X11" s="72">
        <v>21806.6</v>
      </c>
      <c r="Y11" s="72">
        <v>40000</v>
      </c>
      <c r="Z11" s="72">
        <v>60000</v>
      </c>
      <c r="AA11" s="72">
        <v>54000</v>
      </c>
      <c r="AB11" s="72">
        <v>60000</v>
      </c>
      <c r="AC11" s="127">
        <f>SUM(Q11:AB11)</f>
        <v>583051.79999999993</v>
      </c>
      <c r="AD11" s="72">
        <f t="shared" si="1"/>
        <v>184948.20000000007</v>
      </c>
      <c r="AE11" s="192">
        <f t="shared" si="2"/>
        <v>0.31720715037669051</v>
      </c>
      <c r="AF11" s="129">
        <v>553768.5</v>
      </c>
      <c r="AG11" s="124">
        <f t="shared" si="3"/>
        <v>214231.5</v>
      </c>
    </row>
    <row r="12" spans="1:33">
      <c r="A12" s="105" t="s">
        <v>486</v>
      </c>
      <c r="B12" s="105" t="s">
        <v>385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1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385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17">
        <f>SUM(D13:O13)</f>
        <v>0</v>
      </c>
      <c r="Q13" s="72">
        <v>0</v>
      </c>
      <c r="R13" s="72">
        <v>6.6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37.700000000000003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44.300000000000004</v>
      </c>
      <c r="AD13" s="72">
        <f t="shared" si="1"/>
        <v>-44.300000000000004</v>
      </c>
      <c r="AE13" s="192">
        <f t="shared" si="2"/>
        <v>-1</v>
      </c>
      <c r="AF13" s="129">
        <v>22071.89</v>
      </c>
      <c r="AG13" s="124">
        <f t="shared" si="3"/>
        <v>-22071.89</v>
      </c>
    </row>
    <row r="14" spans="1:33">
      <c r="C14" s="109" t="s">
        <v>490</v>
      </c>
      <c r="D14" s="127">
        <f t="shared" ref="D14:AC14" si="5">SUM(D9:D13)</f>
        <v>202400</v>
      </c>
      <c r="E14" s="127">
        <f t="shared" si="5"/>
        <v>288000</v>
      </c>
      <c r="F14" s="127">
        <f t="shared" si="5"/>
        <v>173000</v>
      </c>
      <c r="G14" s="127">
        <f t="shared" si="5"/>
        <v>115500</v>
      </c>
      <c r="H14" s="127">
        <f t="shared" si="5"/>
        <v>125500</v>
      </c>
      <c r="I14" s="127">
        <f t="shared" si="5"/>
        <v>102500</v>
      </c>
      <c r="J14" s="127">
        <f t="shared" si="5"/>
        <v>172500</v>
      </c>
      <c r="K14" s="127">
        <f t="shared" si="5"/>
        <v>190500</v>
      </c>
      <c r="L14" s="127">
        <f t="shared" si="5"/>
        <v>100000</v>
      </c>
      <c r="M14" s="127">
        <f t="shared" si="5"/>
        <v>159500</v>
      </c>
      <c r="N14" s="127">
        <f t="shared" si="5"/>
        <v>116500</v>
      </c>
      <c r="O14" s="127">
        <f t="shared" si="5"/>
        <v>129000</v>
      </c>
      <c r="P14" s="117">
        <f t="shared" si="5"/>
        <v>1874900</v>
      </c>
      <c r="Q14" s="127">
        <f t="shared" si="5"/>
        <v>157509.29999999999</v>
      </c>
      <c r="R14" s="127">
        <f t="shared" si="5"/>
        <v>296331.99999999994</v>
      </c>
      <c r="S14" s="127">
        <f t="shared" si="5"/>
        <v>166569.20000000001</v>
      </c>
      <c r="T14" s="127">
        <f t="shared" si="5"/>
        <v>135571.48000000001</v>
      </c>
      <c r="U14" s="127">
        <f t="shared" si="5"/>
        <v>121481.9</v>
      </c>
      <c r="V14" s="127">
        <f t="shared" si="5"/>
        <v>104914.20000000001</v>
      </c>
      <c r="W14" s="127">
        <f t="shared" si="5"/>
        <v>182982</v>
      </c>
      <c r="X14" s="127">
        <f t="shared" si="5"/>
        <v>190500.40000000002</v>
      </c>
      <c r="Y14" s="127">
        <f t="shared" si="5"/>
        <v>100000</v>
      </c>
      <c r="Z14" s="127">
        <f t="shared" si="5"/>
        <v>159500</v>
      </c>
      <c r="AA14" s="127">
        <f t="shared" si="5"/>
        <v>116500</v>
      </c>
      <c r="AB14" s="127">
        <f t="shared" si="5"/>
        <v>129000</v>
      </c>
      <c r="AC14" s="127">
        <f t="shared" si="5"/>
        <v>1860860.4800000002</v>
      </c>
      <c r="AD14" s="72">
        <f t="shared" si="1"/>
        <v>14039.519999999786</v>
      </c>
      <c r="AE14" s="192">
        <f t="shared" si="2"/>
        <v>7.5446387039181922E-3</v>
      </c>
      <c r="AF14" s="129">
        <v>1599185.9999999998</v>
      </c>
      <c r="AG14" s="124">
        <f t="shared" si="3"/>
        <v>275714.00000000023</v>
      </c>
    </row>
    <row r="15" spans="1:33">
      <c r="C15" s="105" t="s">
        <v>154</v>
      </c>
      <c r="P15" s="117"/>
      <c r="AF15" s="129"/>
      <c r="AG15" s="124">
        <f t="shared" si="3"/>
        <v>0</v>
      </c>
    </row>
    <row r="16" spans="1:33">
      <c r="C16" s="105" t="s">
        <v>491</v>
      </c>
      <c r="P16" s="117"/>
      <c r="AF16" s="129"/>
      <c r="AG16" s="124">
        <f t="shared" si="3"/>
        <v>0</v>
      </c>
    </row>
    <row r="17" spans="1:33">
      <c r="A17" s="105" t="s">
        <v>492</v>
      </c>
      <c r="B17" s="105" t="s">
        <v>385</v>
      </c>
      <c r="C17" s="105" t="s">
        <v>481</v>
      </c>
      <c r="P17" s="11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64.320000000000007</v>
      </c>
      <c r="AG17" s="124">
        <f t="shared" si="3"/>
        <v>-64.320000000000007</v>
      </c>
    </row>
    <row r="18" spans="1:33">
      <c r="A18" s="105" t="s">
        <v>538</v>
      </c>
      <c r="B18" s="105" t="s">
        <v>385</v>
      </c>
      <c r="C18" s="105" t="s">
        <v>483</v>
      </c>
      <c r="P18" s="11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1810.24</v>
      </c>
      <c r="AG18" s="124">
        <f t="shared" si="3"/>
        <v>-1810.24</v>
      </c>
    </row>
    <row r="19" spans="1:33">
      <c r="A19" s="105" t="s">
        <v>494</v>
      </c>
      <c r="B19" s="105" t="s">
        <v>385</v>
      </c>
      <c r="C19" s="105" t="s">
        <v>485</v>
      </c>
      <c r="P19" s="117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2365.36</v>
      </c>
      <c r="AG19" s="124">
        <f t="shared" si="3"/>
        <v>-2365.36</v>
      </c>
    </row>
    <row r="20" spans="1:33">
      <c r="A20" s="105" t="s">
        <v>495</v>
      </c>
      <c r="B20" s="105" t="s">
        <v>385</v>
      </c>
      <c r="C20" s="105" t="s">
        <v>487</v>
      </c>
      <c r="P20" s="11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1263.3599999999999</v>
      </c>
      <c r="AG20" s="124">
        <f t="shared" si="3"/>
        <v>-1263.3599999999999</v>
      </c>
    </row>
    <row r="21" spans="1:33">
      <c r="A21" s="105" t="s">
        <v>497</v>
      </c>
      <c r="B21" s="105" t="s">
        <v>385</v>
      </c>
      <c r="C21" s="105" t="s">
        <v>489</v>
      </c>
      <c r="P21" s="11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276.95999999999998</v>
      </c>
      <c r="AG21" s="124">
        <f t="shared" si="3"/>
        <v>-276.95999999999998</v>
      </c>
    </row>
    <row r="22" spans="1:33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7">
        <f t="shared" si="8"/>
        <v>0</v>
      </c>
      <c r="K22" s="127">
        <f t="shared" si="8"/>
        <v>0</v>
      </c>
      <c r="L22" s="127">
        <f t="shared" si="8"/>
        <v>0</v>
      </c>
      <c r="M22" s="127">
        <f t="shared" si="8"/>
        <v>0</v>
      </c>
      <c r="N22" s="127">
        <f t="shared" si="8"/>
        <v>0</v>
      </c>
      <c r="O22" s="127">
        <f t="shared" si="8"/>
        <v>0</v>
      </c>
      <c r="P22" s="117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5780.24</v>
      </c>
      <c r="AG22" s="124">
        <f t="shared" si="3"/>
        <v>-5780.24</v>
      </c>
    </row>
    <row r="23" spans="1:33">
      <c r="C23" s="105" t="s">
        <v>154</v>
      </c>
      <c r="P23" s="117"/>
      <c r="AF23" s="129"/>
      <c r="AG23" s="124">
        <f t="shared" si="3"/>
        <v>0</v>
      </c>
    </row>
    <row r="24" spans="1:33">
      <c r="A24" s="105" t="s">
        <v>406</v>
      </c>
      <c r="B24" s="105" t="s">
        <v>385</v>
      </c>
      <c r="C24" s="105" t="s">
        <v>408</v>
      </c>
      <c r="J24" s="123"/>
      <c r="K24" s="123"/>
      <c r="L24" s="123"/>
      <c r="M24" s="123"/>
      <c r="N24" s="123"/>
      <c r="O24" s="123"/>
      <c r="P24" s="11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385</v>
      </c>
      <c r="C25" s="105" t="s">
        <v>499</v>
      </c>
      <c r="D25" s="72">
        <v>3000</v>
      </c>
      <c r="E25" s="72">
        <v>5000</v>
      </c>
      <c r="F25" s="72">
        <v>2000</v>
      </c>
      <c r="G25" s="72">
        <v>2000</v>
      </c>
      <c r="H25" s="72">
        <v>2000</v>
      </c>
      <c r="I25" s="72">
        <v>2000</v>
      </c>
      <c r="J25" s="72">
        <v>2000</v>
      </c>
      <c r="K25" s="72">
        <v>2000</v>
      </c>
      <c r="L25" s="72">
        <v>2000</v>
      </c>
      <c r="M25" s="72">
        <v>1200000</v>
      </c>
      <c r="N25" s="72">
        <v>2000</v>
      </c>
      <c r="O25" s="72">
        <v>2000</v>
      </c>
      <c r="P25" s="117">
        <f>SUM(D25:O25)</f>
        <v>1226000</v>
      </c>
      <c r="Q25" s="72">
        <v>9000.9</v>
      </c>
      <c r="R25" s="72">
        <v>13181.1</v>
      </c>
      <c r="S25" s="72">
        <v>10232.299999999999</v>
      </c>
      <c r="T25" s="72">
        <v>5302.9</v>
      </c>
      <c r="U25" s="72">
        <v>7625.9</v>
      </c>
      <c r="V25" s="72">
        <v>9186</v>
      </c>
      <c r="W25" s="72">
        <v>9152.2999999999993</v>
      </c>
      <c r="X25" s="72">
        <v>11496.63</v>
      </c>
      <c r="Y25" s="72">
        <v>1200000</v>
      </c>
      <c r="Z25" s="72">
        <v>2000</v>
      </c>
      <c r="AA25" s="72">
        <v>2000</v>
      </c>
      <c r="AB25" s="72">
        <v>2000</v>
      </c>
      <c r="AC25" s="127">
        <f>SUM(Q25:AB25)</f>
        <v>1281178.03</v>
      </c>
      <c r="AD25" s="72">
        <f>P25-AC25</f>
        <v>-55178.030000000028</v>
      </c>
      <c r="AE25" s="192">
        <f>AD25/AC25</f>
        <v>-4.3068198726448681E-2</v>
      </c>
      <c r="AF25" s="129">
        <v>147850.46</v>
      </c>
      <c r="AG25" s="124">
        <f t="shared" si="3"/>
        <v>1078149.54</v>
      </c>
    </row>
    <row r="26" spans="1:33">
      <c r="A26" s="105" t="s">
        <v>169</v>
      </c>
      <c r="B26" s="105" t="s">
        <v>385</v>
      </c>
      <c r="C26" s="105" t="s">
        <v>170</v>
      </c>
      <c r="P26" s="117">
        <f>SUM(D26:O26)</f>
        <v>0</v>
      </c>
      <c r="Q26" s="72">
        <v>0.2</v>
      </c>
      <c r="R26" s="72">
        <v>0.3</v>
      </c>
      <c r="S26" s="72">
        <v>0</v>
      </c>
      <c r="T26" s="72">
        <v>0</v>
      </c>
      <c r="U26" s="72">
        <v>0</v>
      </c>
      <c r="V26" s="72">
        <v>-0.3</v>
      </c>
      <c r="W26" s="72">
        <v>14.4</v>
      </c>
      <c r="X26" s="72">
        <v>18.5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33.1</v>
      </c>
      <c r="AD26" s="72">
        <f>P26-AC26</f>
        <v>-33.1</v>
      </c>
      <c r="AE26" s="192">
        <f>AD26/AC26</f>
        <v>-1</v>
      </c>
      <c r="AF26" s="129">
        <v>56838.369999999995</v>
      </c>
      <c r="AG26" s="124">
        <f t="shared" si="3"/>
        <v>-56838.369999999995</v>
      </c>
    </row>
    <row r="27" spans="1:33">
      <c r="C27" s="109" t="s">
        <v>500</v>
      </c>
      <c r="D27" s="127">
        <f t="shared" ref="D27:P27" si="10">SUM(D24:D26)+D14+D22</f>
        <v>205400</v>
      </c>
      <c r="E27" s="127">
        <f t="shared" si="10"/>
        <v>293000</v>
      </c>
      <c r="F27" s="127">
        <f t="shared" si="10"/>
        <v>175000</v>
      </c>
      <c r="G27" s="127">
        <f t="shared" si="10"/>
        <v>117500</v>
      </c>
      <c r="H27" s="127">
        <f t="shared" si="10"/>
        <v>127500</v>
      </c>
      <c r="I27" s="127">
        <f t="shared" si="10"/>
        <v>104500</v>
      </c>
      <c r="J27" s="127">
        <f t="shared" si="10"/>
        <v>174500</v>
      </c>
      <c r="K27" s="127">
        <f t="shared" si="10"/>
        <v>192500</v>
      </c>
      <c r="L27" s="127">
        <f t="shared" si="10"/>
        <v>102000</v>
      </c>
      <c r="M27" s="127">
        <f t="shared" si="10"/>
        <v>1359500</v>
      </c>
      <c r="N27" s="127">
        <f t="shared" si="10"/>
        <v>118500</v>
      </c>
      <c r="O27" s="127">
        <f t="shared" si="10"/>
        <v>131000</v>
      </c>
      <c r="P27" s="117">
        <f t="shared" si="10"/>
        <v>3100900</v>
      </c>
      <c r="Q27" s="127">
        <f t="shared" ref="Q27:V27" si="11">SUM(Q24:Q26)+Q14+Q22</f>
        <v>166510.39999999999</v>
      </c>
      <c r="R27" s="127">
        <f t="shared" si="11"/>
        <v>309513.39999999997</v>
      </c>
      <c r="S27" s="127">
        <f t="shared" si="11"/>
        <v>176801.5</v>
      </c>
      <c r="T27" s="127">
        <f t="shared" si="11"/>
        <v>140874.38</v>
      </c>
      <c r="U27" s="127">
        <f t="shared" si="11"/>
        <v>129107.79999999999</v>
      </c>
      <c r="V27" s="127">
        <f t="shared" si="11"/>
        <v>114099.90000000001</v>
      </c>
      <c r="W27" s="127">
        <f t="shared" ref="W27:AC27" si="12">SUM(W24:W26)+W14+W22</f>
        <v>192148.7</v>
      </c>
      <c r="X27" s="127">
        <f t="shared" si="12"/>
        <v>202015.53000000003</v>
      </c>
      <c r="Y27" s="127">
        <f t="shared" si="12"/>
        <v>1300000</v>
      </c>
      <c r="Z27" s="127">
        <f t="shared" si="12"/>
        <v>161500</v>
      </c>
      <c r="AA27" s="127">
        <f t="shared" si="12"/>
        <v>118500</v>
      </c>
      <c r="AB27" s="127">
        <f t="shared" si="12"/>
        <v>131000</v>
      </c>
      <c r="AC27" s="127">
        <f t="shared" si="12"/>
        <v>3142071.6100000003</v>
      </c>
      <c r="AD27" s="72">
        <f>P27-AC27</f>
        <v>-41171.610000000335</v>
      </c>
      <c r="AE27" s="192">
        <f>AD27/AC27</f>
        <v>-1.310333280405418E-2</v>
      </c>
      <c r="AF27" s="129">
        <v>1809655.0699999998</v>
      </c>
      <c r="AG27" s="124">
        <f t="shared" si="3"/>
        <v>1291244.9300000002</v>
      </c>
    </row>
    <row r="28" spans="1:33">
      <c r="C28" s="105" t="s">
        <v>154</v>
      </c>
      <c r="P28" s="117"/>
      <c r="AF28" s="129"/>
    </row>
    <row r="29" spans="1:33">
      <c r="C29" s="105" t="s">
        <v>414</v>
      </c>
      <c r="D29" s="211">
        <f t="shared" ref="D29:O29" si="13">D30/D14</f>
        <v>0.26</v>
      </c>
      <c r="E29" s="211">
        <f t="shared" si="13"/>
        <v>0.26</v>
      </c>
      <c r="F29" s="211">
        <f t="shared" si="13"/>
        <v>0.26</v>
      </c>
      <c r="G29" s="211">
        <f t="shared" si="13"/>
        <v>0.26</v>
      </c>
      <c r="H29" s="211">
        <f t="shared" si="13"/>
        <v>0.26</v>
      </c>
      <c r="I29" s="211">
        <f t="shared" si="13"/>
        <v>0.26</v>
      </c>
      <c r="J29" s="211">
        <f t="shared" si="13"/>
        <v>0.26</v>
      </c>
      <c r="K29" s="211">
        <f t="shared" si="13"/>
        <v>0.26</v>
      </c>
      <c r="L29" s="211">
        <f t="shared" si="13"/>
        <v>0.26</v>
      </c>
      <c r="M29" s="211">
        <f t="shared" si="13"/>
        <v>0.26</v>
      </c>
      <c r="N29" s="211">
        <f t="shared" si="13"/>
        <v>0.26</v>
      </c>
      <c r="O29" s="211">
        <f t="shared" si="13"/>
        <v>0.26</v>
      </c>
      <c r="P29" s="211">
        <f>P30/P14</f>
        <v>0.26</v>
      </c>
      <c r="W29" s="72">
        <v>0.25666136559880209</v>
      </c>
      <c r="X29" s="72">
        <v>0.25761835670686256</v>
      </c>
      <c r="Y29" s="72">
        <v>0.26</v>
      </c>
      <c r="Z29" s="72">
        <v>0.26</v>
      </c>
      <c r="AA29" s="72">
        <v>0.26</v>
      </c>
      <c r="AB29" s="72">
        <v>0.26</v>
      </c>
      <c r="AC29" s="211">
        <f>AC30/AC14</f>
        <v>0.25819201663092978</v>
      </c>
      <c r="AF29" s="129">
        <v>0.21480065483314636</v>
      </c>
    </row>
    <row r="30" spans="1:33">
      <c r="A30" s="105" t="s">
        <v>415</v>
      </c>
      <c r="B30" s="105" t="s">
        <v>385</v>
      </c>
      <c r="C30" s="105" t="s">
        <v>416</v>
      </c>
      <c r="D30" s="72">
        <f>ROUND(D14*0.26,0)</f>
        <v>52624</v>
      </c>
      <c r="E30" s="72">
        <f t="shared" ref="E30:O30" si="14">ROUND(E14*0.26,0)</f>
        <v>74880</v>
      </c>
      <c r="F30" s="72">
        <f t="shared" si="14"/>
        <v>44980</v>
      </c>
      <c r="G30" s="72">
        <f t="shared" si="14"/>
        <v>30030</v>
      </c>
      <c r="H30" s="72">
        <f t="shared" si="14"/>
        <v>32630</v>
      </c>
      <c r="I30" s="72">
        <f t="shared" si="14"/>
        <v>26650</v>
      </c>
      <c r="J30" s="72">
        <f t="shared" si="14"/>
        <v>44850</v>
      </c>
      <c r="K30" s="72">
        <f t="shared" si="14"/>
        <v>49530</v>
      </c>
      <c r="L30" s="136">
        <f t="shared" si="14"/>
        <v>26000</v>
      </c>
      <c r="M30" s="72">
        <f t="shared" si="14"/>
        <v>41470</v>
      </c>
      <c r="N30" s="72">
        <f t="shared" si="14"/>
        <v>30290</v>
      </c>
      <c r="O30" s="72">
        <f t="shared" si="14"/>
        <v>33540</v>
      </c>
      <c r="P30" s="117">
        <f>SUM(D30:O30)</f>
        <v>487474</v>
      </c>
      <c r="Q30" s="72">
        <v>41033.65</v>
      </c>
      <c r="R30" s="72">
        <v>76722.52</v>
      </c>
      <c r="S30" s="72">
        <v>40501.839999999997</v>
      </c>
      <c r="T30" s="72">
        <v>34938.75</v>
      </c>
      <c r="U30" s="72">
        <v>32146.26</v>
      </c>
      <c r="V30" s="72">
        <v>27775.49</v>
      </c>
      <c r="W30" s="72">
        <v>46964.41</v>
      </c>
      <c r="X30" s="72">
        <v>49076.4</v>
      </c>
      <c r="Y30" s="72">
        <v>26000</v>
      </c>
      <c r="Z30" s="72">
        <v>41470</v>
      </c>
      <c r="AA30" s="72">
        <v>30290</v>
      </c>
      <c r="AB30" s="72">
        <v>33540</v>
      </c>
      <c r="AC30" s="127">
        <f>SUM(Q30:AB30)</f>
        <v>480459.32000000007</v>
      </c>
      <c r="AD30" s="72">
        <f t="shared" ref="AD30:AD33" si="15">P30-AC30</f>
        <v>7014.6799999999348</v>
      </c>
      <c r="AE30" s="192">
        <f t="shared" ref="AE30:AE33" si="16">AD30/AC30</f>
        <v>1.459994573526003E-2</v>
      </c>
      <c r="AF30" s="129">
        <v>343506.19999999995</v>
      </c>
      <c r="AG30" s="124">
        <f t="shared" ref="AG30:AG80" si="17">AF30-P30</f>
        <v>-143967.80000000005</v>
      </c>
    </row>
    <row r="31" spans="1:33">
      <c r="A31" s="105" t="s">
        <v>417</v>
      </c>
      <c r="B31" s="105" t="s">
        <v>385</v>
      </c>
      <c r="C31" s="105" t="s">
        <v>418</v>
      </c>
      <c r="D31" s="72">
        <f t="shared" ref="D31:O31" si="18">ROUND(D22*0.2,0)</f>
        <v>0</v>
      </c>
      <c r="E31" s="72">
        <f t="shared" si="18"/>
        <v>0</v>
      </c>
      <c r="F31" s="72">
        <f t="shared" si="18"/>
        <v>0</v>
      </c>
      <c r="G31" s="72">
        <f t="shared" si="18"/>
        <v>0</v>
      </c>
      <c r="H31" s="72">
        <f t="shared" si="18"/>
        <v>0</v>
      </c>
      <c r="I31" s="72">
        <f t="shared" si="18"/>
        <v>0</v>
      </c>
      <c r="J31" s="72">
        <f t="shared" si="18"/>
        <v>0</v>
      </c>
      <c r="K31" s="72">
        <f t="shared" si="18"/>
        <v>0</v>
      </c>
      <c r="L31" s="72">
        <f t="shared" si="18"/>
        <v>0</v>
      </c>
      <c r="M31" s="72">
        <f t="shared" si="18"/>
        <v>0</v>
      </c>
      <c r="N31" s="72">
        <f t="shared" si="18"/>
        <v>0</v>
      </c>
      <c r="O31" s="72">
        <f t="shared" si="18"/>
        <v>0</v>
      </c>
      <c r="P31" s="117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5"/>
        <v>0</v>
      </c>
      <c r="AE31" s="192" t="e">
        <f t="shared" si="16"/>
        <v>#DIV/0!</v>
      </c>
      <c r="AF31" s="129">
        <v>874.82999999999993</v>
      </c>
      <c r="AG31" s="124">
        <f t="shared" si="17"/>
        <v>874.82999999999993</v>
      </c>
    </row>
    <row r="32" spans="1:33">
      <c r="A32" s="105" t="s">
        <v>421</v>
      </c>
      <c r="B32" s="105" t="s">
        <v>385</v>
      </c>
      <c r="C32" s="105" t="s">
        <v>422</v>
      </c>
      <c r="D32" s="72">
        <f>ROUND(D25*0.1,0)</f>
        <v>300</v>
      </c>
      <c r="E32" s="72">
        <f t="shared" ref="E32:O32" si="19">ROUND(E25*0.1,0)</f>
        <v>500</v>
      </c>
      <c r="F32" s="72">
        <f t="shared" si="19"/>
        <v>200</v>
      </c>
      <c r="G32" s="72">
        <f t="shared" si="19"/>
        <v>200</v>
      </c>
      <c r="H32" s="72">
        <f t="shared" si="19"/>
        <v>200</v>
      </c>
      <c r="I32" s="72">
        <f t="shared" si="19"/>
        <v>200</v>
      </c>
      <c r="J32" s="72">
        <f t="shared" si="19"/>
        <v>200</v>
      </c>
      <c r="K32" s="72">
        <f t="shared" si="19"/>
        <v>200</v>
      </c>
      <c r="L32" s="72">
        <f t="shared" si="19"/>
        <v>200</v>
      </c>
      <c r="M32" s="72">
        <v>770000</v>
      </c>
      <c r="N32" s="72">
        <f t="shared" si="19"/>
        <v>200</v>
      </c>
      <c r="O32" s="72">
        <f t="shared" si="19"/>
        <v>200</v>
      </c>
      <c r="P32" s="117">
        <f>SUM(D32:O32)</f>
        <v>772600</v>
      </c>
      <c r="Q32" s="72">
        <v>3742.98</v>
      </c>
      <c r="R32" s="72">
        <v>5617.17</v>
      </c>
      <c r="S32" s="72">
        <v>4219.1499999999996</v>
      </c>
      <c r="T32" s="72">
        <v>2070.35</v>
      </c>
      <c r="U32" s="72">
        <v>1520.35</v>
      </c>
      <c r="V32" s="72">
        <v>2708.09</v>
      </c>
      <c r="W32" s="72">
        <v>2814.8</v>
      </c>
      <c r="X32" s="72">
        <v>3671.29</v>
      </c>
      <c r="Y32" s="72">
        <v>750000</v>
      </c>
      <c r="Z32" s="72">
        <v>200</v>
      </c>
      <c r="AA32" s="72">
        <v>200</v>
      </c>
      <c r="AB32" s="72">
        <v>200</v>
      </c>
      <c r="AC32" s="127">
        <f>SUM(Q32:AB32)</f>
        <v>776964.18</v>
      </c>
      <c r="AD32" s="72">
        <f t="shared" si="15"/>
        <v>-4364.1800000000512</v>
      </c>
      <c r="AE32" s="192">
        <f t="shared" si="16"/>
        <v>-5.6169642209246392E-3</v>
      </c>
      <c r="AF32" s="129">
        <v>16103.549999999997</v>
      </c>
      <c r="AG32" s="124">
        <f t="shared" si="17"/>
        <v>-756496.45</v>
      </c>
    </row>
    <row r="33" spans="1:33">
      <c r="C33" s="109" t="s">
        <v>501</v>
      </c>
      <c r="D33" s="127">
        <f t="shared" ref="D33:AC33" si="20">SUM(D30:D32)</f>
        <v>52924</v>
      </c>
      <c r="E33" s="127">
        <f t="shared" si="20"/>
        <v>75380</v>
      </c>
      <c r="F33" s="127">
        <f t="shared" si="20"/>
        <v>45180</v>
      </c>
      <c r="G33" s="127">
        <f t="shared" si="20"/>
        <v>30230</v>
      </c>
      <c r="H33" s="127">
        <f t="shared" si="20"/>
        <v>32830</v>
      </c>
      <c r="I33" s="127">
        <f t="shared" si="20"/>
        <v>26850</v>
      </c>
      <c r="J33" s="127">
        <f t="shared" si="20"/>
        <v>45050</v>
      </c>
      <c r="K33" s="127">
        <f t="shared" si="20"/>
        <v>49730</v>
      </c>
      <c r="L33" s="127">
        <f t="shared" si="20"/>
        <v>26200</v>
      </c>
      <c r="M33" s="127">
        <f t="shared" si="20"/>
        <v>811470</v>
      </c>
      <c r="N33" s="127">
        <f t="shared" si="20"/>
        <v>30490</v>
      </c>
      <c r="O33" s="127">
        <f t="shared" si="20"/>
        <v>33740</v>
      </c>
      <c r="P33" s="117">
        <f t="shared" si="20"/>
        <v>1260074</v>
      </c>
      <c r="Q33" s="127">
        <f t="shared" si="20"/>
        <v>44776.630000000005</v>
      </c>
      <c r="R33" s="127">
        <f t="shared" si="20"/>
        <v>82339.69</v>
      </c>
      <c r="S33" s="127">
        <f t="shared" si="20"/>
        <v>44720.99</v>
      </c>
      <c r="T33" s="127">
        <f t="shared" si="20"/>
        <v>37009.1</v>
      </c>
      <c r="U33" s="127">
        <f t="shared" si="20"/>
        <v>33666.61</v>
      </c>
      <c r="V33" s="127">
        <f t="shared" si="20"/>
        <v>30483.58</v>
      </c>
      <c r="W33" s="127">
        <f t="shared" si="20"/>
        <v>49779.210000000006</v>
      </c>
      <c r="X33" s="127">
        <f t="shared" si="20"/>
        <v>52747.69</v>
      </c>
      <c r="Y33" s="127">
        <f t="shared" si="20"/>
        <v>776000</v>
      </c>
      <c r="Z33" s="127">
        <f t="shared" si="20"/>
        <v>41670</v>
      </c>
      <c r="AA33" s="127">
        <f t="shared" si="20"/>
        <v>30490</v>
      </c>
      <c r="AB33" s="127">
        <f t="shared" si="20"/>
        <v>33740</v>
      </c>
      <c r="AC33" s="127">
        <f t="shared" si="20"/>
        <v>1257423.5</v>
      </c>
      <c r="AD33" s="72">
        <f t="shared" si="15"/>
        <v>2650.5</v>
      </c>
      <c r="AE33" s="192">
        <f t="shared" si="16"/>
        <v>2.1078817120882502E-3</v>
      </c>
      <c r="AF33" s="129">
        <v>360484.57999999996</v>
      </c>
      <c r="AG33" s="124">
        <f t="shared" si="17"/>
        <v>-899589.42</v>
      </c>
    </row>
    <row r="34" spans="1:33">
      <c r="C34" s="105" t="s">
        <v>154</v>
      </c>
      <c r="P34" s="117"/>
      <c r="AF34" s="129"/>
      <c r="AG34" s="124">
        <f t="shared" si="17"/>
        <v>0</v>
      </c>
    </row>
    <row r="35" spans="1:33" s="109" customFormat="1">
      <c r="C35" s="109" t="s">
        <v>289</v>
      </c>
      <c r="D35" s="127">
        <f t="shared" ref="D35:AB35" si="21">D134</f>
        <v>15212.68</v>
      </c>
      <c r="E35" s="127">
        <f t="shared" si="21"/>
        <v>11948.68</v>
      </c>
      <c r="F35" s="127">
        <f t="shared" si="21"/>
        <v>12220.13</v>
      </c>
      <c r="G35" s="127">
        <f t="shared" si="21"/>
        <v>12641.92</v>
      </c>
      <c r="H35" s="127">
        <f t="shared" si="21"/>
        <v>14273.93</v>
      </c>
      <c r="I35" s="127">
        <f t="shared" si="21"/>
        <v>12220.13</v>
      </c>
      <c r="J35" s="127">
        <f t="shared" si="21"/>
        <v>12328.74</v>
      </c>
      <c r="K35" s="127">
        <f t="shared" si="21"/>
        <v>12295.05</v>
      </c>
      <c r="L35" s="127">
        <f t="shared" si="21"/>
        <v>12295.05</v>
      </c>
      <c r="M35" s="127">
        <f t="shared" si="21"/>
        <v>16402.63</v>
      </c>
      <c r="N35" s="127">
        <f t="shared" si="21"/>
        <v>12328.74</v>
      </c>
      <c r="O35" s="127">
        <f t="shared" si="21"/>
        <v>12295.05</v>
      </c>
      <c r="P35" s="117">
        <f t="shared" si="21"/>
        <v>156462.73000000001</v>
      </c>
      <c r="Q35" s="127">
        <f t="shared" si="21"/>
        <v>17826.260000000002</v>
      </c>
      <c r="R35" s="127">
        <f t="shared" si="21"/>
        <v>19866.66</v>
      </c>
      <c r="S35" s="127">
        <f t="shared" si="21"/>
        <v>17561.5</v>
      </c>
      <c r="T35" s="127">
        <f t="shared" si="21"/>
        <v>17404.150000000001</v>
      </c>
      <c r="U35" s="127">
        <f t="shared" si="21"/>
        <v>17339.59</v>
      </c>
      <c r="V35" s="127">
        <f t="shared" si="21"/>
        <v>17742.75</v>
      </c>
      <c r="W35" s="127">
        <f t="shared" si="21"/>
        <v>16321.429999999998</v>
      </c>
      <c r="X35" s="127">
        <f t="shared" si="21"/>
        <v>16724.57</v>
      </c>
      <c r="Y35" s="127">
        <f t="shared" si="21"/>
        <v>102034</v>
      </c>
      <c r="Z35" s="127">
        <f t="shared" si="21"/>
        <v>16783</v>
      </c>
      <c r="AA35" s="127">
        <f t="shared" si="21"/>
        <v>13269</v>
      </c>
      <c r="AB35" s="127">
        <f t="shared" si="21"/>
        <v>13269</v>
      </c>
      <c r="AC35" s="127">
        <f>SUM(Q35:AB35)</f>
        <v>286141.91000000003</v>
      </c>
      <c r="AD35" s="127">
        <f t="shared" ref="AD35" si="22">P35-AC35</f>
        <v>-129679.18000000002</v>
      </c>
      <c r="AE35" s="132">
        <f t="shared" ref="AE35" si="23">AD35/AC35</f>
        <v>-0.45319883410298062</v>
      </c>
      <c r="AF35" s="129">
        <v>241422.99</v>
      </c>
      <c r="AG35" s="124">
        <f t="shared" si="17"/>
        <v>84960.25999999998</v>
      </c>
    </row>
    <row r="36" spans="1:33">
      <c r="C36" s="105" t="s">
        <v>154</v>
      </c>
      <c r="P36" s="117"/>
      <c r="AF36" s="129"/>
      <c r="AG36" s="124">
        <f t="shared" si="17"/>
        <v>0</v>
      </c>
    </row>
    <row r="37" spans="1:33">
      <c r="C37" s="109" t="s">
        <v>502</v>
      </c>
      <c r="P37" s="117"/>
      <c r="AF37" s="129"/>
      <c r="AG37" s="124">
        <f t="shared" si="17"/>
        <v>0</v>
      </c>
    </row>
    <row r="38" spans="1:33">
      <c r="A38" s="105" t="s">
        <v>424</v>
      </c>
      <c r="B38" s="105" t="s">
        <v>385</v>
      </c>
      <c r="C38" s="105" t="s">
        <v>425</v>
      </c>
      <c r="D38" s="72">
        <v>200</v>
      </c>
      <c r="E38" s="72">
        <v>200</v>
      </c>
      <c r="F38" s="72">
        <v>200</v>
      </c>
      <c r="G38" s="72">
        <v>200</v>
      </c>
      <c r="H38" s="72">
        <v>200</v>
      </c>
      <c r="I38" s="72">
        <v>200</v>
      </c>
      <c r="J38" s="72">
        <v>200</v>
      </c>
      <c r="K38" s="72">
        <v>200</v>
      </c>
      <c r="L38" s="72">
        <v>200</v>
      </c>
      <c r="M38" s="72">
        <v>200</v>
      </c>
      <c r="N38" s="72">
        <v>200</v>
      </c>
      <c r="O38" s="72">
        <v>200</v>
      </c>
      <c r="P38" s="200">
        <f t="shared" ref="P38:P78" si="24">SUM(D38:O38)</f>
        <v>2400</v>
      </c>
      <c r="Q38" s="72">
        <v>171.13</v>
      </c>
      <c r="R38" s="72">
        <v>579.53</v>
      </c>
      <c r="S38" s="72">
        <v>69.540000000000006</v>
      </c>
      <c r="T38" s="72">
        <v>26.23</v>
      </c>
      <c r="U38" s="72">
        <v>71.7</v>
      </c>
      <c r="V38" s="72">
        <v>53.21</v>
      </c>
      <c r="W38" s="72">
        <v>71.599999999999994</v>
      </c>
      <c r="X38" s="72">
        <v>209.33</v>
      </c>
      <c r="Y38" s="72">
        <v>400</v>
      </c>
      <c r="Z38" s="72">
        <v>400</v>
      </c>
      <c r="AA38" s="72">
        <v>400</v>
      </c>
      <c r="AB38" s="72">
        <v>400</v>
      </c>
      <c r="AC38" s="127">
        <f t="shared" ref="AC38:AC79" si="25">SUM(Q38:AB38)</f>
        <v>2852.27</v>
      </c>
      <c r="AD38" s="72">
        <f t="shared" ref="AD38:AD82" si="26">P38-AC38</f>
        <v>-452.27</v>
      </c>
      <c r="AE38" s="192">
        <f t="shared" ref="AE38:AE82" si="27">AD38/AC38</f>
        <v>-0.15856493249236572</v>
      </c>
      <c r="AF38" s="129">
        <v>4182.41</v>
      </c>
      <c r="AG38" s="124">
        <f t="shared" si="17"/>
        <v>1782.4099999999999</v>
      </c>
    </row>
    <row r="39" spans="1:33">
      <c r="A39" s="105" t="s">
        <v>273</v>
      </c>
      <c r="C39" s="105" t="s">
        <v>426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200">
        <f t="shared" si="24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5"/>
        <v>0</v>
      </c>
      <c r="AD39" s="72">
        <f t="shared" si="26"/>
        <v>0</v>
      </c>
      <c r="AE39" s="192" t="e">
        <f t="shared" si="27"/>
        <v>#DIV/0!</v>
      </c>
      <c r="AF39" s="129">
        <v>0</v>
      </c>
      <c r="AG39" s="124">
        <f t="shared" si="17"/>
        <v>0</v>
      </c>
    </row>
    <row r="40" spans="1:33">
      <c r="A40" s="105" t="s">
        <v>273</v>
      </c>
      <c r="C40" s="105" t="s">
        <v>427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200">
        <f t="shared" si="24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5"/>
        <v>0</v>
      </c>
      <c r="AD40" s="72">
        <f t="shared" si="26"/>
        <v>0</v>
      </c>
      <c r="AE40" s="192" t="e">
        <f t="shared" si="27"/>
        <v>#DIV/0!</v>
      </c>
      <c r="AF40" s="129">
        <v>0</v>
      </c>
      <c r="AG40" s="124">
        <f t="shared" si="17"/>
        <v>0</v>
      </c>
    </row>
    <row r="41" spans="1:33">
      <c r="A41" s="105" t="s">
        <v>273</v>
      </c>
      <c r="C41" s="105" t="s">
        <v>428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200">
        <f t="shared" si="24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5"/>
        <v>0</v>
      </c>
      <c r="AD41" s="72">
        <f t="shared" si="26"/>
        <v>0</v>
      </c>
      <c r="AE41" s="192" t="e">
        <f t="shared" si="27"/>
        <v>#DIV/0!</v>
      </c>
      <c r="AF41" s="129">
        <v>0</v>
      </c>
      <c r="AG41" s="124">
        <f t="shared" si="17"/>
        <v>0</v>
      </c>
    </row>
    <row r="42" spans="1:33">
      <c r="A42" s="105" t="s">
        <v>429</v>
      </c>
      <c r="B42" s="105" t="s">
        <v>385</v>
      </c>
      <c r="C42" s="105" t="s">
        <v>143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200">
        <f t="shared" si="24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5"/>
        <v>0</v>
      </c>
      <c r="AD42" s="72">
        <f t="shared" si="26"/>
        <v>0</v>
      </c>
      <c r="AE42" s="192" t="e">
        <f t="shared" si="27"/>
        <v>#DIV/0!</v>
      </c>
      <c r="AF42" s="129">
        <v>0</v>
      </c>
      <c r="AG42" s="124">
        <f t="shared" si="17"/>
        <v>0</v>
      </c>
    </row>
    <row r="43" spans="1:33">
      <c r="A43" s="105" t="s">
        <v>180</v>
      </c>
      <c r="B43" s="105" t="s">
        <v>385</v>
      </c>
      <c r="C43" s="105" t="s">
        <v>144</v>
      </c>
      <c r="D43" s="174">
        <f t="shared" ref="D43:O43" si="28">+D138+D139+D140</f>
        <v>4950.38</v>
      </c>
      <c r="E43" s="174">
        <f t="shared" si="28"/>
        <v>3681.41</v>
      </c>
      <c r="F43" s="174">
        <f t="shared" si="28"/>
        <v>3681.41</v>
      </c>
      <c r="G43" s="174">
        <f t="shared" si="28"/>
        <v>3998.65</v>
      </c>
      <c r="H43" s="174">
        <f t="shared" si="28"/>
        <v>3998.65</v>
      </c>
      <c r="I43" s="174">
        <f t="shared" si="28"/>
        <v>3681.41</v>
      </c>
      <c r="J43" s="174">
        <f t="shared" si="28"/>
        <v>3681.41</v>
      </c>
      <c r="K43" s="174">
        <f t="shared" si="28"/>
        <v>3681.41</v>
      </c>
      <c r="L43" s="174">
        <f t="shared" si="28"/>
        <v>3681.41</v>
      </c>
      <c r="M43" s="174">
        <f t="shared" si="28"/>
        <v>4950.38</v>
      </c>
      <c r="N43" s="174">
        <f t="shared" si="28"/>
        <v>3681.41</v>
      </c>
      <c r="O43" s="174">
        <f t="shared" si="28"/>
        <v>3681.41</v>
      </c>
      <c r="P43" s="200">
        <f t="shared" si="24"/>
        <v>47349.34</v>
      </c>
      <c r="Q43" s="72">
        <v>4170.93</v>
      </c>
      <c r="R43" s="72">
        <v>6052.17</v>
      </c>
      <c r="S43" s="72">
        <v>4686.37</v>
      </c>
      <c r="T43" s="72">
        <v>3674.21</v>
      </c>
      <c r="U43" s="72">
        <v>7719.2</v>
      </c>
      <c r="V43" s="72">
        <v>3464.95</v>
      </c>
      <c r="W43" s="72">
        <v>3695.85</v>
      </c>
      <c r="X43" s="72">
        <v>5963.71</v>
      </c>
      <c r="Y43" s="72">
        <v>2206</v>
      </c>
      <c r="Z43" s="72">
        <v>2206</v>
      </c>
      <c r="AA43" s="72">
        <v>2206</v>
      </c>
      <c r="AB43" s="72">
        <v>2206</v>
      </c>
      <c r="AC43" s="127">
        <f t="shared" si="25"/>
        <v>48251.39</v>
      </c>
      <c r="AD43" s="72">
        <f t="shared" si="26"/>
        <v>-902.05000000000291</v>
      </c>
      <c r="AE43" s="192">
        <f t="shared" si="27"/>
        <v>-1.8694798222393238E-2</v>
      </c>
      <c r="AF43" s="129">
        <v>3274.84</v>
      </c>
      <c r="AG43" s="124">
        <f t="shared" si="17"/>
        <v>-44074.5</v>
      </c>
    </row>
    <row r="44" spans="1:33">
      <c r="A44" s="105" t="s">
        <v>181</v>
      </c>
      <c r="B44" s="105" t="s">
        <v>385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200">
        <f t="shared" si="24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5"/>
        <v>0</v>
      </c>
      <c r="AD44" s="72">
        <f t="shared" si="26"/>
        <v>0</v>
      </c>
      <c r="AE44" s="192" t="e">
        <f t="shared" si="27"/>
        <v>#DIV/0!</v>
      </c>
      <c r="AF44" s="129">
        <v>0</v>
      </c>
      <c r="AG44" s="124">
        <f t="shared" si="17"/>
        <v>0</v>
      </c>
    </row>
    <row r="45" spans="1:33">
      <c r="A45" s="105" t="s">
        <v>430</v>
      </c>
      <c r="B45" s="105" t="s">
        <v>385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200">
        <f t="shared" si="24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5"/>
        <v>0</v>
      </c>
      <c r="AD45" s="72">
        <f t="shared" si="26"/>
        <v>0</v>
      </c>
      <c r="AE45" s="192" t="e">
        <f t="shared" si="27"/>
        <v>#DIV/0!</v>
      </c>
      <c r="AF45" s="129">
        <v>0</v>
      </c>
      <c r="AG45" s="124">
        <f t="shared" si="17"/>
        <v>0</v>
      </c>
    </row>
    <row r="46" spans="1:33">
      <c r="A46" s="105" t="s">
        <v>183</v>
      </c>
      <c r="B46" s="105" t="s">
        <v>385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200">
        <f t="shared" si="24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5"/>
        <v>0</v>
      </c>
      <c r="AD46" s="72">
        <f t="shared" si="26"/>
        <v>0</v>
      </c>
      <c r="AE46" s="192" t="e">
        <f t="shared" si="27"/>
        <v>#DIV/0!</v>
      </c>
      <c r="AF46" s="129">
        <v>0</v>
      </c>
      <c r="AG46" s="124">
        <f t="shared" si="17"/>
        <v>0</v>
      </c>
    </row>
    <row r="47" spans="1:33">
      <c r="A47" s="105" t="s">
        <v>273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200">
        <f t="shared" si="24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5"/>
        <v>0</v>
      </c>
      <c r="AD47" s="72">
        <f t="shared" si="26"/>
        <v>0</v>
      </c>
      <c r="AE47" s="192" t="e">
        <f t="shared" si="27"/>
        <v>#DIV/0!</v>
      </c>
      <c r="AF47" s="129">
        <v>0</v>
      </c>
      <c r="AG47" s="124">
        <f t="shared" si="17"/>
        <v>0</v>
      </c>
    </row>
    <row r="48" spans="1:33">
      <c r="A48" s="105" t="s">
        <v>185</v>
      </c>
      <c r="B48" s="105" t="s">
        <v>385</v>
      </c>
      <c r="C48" s="105" t="s">
        <v>186</v>
      </c>
      <c r="D48" s="72">
        <v>200</v>
      </c>
      <c r="E48" s="72">
        <v>200</v>
      </c>
      <c r="F48" s="72">
        <v>200</v>
      </c>
      <c r="G48" s="72">
        <v>200</v>
      </c>
      <c r="H48" s="72">
        <v>200</v>
      </c>
      <c r="I48" s="72">
        <v>200</v>
      </c>
      <c r="J48" s="72">
        <v>200</v>
      </c>
      <c r="K48" s="72">
        <v>200</v>
      </c>
      <c r="L48" s="72">
        <v>200</v>
      </c>
      <c r="M48" s="72">
        <v>200</v>
      </c>
      <c r="N48" s="72">
        <v>200</v>
      </c>
      <c r="O48" s="72">
        <v>200</v>
      </c>
      <c r="P48" s="200">
        <f t="shared" si="24"/>
        <v>2400</v>
      </c>
      <c r="Q48" s="72">
        <v>0</v>
      </c>
      <c r="R48" s="72">
        <v>591.6</v>
      </c>
      <c r="S48" s="72">
        <v>295.8</v>
      </c>
      <c r="T48" s="72">
        <v>295.8</v>
      </c>
      <c r="U48" s="72">
        <v>295.8</v>
      </c>
      <c r="V48" s="72">
        <v>295.8</v>
      </c>
      <c r="W48" s="72">
        <v>295.8</v>
      </c>
      <c r="X48" s="72">
        <v>295.8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5"/>
        <v>2366.4</v>
      </c>
      <c r="AD48" s="72">
        <f t="shared" si="26"/>
        <v>33.599999999999909</v>
      </c>
      <c r="AE48" s="192">
        <f t="shared" si="27"/>
        <v>1.4198782961460408E-2</v>
      </c>
      <c r="AF48" s="129">
        <v>3360</v>
      </c>
      <c r="AG48" s="124">
        <f t="shared" si="17"/>
        <v>960</v>
      </c>
    </row>
    <row r="49" spans="1:33">
      <c r="A49" s="105" t="s">
        <v>187</v>
      </c>
      <c r="B49" s="105" t="s">
        <v>385</v>
      </c>
      <c r="C49" s="105" t="s">
        <v>188</v>
      </c>
      <c r="D49" s="72">
        <v>2000</v>
      </c>
      <c r="E49" s="72">
        <v>2000</v>
      </c>
      <c r="F49" s="72">
        <v>2000</v>
      </c>
      <c r="G49" s="72">
        <v>2000</v>
      </c>
      <c r="H49" s="72">
        <v>2000</v>
      </c>
      <c r="I49" s="72">
        <v>2000</v>
      </c>
      <c r="J49" s="72">
        <v>2000</v>
      </c>
      <c r="K49" s="72">
        <v>2000</v>
      </c>
      <c r="L49" s="72">
        <v>2000</v>
      </c>
      <c r="M49" s="72">
        <v>2000</v>
      </c>
      <c r="N49" s="72">
        <v>2000</v>
      </c>
      <c r="O49" s="72">
        <v>2000</v>
      </c>
      <c r="P49" s="200">
        <f t="shared" si="24"/>
        <v>24000</v>
      </c>
      <c r="Q49" s="72">
        <v>2074.4</v>
      </c>
      <c r="R49" s="72">
        <v>594.4</v>
      </c>
      <c r="S49" s="72">
        <v>1435</v>
      </c>
      <c r="T49" s="72">
        <v>260.60000000000002</v>
      </c>
      <c r="U49" s="72">
        <v>706.1</v>
      </c>
      <c r="V49" s="72">
        <v>362</v>
      </c>
      <c r="W49" s="72">
        <v>1248.0999999999999</v>
      </c>
      <c r="X49" s="72">
        <v>545</v>
      </c>
      <c r="Y49" s="72">
        <v>500</v>
      </c>
      <c r="Z49" s="72">
        <v>500</v>
      </c>
      <c r="AA49" s="72">
        <v>500</v>
      </c>
      <c r="AB49" s="72">
        <v>500</v>
      </c>
      <c r="AC49" s="127">
        <f t="shared" si="25"/>
        <v>9225.6</v>
      </c>
      <c r="AD49" s="72">
        <f t="shared" si="26"/>
        <v>14774.4</v>
      </c>
      <c r="AE49" s="192">
        <f t="shared" si="27"/>
        <v>1.6014568158168574</v>
      </c>
      <c r="AF49" s="129">
        <v>2473.7799999999997</v>
      </c>
      <c r="AG49" s="124">
        <f t="shared" si="17"/>
        <v>-21526.22</v>
      </c>
    </row>
    <row r="50" spans="1:33">
      <c r="A50" s="105" t="s">
        <v>195</v>
      </c>
      <c r="B50" s="105" t="s">
        <v>385</v>
      </c>
      <c r="C50" s="105" t="s">
        <v>196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200">
        <f t="shared" si="24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5"/>
        <v>0</v>
      </c>
      <c r="AD50" s="72">
        <f t="shared" si="26"/>
        <v>0</v>
      </c>
      <c r="AE50" s="192" t="e">
        <f t="shared" si="27"/>
        <v>#DIV/0!</v>
      </c>
      <c r="AF50" s="129">
        <v>0</v>
      </c>
      <c r="AG50" s="124">
        <f t="shared" si="17"/>
        <v>0</v>
      </c>
    </row>
    <row r="51" spans="1:33">
      <c r="A51" s="105" t="s">
        <v>197</v>
      </c>
      <c r="B51" s="105" t="s">
        <v>385</v>
      </c>
      <c r="C51" s="105" t="s">
        <v>305</v>
      </c>
      <c r="D51" s="72">
        <v>1500</v>
      </c>
      <c r="E51" s="72">
        <v>1500</v>
      </c>
      <c r="F51" s="72">
        <v>1500</v>
      </c>
      <c r="G51" s="72">
        <v>1500</v>
      </c>
      <c r="H51" s="72">
        <v>1000</v>
      </c>
      <c r="I51" s="72">
        <v>1000</v>
      </c>
      <c r="J51" s="72">
        <v>1500</v>
      </c>
      <c r="K51" s="72">
        <v>1500</v>
      </c>
      <c r="L51" s="72">
        <v>1000</v>
      </c>
      <c r="M51" s="72">
        <v>1000</v>
      </c>
      <c r="N51" s="72">
        <v>1500</v>
      </c>
      <c r="O51" s="72">
        <v>1500</v>
      </c>
      <c r="P51" s="200">
        <f t="shared" si="24"/>
        <v>16000</v>
      </c>
      <c r="Q51" s="72">
        <v>1960</v>
      </c>
      <c r="R51" s="72">
        <v>1957</v>
      </c>
      <c r="S51" s="72">
        <v>2275</v>
      </c>
      <c r="T51" s="72">
        <v>2291</v>
      </c>
      <c r="U51" s="72">
        <v>1782</v>
      </c>
      <c r="V51" s="72">
        <v>2275</v>
      </c>
      <c r="W51" s="72">
        <v>1085</v>
      </c>
      <c r="X51" s="72">
        <v>884.23</v>
      </c>
      <c r="Y51" s="72">
        <v>1500</v>
      </c>
      <c r="Z51" s="72">
        <v>1500</v>
      </c>
      <c r="AA51" s="72">
        <v>1500</v>
      </c>
      <c r="AB51" s="72">
        <v>1500</v>
      </c>
      <c r="AC51" s="127">
        <f t="shared" si="25"/>
        <v>20509.23</v>
      </c>
      <c r="AD51" s="72">
        <f t="shared" si="26"/>
        <v>-4509.2299999999996</v>
      </c>
      <c r="AE51" s="192">
        <f t="shared" si="27"/>
        <v>-0.21986344684807765</v>
      </c>
      <c r="AF51" s="129">
        <v>10794.74</v>
      </c>
      <c r="AG51" s="124">
        <f t="shared" si="17"/>
        <v>-5205.26</v>
      </c>
    </row>
    <row r="52" spans="1:33">
      <c r="A52" s="105" t="s">
        <v>434</v>
      </c>
      <c r="B52" s="105" t="s">
        <v>385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200">
        <f t="shared" si="24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5"/>
        <v>0</v>
      </c>
      <c r="AD52" s="72">
        <f t="shared" si="26"/>
        <v>0</v>
      </c>
      <c r="AE52" s="192" t="e">
        <f t="shared" si="27"/>
        <v>#DIV/0!</v>
      </c>
      <c r="AF52" s="129">
        <v>0</v>
      </c>
      <c r="AG52" s="124">
        <f t="shared" si="17"/>
        <v>0</v>
      </c>
    </row>
    <row r="53" spans="1:33">
      <c r="A53" s="105" t="s">
        <v>436</v>
      </c>
      <c r="B53" s="105" t="s">
        <v>385</v>
      </c>
      <c r="C53" s="105" t="s">
        <v>437</v>
      </c>
      <c r="D53" s="72">
        <v>1000</v>
      </c>
      <c r="E53" s="72">
        <v>1000</v>
      </c>
      <c r="F53" s="72">
        <v>1000</v>
      </c>
      <c r="G53" s="72">
        <v>0</v>
      </c>
      <c r="H53" s="72">
        <v>0</v>
      </c>
      <c r="I53" s="72">
        <v>0</v>
      </c>
      <c r="J53" s="72">
        <v>1000</v>
      </c>
      <c r="K53" s="72">
        <v>1000</v>
      </c>
      <c r="L53" s="72">
        <v>0</v>
      </c>
      <c r="M53" s="72">
        <v>0</v>
      </c>
      <c r="N53" s="72">
        <v>0</v>
      </c>
      <c r="O53" s="72">
        <v>1000</v>
      </c>
      <c r="P53" s="200">
        <f t="shared" si="24"/>
        <v>6000</v>
      </c>
      <c r="Q53" s="72">
        <v>4000</v>
      </c>
      <c r="R53" s="72">
        <v>4000</v>
      </c>
      <c r="S53" s="72">
        <v>4000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5"/>
        <v>12000</v>
      </c>
      <c r="AD53" s="72">
        <f t="shared" si="26"/>
        <v>-6000</v>
      </c>
      <c r="AE53" s="192">
        <f t="shared" si="27"/>
        <v>-0.5</v>
      </c>
      <c r="AF53" s="129">
        <v>0</v>
      </c>
      <c r="AG53" s="124">
        <f t="shared" si="17"/>
        <v>-6000</v>
      </c>
    </row>
    <row r="54" spans="1:33">
      <c r="A54" s="105" t="s">
        <v>199</v>
      </c>
      <c r="B54" s="105" t="s">
        <v>385</v>
      </c>
      <c r="C54" s="105" t="s">
        <v>200</v>
      </c>
      <c r="D54" s="72">
        <v>400</v>
      </c>
      <c r="E54" s="72">
        <v>400</v>
      </c>
      <c r="F54" s="72">
        <v>400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2">
        <v>0</v>
      </c>
      <c r="P54" s="200">
        <f t="shared" si="24"/>
        <v>1200</v>
      </c>
      <c r="Q54" s="72">
        <v>400</v>
      </c>
      <c r="R54" s="72">
        <v>400</v>
      </c>
      <c r="S54" s="72">
        <v>400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5"/>
        <v>1200</v>
      </c>
      <c r="AD54" s="72">
        <f t="shared" si="26"/>
        <v>0</v>
      </c>
      <c r="AE54" s="192">
        <f t="shared" si="27"/>
        <v>0</v>
      </c>
      <c r="AF54" s="129">
        <v>0</v>
      </c>
      <c r="AG54" s="124">
        <f t="shared" si="17"/>
        <v>-1200</v>
      </c>
    </row>
    <row r="55" spans="1:33">
      <c r="A55" s="105" t="s">
        <v>438</v>
      </c>
      <c r="B55" s="105" t="s">
        <v>385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200">
        <f t="shared" si="24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5"/>
        <v>0</v>
      </c>
      <c r="AD55" s="72">
        <f t="shared" si="26"/>
        <v>0</v>
      </c>
      <c r="AE55" s="192" t="e">
        <f t="shared" si="27"/>
        <v>#DIV/0!</v>
      </c>
      <c r="AF55" s="129">
        <v>0</v>
      </c>
      <c r="AG55" s="124">
        <f t="shared" si="17"/>
        <v>0</v>
      </c>
    </row>
    <row r="56" spans="1:33">
      <c r="A56" s="105" t="s">
        <v>201</v>
      </c>
      <c r="B56" s="105" t="s">
        <v>385</v>
      </c>
      <c r="C56" s="105" t="s">
        <v>202</v>
      </c>
      <c r="D56" s="72">
        <v>1000</v>
      </c>
      <c r="E56" s="72">
        <v>1000</v>
      </c>
      <c r="F56" s="72">
        <v>1000</v>
      </c>
      <c r="G56" s="72">
        <v>1000</v>
      </c>
      <c r="H56" s="72">
        <v>1000</v>
      </c>
      <c r="I56" s="72">
        <v>1000</v>
      </c>
      <c r="J56" s="72">
        <v>1000</v>
      </c>
      <c r="K56" s="72">
        <v>1000</v>
      </c>
      <c r="L56" s="72">
        <v>1000</v>
      </c>
      <c r="M56" s="72">
        <v>1000</v>
      </c>
      <c r="N56" s="72">
        <v>1000</v>
      </c>
      <c r="O56" s="72">
        <v>1000</v>
      </c>
      <c r="P56" s="200">
        <f t="shared" si="24"/>
        <v>12000</v>
      </c>
      <c r="Q56" s="72">
        <v>0</v>
      </c>
      <c r="R56" s="72">
        <v>0</v>
      </c>
      <c r="S56" s="72">
        <v>0</v>
      </c>
      <c r="T56" s="72">
        <v>6948</v>
      </c>
      <c r="U56" s="72">
        <v>796.46</v>
      </c>
      <c r="V56" s="72">
        <v>0</v>
      </c>
      <c r="W56" s="72">
        <v>0</v>
      </c>
      <c r="X56" s="72">
        <v>1000</v>
      </c>
      <c r="Y56" s="72">
        <v>500</v>
      </c>
      <c r="Z56" s="72">
        <v>700</v>
      </c>
      <c r="AA56" s="72">
        <v>700</v>
      </c>
      <c r="AB56" s="72">
        <v>700</v>
      </c>
      <c r="AC56" s="127">
        <f t="shared" si="25"/>
        <v>11344.46</v>
      </c>
      <c r="AD56" s="72">
        <f t="shared" si="26"/>
        <v>655.54000000000087</v>
      </c>
      <c r="AE56" s="192">
        <f t="shared" si="27"/>
        <v>5.7785033399562508E-2</v>
      </c>
      <c r="AF56" s="129">
        <v>16429.47</v>
      </c>
      <c r="AG56" s="124">
        <f t="shared" si="17"/>
        <v>4429.4700000000012</v>
      </c>
    </row>
    <row r="57" spans="1:33">
      <c r="A57" s="105" t="s">
        <v>440</v>
      </c>
      <c r="B57" s="105" t="s">
        <v>385</v>
      </c>
      <c r="C57" s="105" t="s">
        <v>441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200">
        <f t="shared" si="24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5"/>
        <v>0</v>
      </c>
      <c r="AD57" s="72">
        <f t="shared" si="26"/>
        <v>0</v>
      </c>
      <c r="AE57" s="192" t="e">
        <f t="shared" si="27"/>
        <v>#DIV/0!</v>
      </c>
      <c r="AF57" s="129">
        <v>948</v>
      </c>
      <c r="AG57" s="124">
        <f t="shared" si="17"/>
        <v>948</v>
      </c>
    </row>
    <row r="58" spans="1:33">
      <c r="A58" s="105" t="s">
        <v>442</v>
      </c>
      <c r="B58" s="105" t="s">
        <v>385</v>
      </c>
      <c r="C58" s="105" t="s">
        <v>443</v>
      </c>
      <c r="D58" s="72">
        <v>10000</v>
      </c>
      <c r="E58" s="72">
        <v>20000</v>
      </c>
      <c r="F58" s="72">
        <v>10000</v>
      </c>
      <c r="G58" s="72">
        <v>7000</v>
      </c>
      <c r="H58" s="72">
        <v>6000</v>
      </c>
      <c r="I58" s="72">
        <v>6000</v>
      </c>
      <c r="J58" s="72">
        <v>10000</v>
      </c>
      <c r="K58" s="72">
        <v>10000</v>
      </c>
      <c r="L58" s="72">
        <v>6000</v>
      </c>
      <c r="M58" s="72">
        <v>10000</v>
      </c>
      <c r="N58" s="72">
        <v>6000</v>
      </c>
      <c r="O58" s="72">
        <v>6000</v>
      </c>
      <c r="P58" s="200">
        <f t="shared" si="24"/>
        <v>107000</v>
      </c>
      <c r="Q58" s="72">
        <v>9407.4500000000007</v>
      </c>
      <c r="R58" s="72">
        <v>15361.56</v>
      </c>
      <c r="S58" s="72">
        <v>7437.02</v>
      </c>
      <c r="T58" s="72">
        <v>5174.3900000000003</v>
      </c>
      <c r="U58" s="72">
        <v>2244.11</v>
      </c>
      <c r="V58" s="72">
        <v>5537.5</v>
      </c>
      <c r="W58" s="72">
        <v>7457.87</v>
      </c>
      <c r="X58" s="72">
        <v>6289.31</v>
      </c>
      <c r="Y58" s="72">
        <v>20000</v>
      </c>
      <c r="Z58" s="72">
        <v>20000</v>
      </c>
      <c r="AA58" s="72">
        <v>6000</v>
      </c>
      <c r="AB58" s="72">
        <v>6000</v>
      </c>
      <c r="AC58" s="127">
        <f t="shared" si="25"/>
        <v>110909.21</v>
      </c>
      <c r="AD58" s="72">
        <f t="shared" si="26"/>
        <v>-3909.2100000000064</v>
      </c>
      <c r="AE58" s="192">
        <f t="shared" si="27"/>
        <v>-3.5246937562714638E-2</v>
      </c>
      <c r="AF58" s="129">
        <v>90552.81</v>
      </c>
      <c r="AG58" s="124">
        <f t="shared" si="17"/>
        <v>-16447.190000000002</v>
      </c>
    </row>
    <row r="59" spans="1:33">
      <c r="A59" s="105" t="s">
        <v>203</v>
      </c>
      <c r="B59" s="105" t="s">
        <v>385</v>
      </c>
      <c r="C59" s="105" t="s">
        <v>204</v>
      </c>
      <c r="D59" s="72">
        <v>101</v>
      </c>
      <c r="E59" s="72">
        <v>101</v>
      </c>
      <c r="F59" s="72">
        <v>101</v>
      </c>
      <c r="G59" s="72">
        <v>101</v>
      </c>
      <c r="H59" s="72">
        <v>101</v>
      </c>
      <c r="I59" s="72">
        <v>101</v>
      </c>
      <c r="J59" s="72">
        <v>101</v>
      </c>
      <c r="K59" s="72">
        <v>101</v>
      </c>
      <c r="L59" s="72">
        <v>101</v>
      </c>
      <c r="M59" s="72">
        <v>101</v>
      </c>
      <c r="N59" s="72">
        <v>101</v>
      </c>
      <c r="O59" s="72">
        <v>101</v>
      </c>
      <c r="P59" s="200">
        <f t="shared" si="24"/>
        <v>1212</v>
      </c>
      <c r="Q59" s="72">
        <v>200</v>
      </c>
      <c r="R59" s="72">
        <v>200</v>
      </c>
      <c r="S59" s="72">
        <v>200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5"/>
        <v>600</v>
      </c>
      <c r="AD59" s="72">
        <f t="shared" si="26"/>
        <v>612</v>
      </c>
      <c r="AE59" s="192">
        <f t="shared" si="27"/>
        <v>1.02</v>
      </c>
      <c r="AF59" s="129">
        <v>2224.38</v>
      </c>
      <c r="AG59" s="124">
        <f t="shared" si="17"/>
        <v>1012.3800000000001</v>
      </c>
    </row>
    <row r="60" spans="1:33">
      <c r="A60" s="105" t="s">
        <v>444</v>
      </c>
      <c r="B60" s="105" t="s">
        <v>385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200">
        <f t="shared" si="24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5"/>
        <v>0</v>
      </c>
      <c r="AD60" s="72">
        <f t="shared" si="26"/>
        <v>0</v>
      </c>
      <c r="AE60" s="192" t="e">
        <f t="shared" si="27"/>
        <v>#DIV/0!</v>
      </c>
      <c r="AF60" s="129">
        <v>536</v>
      </c>
      <c r="AG60" s="124">
        <f t="shared" si="17"/>
        <v>536</v>
      </c>
    </row>
    <row r="61" spans="1:33">
      <c r="A61" s="105" t="s">
        <v>446</v>
      </c>
      <c r="B61" s="105" t="s">
        <v>385</v>
      </c>
      <c r="C61" s="105" t="s">
        <v>447</v>
      </c>
      <c r="D61" s="72">
        <v>300</v>
      </c>
      <c r="E61" s="72">
        <v>300</v>
      </c>
      <c r="F61" s="72">
        <v>300</v>
      </c>
      <c r="G61" s="72">
        <v>300</v>
      </c>
      <c r="H61" s="72">
        <v>300</v>
      </c>
      <c r="I61" s="72">
        <v>300</v>
      </c>
      <c r="J61" s="72">
        <v>300</v>
      </c>
      <c r="K61" s="72">
        <v>300</v>
      </c>
      <c r="L61" s="72">
        <v>300</v>
      </c>
      <c r="M61" s="72">
        <v>300</v>
      </c>
      <c r="N61" s="72">
        <v>300</v>
      </c>
      <c r="O61" s="72">
        <v>300</v>
      </c>
      <c r="P61" s="200">
        <f t="shared" si="24"/>
        <v>3600</v>
      </c>
      <c r="Q61" s="72">
        <v>0</v>
      </c>
      <c r="R61" s="72">
        <v>0</v>
      </c>
      <c r="S61" s="72">
        <v>0</v>
      </c>
      <c r="T61" s="72">
        <v>364.78</v>
      </c>
      <c r="U61" s="72">
        <v>364.78</v>
      </c>
      <c r="V61" s="72">
        <v>364.78</v>
      </c>
      <c r="W61" s="72">
        <v>364.78</v>
      </c>
      <c r="X61" s="72">
        <v>364.78</v>
      </c>
      <c r="Y61" s="72">
        <v>0</v>
      </c>
      <c r="Z61" s="72">
        <v>2000</v>
      </c>
      <c r="AA61" s="72">
        <v>0</v>
      </c>
      <c r="AB61" s="72">
        <v>3000</v>
      </c>
      <c r="AC61" s="127">
        <f t="shared" si="25"/>
        <v>6823.9</v>
      </c>
      <c r="AD61" s="72">
        <f t="shared" si="26"/>
        <v>-3223.8999999999996</v>
      </c>
      <c r="AE61" s="192">
        <f t="shared" si="27"/>
        <v>-0.47244244493618015</v>
      </c>
      <c r="AF61" s="129">
        <v>0</v>
      </c>
      <c r="AG61" s="124">
        <f t="shared" si="17"/>
        <v>-3600</v>
      </c>
    </row>
    <row r="62" spans="1:33">
      <c r="A62" s="105" t="s">
        <v>539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200">
        <f t="shared" si="24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5"/>
        <v>0</v>
      </c>
      <c r="AD62" s="72">
        <f t="shared" si="26"/>
        <v>0</v>
      </c>
      <c r="AE62" s="192" t="e">
        <f t="shared" si="27"/>
        <v>#DIV/0!</v>
      </c>
      <c r="AF62" s="129">
        <v>0</v>
      </c>
      <c r="AG62" s="124">
        <f t="shared" si="17"/>
        <v>0</v>
      </c>
    </row>
    <row r="63" spans="1:33">
      <c r="A63" s="105" t="s">
        <v>207</v>
      </c>
      <c r="B63" s="105" t="s">
        <v>385</v>
      </c>
      <c r="C63" s="105" t="s">
        <v>208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200</v>
      </c>
      <c r="M63" s="72">
        <v>200</v>
      </c>
      <c r="N63" s="72">
        <v>200</v>
      </c>
      <c r="O63" s="72">
        <v>200</v>
      </c>
      <c r="P63" s="200">
        <f t="shared" si="24"/>
        <v>800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200</v>
      </c>
      <c r="Z63" s="72">
        <v>200</v>
      </c>
      <c r="AA63" s="72">
        <v>200</v>
      </c>
      <c r="AB63" s="72">
        <v>200</v>
      </c>
      <c r="AC63" s="127">
        <f t="shared" si="25"/>
        <v>800</v>
      </c>
      <c r="AD63" s="72">
        <f t="shared" si="26"/>
        <v>0</v>
      </c>
      <c r="AE63" s="192">
        <f t="shared" si="27"/>
        <v>0</v>
      </c>
      <c r="AF63" s="129">
        <v>5872.45</v>
      </c>
      <c r="AG63" s="124">
        <f t="shared" si="17"/>
        <v>5072.45</v>
      </c>
    </row>
    <row r="64" spans="1:33">
      <c r="A64" s="105" t="s">
        <v>449</v>
      </c>
      <c r="B64" s="105" t="s">
        <v>385</v>
      </c>
      <c r="C64" s="105" t="s">
        <v>450</v>
      </c>
      <c r="D64" s="72">
        <v>114</v>
      </c>
      <c r="E64" s="72">
        <v>114</v>
      </c>
      <c r="F64" s="72">
        <v>114</v>
      </c>
      <c r="G64" s="72">
        <v>114</v>
      </c>
      <c r="H64" s="72">
        <v>114</v>
      </c>
      <c r="I64" s="72">
        <v>114</v>
      </c>
      <c r="J64" s="72">
        <v>114</v>
      </c>
      <c r="K64" s="72">
        <v>114</v>
      </c>
      <c r="L64" s="72">
        <v>114</v>
      </c>
      <c r="M64" s="72">
        <v>114</v>
      </c>
      <c r="N64" s="72">
        <v>114</v>
      </c>
      <c r="O64" s="72">
        <v>114</v>
      </c>
      <c r="P64" s="200">
        <f t="shared" si="24"/>
        <v>1368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150</v>
      </c>
      <c r="Z64" s="72">
        <v>150</v>
      </c>
      <c r="AA64" s="72">
        <v>150</v>
      </c>
      <c r="AB64" s="72">
        <v>150</v>
      </c>
      <c r="AC64" s="127">
        <f t="shared" si="25"/>
        <v>1334.5</v>
      </c>
      <c r="AD64" s="72">
        <f t="shared" si="26"/>
        <v>33.5</v>
      </c>
      <c r="AE64" s="192">
        <f t="shared" si="27"/>
        <v>2.5103034844511051E-2</v>
      </c>
      <c r="AF64" s="129">
        <v>2015.1200000000003</v>
      </c>
      <c r="AG64" s="124">
        <f t="shared" si="17"/>
        <v>647.12000000000035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200">
        <f t="shared" si="24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5"/>
        <v>0</v>
      </c>
      <c r="AD65" s="72">
        <f t="shared" si="26"/>
        <v>0</v>
      </c>
      <c r="AE65" s="192" t="e">
        <f t="shared" si="27"/>
        <v>#DIV/0!</v>
      </c>
      <c r="AF65" s="129">
        <v>0</v>
      </c>
      <c r="AG65" s="124">
        <f t="shared" si="17"/>
        <v>0</v>
      </c>
    </row>
    <row r="66" spans="1:33">
      <c r="A66" s="105" t="s">
        <v>452</v>
      </c>
      <c r="B66" s="105" t="s">
        <v>385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200">
        <f t="shared" si="24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5"/>
        <v>0</v>
      </c>
      <c r="AD66" s="72">
        <f t="shared" si="26"/>
        <v>0</v>
      </c>
      <c r="AE66" s="192" t="e">
        <f t="shared" si="27"/>
        <v>#DIV/0!</v>
      </c>
      <c r="AF66" s="129">
        <v>0</v>
      </c>
      <c r="AG66" s="124">
        <f t="shared" si="17"/>
        <v>0</v>
      </c>
    </row>
    <row r="67" spans="1:33">
      <c r="A67" s="105" t="s">
        <v>454</v>
      </c>
      <c r="B67" s="105" t="s">
        <v>385</v>
      </c>
      <c r="C67" s="105" t="s">
        <v>455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200">
        <f t="shared" si="24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5"/>
        <v>0</v>
      </c>
      <c r="AD67" s="136">
        <f t="shared" si="26"/>
        <v>0</v>
      </c>
      <c r="AE67" s="196" t="e">
        <f t="shared" si="27"/>
        <v>#DIV/0!</v>
      </c>
      <c r="AF67" s="133">
        <v>0</v>
      </c>
      <c r="AG67" s="124">
        <f t="shared" si="17"/>
        <v>0</v>
      </c>
    </row>
    <row r="68" spans="1:33">
      <c r="A68" s="105" t="s">
        <v>456</v>
      </c>
      <c r="B68" s="105" t="s">
        <v>385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200">
        <f t="shared" si="24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5"/>
        <v>0</v>
      </c>
      <c r="AD68" s="136">
        <f t="shared" si="26"/>
        <v>0</v>
      </c>
      <c r="AE68" s="196" t="e">
        <f t="shared" si="27"/>
        <v>#DIV/0!</v>
      </c>
      <c r="AF68" s="133">
        <v>0</v>
      </c>
      <c r="AG68" s="124">
        <f t="shared" si="17"/>
        <v>0</v>
      </c>
    </row>
    <row r="69" spans="1:33">
      <c r="A69" s="105" t="s">
        <v>273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200">
        <f t="shared" si="24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5"/>
        <v>0</v>
      </c>
      <c r="AD69" s="136">
        <f t="shared" si="26"/>
        <v>0</v>
      </c>
      <c r="AE69" s="196" t="e">
        <f t="shared" si="27"/>
        <v>#DIV/0!</v>
      </c>
      <c r="AF69" s="133">
        <v>0</v>
      </c>
      <c r="AG69" s="124">
        <f t="shared" si="17"/>
        <v>0</v>
      </c>
    </row>
    <row r="70" spans="1:33">
      <c r="A70" s="105" t="s">
        <v>209</v>
      </c>
      <c r="B70" s="105" t="s">
        <v>385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48000</v>
      </c>
      <c r="N70" s="72">
        <v>0</v>
      </c>
      <c r="O70" s="72">
        <v>0</v>
      </c>
      <c r="P70" s="200">
        <f t="shared" si="24"/>
        <v>48000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50000</v>
      </c>
      <c r="Z70" s="72">
        <v>0</v>
      </c>
      <c r="AA70" s="72">
        <v>0</v>
      </c>
      <c r="AB70" s="72">
        <v>0</v>
      </c>
      <c r="AC70" s="137">
        <f t="shared" si="25"/>
        <v>50000</v>
      </c>
      <c r="AD70" s="136">
        <f t="shared" si="26"/>
        <v>-2000</v>
      </c>
      <c r="AE70" s="196">
        <f t="shared" si="27"/>
        <v>-0.04</v>
      </c>
      <c r="AF70" s="133">
        <v>0</v>
      </c>
      <c r="AG70" s="124">
        <f t="shared" si="17"/>
        <v>-48000</v>
      </c>
    </row>
    <row r="71" spans="1:33">
      <c r="A71" s="105" t="s">
        <v>211</v>
      </c>
      <c r="B71" s="105" t="s">
        <v>385</v>
      </c>
      <c r="C71" s="105" t="s">
        <v>212</v>
      </c>
      <c r="D71" s="72">
        <v>700</v>
      </c>
      <c r="E71" s="72">
        <v>700</v>
      </c>
      <c r="F71" s="72">
        <v>700</v>
      </c>
      <c r="G71" s="72">
        <v>700</v>
      </c>
      <c r="H71" s="72">
        <v>700</v>
      </c>
      <c r="I71" s="72">
        <v>700</v>
      </c>
      <c r="J71" s="72">
        <v>700</v>
      </c>
      <c r="K71" s="72">
        <v>700</v>
      </c>
      <c r="L71" s="72">
        <v>700</v>
      </c>
      <c r="M71" s="72">
        <v>700</v>
      </c>
      <c r="N71" s="72">
        <v>700</v>
      </c>
      <c r="O71" s="72">
        <v>700</v>
      </c>
      <c r="P71" s="200">
        <f t="shared" si="24"/>
        <v>8400</v>
      </c>
      <c r="Q71" s="136">
        <v>637.9</v>
      </c>
      <c r="R71" s="136">
        <v>1299.5</v>
      </c>
      <c r="S71" s="136">
        <v>700.2</v>
      </c>
      <c r="T71" s="136">
        <v>1024</v>
      </c>
      <c r="U71" s="136">
        <v>254.5</v>
      </c>
      <c r="V71" s="136">
        <v>469.3</v>
      </c>
      <c r="W71" s="72">
        <v>779</v>
      </c>
      <c r="X71" s="72">
        <v>334.22</v>
      </c>
      <c r="Y71" s="72">
        <v>0</v>
      </c>
      <c r="Z71" s="72">
        <v>0</v>
      </c>
      <c r="AA71" s="72">
        <v>0</v>
      </c>
      <c r="AB71" s="72">
        <v>0</v>
      </c>
      <c r="AC71" s="137">
        <f t="shared" si="25"/>
        <v>5498.6200000000008</v>
      </c>
      <c r="AD71" s="136">
        <f t="shared" si="26"/>
        <v>2901.3799999999992</v>
      </c>
      <c r="AE71" s="196">
        <f t="shared" si="27"/>
        <v>0.52765603005845085</v>
      </c>
      <c r="AF71" s="133">
        <v>1485.69</v>
      </c>
      <c r="AG71" s="124">
        <f t="shared" si="17"/>
        <v>-6914.3099999999995</v>
      </c>
    </row>
    <row r="72" spans="1:33">
      <c r="A72" s="105" t="s">
        <v>213</v>
      </c>
      <c r="B72" s="105" t="s">
        <v>385</v>
      </c>
      <c r="C72" s="105" t="s">
        <v>214</v>
      </c>
      <c r="D72" s="222">
        <f>Laundry!E125</f>
        <v>0</v>
      </c>
      <c r="E72" s="222">
        <f>Laundry!F125</f>
        <v>0</v>
      </c>
      <c r="F72" s="222">
        <f>Laundry!G125</f>
        <v>0</v>
      </c>
      <c r="G72" s="222">
        <f>Laundry!H125</f>
        <v>0</v>
      </c>
      <c r="H72" s="222">
        <f>Laundry!I125</f>
        <v>0</v>
      </c>
      <c r="I72" s="222">
        <f>Laundry!J125</f>
        <v>0</v>
      </c>
      <c r="J72" s="222">
        <f>Laundry!K125</f>
        <v>0</v>
      </c>
      <c r="K72" s="222">
        <f>Laundry!L125</f>
        <v>0</v>
      </c>
      <c r="L72" s="222">
        <f>Laundry!M125</f>
        <v>0</v>
      </c>
      <c r="M72" s="222">
        <f>Laundry!N125</f>
        <v>0</v>
      </c>
      <c r="N72" s="222">
        <f>Laundry!O125</f>
        <v>0</v>
      </c>
      <c r="O72" s="222">
        <f>Laundry!P125</f>
        <v>0</v>
      </c>
      <c r="P72" s="200">
        <f t="shared" si="24"/>
        <v>0</v>
      </c>
      <c r="Q72" s="136">
        <v>0</v>
      </c>
      <c r="R72" s="136">
        <v>0</v>
      </c>
      <c r="S72" s="136">
        <v>0</v>
      </c>
      <c r="T72" s="136">
        <v>0</v>
      </c>
      <c r="U72" s="136">
        <v>0</v>
      </c>
      <c r="V72" s="136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137">
        <f t="shared" si="25"/>
        <v>0</v>
      </c>
      <c r="AD72" s="136">
        <f t="shared" si="26"/>
        <v>0</v>
      </c>
      <c r="AE72" s="196" t="e">
        <f t="shared" si="27"/>
        <v>#DIV/0!</v>
      </c>
      <c r="AF72" s="133">
        <v>407.03999999999996</v>
      </c>
      <c r="AG72" s="124">
        <f t="shared" si="17"/>
        <v>407.03999999999996</v>
      </c>
    </row>
    <row r="73" spans="1:33">
      <c r="A73" s="105" t="s">
        <v>306</v>
      </c>
      <c r="B73" s="105" t="s">
        <v>385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200">
        <f t="shared" si="24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5"/>
        <v>0</v>
      </c>
      <c r="AD73" s="136">
        <f t="shared" si="26"/>
        <v>0</v>
      </c>
      <c r="AE73" s="196" t="e">
        <f t="shared" si="27"/>
        <v>#DIV/0!</v>
      </c>
      <c r="AF73" s="133">
        <v>0</v>
      </c>
      <c r="AG73" s="124">
        <f t="shared" si="17"/>
        <v>0</v>
      </c>
    </row>
    <row r="74" spans="1:33">
      <c r="A74" s="105" t="s">
        <v>215</v>
      </c>
      <c r="B74" s="105" t="s">
        <v>385</v>
      </c>
      <c r="C74" s="105" t="s">
        <v>216</v>
      </c>
      <c r="D74" s="72">
        <v>3</v>
      </c>
      <c r="E74" s="72">
        <v>3</v>
      </c>
      <c r="F74" s="72">
        <v>3</v>
      </c>
      <c r="G74" s="72">
        <v>3</v>
      </c>
      <c r="H74" s="72">
        <v>3</v>
      </c>
      <c r="I74" s="72">
        <v>3</v>
      </c>
      <c r="J74" s="72">
        <v>3</v>
      </c>
      <c r="K74" s="72">
        <v>0</v>
      </c>
      <c r="L74" s="72">
        <v>0</v>
      </c>
      <c r="M74" s="72">
        <v>0</v>
      </c>
      <c r="N74" s="72">
        <v>0</v>
      </c>
      <c r="O74" s="72">
        <v>0</v>
      </c>
      <c r="P74" s="200">
        <f t="shared" si="24"/>
        <v>21</v>
      </c>
      <c r="Q74" s="136">
        <v>2.58</v>
      </c>
      <c r="R74" s="136">
        <v>3</v>
      </c>
      <c r="S74" s="136">
        <v>3</v>
      </c>
      <c r="T74" s="136">
        <v>3</v>
      </c>
      <c r="U74" s="136">
        <v>3</v>
      </c>
      <c r="V74" s="136">
        <v>3</v>
      </c>
      <c r="W74" s="72">
        <v>3</v>
      </c>
      <c r="X74" s="72">
        <v>3</v>
      </c>
      <c r="Y74" s="72">
        <v>0</v>
      </c>
      <c r="Z74" s="72">
        <v>0</v>
      </c>
      <c r="AA74" s="72">
        <v>0</v>
      </c>
      <c r="AB74" s="72">
        <v>0</v>
      </c>
      <c r="AC74" s="137">
        <f t="shared" si="25"/>
        <v>23.58</v>
      </c>
      <c r="AD74" s="136">
        <f t="shared" si="26"/>
        <v>-2.5799999999999983</v>
      </c>
      <c r="AE74" s="196">
        <f t="shared" si="27"/>
        <v>-0.10941475826972004</v>
      </c>
      <c r="AF74" s="133">
        <v>67.919999999999987</v>
      </c>
      <c r="AG74" s="124">
        <f t="shared" si="17"/>
        <v>46.919999999999987</v>
      </c>
    </row>
    <row r="75" spans="1:33">
      <c r="A75" s="105" t="s">
        <v>217</v>
      </c>
      <c r="B75" s="105" t="s">
        <v>385</v>
      </c>
      <c r="C75" s="105" t="s">
        <v>218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200">
        <f t="shared" si="24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25"/>
        <v>0</v>
      </c>
      <c r="AD75" s="136">
        <f t="shared" si="26"/>
        <v>0</v>
      </c>
      <c r="AE75" s="196" t="e">
        <f t="shared" si="27"/>
        <v>#DIV/0!</v>
      </c>
      <c r="AF75" s="133">
        <v>35.700000000000003</v>
      </c>
      <c r="AG75" s="124">
        <f t="shared" si="17"/>
        <v>35.700000000000003</v>
      </c>
    </row>
    <row r="76" spans="1:33">
      <c r="A76" s="105" t="s">
        <v>219</v>
      </c>
      <c r="B76" s="105" t="s">
        <v>385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200">
        <f t="shared" si="24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5"/>
        <v>0</v>
      </c>
      <c r="AD76" s="136">
        <f t="shared" si="26"/>
        <v>0</v>
      </c>
      <c r="AE76" s="196" t="e">
        <f t="shared" si="27"/>
        <v>#DIV/0!</v>
      </c>
      <c r="AF76" s="133">
        <v>0</v>
      </c>
      <c r="AG76" s="124">
        <f t="shared" si="17"/>
        <v>0</v>
      </c>
    </row>
    <row r="77" spans="1:33">
      <c r="A77" s="105" t="s">
        <v>273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200">
        <f t="shared" si="24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5"/>
        <v>0</v>
      </c>
      <c r="AD77" s="136">
        <f t="shared" si="26"/>
        <v>0</v>
      </c>
      <c r="AE77" s="196" t="e">
        <f t="shared" si="27"/>
        <v>#DIV/0!</v>
      </c>
      <c r="AF77" s="133">
        <v>0</v>
      </c>
      <c r="AG77" s="124">
        <f t="shared" si="17"/>
        <v>0</v>
      </c>
    </row>
    <row r="78" spans="1:33">
      <c r="A78" s="105" t="s">
        <v>221</v>
      </c>
      <c r="B78" s="105" t="s">
        <v>385</v>
      </c>
      <c r="C78" s="105" t="s">
        <v>222</v>
      </c>
      <c r="D78" s="72">
        <v>25000</v>
      </c>
      <c r="E78" s="72">
        <v>25000</v>
      </c>
      <c r="F78" s="72">
        <v>25000</v>
      </c>
      <c r="G78" s="72">
        <v>25000</v>
      </c>
      <c r="H78" s="72">
        <v>25000</v>
      </c>
      <c r="I78" s="72">
        <v>24800</v>
      </c>
      <c r="J78" s="72">
        <v>25000</v>
      </c>
      <c r="K78" s="72">
        <v>25000</v>
      </c>
      <c r="L78" s="72">
        <v>20000</v>
      </c>
      <c r="M78" s="72">
        <v>25000</v>
      </c>
      <c r="N78" s="72">
        <v>25000</v>
      </c>
      <c r="O78" s="72">
        <v>25000</v>
      </c>
      <c r="P78" s="200">
        <f t="shared" si="24"/>
        <v>294800</v>
      </c>
      <c r="Q78" s="136">
        <v>4218.8900000000003</v>
      </c>
      <c r="R78" s="136">
        <v>84499.19</v>
      </c>
      <c r="S78" s="136">
        <v>22236.36</v>
      </c>
      <c r="T78" s="136">
        <v>24612.84</v>
      </c>
      <c r="U78" s="136">
        <v>28016.05</v>
      </c>
      <c r="V78" s="136">
        <v>15179.52</v>
      </c>
      <c r="W78" s="72">
        <v>46610.13</v>
      </c>
      <c r="X78" s="72">
        <v>51649.71</v>
      </c>
      <c r="Y78" s="72">
        <v>25000</v>
      </c>
      <c r="Z78" s="72">
        <v>15000</v>
      </c>
      <c r="AA78" s="72">
        <v>14612</v>
      </c>
      <c r="AB78" s="72">
        <v>20000</v>
      </c>
      <c r="AC78" s="137">
        <f t="shared" si="25"/>
        <v>351634.69</v>
      </c>
      <c r="AD78" s="136">
        <f t="shared" si="26"/>
        <v>-56834.69</v>
      </c>
      <c r="AE78" s="196">
        <f t="shared" si="27"/>
        <v>-0.16162992906075338</v>
      </c>
      <c r="AF78" s="133">
        <v>66993.600000000006</v>
      </c>
      <c r="AG78" s="124">
        <f t="shared" si="17"/>
        <v>-227806.4</v>
      </c>
    </row>
    <row r="79" spans="1:33">
      <c r="A79" s="105" t="s">
        <v>505</v>
      </c>
      <c r="B79" s="105" t="s">
        <v>385</v>
      </c>
      <c r="C79" s="105" t="s">
        <v>506</v>
      </c>
      <c r="D79" s="223">
        <f>SUM('F&amp;B Admin:Main Kichen'!D162)</f>
        <v>18600</v>
      </c>
      <c r="E79" s="223">
        <f>SUM('F&amp;B Admin:Main Kichen'!E162)</f>
        <v>26902</v>
      </c>
      <c r="F79" s="223">
        <f>SUM('F&amp;B Admin:Main Kichen'!F162)</f>
        <v>22091</v>
      </c>
      <c r="G79" s="223">
        <f>SUM('F&amp;B Admin:Main Kichen'!G162)</f>
        <v>15979</v>
      </c>
      <c r="H79" s="223">
        <f>SUM('F&amp;B Admin:Main Kichen'!H162)</f>
        <v>17682</v>
      </c>
      <c r="I79" s="223">
        <f>SUM('F&amp;B Admin:Main Kichen'!I162)</f>
        <v>14916</v>
      </c>
      <c r="J79" s="223">
        <f>SUM('F&amp;B Admin:Main Kichen'!J162)</f>
        <v>18438</v>
      </c>
      <c r="K79" s="223">
        <f>SUM('F&amp;B Admin:Main Kichen'!K162)</f>
        <v>19518</v>
      </c>
      <c r="L79" s="223">
        <f>SUM('F&amp;B Admin:Main Kichen'!L162)</f>
        <v>14459</v>
      </c>
      <c r="M79" s="223">
        <f>SUM('F&amp;B Admin:Main Kichen'!M162)</f>
        <v>22691</v>
      </c>
      <c r="N79" s="223">
        <f>SUM('F&amp;B Admin:Main Kichen'!N162)</f>
        <v>14626</v>
      </c>
      <c r="O79" s="223">
        <f>SUM('F&amp;B Admin:Main Kichen'!O162)</f>
        <v>13412</v>
      </c>
      <c r="P79" s="200">
        <f>SUM(D79:O79)</f>
        <v>219314</v>
      </c>
      <c r="Q79" s="136">
        <v>19617.89</v>
      </c>
      <c r="R79" s="136">
        <v>30274.880000000001</v>
      </c>
      <c r="S79" s="136">
        <v>22241.31</v>
      </c>
      <c r="T79" s="136">
        <v>19373.509999999998</v>
      </c>
      <c r="U79" s="136">
        <v>12521.15</v>
      </c>
      <c r="V79" s="136">
        <v>13624.34</v>
      </c>
      <c r="W79" s="72">
        <v>19527.14</v>
      </c>
      <c r="X79" s="72">
        <v>18503.98</v>
      </c>
      <c r="Y79" s="72">
        <v>18577</v>
      </c>
      <c r="Z79" s="72">
        <v>22824</v>
      </c>
      <c r="AA79" s="72">
        <v>16136</v>
      </c>
      <c r="AB79" s="72">
        <v>15356</v>
      </c>
      <c r="AC79" s="137">
        <f t="shared" si="25"/>
        <v>228577.19999999998</v>
      </c>
      <c r="AD79" s="136">
        <f t="shared" si="26"/>
        <v>-9263.1999999999825</v>
      </c>
      <c r="AE79" s="196">
        <f t="shared" si="27"/>
        <v>-4.0525476731712452E-2</v>
      </c>
      <c r="AF79" s="133">
        <v>181649.58999999997</v>
      </c>
      <c r="AG79" s="124">
        <f t="shared" si="17"/>
        <v>-37664.410000000033</v>
      </c>
    </row>
    <row r="80" spans="1:33">
      <c r="C80" s="109" t="s">
        <v>507</v>
      </c>
      <c r="D80" s="137">
        <f t="shared" ref="D80:O80" si="29">SUM(D38:D79)</f>
        <v>66068.38</v>
      </c>
      <c r="E80" s="137">
        <f t="shared" si="29"/>
        <v>83101.41</v>
      </c>
      <c r="F80" s="137">
        <f t="shared" si="29"/>
        <v>68290.41</v>
      </c>
      <c r="G80" s="137">
        <f t="shared" si="29"/>
        <v>58095.65</v>
      </c>
      <c r="H80" s="137">
        <f t="shared" si="29"/>
        <v>58298.65</v>
      </c>
      <c r="I80" s="137">
        <f t="shared" si="29"/>
        <v>55015.41</v>
      </c>
      <c r="J80" s="137">
        <f t="shared" si="29"/>
        <v>64237.41</v>
      </c>
      <c r="K80" s="137">
        <f t="shared" si="29"/>
        <v>65314.41</v>
      </c>
      <c r="L80" s="137">
        <f t="shared" si="29"/>
        <v>49955.41</v>
      </c>
      <c r="M80" s="137">
        <f t="shared" si="29"/>
        <v>116456.38</v>
      </c>
      <c r="N80" s="137">
        <f t="shared" si="29"/>
        <v>55622.41</v>
      </c>
      <c r="O80" s="137">
        <f t="shared" si="29"/>
        <v>55408.41</v>
      </c>
      <c r="P80" s="135">
        <f>SUM(P38:P79)</f>
        <v>795864.34</v>
      </c>
      <c r="Q80" s="137">
        <f t="shared" ref="Q80:AC80" si="30">SUM(Q38:Q79)</f>
        <v>46975.520000000004</v>
      </c>
      <c r="R80" s="137">
        <f t="shared" si="30"/>
        <v>145927.18</v>
      </c>
      <c r="S80" s="137">
        <f t="shared" si="30"/>
        <v>66093.95</v>
      </c>
      <c r="T80" s="137">
        <f t="shared" si="30"/>
        <v>64162.709999999992</v>
      </c>
      <c r="U80" s="137">
        <f t="shared" si="30"/>
        <v>54889.200000000004</v>
      </c>
      <c r="V80" s="137">
        <f t="shared" si="30"/>
        <v>41683.649999999994</v>
      </c>
      <c r="W80" s="137">
        <f t="shared" si="30"/>
        <v>81192.51999999999</v>
      </c>
      <c r="X80" s="137">
        <f t="shared" si="30"/>
        <v>86097.319999999992</v>
      </c>
      <c r="Y80" s="137">
        <f t="shared" si="30"/>
        <v>119033</v>
      </c>
      <c r="Z80" s="137">
        <f t="shared" si="30"/>
        <v>65480</v>
      </c>
      <c r="AA80" s="137">
        <f t="shared" si="30"/>
        <v>42404</v>
      </c>
      <c r="AB80" s="137">
        <f t="shared" si="30"/>
        <v>50012</v>
      </c>
      <c r="AC80" s="137">
        <f t="shared" si="30"/>
        <v>863951.04999999993</v>
      </c>
      <c r="AD80" s="136">
        <f t="shared" si="26"/>
        <v>-68086.709999999963</v>
      </c>
      <c r="AE80" s="196">
        <f t="shared" si="27"/>
        <v>-7.8808527404417142E-2</v>
      </c>
      <c r="AF80" s="133">
        <v>393303.54000000004</v>
      </c>
      <c r="AG80" s="124">
        <f t="shared" si="17"/>
        <v>-402560.79999999993</v>
      </c>
    </row>
    <row r="81" spans="1:33">
      <c r="C81" s="109" t="s">
        <v>508</v>
      </c>
      <c r="D81" s="137">
        <f t="shared" ref="D81:AC81" si="31">D27-D33-D35-D80</f>
        <v>71194.94</v>
      </c>
      <c r="E81" s="137">
        <f t="shared" si="31"/>
        <v>122569.91</v>
      </c>
      <c r="F81" s="137">
        <f t="shared" si="31"/>
        <v>49309.459999999992</v>
      </c>
      <c r="G81" s="137">
        <f t="shared" si="31"/>
        <v>16532.43</v>
      </c>
      <c r="H81" s="137">
        <f t="shared" si="31"/>
        <v>22097.420000000006</v>
      </c>
      <c r="I81" s="137">
        <f t="shared" si="31"/>
        <v>10414.459999999999</v>
      </c>
      <c r="J81" s="137">
        <f t="shared" si="31"/>
        <v>52883.849999999991</v>
      </c>
      <c r="K81" s="137">
        <f t="shared" si="31"/>
        <v>65160.539999999994</v>
      </c>
      <c r="L81" s="137">
        <f t="shared" si="31"/>
        <v>13549.539999999994</v>
      </c>
      <c r="M81" s="137">
        <f t="shared" si="31"/>
        <v>415170.99</v>
      </c>
      <c r="N81" s="137">
        <f t="shared" si="31"/>
        <v>20058.849999999991</v>
      </c>
      <c r="O81" s="137">
        <f t="shared" si="31"/>
        <v>29556.539999999994</v>
      </c>
      <c r="P81" s="135">
        <f t="shared" si="31"/>
        <v>888498.93</v>
      </c>
      <c r="Q81" s="137">
        <f t="shared" si="31"/>
        <v>56931.989999999976</v>
      </c>
      <c r="R81" s="137">
        <f t="shared" si="31"/>
        <v>61379.869999999966</v>
      </c>
      <c r="S81" s="137">
        <f t="shared" si="31"/>
        <v>48425.060000000012</v>
      </c>
      <c r="T81" s="137">
        <f t="shared" si="31"/>
        <v>22298.420000000013</v>
      </c>
      <c r="U81" s="137">
        <f t="shared" si="31"/>
        <v>23212.399999999987</v>
      </c>
      <c r="V81" s="137">
        <f t="shared" si="31"/>
        <v>24189.920000000013</v>
      </c>
      <c r="W81" s="137">
        <f t="shared" si="31"/>
        <v>44855.540000000008</v>
      </c>
      <c r="X81" s="137">
        <f t="shared" si="31"/>
        <v>46445.950000000026</v>
      </c>
      <c r="Y81" s="137">
        <f t="shared" si="31"/>
        <v>302933</v>
      </c>
      <c r="Z81" s="137">
        <f t="shared" si="31"/>
        <v>37567</v>
      </c>
      <c r="AA81" s="137">
        <f t="shared" si="31"/>
        <v>32337</v>
      </c>
      <c r="AB81" s="137">
        <f t="shared" si="31"/>
        <v>33979</v>
      </c>
      <c r="AC81" s="137">
        <f t="shared" si="31"/>
        <v>734555.15000000026</v>
      </c>
      <c r="AD81" s="136">
        <f t="shared" si="26"/>
        <v>153943.7799999998</v>
      </c>
      <c r="AE81" s="196">
        <f t="shared" si="27"/>
        <v>0.20957416199450749</v>
      </c>
      <c r="AF81" s="133">
        <v>814443.95999999973</v>
      </c>
      <c r="AG81" s="124">
        <f>P81-AF81</f>
        <v>74054.970000000321</v>
      </c>
    </row>
    <row r="82" spans="1:33">
      <c r="C82" s="109" t="s">
        <v>509</v>
      </c>
      <c r="D82" s="213">
        <f t="shared" ref="D82:AC82" si="32">D81/D27</f>
        <v>0.34661606621226876</v>
      </c>
      <c r="E82" s="213">
        <f t="shared" si="32"/>
        <v>0.41832733788395904</v>
      </c>
      <c r="F82" s="213">
        <f t="shared" si="32"/>
        <v>0.28176834285714281</v>
      </c>
      <c r="G82" s="213">
        <f t="shared" si="32"/>
        <v>0.14070153191489362</v>
      </c>
      <c r="H82" s="213">
        <f t="shared" si="32"/>
        <v>0.17331309803921574</v>
      </c>
      <c r="I82" s="213">
        <f t="shared" si="32"/>
        <v>9.9659904306220085E-2</v>
      </c>
      <c r="J82" s="213">
        <f t="shared" si="32"/>
        <v>0.30305931232091687</v>
      </c>
      <c r="K82" s="213">
        <f t="shared" si="32"/>
        <v>0.33849631168831168</v>
      </c>
      <c r="L82" s="213">
        <f t="shared" si="32"/>
        <v>0.13283862745098032</v>
      </c>
      <c r="M82" s="213">
        <f t="shared" si="32"/>
        <v>0.305385060684075</v>
      </c>
      <c r="N82" s="213">
        <f t="shared" si="32"/>
        <v>0.16927299578059066</v>
      </c>
      <c r="O82" s="213">
        <f t="shared" si="32"/>
        <v>0.22562244274809157</v>
      </c>
      <c r="P82" s="213">
        <f t="shared" si="32"/>
        <v>0.2865293721177723</v>
      </c>
      <c r="Q82" s="213">
        <f t="shared" si="32"/>
        <v>0.34191251717610416</v>
      </c>
      <c r="R82" s="213">
        <f t="shared" si="32"/>
        <v>0.19831086473154305</v>
      </c>
      <c r="S82" s="213">
        <f t="shared" si="32"/>
        <v>0.27389507441961752</v>
      </c>
      <c r="T82" s="213">
        <f t="shared" si="32"/>
        <v>0.15828584303263668</v>
      </c>
      <c r="U82" s="213">
        <f t="shared" si="32"/>
        <v>0.17979084145187191</v>
      </c>
      <c r="V82" s="213">
        <f t="shared" si="32"/>
        <v>0.21200649606178454</v>
      </c>
      <c r="W82" s="213">
        <f t="shared" si="32"/>
        <v>0.23344180834947104</v>
      </c>
      <c r="X82" s="213">
        <f t="shared" si="32"/>
        <v>0.22991276957766574</v>
      </c>
      <c r="Y82" s="213">
        <f t="shared" si="32"/>
        <v>0.23302538461538461</v>
      </c>
      <c r="Z82" s="213">
        <f t="shared" si="32"/>
        <v>0.23261300309597524</v>
      </c>
      <c r="AA82" s="213">
        <f t="shared" si="32"/>
        <v>0.27288607594936709</v>
      </c>
      <c r="AB82" s="213">
        <f t="shared" si="32"/>
        <v>0.259381679389313</v>
      </c>
      <c r="AC82" s="213">
        <f t="shared" si="32"/>
        <v>0.23378052481751049</v>
      </c>
      <c r="AD82" s="136">
        <f t="shared" si="26"/>
        <v>5.2748847300261803E-2</v>
      </c>
      <c r="AE82" s="105">
        <f t="shared" si="27"/>
        <v>0.22563405288544736</v>
      </c>
      <c r="AF82" s="133">
        <v>0.45005480519555574</v>
      </c>
      <c r="AG82" s="124">
        <f>P82-AF82</f>
        <v>-0.16352543307778344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>
        <f>P86/'Rooms+Summary'!Q52</f>
        <v>6.8332084505582022E-2</v>
      </c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214">
        <f>AC86/'Rooms+Summary'!AD52</f>
        <v>8.2632522781096146E-2</v>
      </c>
      <c r="AD84" s="136"/>
      <c r="AF84" s="133"/>
      <c r="AG84" s="123"/>
    </row>
    <row r="85" spans="1:33">
      <c r="A85" s="105" t="s">
        <v>510</v>
      </c>
      <c r="B85" s="105" t="s">
        <v>385</v>
      </c>
      <c r="C85" s="105" t="s">
        <v>481</v>
      </c>
      <c r="D85" s="136">
        <v>300</v>
      </c>
      <c r="E85" s="136">
        <v>400</v>
      </c>
      <c r="F85" s="136">
        <v>150</v>
      </c>
      <c r="G85" s="136">
        <v>150</v>
      </c>
      <c r="H85" s="136">
        <v>150</v>
      </c>
      <c r="I85" s="136">
        <v>150</v>
      </c>
      <c r="J85" s="136">
        <v>300</v>
      </c>
      <c r="K85" s="136">
        <v>300</v>
      </c>
      <c r="L85" s="136">
        <v>150</v>
      </c>
      <c r="M85" s="136">
        <v>200</v>
      </c>
      <c r="N85" s="136">
        <v>150</v>
      </c>
      <c r="O85" s="136">
        <v>150</v>
      </c>
      <c r="P85" s="137">
        <f>SUM(D85:O85)</f>
        <v>2550</v>
      </c>
      <c r="Q85" s="136">
        <v>251</v>
      </c>
      <c r="R85" s="136">
        <v>197</v>
      </c>
      <c r="S85" s="136">
        <v>163</v>
      </c>
      <c r="T85" s="136">
        <v>234</v>
      </c>
      <c r="U85" s="136">
        <v>172</v>
      </c>
      <c r="V85" s="136">
        <v>131</v>
      </c>
      <c r="W85" s="72">
        <v>204</v>
      </c>
      <c r="X85" s="72">
        <v>284</v>
      </c>
      <c r="Y85" s="72">
        <v>150</v>
      </c>
      <c r="Z85" s="72">
        <v>200</v>
      </c>
      <c r="AA85" s="72">
        <v>150</v>
      </c>
      <c r="AB85" s="72">
        <v>150</v>
      </c>
      <c r="AC85" s="137">
        <f>SUM(Q85:AB85)</f>
        <v>2286</v>
      </c>
      <c r="AD85" s="136">
        <f t="shared" ref="AD85:AD90" si="33">P85-AC85</f>
        <v>264</v>
      </c>
      <c r="AE85" s="196">
        <f t="shared" ref="AE85:AE90" si="34">AD85/AC85</f>
        <v>0.11548556430446194</v>
      </c>
      <c r="AF85" s="133">
        <v>2083</v>
      </c>
      <c r="AG85" s="124">
        <f t="shared" ref="AG85:AG98" si="35">P85-AF85</f>
        <v>467</v>
      </c>
    </row>
    <row r="86" spans="1:33">
      <c r="A86" s="105" t="s">
        <v>511</v>
      </c>
      <c r="B86" s="105" t="s">
        <v>385</v>
      </c>
      <c r="C86" s="105" t="s">
        <v>483</v>
      </c>
      <c r="D86" s="136">
        <v>2000</v>
      </c>
      <c r="E86" s="136">
        <v>2500</v>
      </c>
      <c r="F86" s="136">
        <v>1000</v>
      </c>
      <c r="G86" s="136">
        <v>1000</v>
      </c>
      <c r="H86" s="136">
        <v>1000</v>
      </c>
      <c r="I86" s="136">
        <v>700</v>
      </c>
      <c r="J86" s="136">
        <v>1200</v>
      </c>
      <c r="K86" s="136">
        <v>1200</v>
      </c>
      <c r="L86" s="136">
        <v>900</v>
      </c>
      <c r="M86" s="136">
        <v>1300</v>
      </c>
      <c r="N86" s="136">
        <v>800</v>
      </c>
      <c r="O86" s="136">
        <v>900</v>
      </c>
      <c r="P86" s="137">
        <f>SUM(D86:O86)</f>
        <v>14500</v>
      </c>
      <c r="Q86" s="136">
        <v>1565</v>
      </c>
      <c r="R86" s="136">
        <v>2375</v>
      </c>
      <c r="S86" s="136">
        <v>1587</v>
      </c>
      <c r="T86" s="136">
        <v>1522</v>
      </c>
      <c r="U86" s="136">
        <v>1450</v>
      </c>
      <c r="V86" s="136">
        <v>1129</v>
      </c>
      <c r="W86" s="72">
        <v>2171</v>
      </c>
      <c r="X86" s="72">
        <v>2410</v>
      </c>
      <c r="Y86" s="72">
        <v>900</v>
      </c>
      <c r="Z86" s="72">
        <v>1300</v>
      </c>
      <c r="AA86" s="72">
        <v>800</v>
      </c>
      <c r="AB86" s="72">
        <v>900</v>
      </c>
      <c r="AC86" s="137">
        <f>SUM(Q86:AB86)</f>
        <v>18109</v>
      </c>
      <c r="AD86" s="136">
        <f t="shared" si="33"/>
        <v>-3609</v>
      </c>
      <c r="AE86" s="196">
        <f t="shared" si="34"/>
        <v>-0.19929316914241538</v>
      </c>
      <c r="AF86" s="133">
        <v>4111</v>
      </c>
      <c r="AG86" s="124">
        <f t="shared" si="35"/>
        <v>10389</v>
      </c>
    </row>
    <row r="87" spans="1:33">
      <c r="A87" s="105" t="s">
        <v>512</v>
      </c>
      <c r="B87" s="105" t="s">
        <v>385</v>
      </c>
      <c r="C87" s="105" t="s">
        <v>485</v>
      </c>
      <c r="D87" s="136">
        <v>800</v>
      </c>
      <c r="E87" s="136">
        <v>1500</v>
      </c>
      <c r="F87" s="136">
        <v>1500</v>
      </c>
      <c r="G87" s="136">
        <v>1000</v>
      </c>
      <c r="H87" s="136">
        <v>1000</v>
      </c>
      <c r="I87" s="136">
        <v>1000</v>
      </c>
      <c r="J87" s="136">
        <v>1200</v>
      </c>
      <c r="K87" s="136">
        <v>1500</v>
      </c>
      <c r="L87" s="136">
        <v>800</v>
      </c>
      <c r="M87" s="136">
        <v>1000</v>
      </c>
      <c r="N87" s="136">
        <v>900</v>
      </c>
      <c r="O87" s="136">
        <v>1000</v>
      </c>
      <c r="P87" s="137">
        <f>SUM(D87:O87)</f>
        <v>13200</v>
      </c>
      <c r="Q87" s="136">
        <v>561</v>
      </c>
      <c r="R87" s="136">
        <v>1874</v>
      </c>
      <c r="S87" s="136">
        <v>1257</v>
      </c>
      <c r="T87" s="136">
        <v>676</v>
      </c>
      <c r="U87" s="136">
        <v>703</v>
      </c>
      <c r="V87" s="136">
        <v>548</v>
      </c>
      <c r="W87" s="72">
        <v>528</v>
      </c>
      <c r="X87" s="72">
        <v>385</v>
      </c>
      <c r="Y87" s="72">
        <v>800</v>
      </c>
      <c r="Z87" s="72">
        <v>1000</v>
      </c>
      <c r="AA87" s="72">
        <v>900</v>
      </c>
      <c r="AB87" s="72">
        <v>1000</v>
      </c>
      <c r="AC87" s="137">
        <f>SUM(Q87:AB87)</f>
        <v>10232</v>
      </c>
      <c r="AD87" s="136">
        <f t="shared" si="33"/>
        <v>2968</v>
      </c>
      <c r="AE87" s="196">
        <f t="shared" si="34"/>
        <v>0.29007036747458953</v>
      </c>
      <c r="AF87" s="133">
        <v>5998</v>
      </c>
      <c r="AG87" s="124">
        <f t="shared" si="35"/>
        <v>7202</v>
      </c>
    </row>
    <row r="88" spans="1:33">
      <c r="A88" s="105" t="s">
        <v>513</v>
      </c>
      <c r="B88" s="105" t="s">
        <v>385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136">
        <f t="shared" si="33"/>
        <v>0</v>
      </c>
      <c r="AE88" s="196" t="e">
        <f t="shared" si="34"/>
        <v>#DIV/0!</v>
      </c>
      <c r="AF88" s="133">
        <v>3856</v>
      </c>
      <c r="AG88" s="124">
        <f t="shared" si="35"/>
        <v>-3856</v>
      </c>
    </row>
    <row r="89" spans="1:33">
      <c r="A89" s="105" t="s">
        <v>514</v>
      </c>
      <c r="B89" s="105" t="s">
        <v>385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1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1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2</v>
      </c>
      <c r="AD89" s="136">
        <f t="shared" si="33"/>
        <v>-2</v>
      </c>
      <c r="AE89" s="196">
        <f t="shared" si="34"/>
        <v>-1</v>
      </c>
      <c r="AF89" s="133">
        <v>230</v>
      </c>
      <c r="AG89" s="124">
        <f t="shared" si="35"/>
        <v>-230</v>
      </c>
    </row>
    <row r="90" spans="1:33">
      <c r="C90" s="109" t="s">
        <v>462</v>
      </c>
      <c r="D90" s="137">
        <f t="shared" ref="D90:AC90" si="36">SUM(D85:D89)</f>
        <v>3100</v>
      </c>
      <c r="E90" s="137">
        <f t="shared" si="36"/>
        <v>4400</v>
      </c>
      <c r="F90" s="137">
        <f t="shared" si="36"/>
        <v>2650</v>
      </c>
      <c r="G90" s="137">
        <f t="shared" si="36"/>
        <v>2150</v>
      </c>
      <c r="H90" s="137">
        <f t="shared" si="36"/>
        <v>2150</v>
      </c>
      <c r="I90" s="137">
        <f t="shared" si="36"/>
        <v>1850</v>
      </c>
      <c r="J90" s="137">
        <f t="shared" si="36"/>
        <v>2700</v>
      </c>
      <c r="K90" s="137">
        <f t="shared" si="36"/>
        <v>3000</v>
      </c>
      <c r="L90" s="137">
        <f t="shared" si="36"/>
        <v>1850</v>
      </c>
      <c r="M90" s="137">
        <f t="shared" si="36"/>
        <v>2500</v>
      </c>
      <c r="N90" s="137">
        <f t="shared" si="36"/>
        <v>1850</v>
      </c>
      <c r="O90" s="137">
        <f t="shared" si="36"/>
        <v>2050</v>
      </c>
      <c r="P90" s="137">
        <f t="shared" si="36"/>
        <v>30250</v>
      </c>
      <c r="Q90" s="137">
        <f t="shared" si="36"/>
        <v>2377</v>
      </c>
      <c r="R90" s="137">
        <f t="shared" si="36"/>
        <v>4447</v>
      </c>
      <c r="S90" s="137">
        <f t="shared" si="36"/>
        <v>3007</v>
      </c>
      <c r="T90" s="137">
        <f t="shared" si="36"/>
        <v>2432</v>
      </c>
      <c r="U90" s="137">
        <f t="shared" si="36"/>
        <v>2325</v>
      </c>
      <c r="V90" s="137">
        <f t="shared" si="36"/>
        <v>1808</v>
      </c>
      <c r="W90" s="137">
        <f t="shared" si="36"/>
        <v>2903</v>
      </c>
      <c r="X90" s="137">
        <f t="shared" si="36"/>
        <v>3080</v>
      </c>
      <c r="Y90" s="137">
        <f t="shared" si="36"/>
        <v>1850</v>
      </c>
      <c r="Z90" s="137">
        <f t="shared" si="36"/>
        <v>2500</v>
      </c>
      <c r="AA90" s="137">
        <f t="shared" si="36"/>
        <v>1850</v>
      </c>
      <c r="AB90" s="137">
        <f t="shared" si="36"/>
        <v>2050</v>
      </c>
      <c r="AC90" s="137">
        <f t="shared" si="36"/>
        <v>30629</v>
      </c>
      <c r="AD90" s="136">
        <f t="shared" si="33"/>
        <v>-379</v>
      </c>
      <c r="AE90" s="196">
        <f t="shared" si="34"/>
        <v>-1.237389402200529E-2</v>
      </c>
      <c r="AF90" s="133">
        <v>16278</v>
      </c>
      <c r="AG90" s="124">
        <f t="shared" si="35"/>
        <v>13972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5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5"/>
        <v>0</v>
      </c>
    </row>
    <row r="93" spans="1:33">
      <c r="C93" s="105" t="s">
        <v>481</v>
      </c>
      <c r="D93" s="136">
        <v>68</v>
      </c>
      <c r="E93" s="136">
        <v>70</v>
      </c>
      <c r="F93" s="136">
        <v>70</v>
      </c>
      <c r="G93" s="136">
        <v>70</v>
      </c>
      <c r="H93" s="136">
        <v>70</v>
      </c>
      <c r="I93" s="136">
        <v>70</v>
      </c>
      <c r="J93" s="136">
        <v>75</v>
      </c>
      <c r="K93" s="136">
        <v>75</v>
      </c>
      <c r="L93" s="136">
        <v>70</v>
      </c>
      <c r="M93" s="136">
        <v>75</v>
      </c>
      <c r="N93" s="136">
        <v>70</v>
      </c>
      <c r="O93" s="136">
        <v>70</v>
      </c>
      <c r="P93" s="137">
        <f t="shared" ref="P93:AB98" si="37">P9/P85</f>
        <v>71.333333333333329</v>
      </c>
      <c r="Q93" s="136">
        <f t="shared" si="37"/>
        <v>81.985657370517927</v>
      </c>
      <c r="R93" s="136">
        <f t="shared" si="37"/>
        <v>107.70203045685278</v>
      </c>
      <c r="S93" s="136">
        <f t="shared" si="37"/>
        <v>84.054601226993867</v>
      </c>
      <c r="T93" s="136">
        <f t="shared" si="37"/>
        <v>75.813589743589745</v>
      </c>
      <c r="U93" s="136">
        <f t="shared" si="37"/>
        <v>74.443604651162786</v>
      </c>
      <c r="V93" s="136">
        <f t="shared" si="37"/>
        <v>101.65725190839694</v>
      </c>
      <c r="W93" s="72">
        <v>76.63333333333334</v>
      </c>
      <c r="X93" s="72">
        <v>67.961971830985917</v>
      </c>
      <c r="Y93" s="72">
        <v>70</v>
      </c>
      <c r="Z93" s="72">
        <v>75</v>
      </c>
      <c r="AA93" s="72">
        <v>70</v>
      </c>
      <c r="AB93" s="72">
        <v>70</v>
      </c>
      <c r="AC93" s="137">
        <f t="shared" ref="AC93:AC98" si="38">AC9/AC85</f>
        <v>79.086955380577422</v>
      </c>
      <c r="AD93" s="136">
        <f t="shared" ref="AD93:AD98" si="39">P93-AC93</f>
        <v>-7.7536220472440931</v>
      </c>
      <c r="AE93" s="196">
        <f t="shared" ref="AE93:AE98" si="40">AD93/AC93</f>
        <v>-9.8039202671699605E-2</v>
      </c>
      <c r="AF93" s="133">
        <v>129.00518002880457</v>
      </c>
      <c r="AG93" s="124">
        <f t="shared" si="35"/>
        <v>-57.671846695471245</v>
      </c>
    </row>
    <row r="94" spans="1:33">
      <c r="C94" s="105" t="s">
        <v>483</v>
      </c>
      <c r="D94" s="136">
        <v>65</v>
      </c>
      <c r="E94" s="136">
        <v>65</v>
      </c>
      <c r="F94" s="136">
        <v>65</v>
      </c>
      <c r="G94" s="136">
        <v>60</v>
      </c>
      <c r="H94" s="136">
        <v>65</v>
      </c>
      <c r="I94" s="136">
        <v>60</v>
      </c>
      <c r="J94" s="136">
        <v>65</v>
      </c>
      <c r="K94" s="136">
        <v>65</v>
      </c>
      <c r="L94" s="136">
        <v>55</v>
      </c>
      <c r="M94" s="136">
        <v>65</v>
      </c>
      <c r="N94" s="136">
        <v>65</v>
      </c>
      <c r="O94" s="136">
        <v>65</v>
      </c>
      <c r="P94" s="137">
        <f t="shared" si="37"/>
        <v>63.793103448275865</v>
      </c>
      <c r="Q94" s="136">
        <f t="shared" si="37"/>
        <v>65.076102236421733</v>
      </c>
      <c r="R94" s="136">
        <f t="shared" si="37"/>
        <v>68.220799999999997</v>
      </c>
      <c r="S94" s="136">
        <f t="shared" si="37"/>
        <v>57.445053560176433</v>
      </c>
      <c r="T94" s="136">
        <f t="shared" si="37"/>
        <v>54.145072273324573</v>
      </c>
      <c r="U94" s="136">
        <f t="shared" si="37"/>
        <v>50.683103448275865</v>
      </c>
      <c r="V94" s="136">
        <f t="shared" si="37"/>
        <v>55.153675819309122</v>
      </c>
      <c r="W94" s="72">
        <v>59.841133118378629</v>
      </c>
      <c r="X94" s="72">
        <v>61.97298755186722</v>
      </c>
      <c r="Y94" s="72">
        <v>55</v>
      </c>
      <c r="Z94" s="72">
        <v>65</v>
      </c>
      <c r="AA94" s="72">
        <v>65</v>
      </c>
      <c r="AB94" s="72">
        <v>65</v>
      </c>
      <c r="AC94" s="137">
        <f t="shared" si="38"/>
        <v>60.576045060467173</v>
      </c>
      <c r="AD94" s="136">
        <f t="shared" si="39"/>
        <v>3.2170583878086916</v>
      </c>
      <c r="AE94" s="196">
        <f t="shared" si="40"/>
        <v>5.3107765364962589E-2</v>
      </c>
      <c r="AF94" s="133">
        <v>183.56307954269036</v>
      </c>
      <c r="AG94" s="124">
        <f t="shared" si="35"/>
        <v>-119.76997609441449</v>
      </c>
    </row>
    <row r="95" spans="1:33">
      <c r="C95" s="105" t="s">
        <v>485</v>
      </c>
      <c r="D95" s="136">
        <v>65</v>
      </c>
      <c r="E95" s="136">
        <v>65</v>
      </c>
      <c r="F95" s="136">
        <v>65</v>
      </c>
      <c r="G95" s="136">
        <v>45</v>
      </c>
      <c r="H95" s="136">
        <v>50</v>
      </c>
      <c r="I95" s="136">
        <v>50</v>
      </c>
      <c r="J95" s="136">
        <v>60</v>
      </c>
      <c r="K95" s="136">
        <v>60</v>
      </c>
      <c r="L95" s="136">
        <v>50</v>
      </c>
      <c r="M95" s="136">
        <v>60</v>
      </c>
      <c r="N95" s="136">
        <v>60</v>
      </c>
      <c r="O95" s="136">
        <v>60</v>
      </c>
      <c r="P95" s="137">
        <f t="shared" si="37"/>
        <v>58.18181818181818</v>
      </c>
      <c r="Q95" s="136">
        <f t="shared" si="37"/>
        <v>62.543315508021394</v>
      </c>
      <c r="R95" s="136">
        <f t="shared" si="37"/>
        <v>60.343489861259336</v>
      </c>
      <c r="S95" s="136">
        <f t="shared" si="37"/>
        <v>49.087509944311854</v>
      </c>
      <c r="T95" s="136">
        <f t="shared" si="37"/>
        <v>52.399852071005924</v>
      </c>
      <c r="U95" s="136">
        <f t="shared" si="37"/>
        <v>50.052773826458036</v>
      </c>
      <c r="V95" s="136">
        <f t="shared" si="37"/>
        <v>53.519343065693427</v>
      </c>
      <c r="W95" s="72">
        <v>70.897159090909085</v>
      </c>
      <c r="X95" s="72">
        <v>56.64051948051948</v>
      </c>
      <c r="Y95" s="72">
        <v>50</v>
      </c>
      <c r="Z95" s="72">
        <v>60</v>
      </c>
      <c r="AA95" s="72">
        <v>60</v>
      </c>
      <c r="AB95" s="72">
        <v>60</v>
      </c>
      <c r="AC95" s="137">
        <f t="shared" si="38"/>
        <v>56.983170445660669</v>
      </c>
      <c r="AD95" s="136">
        <f t="shared" si="39"/>
        <v>1.1986477361575112</v>
      </c>
      <c r="AE95" s="196">
        <f t="shared" si="40"/>
        <v>2.1035118382901237E-2</v>
      </c>
      <c r="AF95" s="133">
        <v>92.32552517505836</v>
      </c>
      <c r="AG95" s="124">
        <f t="shared" si="35"/>
        <v>-34.14370699324018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7"/>
        <v>#DIV/0!</v>
      </c>
      <c r="Q96" s="136" t="e">
        <f t="shared" si="37"/>
        <v>#DIV/0!</v>
      </c>
      <c r="R96" s="136" t="e">
        <f t="shared" si="37"/>
        <v>#DIV/0!</v>
      </c>
      <c r="S96" s="136" t="e">
        <f t="shared" si="37"/>
        <v>#DIV/0!</v>
      </c>
      <c r="T96" s="136" t="e">
        <f t="shared" si="37"/>
        <v>#DIV/0!</v>
      </c>
      <c r="U96" s="136" t="e">
        <f t="shared" si="37"/>
        <v>#DIV/0!</v>
      </c>
      <c r="V96" s="136" t="e">
        <f t="shared" si="37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8"/>
        <v>#DIV/0!</v>
      </c>
      <c r="AD96" s="136" t="e">
        <f t="shared" si="39"/>
        <v>#DIV/0!</v>
      </c>
      <c r="AE96" s="196" t="e">
        <f t="shared" si="40"/>
        <v>#DIV/0!</v>
      </c>
      <c r="AF96" s="133">
        <v>0</v>
      </c>
      <c r="AG96" s="124" t="e">
        <f t="shared" si="35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7"/>
        <v>#DIV/0!</v>
      </c>
      <c r="Q97" s="136" t="e">
        <f t="shared" si="37"/>
        <v>#DIV/0!</v>
      </c>
      <c r="R97" s="136">
        <f t="shared" si="37"/>
        <v>6.6</v>
      </c>
      <c r="S97" s="136" t="e">
        <f t="shared" si="37"/>
        <v>#DIV/0!</v>
      </c>
      <c r="T97" s="136" t="e">
        <f t="shared" si="37"/>
        <v>#DIV/0!</v>
      </c>
      <c r="U97" s="136" t="e">
        <f t="shared" si="37"/>
        <v>#DIV/0!</v>
      </c>
      <c r="V97" s="136" t="e">
        <f t="shared" si="37"/>
        <v>#DIV/0!</v>
      </c>
      <c r="W97" s="72" t="e">
        <v>#DIV/0!</v>
      </c>
      <c r="X97" s="72">
        <v>37.700000000000003</v>
      </c>
      <c r="Y97" s="72">
        <v>0</v>
      </c>
      <c r="Z97" s="72">
        <v>0</v>
      </c>
      <c r="AA97" s="72">
        <v>0</v>
      </c>
      <c r="AB97" s="72">
        <v>0</v>
      </c>
      <c r="AC97" s="137">
        <f t="shared" si="38"/>
        <v>22.150000000000002</v>
      </c>
      <c r="AD97" s="136" t="e">
        <f t="shared" si="39"/>
        <v>#DIV/0!</v>
      </c>
      <c r="AE97" s="196" t="e">
        <f t="shared" si="40"/>
        <v>#DIV/0!</v>
      </c>
      <c r="AF97" s="133">
        <v>95.964739130434779</v>
      </c>
      <c r="AG97" s="124" t="e">
        <f t="shared" si="35"/>
        <v>#DIV/0!</v>
      </c>
    </row>
    <row r="98" spans="1:33">
      <c r="C98" s="109" t="s">
        <v>463</v>
      </c>
      <c r="D98" s="136">
        <f t="shared" ref="D98:O98" si="41">D14/D90</f>
        <v>65.290322580645167</v>
      </c>
      <c r="E98" s="136">
        <f t="shared" si="41"/>
        <v>65.454545454545453</v>
      </c>
      <c r="F98" s="136">
        <f t="shared" si="41"/>
        <v>65.283018867924525</v>
      </c>
      <c r="G98" s="136">
        <f t="shared" si="41"/>
        <v>53.720930232558139</v>
      </c>
      <c r="H98" s="136">
        <f t="shared" si="41"/>
        <v>58.372093023255815</v>
      </c>
      <c r="I98" s="136">
        <f t="shared" si="41"/>
        <v>55.405405405405403</v>
      </c>
      <c r="J98" s="136">
        <f t="shared" si="41"/>
        <v>63.888888888888886</v>
      </c>
      <c r="K98" s="136">
        <f t="shared" si="41"/>
        <v>63.5</v>
      </c>
      <c r="L98" s="136">
        <f t="shared" si="41"/>
        <v>54.054054054054056</v>
      </c>
      <c r="M98" s="136">
        <f t="shared" si="41"/>
        <v>63.8</v>
      </c>
      <c r="N98" s="136">
        <f t="shared" si="41"/>
        <v>62.972972972972975</v>
      </c>
      <c r="O98" s="136">
        <f t="shared" si="41"/>
        <v>62.926829268292686</v>
      </c>
      <c r="P98" s="137">
        <f t="shared" si="37"/>
        <v>61.980165289256199</v>
      </c>
      <c r="Q98" s="136">
        <f t="shared" si="37"/>
        <v>66.263904080774083</v>
      </c>
      <c r="R98" s="136">
        <f t="shared" si="37"/>
        <v>66.636384079154467</v>
      </c>
      <c r="S98" s="136">
        <f t="shared" si="37"/>
        <v>55.393814432989693</v>
      </c>
      <c r="T98" s="136">
        <f t="shared" si="37"/>
        <v>55.744851973684213</v>
      </c>
      <c r="U98" s="136">
        <f t="shared" si="37"/>
        <v>52.25027956989247</v>
      </c>
      <c r="V98" s="136">
        <f t="shared" si="37"/>
        <v>58.02776548672567</v>
      </c>
      <c r="W98" s="136">
        <f t="shared" si="37"/>
        <v>63.032035825008613</v>
      </c>
      <c r="X98" s="136">
        <f t="shared" si="37"/>
        <v>61.850779220779231</v>
      </c>
      <c r="Y98" s="136">
        <f t="shared" si="37"/>
        <v>54.054054054054056</v>
      </c>
      <c r="Z98" s="136">
        <f t="shared" si="37"/>
        <v>63.8</v>
      </c>
      <c r="AA98" s="136">
        <f t="shared" si="37"/>
        <v>62.972972972972975</v>
      </c>
      <c r="AB98" s="136">
        <f t="shared" si="37"/>
        <v>62.926829268292686</v>
      </c>
      <c r="AC98" s="137">
        <f t="shared" si="38"/>
        <v>60.754855855561729</v>
      </c>
      <c r="AD98" s="136">
        <f t="shared" si="39"/>
        <v>1.2253094336944699</v>
      </c>
      <c r="AE98" s="196">
        <f t="shared" si="40"/>
        <v>2.0168090540902836E-2</v>
      </c>
      <c r="AF98" s="133">
        <v>98.242167342425347</v>
      </c>
      <c r="AG98" s="124">
        <f t="shared" si="35"/>
        <v>-36.262002053169148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385</v>
      </c>
      <c r="C102" s="105" t="s">
        <v>250</v>
      </c>
      <c r="D102" s="215">
        <v>0</v>
      </c>
      <c r="E102" s="136">
        <v>0</v>
      </c>
      <c r="F102" s="136">
        <v>0</v>
      </c>
      <c r="G102" s="136">
        <v>0</v>
      </c>
      <c r="H102" s="136">
        <v>0</v>
      </c>
      <c r="I102" s="136">
        <v>0</v>
      </c>
      <c r="J102" s="136">
        <v>0</v>
      </c>
      <c r="K102" s="136">
        <v>0</v>
      </c>
      <c r="L102" s="136">
        <v>0</v>
      </c>
      <c r="M102" s="136">
        <v>0</v>
      </c>
      <c r="N102" s="136">
        <v>0</v>
      </c>
      <c r="O102" s="136">
        <v>0</v>
      </c>
      <c r="P102" s="137">
        <f>SUM(D102:O102)</f>
        <v>0</v>
      </c>
      <c r="Q102" s="136">
        <v>0</v>
      </c>
      <c r="R102" s="136">
        <v>0</v>
      </c>
      <c r="S102" s="136">
        <v>0</v>
      </c>
      <c r="T102" s="136">
        <v>0</v>
      </c>
      <c r="U102" s="136">
        <v>0</v>
      </c>
      <c r="V102" s="136">
        <v>0</v>
      </c>
      <c r="W102" s="72">
        <v>0</v>
      </c>
      <c r="X102" s="72">
        <v>0</v>
      </c>
      <c r="Y102" s="72">
        <v>0</v>
      </c>
      <c r="Z102" s="72">
        <v>0</v>
      </c>
      <c r="AA102" s="72">
        <v>0</v>
      </c>
      <c r="AB102" s="72">
        <v>0</v>
      </c>
      <c r="AC102" s="137">
        <f>SUM(Q102:AB102)</f>
        <v>0</v>
      </c>
      <c r="AD102" s="136">
        <f t="shared" ref="AD102:AD105" si="42">P102-AC102</f>
        <v>0</v>
      </c>
      <c r="AE102" s="196" t="e">
        <f t="shared" ref="AE102:AE105" si="43">AD102/AC102</f>
        <v>#DIV/0!</v>
      </c>
      <c r="AF102" s="133">
        <v>0</v>
      </c>
      <c r="AG102" s="124">
        <f t="shared" ref="AG102:AG136" si="44">AF102-P102</f>
        <v>0</v>
      </c>
    </row>
    <row r="103" spans="1:33">
      <c r="A103" s="105" t="s">
        <v>251</v>
      </c>
      <c r="B103" s="105" t="s">
        <v>540</v>
      </c>
      <c r="C103" s="105" t="s">
        <v>468</v>
      </c>
      <c r="D103" s="215">
        <v>5329</v>
      </c>
      <c r="E103" s="136">
        <v>5329</v>
      </c>
      <c r="F103" s="136">
        <v>5595.45</v>
      </c>
      <c r="G103" s="136">
        <v>5595.45</v>
      </c>
      <c r="H103" s="136">
        <v>5595.45</v>
      </c>
      <c r="I103" s="136">
        <v>5595.45</v>
      </c>
      <c r="J103" s="136">
        <v>5595.45</v>
      </c>
      <c r="K103" s="136">
        <v>5595.45</v>
      </c>
      <c r="L103" s="136">
        <v>5595.45</v>
      </c>
      <c r="M103" s="136">
        <v>5595.45</v>
      </c>
      <c r="N103" s="136">
        <v>5595.45</v>
      </c>
      <c r="O103" s="136">
        <v>5595.45</v>
      </c>
      <c r="P103" s="137">
        <f>SUM(D103:O103)</f>
        <v>66612.499999999985</v>
      </c>
      <c r="Q103" s="136">
        <v>7162.07</v>
      </c>
      <c r="R103" s="136">
        <v>7300</v>
      </c>
      <c r="S103" s="136">
        <v>7248.28</v>
      </c>
      <c r="T103" s="136">
        <v>7300</v>
      </c>
      <c r="U103" s="136">
        <v>7300</v>
      </c>
      <c r="V103" s="136">
        <v>7300</v>
      </c>
      <c r="W103" s="72">
        <v>7300</v>
      </c>
      <c r="X103" s="72">
        <v>7300</v>
      </c>
      <c r="Y103" s="72">
        <v>3120</v>
      </c>
      <c r="Z103" s="72">
        <v>3120</v>
      </c>
      <c r="AA103" s="72">
        <v>3120</v>
      </c>
      <c r="AB103" s="72">
        <v>3120</v>
      </c>
      <c r="AC103" s="137">
        <f>SUM(Q103:AB103)</f>
        <v>70690.350000000006</v>
      </c>
      <c r="AD103" s="136">
        <f t="shared" si="42"/>
        <v>-4077.8500000000204</v>
      </c>
      <c r="AE103" s="196">
        <f t="shared" si="43"/>
        <v>-5.7686091524515301E-2</v>
      </c>
      <c r="AF103" s="133">
        <v>80156.27</v>
      </c>
      <c r="AG103" s="124">
        <f t="shared" si="44"/>
        <v>13543.770000000019</v>
      </c>
    </row>
    <row r="104" spans="1:33">
      <c r="A104" s="105" t="s">
        <v>251</v>
      </c>
      <c r="B104" s="105" t="s">
        <v>541</v>
      </c>
      <c r="C104" s="105" t="s">
        <v>470</v>
      </c>
      <c r="D104" s="215">
        <v>0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7">
        <f>SUM(D104:O104)</f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0</v>
      </c>
      <c r="Z104" s="72">
        <v>0</v>
      </c>
      <c r="AA104" s="72">
        <v>0</v>
      </c>
      <c r="AB104" s="72">
        <v>0</v>
      </c>
      <c r="AC104" s="137">
        <f>SUM(Q104:AB104)</f>
        <v>0</v>
      </c>
      <c r="AD104" s="136">
        <f t="shared" si="42"/>
        <v>0</v>
      </c>
      <c r="AE104" s="196" t="e">
        <f t="shared" si="43"/>
        <v>#DIV/0!</v>
      </c>
      <c r="AF104" s="133">
        <v>17190.47</v>
      </c>
      <c r="AG104" s="124">
        <f t="shared" si="44"/>
        <v>17190.47</v>
      </c>
    </row>
    <row r="105" spans="1:33">
      <c r="A105" s="105" t="s">
        <v>273</v>
      </c>
      <c r="C105" s="109" t="s">
        <v>520</v>
      </c>
      <c r="D105" s="137">
        <f t="shared" ref="D105:AC105" si="45">SUM(D102:D104)</f>
        <v>5329</v>
      </c>
      <c r="E105" s="137">
        <f t="shared" si="45"/>
        <v>5329</v>
      </c>
      <c r="F105" s="137">
        <f t="shared" si="45"/>
        <v>5595.45</v>
      </c>
      <c r="G105" s="137">
        <f t="shared" si="45"/>
        <v>5595.45</v>
      </c>
      <c r="H105" s="137">
        <f t="shared" si="45"/>
        <v>5595.45</v>
      </c>
      <c r="I105" s="137">
        <f t="shared" si="45"/>
        <v>5595.45</v>
      </c>
      <c r="J105" s="137">
        <f t="shared" si="45"/>
        <v>5595.45</v>
      </c>
      <c r="K105" s="137">
        <f t="shared" si="45"/>
        <v>5595.45</v>
      </c>
      <c r="L105" s="137">
        <f t="shared" si="45"/>
        <v>5595.45</v>
      </c>
      <c r="M105" s="137">
        <f t="shared" si="45"/>
        <v>5595.45</v>
      </c>
      <c r="N105" s="137">
        <f t="shared" si="45"/>
        <v>5595.45</v>
      </c>
      <c r="O105" s="137">
        <f t="shared" si="45"/>
        <v>5595.45</v>
      </c>
      <c r="P105" s="137">
        <f t="shared" si="45"/>
        <v>66612.499999999985</v>
      </c>
      <c r="Q105" s="137">
        <f t="shared" si="45"/>
        <v>7162.07</v>
      </c>
      <c r="R105" s="137">
        <f t="shared" si="45"/>
        <v>7300</v>
      </c>
      <c r="S105" s="137">
        <f t="shared" si="45"/>
        <v>7248.28</v>
      </c>
      <c r="T105" s="137">
        <f t="shared" si="45"/>
        <v>7300</v>
      </c>
      <c r="U105" s="137">
        <f t="shared" si="45"/>
        <v>7300</v>
      </c>
      <c r="V105" s="137">
        <f t="shared" si="45"/>
        <v>7300</v>
      </c>
      <c r="W105" s="137">
        <f t="shared" si="45"/>
        <v>7300</v>
      </c>
      <c r="X105" s="137">
        <f t="shared" si="45"/>
        <v>7300</v>
      </c>
      <c r="Y105" s="137">
        <f t="shared" si="45"/>
        <v>3120</v>
      </c>
      <c r="Z105" s="137">
        <f t="shared" si="45"/>
        <v>3120</v>
      </c>
      <c r="AA105" s="137">
        <f t="shared" si="45"/>
        <v>3120</v>
      </c>
      <c r="AB105" s="137">
        <f t="shared" si="45"/>
        <v>3120</v>
      </c>
      <c r="AC105" s="137">
        <f t="shared" si="45"/>
        <v>70690.350000000006</v>
      </c>
      <c r="AD105" s="136">
        <f t="shared" si="42"/>
        <v>-4077.8500000000204</v>
      </c>
      <c r="AE105" s="196">
        <f t="shared" si="43"/>
        <v>-5.7686091524515301E-2</v>
      </c>
      <c r="AF105" s="133">
        <v>97346.74</v>
      </c>
      <c r="AG105" s="124">
        <f t="shared" si="44"/>
        <v>30734.24000000002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7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4"/>
        <v>0</v>
      </c>
    </row>
    <row r="107" spans="1:33">
      <c r="A107" s="105" t="s">
        <v>119</v>
      </c>
      <c r="B107" s="105" t="s">
        <v>385</v>
      </c>
      <c r="C107" s="105" t="s">
        <v>260</v>
      </c>
      <c r="D107" s="215">
        <v>3200</v>
      </c>
      <c r="E107" s="215">
        <v>0</v>
      </c>
      <c r="F107" s="215">
        <v>0</v>
      </c>
      <c r="G107" s="215">
        <v>413.79</v>
      </c>
      <c r="H107" s="215">
        <v>2013.8000000000002</v>
      </c>
      <c r="I107" s="215">
        <v>0</v>
      </c>
      <c r="J107" s="215">
        <v>0</v>
      </c>
      <c r="K107" s="215">
        <v>0</v>
      </c>
      <c r="L107" s="215">
        <v>0</v>
      </c>
      <c r="M107" s="215">
        <v>4027.58</v>
      </c>
      <c r="N107" s="215">
        <v>0</v>
      </c>
      <c r="O107" s="215">
        <v>0</v>
      </c>
      <c r="P107" s="137">
        <f>SUM(D107:O107)</f>
        <v>9655.17</v>
      </c>
      <c r="Q107" s="136">
        <v>1006.89</v>
      </c>
      <c r="R107" s="136">
        <v>2213.7800000000002</v>
      </c>
      <c r="S107" s="136">
        <v>0</v>
      </c>
      <c r="T107" s="136">
        <v>413.79</v>
      </c>
      <c r="U107" s="136">
        <v>1006.89</v>
      </c>
      <c r="V107" s="136">
        <v>1006.89</v>
      </c>
      <c r="W107" s="72">
        <v>0</v>
      </c>
      <c r="X107" s="72">
        <v>0</v>
      </c>
      <c r="Y107" s="72">
        <v>1057</v>
      </c>
      <c r="Z107" s="72">
        <v>3172</v>
      </c>
      <c r="AA107" s="72">
        <v>0</v>
      </c>
      <c r="AB107" s="72">
        <v>0</v>
      </c>
      <c r="AC107" s="137">
        <f>SUM(Q107:AB107)</f>
        <v>9877.2400000000016</v>
      </c>
      <c r="AD107" s="136">
        <f t="shared" ref="AD107:AD112" si="46">P107-AC107</f>
        <v>-222.07000000000153</v>
      </c>
      <c r="AE107" s="196">
        <f t="shared" ref="AE107:AE112" si="47">AD107/AC107</f>
        <v>-2.2483001324256725E-2</v>
      </c>
      <c r="AF107" s="133">
        <v>12169.970000000001</v>
      </c>
      <c r="AG107" s="124">
        <f t="shared" si="44"/>
        <v>2514.8000000000011</v>
      </c>
    </row>
    <row r="108" spans="1:33">
      <c r="A108" s="105" t="s">
        <v>120</v>
      </c>
      <c r="B108" s="105" t="s">
        <v>385</v>
      </c>
      <c r="C108" s="105" t="s">
        <v>261</v>
      </c>
      <c r="D108" s="215">
        <v>1216.67</v>
      </c>
      <c r="E108" s="215">
        <v>1216.67</v>
      </c>
      <c r="F108" s="215">
        <v>1216.67</v>
      </c>
      <c r="G108" s="215">
        <v>1216.67</v>
      </c>
      <c r="H108" s="215">
        <v>1216.67</v>
      </c>
      <c r="I108" s="215">
        <v>1216.67</v>
      </c>
      <c r="J108" s="215">
        <v>1216.67</v>
      </c>
      <c r="K108" s="215">
        <v>1216.67</v>
      </c>
      <c r="L108" s="215">
        <v>1216.67</v>
      </c>
      <c r="M108" s="215">
        <v>1216.67</v>
      </c>
      <c r="N108" s="215">
        <v>1216.67</v>
      </c>
      <c r="O108" s="215">
        <v>1216.67</v>
      </c>
      <c r="P108" s="137">
        <f>SUM(D108:O108)</f>
        <v>14600.04</v>
      </c>
      <c r="Q108" s="136">
        <v>1806.92</v>
      </c>
      <c r="R108" s="136">
        <v>1834.23</v>
      </c>
      <c r="S108" s="136">
        <v>1827.89</v>
      </c>
      <c r="T108" s="136">
        <v>1233.76</v>
      </c>
      <c r="U108" s="136">
        <v>1224.99</v>
      </c>
      <c r="V108" s="136">
        <v>1232.46</v>
      </c>
      <c r="W108" s="72">
        <v>1218.6199999999999</v>
      </c>
      <c r="X108" s="72">
        <v>1204.6199999999999</v>
      </c>
      <c r="Y108" s="72">
        <v>520</v>
      </c>
      <c r="Z108" s="72">
        <v>520</v>
      </c>
      <c r="AA108" s="72">
        <v>520</v>
      </c>
      <c r="AB108" s="72">
        <v>520</v>
      </c>
      <c r="AC108" s="137">
        <f>SUM(Q108:AB108)</f>
        <v>13663.489999999998</v>
      </c>
      <c r="AD108" s="136">
        <f t="shared" si="46"/>
        <v>936.55000000000291</v>
      </c>
      <c r="AE108" s="196">
        <f t="shared" si="47"/>
        <v>6.854398107657729E-2</v>
      </c>
      <c r="AF108" s="133">
        <v>23487.93</v>
      </c>
      <c r="AG108" s="124">
        <f t="shared" si="44"/>
        <v>8887.89</v>
      </c>
    </row>
    <row r="109" spans="1:33">
      <c r="A109" s="105" t="s">
        <v>121</v>
      </c>
      <c r="B109" s="105" t="s">
        <v>385</v>
      </c>
      <c r="C109" s="105" t="s">
        <v>262</v>
      </c>
      <c r="D109" s="215">
        <v>1580</v>
      </c>
      <c r="E109" s="215">
        <v>1580</v>
      </c>
      <c r="F109" s="215">
        <v>1580</v>
      </c>
      <c r="G109" s="215">
        <v>1580</v>
      </c>
      <c r="H109" s="215">
        <v>1580</v>
      </c>
      <c r="I109" s="215">
        <v>1580</v>
      </c>
      <c r="J109" s="215">
        <v>1580</v>
      </c>
      <c r="K109" s="215">
        <v>1580</v>
      </c>
      <c r="L109" s="215">
        <v>1580</v>
      </c>
      <c r="M109" s="215">
        <v>1580</v>
      </c>
      <c r="N109" s="215">
        <v>1580</v>
      </c>
      <c r="O109" s="215">
        <v>1580</v>
      </c>
      <c r="P109" s="137">
        <f>SUM(D109:O109)</f>
        <v>18960</v>
      </c>
      <c r="Q109" s="136">
        <v>1049.3499999999999</v>
      </c>
      <c r="R109" s="136">
        <v>1160</v>
      </c>
      <c r="S109" s="136">
        <v>1160</v>
      </c>
      <c r="T109" s="136">
        <v>1160</v>
      </c>
      <c r="U109" s="136">
        <v>1160</v>
      </c>
      <c r="V109" s="136">
        <v>1260</v>
      </c>
      <c r="W109" s="72">
        <v>1380</v>
      </c>
      <c r="X109" s="72">
        <v>1400</v>
      </c>
      <c r="Y109" s="72">
        <v>1755</v>
      </c>
      <c r="Z109" s="72">
        <v>1755</v>
      </c>
      <c r="AA109" s="72">
        <v>1755</v>
      </c>
      <c r="AB109" s="72">
        <v>1755</v>
      </c>
      <c r="AC109" s="137">
        <f>SUM(Q109:AB109)</f>
        <v>16749.349999999999</v>
      </c>
      <c r="AD109" s="136">
        <f t="shared" si="46"/>
        <v>2210.6500000000015</v>
      </c>
      <c r="AE109" s="196">
        <f t="shared" si="47"/>
        <v>0.13198422625355621</v>
      </c>
      <c r="AF109" s="133">
        <v>4121</v>
      </c>
      <c r="AG109" s="124">
        <f t="shared" si="44"/>
        <v>-14839</v>
      </c>
    </row>
    <row r="110" spans="1:33">
      <c r="A110" s="105" t="s">
        <v>122</v>
      </c>
      <c r="B110" s="105" t="s">
        <v>385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7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136">
        <f t="shared" si="46"/>
        <v>0</v>
      </c>
      <c r="AE110" s="196" t="e">
        <f t="shared" si="47"/>
        <v>#DIV/0!</v>
      </c>
      <c r="AF110" s="133">
        <v>0</v>
      </c>
      <c r="AG110" s="124">
        <f t="shared" si="44"/>
        <v>0</v>
      </c>
    </row>
    <row r="111" spans="1:33">
      <c r="A111" s="105" t="s">
        <v>123</v>
      </c>
      <c r="B111" s="105" t="s">
        <v>385</v>
      </c>
      <c r="C111" s="105" t="s">
        <v>264</v>
      </c>
      <c r="D111" s="215">
        <v>400</v>
      </c>
      <c r="E111" s="215">
        <v>400</v>
      </c>
      <c r="F111" s="215">
        <v>400</v>
      </c>
      <c r="G111" s="215">
        <v>400</v>
      </c>
      <c r="H111" s="215">
        <v>400</v>
      </c>
      <c r="I111" s="215">
        <v>400</v>
      </c>
      <c r="J111" s="215">
        <v>400</v>
      </c>
      <c r="K111" s="215">
        <v>400</v>
      </c>
      <c r="L111" s="215">
        <v>400</v>
      </c>
      <c r="M111" s="215">
        <v>400</v>
      </c>
      <c r="N111" s="215">
        <v>400</v>
      </c>
      <c r="O111" s="215">
        <v>400</v>
      </c>
      <c r="P111" s="137">
        <f>SUM(D111:O111)</f>
        <v>4800</v>
      </c>
      <c r="Q111" s="136">
        <v>200</v>
      </c>
      <c r="R111" s="136">
        <v>400</v>
      </c>
      <c r="S111" s="136">
        <v>400</v>
      </c>
      <c r="T111" s="136">
        <v>404.67</v>
      </c>
      <c r="U111" s="136">
        <v>392.45</v>
      </c>
      <c r="V111" s="136">
        <v>511.18</v>
      </c>
      <c r="W111" s="72">
        <v>400</v>
      </c>
      <c r="X111" s="72">
        <v>562.4</v>
      </c>
      <c r="Y111" s="72">
        <v>88000</v>
      </c>
      <c r="Z111" s="72">
        <v>400</v>
      </c>
      <c r="AA111" s="72">
        <v>400</v>
      </c>
      <c r="AB111" s="72">
        <v>400</v>
      </c>
      <c r="AC111" s="137">
        <f>SUM(Q111:AB111)</f>
        <v>92470.7</v>
      </c>
      <c r="AD111" s="136">
        <f t="shared" si="46"/>
        <v>-87670.7</v>
      </c>
      <c r="AE111" s="196">
        <f t="shared" si="47"/>
        <v>-0.94809166579251591</v>
      </c>
      <c r="AF111" s="133">
        <v>10167.739999999998</v>
      </c>
      <c r="AG111" s="124">
        <f t="shared" si="44"/>
        <v>5367.739999999998</v>
      </c>
    </row>
    <row r="112" spans="1:33">
      <c r="A112" s="105" t="s">
        <v>273</v>
      </c>
      <c r="C112" s="109" t="s">
        <v>521</v>
      </c>
      <c r="D112" s="137">
        <f t="shared" ref="D112:O112" si="48">SUM(D107:D111)</f>
        <v>6396.67</v>
      </c>
      <c r="E112" s="137">
        <f t="shared" si="48"/>
        <v>3196.67</v>
      </c>
      <c r="F112" s="137">
        <f t="shared" si="48"/>
        <v>3196.67</v>
      </c>
      <c r="G112" s="137">
        <f t="shared" si="48"/>
        <v>3610.46</v>
      </c>
      <c r="H112" s="137">
        <f t="shared" si="48"/>
        <v>5210.47</v>
      </c>
      <c r="I112" s="137">
        <f t="shared" si="48"/>
        <v>3196.67</v>
      </c>
      <c r="J112" s="137">
        <f t="shared" si="48"/>
        <v>3196.67</v>
      </c>
      <c r="K112" s="137">
        <f t="shared" si="48"/>
        <v>3196.67</v>
      </c>
      <c r="L112" s="137">
        <f t="shared" si="48"/>
        <v>3196.67</v>
      </c>
      <c r="M112" s="137">
        <f t="shared" si="48"/>
        <v>7224.25</v>
      </c>
      <c r="N112" s="137">
        <f t="shared" si="48"/>
        <v>3196.67</v>
      </c>
      <c r="O112" s="137">
        <f t="shared" si="48"/>
        <v>3196.67</v>
      </c>
      <c r="P112" s="137">
        <f>SUM(P107:P111)</f>
        <v>48015.21</v>
      </c>
      <c r="Q112" s="137">
        <f t="shared" ref="Q112:AC112" si="49">SUM(Q107:Q111)</f>
        <v>4063.16</v>
      </c>
      <c r="R112" s="137">
        <f t="shared" si="49"/>
        <v>5608.01</v>
      </c>
      <c r="S112" s="137">
        <f t="shared" si="49"/>
        <v>3387.8900000000003</v>
      </c>
      <c r="T112" s="137">
        <f t="shared" si="49"/>
        <v>3212.2200000000003</v>
      </c>
      <c r="U112" s="137">
        <f t="shared" si="49"/>
        <v>3784.33</v>
      </c>
      <c r="V112" s="137">
        <f t="shared" si="49"/>
        <v>4010.5299999999997</v>
      </c>
      <c r="W112" s="137">
        <f t="shared" si="49"/>
        <v>2998.62</v>
      </c>
      <c r="X112" s="137">
        <f t="shared" si="49"/>
        <v>3167.02</v>
      </c>
      <c r="Y112" s="137">
        <f t="shared" si="49"/>
        <v>91332</v>
      </c>
      <c r="Z112" s="137">
        <f t="shared" si="49"/>
        <v>5847</v>
      </c>
      <c r="AA112" s="137">
        <f t="shared" si="49"/>
        <v>2675</v>
      </c>
      <c r="AB112" s="137">
        <f t="shared" si="49"/>
        <v>2675</v>
      </c>
      <c r="AC112" s="137">
        <f t="shared" si="49"/>
        <v>132760.78</v>
      </c>
      <c r="AD112" s="136">
        <f t="shared" si="46"/>
        <v>-84745.57</v>
      </c>
      <c r="AE112" s="196">
        <f t="shared" si="47"/>
        <v>-0.63833287210274003</v>
      </c>
      <c r="AF112" s="133">
        <v>49946.64</v>
      </c>
      <c r="AG112" s="124">
        <f t="shared" si="44"/>
        <v>1931.4300000000003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4"/>
        <v>0</v>
      </c>
    </row>
    <row r="114" spans="1:33">
      <c r="A114" s="105" t="s">
        <v>124</v>
      </c>
      <c r="B114" s="105" t="s">
        <v>385</v>
      </c>
      <c r="C114" s="105" t="s">
        <v>266</v>
      </c>
      <c r="D114" s="215">
        <v>1839.13</v>
      </c>
      <c r="E114" s="215">
        <v>1839.13</v>
      </c>
      <c r="F114" s="215">
        <v>1839.13</v>
      </c>
      <c r="G114" s="215">
        <v>1839.13</v>
      </c>
      <c r="H114" s="215">
        <v>1839.13</v>
      </c>
      <c r="I114" s="215">
        <v>1839.13</v>
      </c>
      <c r="J114" s="215">
        <v>1893.57</v>
      </c>
      <c r="K114" s="215">
        <v>1893.57</v>
      </c>
      <c r="L114" s="215">
        <v>1893.57</v>
      </c>
      <c r="M114" s="215">
        <v>1893.57</v>
      </c>
      <c r="N114" s="215">
        <v>1893.57</v>
      </c>
      <c r="O114" s="215">
        <v>1893.57</v>
      </c>
      <c r="P114" s="137">
        <f>SUM(D114:O114)</f>
        <v>22396.2</v>
      </c>
      <c r="Q114" s="136">
        <v>1804.08</v>
      </c>
      <c r="R114" s="136">
        <v>1804.08</v>
      </c>
      <c r="S114" s="136">
        <v>1804.08</v>
      </c>
      <c r="T114" s="136">
        <v>1804.08</v>
      </c>
      <c r="U114" s="136">
        <v>1804.08</v>
      </c>
      <c r="V114" s="136">
        <v>1804.08</v>
      </c>
      <c r="W114" s="72">
        <v>1804.08</v>
      </c>
      <c r="X114" s="72">
        <v>1804.08</v>
      </c>
      <c r="Y114" s="72">
        <v>1793</v>
      </c>
      <c r="Z114" s="72">
        <v>1793</v>
      </c>
      <c r="AA114" s="72">
        <v>1793</v>
      </c>
      <c r="AB114" s="72">
        <v>1793</v>
      </c>
      <c r="AC114" s="137">
        <f t="shared" ref="AC114:AC121" si="50">SUM(Q114:AB114)</f>
        <v>21604.639999999999</v>
      </c>
      <c r="AD114" s="136">
        <f t="shared" ref="AD114:AD122" si="51">P114-AC114</f>
        <v>791.56000000000131</v>
      </c>
      <c r="AE114" s="196">
        <f t="shared" ref="AE114:AE122" si="52">AD114/AC114</f>
        <v>3.6638425819638804E-2</v>
      </c>
      <c r="AF114" s="133">
        <v>16305.829999999996</v>
      </c>
      <c r="AG114" s="124">
        <f t="shared" si="44"/>
        <v>-6090.3700000000044</v>
      </c>
    </row>
    <row r="115" spans="1:33">
      <c r="A115" s="105" t="s">
        <v>125</v>
      </c>
      <c r="B115" s="105" t="s">
        <v>385</v>
      </c>
      <c r="C115" s="105" t="s">
        <v>267</v>
      </c>
      <c r="D115" s="215">
        <v>743.72</v>
      </c>
      <c r="E115" s="215">
        <v>743.72</v>
      </c>
      <c r="F115" s="215">
        <v>743.72</v>
      </c>
      <c r="G115" s="215">
        <v>743.72</v>
      </c>
      <c r="H115" s="215">
        <v>743.72</v>
      </c>
      <c r="I115" s="215">
        <v>743.72</v>
      </c>
      <c r="J115" s="215">
        <v>762.41</v>
      </c>
      <c r="K115" s="215">
        <v>762.41</v>
      </c>
      <c r="L115" s="215">
        <v>762.41</v>
      </c>
      <c r="M115" s="215">
        <v>762.41</v>
      </c>
      <c r="N115" s="215">
        <v>762.41</v>
      </c>
      <c r="O115" s="215">
        <v>762.41</v>
      </c>
      <c r="P115" s="137">
        <f t="shared" ref="P115:P121" si="53">SUM(D115:O115)</f>
        <v>9036.7800000000007</v>
      </c>
      <c r="Q115" s="136">
        <v>958.42</v>
      </c>
      <c r="R115" s="136">
        <v>958.42</v>
      </c>
      <c r="S115" s="136">
        <v>958.42</v>
      </c>
      <c r="T115" s="136">
        <v>958.42</v>
      </c>
      <c r="U115" s="136">
        <v>958.42</v>
      </c>
      <c r="V115" s="136">
        <v>958.42</v>
      </c>
      <c r="W115" s="72">
        <v>732.91</v>
      </c>
      <c r="X115" s="72">
        <v>732.91</v>
      </c>
      <c r="Y115" s="72">
        <v>897</v>
      </c>
      <c r="Z115" s="72">
        <v>897</v>
      </c>
      <c r="AA115" s="72">
        <v>897</v>
      </c>
      <c r="AB115" s="72">
        <v>897</v>
      </c>
      <c r="AC115" s="137">
        <f t="shared" si="50"/>
        <v>10804.34</v>
      </c>
      <c r="AD115" s="136">
        <f t="shared" si="51"/>
        <v>-1767.5599999999995</v>
      </c>
      <c r="AE115" s="196">
        <f t="shared" si="52"/>
        <v>-0.16359722111669936</v>
      </c>
      <c r="AF115" s="133">
        <v>7699.2699999999995</v>
      </c>
      <c r="AG115" s="124">
        <f t="shared" si="44"/>
        <v>-1337.5100000000011</v>
      </c>
    </row>
    <row r="116" spans="1:33">
      <c r="A116" s="105" t="s">
        <v>126</v>
      </c>
      <c r="B116" s="105" t="s">
        <v>385</v>
      </c>
      <c r="C116" s="105" t="s">
        <v>268</v>
      </c>
      <c r="D116" s="215">
        <v>57.21</v>
      </c>
      <c r="E116" s="215">
        <v>57.21</v>
      </c>
      <c r="F116" s="215">
        <v>57.21</v>
      </c>
      <c r="G116" s="215">
        <v>57.21</v>
      </c>
      <c r="H116" s="215">
        <v>57.21</v>
      </c>
      <c r="I116" s="215">
        <v>57.21</v>
      </c>
      <c r="J116" s="215">
        <v>58.650000000000006</v>
      </c>
      <c r="K116" s="215">
        <v>58.650000000000006</v>
      </c>
      <c r="L116" s="215">
        <v>58.650000000000006</v>
      </c>
      <c r="M116" s="215">
        <v>58.650000000000006</v>
      </c>
      <c r="N116" s="215">
        <v>58.650000000000006</v>
      </c>
      <c r="O116" s="215">
        <v>58.650000000000006</v>
      </c>
      <c r="P116" s="137">
        <f t="shared" si="53"/>
        <v>695.15999999999985</v>
      </c>
      <c r="Q116" s="136">
        <v>56.38</v>
      </c>
      <c r="R116" s="136">
        <v>56.38</v>
      </c>
      <c r="S116" s="136">
        <v>56.38</v>
      </c>
      <c r="T116" s="136">
        <v>56.38</v>
      </c>
      <c r="U116" s="136">
        <v>56.38</v>
      </c>
      <c r="V116" s="136">
        <v>56.38</v>
      </c>
      <c r="W116" s="72">
        <v>56.38</v>
      </c>
      <c r="X116" s="72">
        <v>56.38</v>
      </c>
      <c r="Y116" s="72">
        <v>56</v>
      </c>
      <c r="Z116" s="72">
        <v>56</v>
      </c>
      <c r="AA116" s="72">
        <v>56</v>
      </c>
      <c r="AB116" s="72">
        <v>56</v>
      </c>
      <c r="AC116" s="137">
        <f t="shared" si="50"/>
        <v>675.04</v>
      </c>
      <c r="AD116" s="136">
        <f t="shared" si="51"/>
        <v>20.119999999999891</v>
      </c>
      <c r="AE116" s="196">
        <f t="shared" si="52"/>
        <v>2.9805641147191118E-2</v>
      </c>
      <c r="AF116" s="133">
        <v>474.39</v>
      </c>
      <c r="AG116" s="124">
        <f t="shared" si="44"/>
        <v>-220.76999999999987</v>
      </c>
    </row>
    <row r="117" spans="1:33">
      <c r="A117" s="105" t="s">
        <v>127</v>
      </c>
      <c r="B117" s="105" t="s">
        <v>385</v>
      </c>
      <c r="C117" s="105" t="s">
        <v>269</v>
      </c>
      <c r="D117" s="215">
        <v>13.73</v>
      </c>
      <c r="E117" s="215">
        <v>13.73</v>
      </c>
      <c r="F117" s="215">
        <v>13.73</v>
      </c>
      <c r="G117" s="215">
        <v>13.73</v>
      </c>
      <c r="H117" s="215">
        <v>13.73</v>
      </c>
      <c r="I117" s="215">
        <v>13.73</v>
      </c>
      <c r="J117" s="215">
        <v>14.08</v>
      </c>
      <c r="K117" s="215">
        <v>14.08</v>
      </c>
      <c r="L117" s="215">
        <v>14.08</v>
      </c>
      <c r="M117" s="215">
        <v>14.08</v>
      </c>
      <c r="N117" s="215">
        <v>14.08</v>
      </c>
      <c r="O117" s="215">
        <v>14.08</v>
      </c>
      <c r="P117" s="137">
        <f t="shared" si="53"/>
        <v>166.86000000000004</v>
      </c>
      <c r="Q117" s="136">
        <v>13.53</v>
      </c>
      <c r="R117" s="136">
        <v>13.53</v>
      </c>
      <c r="S117" s="136">
        <v>13.53</v>
      </c>
      <c r="T117" s="136">
        <v>13.53</v>
      </c>
      <c r="U117" s="136">
        <v>13.53</v>
      </c>
      <c r="V117" s="136">
        <v>13.53</v>
      </c>
      <c r="W117" s="72">
        <v>13.53</v>
      </c>
      <c r="X117" s="72">
        <v>13.53</v>
      </c>
      <c r="Y117" s="72">
        <v>31</v>
      </c>
      <c r="Z117" s="72">
        <v>31</v>
      </c>
      <c r="AA117" s="72">
        <v>31</v>
      </c>
      <c r="AB117" s="72">
        <v>31</v>
      </c>
      <c r="AC117" s="137">
        <f t="shared" si="50"/>
        <v>232.24</v>
      </c>
      <c r="AD117" s="136">
        <f t="shared" si="51"/>
        <v>-65.379999999999967</v>
      </c>
      <c r="AE117" s="196">
        <f t="shared" si="52"/>
        <v>-0.28151911815363401</v>
      </c>
      <c r="AF117" s="133">
        <v>151.87</v>
      </c>
      <c r="AG117" s="124">
        <f t="shared" si="44"/>
        <v>-14.990000000000038</v>
      </c>
    </row>
    <row r="118" spans="1:33">
      <c r="A118" s="105" t="s">
        <v>128</v>
      </c>
      <c r="B118" s="105" t="s">
        <v>385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7">
        <f t="shared" si="53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50"/>
        <v>0</v>
      </c>
      <c r="AD118" s="136">
        <f t="shared" si="51"/>
        <v>0</v>
      </c>
      <c r="AE118" s="196" t="e">
        <f t="shared" si="52"/>
        <v>#DIV/0!</v>
      </c>
      <c r="AF118" s="133">
        <v>365.97</v>
      </c>
      <c r="AG118" s="124">
        <f t="shared" si="44"/>
        <v>365.97</v>
      </c>
    </row>
    <row r="119" spans="1:33">
      <c r="A119" s="105" t="s">
        <v>129</v>
      </c>
      <c r="B119" s="105" t="s">
        <v>385</v>
      </c>
      <c r="C119" s="105" t="s">
        <v>271</v>
      </c>
      <c r="D119" s="215">
        <v>552.79</v>
      </c>
      <c r="E119" s="215">
        <v>552.79</v>
      </c>
      <c r="F119" s="215">
        <v>552.79</v>
      </c>
      <c r="G119" s="215">
        <v>552.79</v>
      </c>
      <c r="H119" s="215">
        <v>552.79</v>
      </c>
      <c r="I119" s="215">
        <v>552.79</v>
      </c>
      <c r="J119" s="215">
        <v>586.48</v>
      </c>
      <c r="K119" s="215">
        <v>552.79</v>
      </c>
      <c r="L119" s="215">
        <v>552.79</v>
      </c>
      <c r="M119" s="215">
        <v>552.79</v>
      </c>
      <c r="N119" s="215">
        <v>586.48</v>
      </c>
      <c r="O119" s="215">
        <v>552.79</v>
      </c>
      <c r="P119" s="137">
        <f t="shared" si="53"/>
        <v>6700.86</v>
      </c>
      <c r="Q119" s="136">
        <v>558</v>
      </c>
      <c r="R119" s="136">
        <v>558</v>
      </c>
      <c r="S119" s="136">
        <v>558</v>
      </c>
      <c r="T119" s="136">
        <v>558</v>
      </c>
      <c r="U119" s="136">
        <v>558</v>
      </c>
      <c r="V119" s="136">
        <v>558</v>
      </c>
      <c r="W119" s="72">
        <v>558</v>
      </c>
      <c r="X119" s="72">
        <v>558</v>
      </c>
      <c r="Y119" s="72">
        <v>560</v>
      </c>
      <c r="Z119" s="72">
        <v>560</v>
      </c>
      <c r="AA119" s="72">
        <v>560</v>
      </c>
      <c r="AB119" s="72">
        <v>560</v>
      </c>
      <c r="AC119" s="137">
        <f t="shared" si="50"/>
        <v>6704</v>
      </c>
      <c r="AD119" s="136">
        <f t="shared" si="51"/>
        <v>-3.1400000000003274</v>
      </c>
      <c r="AE119" s="196">
        <f t="shared" si="52"/>
        <v>-4.6837708830553808E-4</v>
      </c>
      <c r="AF119" s="133">
        <v>4547</v>
      </c>
      <c r="AG119" s="124">
        <f t="shared" si="44"/>
        <v>-2153.8599999999997</v>
      </c>
    </row>
    <row r="120" spans="1:33">
      <c r="A120" s="105" t="s">
        <v>130</v>
      </c>
      <c r="B120" s="105" t="s">
        <v>385</v>
      </c>
      <c r="C120" s="105" t="s">
        <v>272</v>
      </c>
      <c r="D120" s="215">
        <v>235</v>
      </c>
      <c r="E120" s="215">
        <v>171</v>
      </c>
      <c r="F120" s="215">
        <v>176</v>
      </c>
      <c r="G120" s="215">
        <v>184</v>
      </c>
      <c r="H120" s="215">
        <v>216</v>
      </c>
      <c r="I120" s="215">
        <v>176</v>
      </c>
      <c r="J120" s="215">
        <v>176</v>
      </c>
      <c r="K120" s="215">
        <v>176</v>
      </c>
      <c r="L120" s="215">
        <v>176</v>
      </c>
      <c r="M120" s="215">
        <v>256</v>
      </c>
      <c r="N120" s="215">
        <v>176</v>
      </c>
      <c r="O120" s="215">
        <v>176</v>
      </c>
      <c r="P120" s="137">
        <f t="shared" si="53"/>
        <v>2294</v>
      </c>
      <c r="Q120" s="136">
        <v>188.37</v>
      </c>
      <c r="R120" s="136">
        <v>224.28</v>
      </c>
      <c r="S120" s="136">
        <v>400.86</v>
      </c>
      <c r="T120" s="136">
        <v>334.95</v>
      </c>
      <c r="U120" s="136">
        <v>197.74</v>
      </c>
      <c r="V120" s="136">
        <v>195.34</v>
      </c>
      <c r="W120" s="72">
        <v>181.6</v>
      </c>
      <c r="X120" s="72">
        <v>181.65</v>
      </c>
      <c r="Y120" s="72">
        <v>188</v>
      </c>
      <c r="Z120" s="72">
        <v>188</v>
      </c>
      <c r="AA120" s="72">
        <v>188</v>
      </c>
      <c r="AB120" s="72">
        <v>188</v>
      </c>
      <c r="AC120" s="137">
        <f t="shared" si="50"/>
        <v>2656.79</v>
      </c>
      <c r="AD120" s="136">
        <f t="shared" si="51"/>
        <v>-362.78999999999996</v>
      </c>
      <c r="AE120" s="196">
        <f t="shared" si="52"/>
        <v>-0.13655200448661731</v>
      </c>
      <c r="AF120" s="133">
        <v>3064.91</v>
      </c>
      <c r="AG120" s="124">
        <f t="shared" si="44"/>
        <v>770.90999999999985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7">
        <f t="shared" si="53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50"/>
        <v>0</v>
      </c>
      <c r="AD121" s="136">
        <f t="shared" si="51"/>
        <v>0</v>
      </c>
      <c r="AE121" s="196" t="e">
        <f t="shared" si="52"/>
        <v>#DIV/0!</v>
      </c>
      <c r="AF121" s="133">
        <v>0</v>
      </c>
      <c r="AG121" s="124">
        <f t="shared" si="44"/>
        <v>0</v>
      </c>
    </row>
    <row r="122" spans="1:33">
      <c r="A122" s="105" t="s">
        <v>273</v>
      </c>
      <c r="C122" s="109" t="s">
        <v>522</v>
      </c>
      <c r="D122" s="137">
        <f t="shared" ref="D122:AC122" si="54">SUM(D114:D121)</f>
        <v>3441.5800000000004</v>
      </c>
      <c r="E122" s="137">
        <f t="shared" si="54"/>
        <v>3377.5800000000004</v>
      </c>
      <c r="F122" s="137">
        <f t="shared" si="54"/>
        <v>3382.5800000000004</v>
      </c>
      <c r="G122" s="137">
        <f t="shared" si="54"/>
        <v>3390.5800000000004</v>
      </c>
      <c r="H122" s="137">
        <f t="shared" si="54"/>
        <v>3422.5800000000004</v>
      </c>
      <c r="I122" s="137">
        <f t="shared" si="54"/>
        <v>3382.5800000000004</v>
      </c>
      <c r="J122" s="137">
        <f t="shared" si="54"/>
        <v>3491.19</v>
      </c>
      <c r="K122" s="137">
        <f t="shared" si="54"/>
        <v>3457.5</v>
      </c>
      <c r="L122" s="137">
        <f t="shared" si="54"/>
        <v>3457.5</v>
      </c>
      <c r="M122" s="137">
        <f t="shared" si="54"/>
        <v>3537.5</v>
      </c>
      <c r="N122" s="137">
        <f t="shared" si="54"/>
        <v>3491.19</v>
      </c>
      <c r="O122" s="137">
        <f t="shared" si="54"/>
        <v>3457.5</v>
      </c>
      <c r="P122" s="137">
        <f t="shared" si="54"/>
        <v>41289.86</v>
      </c>
      <c r="Q122" s="137">
        <f t="shared" si="54"/>
        <v>3578.78</v>
      </c>
      <c r="R122" s="137">
        <f t="shared" si="54"/>
        <v>3614.6900000000005</v>
      </c>
      <c r="S122" s="137">
        <f t="shared" si="54"/>
        <v>3791.2700000000004</v>
      </c>
      <c r="T122" s="137">
        <f t="shared" si="54"/>
        <v>3725.36</v>
      </c>
      <c r="U122" s="137">
        <f t="shared" si="54"/>
        <v>3588.1500000000005</v>
      </c>
      <c r="V122" s="137">
        <f t="shared" si="54"/>
        <v>3585.7500000000005</v>
      </c>
      <c r="W122" s="137">
        <f t="shared" si="54"/>
        <v>3346.5</v>
      </c>
      <c r="X122" s="137">
        <f t="shared" si="54"/>
        <v>3346.55</v>
      </c>
      <c r="Y122" s="137">
        <f t="shared" si="54"/>
        <v>3525</v>
      </c>
      <c r="Z122" s="137">
        <f t="shared" si="54"/>
        <v>3525</v>
      </c>
      <c r="AA122" s="137">
        <f t="shared" si="54"/>
        <v>3525</v>
      </c>
      <c r="AB122" s="137">
        <f t="shared" si="54"/>
        <v>3525</v>
      </c>
      <c r="AC122" s="137">
        <f t="shared" si="54"/>
        <v>42677.049999999996</v>
      </c>
      <c r="AD122" s="136">
        <f t="shared" si="51"/>
        <v>-1387.1899999999951</v>
      </c>
      <c r="AE122" s="196">
        <f t="shared" si="52"/>
        <v>-3.2504355385388518E-2</v>
      </c>
      <c r="AF122" s="133">
        <v>32609.239999999994</v>
      </c>
      <c r="AG122" s="124">
        <f t="shared" si="44"/>
        <v>-8680.6200000000063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7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4"/>
        <v>0</v>
      </c>
    </row>
    <row r="124" spans="1:33">
      <c r="A124" s="105" t="s">
        <v>131</v>
      </c>
      <c r="B124" s="105" t="s">
        <v>385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16">
        <f t="shared" ref="P124:P132" si="55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6">SUM(Q124:AB124)</f>
        <v>0</v>
      </c>
      <c r="AD124" s="136">
        <f t="shared" ref="AD124:AD134" si="57">P124-AC124</f>
        <v>0</v>
      </c>
      <c r="AE124" s="196" t="e">
        <f t="shared" ref="AE124:AE134" si="58">AD124/AC124</f>
        <v>#DIV/0!</v>
      </c>
      <c r="AF124" s="133">
        <v>0</v>
      </c>
      <c r="AG124" s="124">
        <f t="shared" si="44"/>
        <v>0</v>
      </c>
    </row>
    <row r="125" spans="1:33">
      <c r="A125" s="105" t="s">
        <v>132</v>
      </c>
      <c r="B125" s="105" t="s">
        <v>385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16">
        <f t="shared" si="55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6"/>
        <v>0</v>
      </c>
      <c r="AD125" s="136">
        <f t="shared" si="57"/>
        <v>0</v>
      </c>
      <c r="AE125" s="196" t="e">
        <f t="shared" si="58"/>
        <v>#DIV/0!</v>
      </c>
      <c r="AF125" s="133">
        <v>0</v>
      </c>
      <c r="AG125" s="124">
        <f t="shared" si="44"/>
        <v>0</v>
      </c>
    </row>
    <row r="126" spans="1:33">
      <c r="A126" s="105" t="s">
        <v>133</v>
      </c>
      <c r="B126" s="105" t="s">
        <v>385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16">
        <f t="shared" si="55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6"/>
        <v>0</v>
      </c>
      <c r="AD126" s="136">
        <f t="shared" si="57"/>
        <v>0</v>
      </c>
      <c r="AE126" s="196" t="e">
        <f t="shared" si="58"/>
        <v>#DIV/0!</v>
      </c>
      <c r="AF126" s="133">
        <v>0</v>
      </c>
      <c r="AG126" s="124">
        <f t="shared" si="44"/>
        <v>0</v>
      </c>
    </row>
    <row r="127" spans="1:33">
      <c r="A127" s="105" t="s">
        <v>134</v>
      </c>
      <c r="B127" s="105" t="s">
        <v>385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16">
        <f t="shared" si="55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6"/>
        <v>0</v>
      </c>
      <c r="AD127" s="136">
        <f t="shared" si="57"/>
        <v>0</v>
      </c>
      <c r="AE127" s="196" t="e">
        <f t="shared" si="58"/>
        <v>#DIV/0!</v>
      </c>
      <c r="AF127" s="133">
        <v>0</v>
      </c>
      <c r="AG127" s="124">
        <f t="shared" si="44"/>
        <v>0</v>
      </c>
    </row>
    <row r="128" spans="1:33">
      <c r="A128" s="105" t="s">
        <v>135</v>
      </c>
      <c r="B128" s="105" t="s">
        <v>385</v>
      </c>
      <c r="C128" s="105" t="s">
        <v>280</v>
      </c>
      <c r="D128" s="215">
        <v>45.43</v>
      </c>
      <c r="E128" s="215">
        <v>45.43</v>
      </c>
      <c r="F128" s="215">
        <v>45.43</v>
      </c>
      <c r="G128" s="215">
        <v>45.43</v>
      </c>
      <c r="H128" s="215">
        <v>45.43</v>
      </c>
      <c r="I128" s="215">
        <v>45.43</v>
      </c>
      <c r="J128" s="215">
        <v>45.43</v>
      </c>
      <c r="K128" s="215">
        <v>45.43</v>
      </c>
      <c r="L128" s="215">
        <v>45.43</v>
      </c>
      <c r="M128" s="215">
        <v>45.43</v>
      </c>
      <c r="N128" s="215">
        <v>45.43</v>
      </c>
      <c r="O128" s="215">
        <v>45.43</v>
      </c>
      <c r="P128" s="216">
        <f t="shared" si="55"/>
        <v>545.16</v>
      </c>
      <c r="Q128" s="136">
        <v>37.700000000000003</v>
      </c>
      <c r="R128" s="136">
        <v>38.020000000000003</v>
      </c>
      <c r="S128" s="136">
        <v>37.700000000000003</v>
      </c>
      <c r="T128" s="136">
        <v>37.700000000000003</v>
      </c>
      <c r="U128" s="136">
        <v>39.35</v>
      </c>
      <c r="V128" s="136">
        <v>39.520000000000003</v>
      </c>
      <c r="W128" s="72">
        <v>39.96</v>
      </c>
      <c r="X128" s="72">
        <v>39.18</v>
      </c>
      <c r="Y128" s="72">
        <v>35</v>
      </c>
      <c r="Z128" s="72">
        <v>35</v>
      </c>
      <c r="AA128" s="72">
        <v>35</v>
      </c>
      <c r="AB128" s="72">
        <v>35</v>
      </c>
      <c r="AC128" s="137">
        <f t="shared" si="56"/>
        <v>449.13</v>
      </c>
      <c r="AD128" s="136">
        <f t="shared" si="57"/>
        <v>96.029999999999973</v>
      </c>
      <c r="AE128" s="196">
        <f t="shared" si="58"/>
        <v>0.21381337252020569</v>
      </c>
      <c r="AF128" s="133">
        <v>910.86</v>
      </c>
      <c r="AG128" s="124">
        <f t="shared" si="44"/>
        <v>365.70000000000005</v>
      </c>
    </row>
    <row r="129" spans="1:33">
      <c r="A129" s="105" t="s">
        <v>136</v>
      </c>
      <c r="B129" s="105" t="s">
        <v>385</v>
      </c>
      <c r="C129" s="105" t="s">
        <v>282</v>
      </c>
      <c r="D129" s="164">
        <v>0</v>
      </c>
      <c r="E129" s="164">
        <v>0</v>
      </c>
      <c r="F129" s="164">
        <v>0</v>
      </c>
      <c r="G129" s="164">
        <v>0</v>
      </c>
      <c r="H129" s="164">
        <v>0</v>
      </c>
      <c r="I129" s="164">
        <v>0</v>
      </c>
      <c r="J129" s="164">
        <v>0</v>
      </c>
      <c r="K129" s="164">
        <v>0</v>
      </c>
      <c r="L129" s="164">
        <v>0</v>
      </c>
      <c r="M129" s="164">
        <v>0</v>
      </c>
      <c r="N129" s="164">
        <v>0</v>
      </c>
      <c r="O129" s="164">
        <v>0</v>
      </c>
      <c r="P129" s="216">
        <f t="shared" si="55"/>
        <v>0</v>
      </c>
      <c r="Q129" s="136">
        <v>683.23</v>
      </c>
      <c r="R129" s="136">
        <v>873.52</v>
      </c>
      <c r="S129" s="136">
        <v>764.76</v>
      </c>
      <c r="T129" s="136">
        <v>886.67</v>
      </c>
      <c r="U129" s="136">
        <v>970.43</v>
      </c>
      <c r="V129" s="136">
        <v>927.31</v>
      </c>
      <c r="W129" s="72">
        <v>798.77</v>
      </c>
      <c r="X129" s="72">
        <v>958.91</v>
      </c>
      <c r="Y129" s="72">
        <v>1307</v>
      </c>
      <c r="Z129" s="72">
        <v>1242</v>
      </c>
      <c r="AA129" s="72">
        <v>1162</v>
      </c>
      <c r="AB129" s="72">
        <v>1162</v>
      </c>
      <c r="AC129" s="137">
        <f t="shared" si="56"/>
        <v>11736.6</v>
      </c>
      <c r="AD129" s="136">
        <f t="shared" si="57"/>
        <v>-11736.6</v>
      </c>
      <c r="AE129" s="196">
        <f t="shared" si="58"/>
        <v>-1</v>
      </c>
      <c r="AF129" s="133">
        <v>13580.950000000004</v>
      </c>
      <c r="AG129" s="124">
        <f t="shared" si="44"/>
        <v>13580.950000000004</v>
      </c>
    </row>
    <row r="130" spans="1:33">
      <c r="A130" s="105" t="s">
        <v>137</v>
      </c>
      <c r="B130" s="105" t="s">
        <v>385</v>
      </c>
      <c r="C130" s="105" t="s">
        <v>283</v>
      </c>
      <c r="D130" s="164">
        <v>0</v>
      </c>
      <c r="E130" s="164">
        <v>0</v>
      </c>
      <c r="F130" s="164">
        <v>0</v>
      </c>
      <c r="G130" s="164">
        <v>0</v>
      </c>
      <c r="H130" s="164">
        <v>0</v>
      </c>
      <c r="I130" s="164">
        <v>0</v>
      </c>
      <c r="J130" s="164">
        <v>0</v>
      </c>
      <c r="K130" s="164">
        <v>0</v>
      </c>
      <c r="L130" s="164">
        <v>0</v>
      </c>
      <c r="M130" s="164">
        <v>0</v>
      </c>
      <c r="N130" s="164">
        <v>0</v>
      </c>
      <c r="O130" s="164">
        <v>0</v>
      </c>
      <c r="P130" s="216">
        <f t="shared" si="55"/>
        <v>0</v>
      </c>
      <c r="Q130" s="136">
        <v>2301.3200000000002</v>
      </c>
      <c r="R130" s="136">
        <v>2432.42</v>
      </c>
      <c r="S130" s="136">
        <v>2331.6</v>
      </c>
      <c r="T130" s="136">
        <v>2242.1999999999998</v>
      </c>
      <c r="U130" s="136">
        <v>1657.33</v>
      </c>
      <c r="V130" s="136">
        <v>1879.64</v>
      </c>
      <c r="W130" s="72">
        <v>1837.58</v>
      </c>
      <c r="X130" s="72">
        <v>1912.91</v>
      </c>
      <c r="Y130" s="72">
        <v>2715</v>
      </c>
      <c r="Z130" s="72">
        <v>3014</v>
      </c>
      <c r="AA130" s="72">
        <v>2752</v>
      </c>
      <c r="AB130" s="72">
        <v>2752</v>
      </c>
      <c r="AC130" s="137">
        <f t="shared" si="56"/>
        <v>27828</v>
      </c>
      <c r="AD130" s="136">
        <f t="shared" si="57"/>
        <v>-27828</v>
      </c>
      <c r="AE130" s="196">
        <f t="shared" si="58"/>
        <v>-1</v>
      </c>
      <c r="AF130" s="133">
        <v>47028.560000000005</v>
      </c>
      <c r="AG130" s="124">
        <f t="shared" si="44"/>
        <v>47028.560000000005</v>
      </c>
    </row>
    <row r="131" spans="1:33">
      <c r="A131" s="105" t="s">
        <v>138</v>
      </c>
      <c r="B131" s="105" t="s">
        <v>385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16">
        <f t="shared" si="55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6"/>
        <v>0</v>
      </c>
      <c r="AD131" s="136">
        <f t="shared" si="57"/>
        <v>0</v>
      </c>
      <c r="AE131" s="196" t="e">
        <f t="shared" si="58"/>
        <v>#DIV/0!</v>
      </c>
      <c r="AF131" s="133">
        <v>0</v>
      </c>
      <c r="AG131" s="124">
        <f t="shared" si="44"/>
        <v>0</v>
      </c>
    </row>
    <row r="132" spans="1:33">
      <c r="A132" s="105" t="s">
        <v>140</v>
      </c>
      <c r="B132" s="105" t="s">
        <v>385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16">
        <f t="shared" si="55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6"/>
        <v>0</v>
      </c>
      <c r="AD132" s="136">
        <f t="shared" si="57"/>
        <v>0</v>
      </c>
      <c r="AE132" s="196" t="e">
        <f t="shared" si="58"/>
        <v>#DIV/0!</v>
      </c>
      <c r="AF132" s="133">
        <v>0</v>
      </c>
      <c r="AG132" s="124">
        <f t="shared" si="44"/>
        <v>0</v>
      </c>
    </row>
    <row r="133" spans="1:33">
      <c r="A133" s="105" t="s">
        <v>273</v>
      </c>
      <c r="C133" s="109" t="s">
        <v>523</v>
      </c>
      <c r="D133" s="137">
        <f t="shared" ref="D133:AC133" si="59">SUM(D124:D132)</f>
        <v>45.43</v>
      </c>
      <c r="E133" s="137">
        <f t="shared" si="59"/>
        <v>45.43</v>
      </c>
      <c r="F133" s="137">
        <f t="shared" si="59"/>
        <v>45.43</v>
      </c>
      <c r="G133" s="137">
        <f t="shared" si="59"/>
        <v>45.43</v>
      </c>
      <c r="H133" s="137">
        <f t="shared" si="59"/>
        <v>45.43</v>
      </c>
      <c r="I133" s="137">
        <f t="shared" si="59"/>
        <v>45.43</v>
      </c>
      <c r="J133" s="137">
        <f t="shared" si="59"/>
        <v>45.43</v>
      </c>
      <c r="K133" s="137">
        <f t="shared" si="59"/>
        <v>45.43</v>
      </c>
      <c r="L133" s="137">
        <f t="shared" si="59"/>
        <v>45.43</v>
      </c>
      <c r="M133" s="137">
        <f t="shared" si="59"/>
        <v>45.43</v>
      </c>
      <c r="N133" s="137">
        <f t="shared" si="59"/>
        <v>45.43</v>
      </c>
      <c r="O133" s="137">
        <f t="shared" si="59"/>
        <v>45.43</v>
      </c>
      <c r="P133" s="137">
        <f t="shared" si="59"/>
        <v>545.16</v>
      </c>
      <c r="Q133" s="137">
        <f t="shared" si="59"/>
        <v>3022.25</v>
      </c>
      <c r="R133" s="137">
        <f t="shared" si="59"/>
        <v>3343.96</v>
      </c>
      <c r="S133" s="137">
        <f t="shared" si="59"/>
        <v>3134.06</v>
      </c>
      <c r="T133" s="137">
        <f t="shared" si="59"/>
        <v>3166.5699999999997</v>
      </c>
      <c r="U133" s="137">
        <f t="shared" si="59"/>
        <v>2667.1099999999997</v>
      </c>
      <c r="V133" s="137">
        <f t="shared" si="59"/>
        <v>2846.4700000000003</v>
      </c>
      <c r="W133" s="137">
        <f t="shared" si="59"/>
        <v>2676.31</v>
      </c>
      <c r="X133" s="137">
        <f t="shared" si="59"/>
        <v>2911</v>
      </c>
      <c r="Y133" s="137">
        <f t="shared" si="59"/>
        <v>4057</v>
      </c>
      <c r="Z133" s="137">
        <f t="shared" si="59"/>
        <v>4291</v>
      </c>
      <c r="AA133" s="137">
        <f t="shared" si="59"/>
        <v>3949</v>
      </c>
      <c r="AB133" s="137">
        <f t="shared" si="59"/>
        <v>3949</v>
      </c>
      <c r="AC133" s="137">
        <f t="shared" si="59"/>
        <v>40013.729999999996</v>
      </c>
      <c r="AD133" s="136">
        <f t="shared" si="57"/>
        <v>-39468.569999999992</v>
      </c>
      <c r="AE133" s="196">
        <f t="shared" si="58"/>
        <v>-0.98637567654902447</v>
      </c>
      <c r="AF133" s="133">
        <v>61520.37000000001</v>
      </c>
      <c r="AG133" s="124">
        <f t="shared" si="44"/>
        <v>60975.210000000006</v>
      </c>
    </row>
    <row r="134" spans="1:33">
      <c r="A134" s="105" t="s">
        <v>273</v>
      </c>
      <c r="C134" s="109" t="s">
        <v>524</v>
      </c>
      <c r="D134" s="137">
        <f t="shared" ref="D134:AC134" si="60">D105+D112+D122+D133</f>
        <v>15212.68</v>
      </c>
      <c r="E134" s="137">
        <f t="shared" si="60"/>
        <v>11948.68</v>
      </c>
      <c r="F134" s="137">
        <f t="shared" si="60"/>
        <v>12220.13</v>
      </c>
      <c r="G134" s="137">
        <f t="shared" si="60"/>
        <v>12641.92</v>
      </c>
      <c r="H134" s="137">
        <f t="shared" si="60"/>
        <v>14273.93</v>
      </c>
      <c r="I134" s="137">
        <f t="shared" si="60"/>
        <v>12220.13</v>
      </c>
      <c r="J134" s="137">
        <f t="shared" si="60"/>
        <v>12328.74</v>
      </c>
      <c r="K134" s="137">
        <f t="shared" si="60"/>
        <v>12295.05</v>
      </c>
      <c r="L134" s="137">
        <f t="shared" si="60"/>
        <v>12295.05</v>
      </c>
      <c r="M134" s="137">
        <f t="shared" si="60"/>
        <v>16402.63</v>
      </c>
      <c r="N134" s="137">
        <f t="shared" si="60"/>
        <v>12328.74</v>
      </c>
      <c r="O134" s="137">
        <f t="shared" si="60"/>
        <v>12295.05</v>
      </c>
      <c r="P134" s="137">
        <f t="shared" si="60"/>
        <v>156462.73000000001</v>
      </c>
      <c r="Q134" s="137">
        <f t="shared" si="60"/>
        <v>17826.260000000002</v>
      </c>
      <c r="R134" s="137">
        <f t="shared" si="60"/>
        <v>19866.66</v>
      </c>
      <c r="S134" s="137">
        <f t="shared" si="60"/>
        <v>17561.5</v>
      </c>
      <c r="T134" s="137">
        <f t="shared" si="60"/>
        <v>17404.150000000001</v>
      </c>
      <c r="U134" s="137">
        <f t="shared" si="60"/>
        <v>17339.59</v>
      </c>
      <c r="V134" s="137">
        <f t="shared" si="60"/>
        <v>17742.75</v>
      </c>
      <c r="W134" s="137">
        <f t="shared" si="60"/>
        <v>16321.429999999998</v>
      </c>
      <c r="X134" s="137">
        <f t="shared" si="60"/>
        <v>16724.57</v>
      </c>
      <c r="Y134" s="137">
        <f t="shared" si="60"/>
        <v>102034</v>
      </c>
      <c r="Z134" s="137">
        <f t="shared" si="60"/>
        <v>16783</v>
      </c>
      <c r="AA134" s="137">
        <f t="shared" si="60"/>
        <v>13269</v>
      </c>
      <c r="AB134" s="137">
        <f t="shared" si="60"/>
        <v>13269</v>
      </c>
      <c r="AC134" s="137">
        <f t="shared" si="60"/>
        <v>286141.90999999997</v>
      </c>
      <c r="AD134" s="136">
        <f t="shared" si="57"/>
        <v>-129679.17999999996</v>
      </c>
      <c r="AE134" s="196">
        <f t="shared" si="58"/>
        <v>-0.45319883410298051</v>
      </c>
      <c r="AF134" s="133">
        <v>241422.99</v>
      </c>
      <c r="AG134" s="124">
        <f t="shared" si="44"/>
        <v>84960.25999999998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4"/>
        <v>0</v>
      </c>
    </row>
    <row r="136" spans="1:33" s="224" customFormat="1">
      <c r="A136" s="224" t="s">
        <v>141</v>
      </c>
      <c r="B136" s="224" t="s">
        <v>385</v>
      </c>
      <c r="C136" s="224" t="s">
        <v>142</v>
      </c>
      <c r="D136" s="215">
        <v>2</v>
      </c>
      <c r="E136" s="215">
        <v>2</v>
      </c>
      <c r="F136" s="215">
        <v>2</v>
      </c>
      <c r="G136" s="215">
        <v>2</v>
      </c>
      <c r="H136" s="215">
        <v>2</v>
      </c>
      <c r="I136" s="215">
        <v>2</v>
      </c>
      <c r="J136" s="215">
        <v>2</v>
      </c>
      <c r="K136" s="215">
        <v>2</v>
      </c>
      <c r="L136" s="215">
        <v>2</v>
      </c>
      <c r="M136" s="215">
        <v>2</v>
      </c>
      <c r="N136" s="215">
        <v>2</v>
      </c>
      <c r="O136" s="215">
        <v>2</v>
      </c>
      <c r="P136" s="225">
        <f>SUM(D136:O136)/12</f>
        <v>2</v>
      </c>
      <c r="Q136" s="225">
        <v>2</v>
      </c>
      <c r="R136" s="225">
        <v>2</v>
      </c>
      <c r="S136" s="225">
        <v>2</v>
      </c>
      <c r="T136" s="225">
        <v>2</v>
      </c>
      <c r="U136" s="225">
        <v>2</v>
      </c>
      <c r="V136" s="225">
        <v>2</v>
      </c>
      <c r="W136" s="127">
        <v>2</v>
      </c>
      <c r="X136" s="127">
        <v>2</v>
      </c>
      <c r="Y136" s="127">
        <v>2</v>
      </c>
      <c r="Z136" s="127">
        <v>2</v>
      </c>
      <c r="AA136" s="127">
        <v>2</v>
      </c>
      <c r="AB136" s="127">
        <v>2</v>
      </c>
      <c r="AC136" s="225">
        <f>SUM(Q136:AB136)/12</f>
        <v>2</v>
      </c>
      <c r="AD136" s="225">
        <f t="shared" ref="AD136" si="61">P136-AC136</f>
        <v>0</v>
      </c>
      <c r="AE136" s="226">
        <f t="shared" ref="AE136" si="62">AD136/AC136</f>
        <v>0</v>
      </c>
      <c r="AF136" s="227">
        <v>2.9166666666666665</v>
      </c>
      <c r="AG136" s="228">
        <f t="shared" si="44"/>
        <v>0.91666666666666652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>
        <f>P134/P136</f>
        <v>78231.365000000005</v>
      </c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>
        <f>AC134/AC136</f>
        <v>143070.95499999999</v>
      </c>
      <c r="AD137" s="136"/>
      <c r="AG137" s="123"/>
    </row>
    <row r="138" spans="1:33">
      <c r="C138" s="151" t="s">
        <v>292</v>
      </c>
      <c r="D138" s="170">
        <v>12</v>
      </c>
      <c r="E138" s="170">
        <v>12</v>
      </c>
      <c r="F138" s="170">
        <v>12</v>
      </c>
      <c r="G138" s="170">
        <v>12</v>
      </c>
      <c r="H138" s="170">
        <v>12</v>
      </c>
      <c r="I138" s="170">
        <v>12</v>
      </c>
      <c r="J138" s="170">
        <v>12</v>
      </c>
      <c r="K138" s="170">
        <v>12</v>
      </c>
      <c r="L138" s="170">
        <v>12</v>
      </c>
      <c r="M138" s="170">
        <v>12</v>
      </c>
      <c r="N138" s="170">
        <v>12</v>
      </c>
      <c r="O138" s="170">
        <v>12</v>
      </c>
      <c r="P138" s="216">
        <f t="shared" ref="P138:P140" si="63">SUM(D138:O138)</f>
        <v>144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0</v>
      </c>
      <c r="E139" s="136">
        <v>0</v>
      </c>
      <c r="F139" s="136">
        <v>0</v>
      </c>
      <c r="G139" s="136">
        <v>0</v>
      </c>
      <c r="H139" s="136">
        <v>0</v>
      </c>
      <c r="I139" s="136">
        <v>0</v>
      </c>
      <c r="J139" s="136">
        <v>0</v>
      </c>
      <c r="K139" s="136">
        <v>0</v>
      </c>
      <c r="L139" s="136">
        <v>0</v>
      </c>
      <c r="M139" s="136">
        <v>0</v>
      </c>
      <c r="N139" s="136">
        <v>0</v>
      </c>
      <c r="O139" s="136">
        <v>0</v>
      </c>
      <c r="P139" s="216">
        <f t="shared" si="63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4938.38</v>
      </c>
      <c r="E140" s="136">
        <v>3669.41</v>
      </c>
      <c r="F140" s="136">
        <v>3669.41</v>
      </c>
      <c r="G140" s="136">
        <v>3986.65</v>
      </c>
      <c r="H140" s="136">
        <v>3986.65</v>
      </c>
      <c r="I140" s="136">
        <v>3669.41</v>
      </c>
      <c r="J140" s="136">
        <v>3669.41</v>
      </c>
      <c r="K140" s="136">
        <v>3669.41</v>
      </c>
      <c r="L140" s="136">
        <v>3669.41</v>
      </c>
      <c r="M140" s="136">
        <v>4938.38</v>
      </c>
      <c r="N140" s="136">
        <v>3669.41</v>
      </c>
      <c r="O140" s="136">
        <v>3669.41</v>
      </c>
      <c r="P140" s="216">
        <f t="shared" si="63"/>
        <v>47205.34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4950.38</v>
      </c>
      <c r="E141" s="117">
        <f t="shared" ref="E141:P141" si="64">SUM(E138:E140)</f>
        <v>3681.41</v>
      </c>
      <c r="F141" s="117">
        <f t="shared" si="64"/>
        <v>3681.41</v>
      </c>
      <c r="G141" s="117">
        <f t="shared" si="64"/>
        <v>3998.65</v>
      </c>
      <c r="H141" s="117">
        <f t="shared" si="64"/>
        <v>3998.65</v>
      </c>
      <c r="I141" s="117">
        <f t="shared" si="64"/>
        <v>3681.41</v>
      </c>
      <c r="J141" s="117">
        <f t="shared" si="64"/>
        <v>3681.41</v>
      </c>
      <c r="K141" s="117">
        <f t="shared" si="64"/>
        <v>3681.41</v>
      </c>
      <c r="L141" s="117">
        <f t="shared" si="64"/>
        <v>3681.41</v>
      </c>
      <c r="M141" s="117">
        <f t="shared" si="64"/>
        <v>4950.38</v>
      </c>
      <c r="N141" s="117">
        <f t="shared" si="64"/>
        <v>3681.41</v>
      </c>
      <c r="O141" s="117">
        <f t="shared" si="64"/>
        <v>3681.41</v>
      </c>
      <c r="P141" s="117">
        <f t="shared" si="64"/>
        <v>47349.34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26">
    <dataValidation type="textLength" errorStyle="information" allowBlank="1" showInputMessage="1" showErrorMessage="1" error="XLBVal:6=511.18_x000d__x000a_" sqref="V111">
      <formula1>0</formula1>
      <formula2>300</formula2>
    </dataValidation>
    <dataValidation type="textLength" errorStyle="information" allowBlank="1" showInputMessage="1" showErrorMessage="1" error="XLBVal:6=392.45_x000d__x000a_" sqref="U111">
      <formula1>0</formula1>
      <formula2>300</formula2>
    </dataValidation>
    <dataValidation type="textLength" errorStyle="information" allowBlank="1" showInputMessage="1" showErrorMessage="1" error="XLBVal:6=404.67_x000d__x000a_" sqref="T111">
      <formula1>0</formula1>
      <formula2>300</formula2>
    </dataValidation>
    <dataValidation type="textLength" errorStyle="information" allowBlank="1" showInputMessage="1" showErrorMessage="1" error="XLBVal:6=1806.92_x000d__x000a_" sqref="Q108">
      <formula1>0</formula1>
      <formula2>300</formula2>
    </dataValidation>
    <dataValidation type="textLength" errorStyle="information" allowBlank="1" showInputMessage="1" showErrorMessage="1" error="XLBVal:6=1_x000d__x000a_" sqref="R89">
      <formula1>0</formula1>
      <formula2>300</formula2>
    </dataValidation>
    <dataValidation type="textLength" errorStyle="information" allowBlank="1" showInputMessage="1" showErrorMessage="1" error="XLBVal:6=163_x000d__x000a_" sqref="S85">
      <formula1>0</formula1>
      <formula2>300</formula2>
    </dataValidation>
    <dataValidation type="textLength" errorStyle="information" allowBlank="1" showInputMessage="1" showErrorMessage="1" error="XLBVal:6=2.58_x000d__x000a_" sqref="Q74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364.78_x000d__x000a_" sqref="T61:V61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796.46_x000d__x000a_" sqref="U56">
      <formula1>0</formula1>
      <formula2>300</formula2>
    </dataValidation>
    <dataValidation type="textLength" errorStyle="information" allowBlank="1" showInputMessage="1" showErrorMessage="1" error="XLBVal:6=6948_x000d__x000a_" sqref="T56">
      <formula1>0</formula1>
      <formula2>300</formula2>
    </dataValidation>
    <dataValidation type="textLength" errorStyle="information" allowBlank="1" showInputMessage="1" showErrorMessage="1" error="XLBVal:6=4000_x000d__x000a_" sqref="Q53:S53">
      <formula1>0</formula1>
      <formula2>300</formula2>
    </dataValidation>
    <dataValidation type="textLength" errorStyle="information" allowBlank="1" showInputMessage="1" showErrorMessage="1" error="XLBVal:6=1957_x000d__x000a_" sqref="R51">
      <formula1>0</formula1>
      <formula2>300</formula2>
    </dataValidation>
    <dataValidation type="textLength" errorStyle="information" allowBlank="1" showInputMessage="1" showErrorMessage="1" error="XLBVal:6=706.1_x000d__x000a_" sqref="U49">
      <formula1>0</formula1>
      <formula2>300</formula2>
    </dataValidation>
    <dataValidation type="textLength" errorStyle="information" allowBlank="1" showInputMessage="1" showErrorMessage="1" error="XLBVal:6=591.6_x000d__x000a_" sqref="R48">
      <formula1>0</formula1>
      <formula2>300</formula2>
    </dataValidation>
    <dataValidation type="textLength" errorStyle="information" allowBlank="1" showInputMessage="1" showErrorMessage="1" error="XLBVal:6=3464.95_x000d__x000a_" sqref="V43">
      <formula1>0</formula1>
      <formula2>300</formula2>
    </dataValidation>
    <dataValidation type="textLength" errorStyle="information" allowBlank="1" showInputMessage="1" showErrorMessage="1" error="XLBVal:6=7719.2_x000d__x000a_" sqref="U43">
      <formula1>0</formula1>
      <formula2>300</formula2>
    </dataValidation>
    <dataValidation type="textLength" errorStyle="information" allowBlank="1" showInputMessage="1" showErrorMessage="1" error="XLBVal:6=3674.21_x000d__x000a_" sqref="T43">
      <formula1>0</formula1>
      <formula2>300</formula2>
    </dataValidation>
    <dataValidation type="textLength" errorStyle="information" allowBlank="1" showInputMessage="1" showErrorMessage="1" error="XLBVal:6=4686.37_x000d__x000a_" sqref="S43">
      <formula1>0</formula1>
      <formula2>300</formula2>
    </dataValidation>
    <dataValidation type="textLength" errorStyle="information" allowBlank="1" showInputMessage="1" showErrorMessage="1" error="XLBVal:6=6052.17_x000d__x000a_" sqref="R43">
      <formula1>0</formula1>
      <formula2>300</formula2>
    </dataValidation>
    <dataValidation type="textLength" errorStyle="information" allowBlank="1" showInputMessage="1" showErrorMessage="1" error="XLBVal:6=4170.93_x000d__x000a_" sqref="Q43">
      <formula1>0</formula1>
      <formula2>300</formula2>
    </dataValidation>
    <dataValidation type="textLength" errorStyle="information" allowBlank="1" showInputMessage="1" showErrorMessage="1" error="XLBVal:6=6.6_x000d__x000a_" sqref="R13">
      <formula1>0</formula1>
      <formula2>300</formula2>
    </dataValidation>
    <dataValidation type="textLength" errorStyle="information" allowBlank="1" showInputMessage="1" showErrorMessage="1" error="XLBVal:6=34143_x000d__x000a_" sqref="D102">
      <formula1>0</formula1>
      <formula2>300</formula2>
    </dataValidation>
    <dataValidation type="textLength" errorStyle="information" allowBlank="1" showInputMessage="1" showErrorMessage="1" error="XLBVal:6=61308.36_x000d__x000a_" sqref="D103:D104 D107:O111 D114:O121 D124:O128 D136:O136">
      <formula1>0</formula1>
      <formula2>300</formula2>
    </dataValidation>
    <dataValidation type="textLength" errorStyle="information" allowBlank="1" showInputMessage="1" showErrorMessage="1" error="XLBVal:6=1049.35_x000d__x000a_" sqref="Q109">
      <formula1>0</formula1>
      <formula2>300</formula2>
    </dataValidation>
    <dataValidation type="textLength" errorStyle="information" allowBlank="1" showInputMessage="1" showErrorMessage="1" error="XLBVal:6=1232.46_x000d__x000a_" sqref="V108">
      <formula1>0</formula1>
      <formula2>300</formula2>
    </dataValidation>
    <dataValidation type="textLength" errorStyle="information" allowBlank="1" showInputMessage="1" showErrorMessage="1" error="XLBVal:6=1224.99_x000d__x000a_" sqref="U108">
      <formula1>0</formula1>
      <formula2>300</formula2>
    </dataValidation>
    <dataValidation type="textLength" errorStyle="information" allowBlank="1" showInputMessage="1" showErrorMessage="1" error="XLBVal:6=2291_x000d__x000a_" sqref="T51">
      <formula1>0</formula1>
      <formula2>300</formula2>
    </dataValidation>
    <dataValidation type="textLength" errorStyle="information" allowBlank="1" showInputMessage="1" showErrorMessage="1" error="XLBVal:6=362_x000d__x000a_" sqref="V49">
      <formula1>0</formula1>
      <formula2>300</formula2>
    </dataValidation>
    <dataValidation type="textLength" errorStyle="information" allowBlank="1" showInputMessage="1" showErrorMessage="1" error="XLBVal:6=260.6_x000d__x000a_" sqref="T49">
      <formula1>0</formula1>
      <formula2>300</formula2>
    </dataValidation>
    <dataValidation type="textLength" errorStyle="information" allowBlank="1" showInputMessage="1" showErrorMessage="1" error="XLBVal:6=295.8_x000d__x000a_" sqref="S48:V48">
      <formula1>0</formula1>
      <formula2>300</formula2>
    </dataValidation>
    <dataValidation type="textLength" errorStyle="information" allowBlank="1" showInputMessage="1" showErrorMessage="1" error="XLBVal:6=26345.4_x000d__x000a_" sqref="AB11">
      <formula1>0</formula1>
      <formula2>300</formula2>
    </dataValidation>
    <dataValidation type="textLength" errorStyle="information" allowBlank="1" showInputMessage="1" showErrorMessage="1" error="XLBVal:6=66797.2_x000d__x000a_" sqref="AB10">
      <formula1>0</formula1>
      <formula2>300</formula2>
    </dataValidation>
    <dataValidation type="textLength" errorStyle="information" allowBlank="1" showInputMessage="1" showErrorMessage="1" error="XLBVal:6=18418.2_x000d__x000a_" sqref="AB9">
      <formula1>0</formula1>
      <formula2>300</formula2>
    </dataValidation>
    <dataValidation type="textLength" errorStyle="information" allowBlank="1" showInputMessage="1" showErrorMessage="1" error="XLBVal:6=10339_x000d__x000a_" sqref="AA11">
      <formula1>0</formula1>
      <formula2>300</formula2>
    </dataValidation>
    <dataValidation type="textLength" errorStyle="information" allowBlank="1" showInputMessage="1" showErrorMessage="1" error="XLBVal:6=7542.4_x000d__x000a_" sqref="Z11">
      <formula1>0</formula1>
      <formula2>300</formula2>
    </dataValidation>
    <dataValidation type="textLength" errorStyle="information" allowBlank="1" showInputMessage="1" showErrorMessage="1" error="XLBVal:6=31800.37_x000d__x000a_" sqref="AA10">
      <formula1>0</formula1>
      <formula2>300</formula2>
    </dataValidation>
    <dataValidation type="textLength" errorStyle="information" allowBlank="1" showInputMessage="1" showErrorMessage="1" error="XLBVal:6=18786.5_x000d__x000a_" sqref="Z10">
      <formula1>0</formula1>
      <formula2>300</formula2>
    </dataValidation>
    <dataValidation type="textLength" errorStyle="information" allowBlank="1" showInputMessage="1" showErrorMessage="1" error="XLBVal:6=11957.9_x000d__x000a_" sqref="AA9">
      <formula1>0</formula1>
      <formula2>300</formula2>
    </dataValidation>
    <dataValidation type="textLength" errorStyle="information" allowBlank="1" showInputMessage="1" showErrorMessage="1" error="XLBVal:6=5825_x000d__x000a_" sqref="Z9">
      <formula1>0</formula1>
      <formula2>300</formula2>
    </dataValidation>
    <dataValidation type="textLength" errorStyle="information" allowBlank="1" showInputMessage="1" showErrorMessage="1" error="XLBVal:6=723.7_x000d__x000a_" sqref="Y11">
      <formula1>0</formula1>
      <formula2>300</formula2>
    </dataValidation>
    <dataValidation type="textLength" errorStyle="information" allowBlank="1" showInputMessage="1" showErrorMessage="1" error="XLBVal:6=544.3_x000d__x000a_" sqref="Y10">
      <formula1>0</formula1>
      <formula2>300</formula2>
    </dataValidation>
    <dataValidation type="textLength" errorStyle="information" allowBlank="1" showInputMessage="1" showErrorMessage="1" error="XLBVal:6=28381.7_x000d__x000a_" sqref="X11">
      <formula1>0</formula1>
      <formula2>300</formula2>
    </dataValidation>
    <dataValidation type="textLength" errorStyle="information" allowBlank="1" showInputMessage="1" showErrorMessage="1" error="XLBVal:6=43797.4_x000d__x000a_" sqref="X10">
      <formula1>0</formula1>
      <formula2>300</formula2>
    </dataValidation>
    <dataValidation type="textLength" errorStyle="information" allowBlank="1" showInputMessage="1" showErrorMessage="1" error="XLBVal:6=12170.79_x000d__x000a_" sqref="X9">
      <formula1>0</formula1>
      <formula2>300</formula2>
    </dataValidation>
    <dataValidation type="textLength" errorStyle="information" allowBlank="1" showInputMessage="1" showErrorMessage="1" error="XLBVal:6=1260_x000d__x000a_" sqref="V109">
      <formula1>0</formula1>
      <formula2>300</formula2>
    </dataValidation>
    <dataValidation type="textLength" errorStyle="information" allowBlank="1" showInputMessage="1" showErrorMessage="1" error="XLBVal:6=413.79_x000d__x000a_" sqref="T107">
      <formula1>0</formula1>
      <formula2>300</formula2>
    </dataValidation>
    <dataValidation type="textLength" errorStyle="information" allowBlank="1" showInputMessage="1" showErrorMessage="1" error="XLBVal:6=254.5_x000d__x000a_" sqref="U71">
      <formula1>0</formula1>
      <formula2>300</formula2>
    </dataValidation>
    <dataValidation type="textLength" errorStyle="information" allowBlank="1" showInputMessage="1" showErrorMessage="1" error="XLBVal:6=700.2_x000d__x000a_" sqref="S71">
      <formula1>0</formula1>
      <formula2>300</formula2>
    </dataValidation>
    <dataValidation type="textLength" errorStyle="information" allowBlank="1" showInputMessage="1" showErrorMessage="1" error="XLBVal:6=1299.5_x000d__x000a_" sqref="R71">
      <formula1>0</formula1>
      <formula2>300</formula2>
    </dataValidation>
    <dataValidation type="textLength" errorStyle="information" allowBlank="1" showInputMessage="1" showErrorMessage="1" error="XLBVal:6=1435_x000d__x000a_" sqref="S49">
      <formula1>0</formula1>
      <formula2>300</formula2>
    </dataValidation>
    <dataValidation type="textLength" errorStyle="information" allowBlank="1" showInputMessage="1" showErrorMessage="1" error="XLBVal:6=594.4_x000d__x000a_" sqref="R49">
      <formula1>0</formula1>
      <formula2>300</formula2>
    </dataValidation>
    <dataValidation type="textLength" errorStyle="information" allowBlank="1" showInputMessage="1" showErrorMessage="1" error="XLBVal:6=120335.1_x000d__x000a_" sqref="W11 W17:AB21 W24:AB26 W29:AB32 W38:AB79 W85:AB89 W93:AB97 W102:AB104 W107:AB111 W114:AB121 W124:AB132 W136:AB136">
      <formula1>0</formula1>
      <formula2>300</formula2>
    </dataValidation>
    <dataValidation type="textLength" errorStyle="information" allowBlank="1" showInputMessage="1" showErrorMessage="1" error="XLBVal:6=149959.2_x000d__x000a_" sqref="W10">
      <formula1>0</formula1>
      <formula2>300</formula2>
    </dataValidation>
    <dataValidation type="textLength" errorStyle="information" allowBlank="1" showInputMessage="1" showErrorMessage="1" error="XLBVal:6=41032.39_x000d__x000a_" sqref="W9">
      <formula1>0</formula1>
      <formula2>300</formula2>
    </dataValidation>
    <dataValidation type="textLength" errorStyle="information" allowBlank="1" showInputMessage="1" showErrorMessage="1" error="XLBVal:6=15_x000d__x000a_" sqref="I89">
      <formula1>0</formula1>
      <formula2>300</formula2>
    </dataValidation>
    <dataValidation type="textLength" errorStyle="information" allowBlank="1" showInputMessage="1" showErrorMessage="1" error="XLBVal:6=351_x000d__x000a_" sqref="I88">
      <formula1>0</formula1>
      <formula2>300</formula2>
    </dataValidation>
    <dataValidation type="textLength" errorStyle="information" allowBlank="1" showInputMessage="1" showErrorMessage="1" error="XLBVal:6=628_x000d__x000a_" sqref="I87">
      <formula1>0</formula1>
      <formula2>300</formula2>
    </dataValidation>
    <dataValidation type="textLength" errorStyle="information" allowBlank="1" showInputMessage="1" showErrorMessage="1" error="XLBVal:6=145_x000d__x000a_" sqref="I85">
      <formula1>0</formula1>
      <formula2>300</formula2>
    </dataValidation>
    <dataValidation type="textLength" errorStyle="information" allowBlank="1" showInputMessage="1" showErrorMessage="1" error="XLBVal:6=46.9_x000d__x000a_" sqref="I26">
      <formula1>0</formula1>
      <formula2>300</formula2>
    </dataValidation>
    <dataValidation type="textLength" errorStyle="information" allowBlank="1" showInputMessage="1" showErrorMessage="1" error="XLBVal:6=13428.2_x000d__x000a_" sqref="I25">
      <formula1>0</formula1>
      <formula2>300</formula2>
    </dataValidation>
    <dataValidation type="textLength" errorStyle="information" allowBlank="1" showInputMessage="1" showErrorMessage="1" error="XLBVal:6=14_x000d__x000a_" sqref="H89">
      <formula1>0</formula1>
      <formula2>300</formula2>
    </dataValidation>
    <dataValidation type="textLength" errorStyle="information" allowBlank="1" showInputMessage="1" showErrorMessage="1" error="XLBVal:6=382_x000d__x000a_" sqref="H88">
      <formula1>0</formula1>
      <formula2>300</formula2>
    </dataValidation>
    <dataValidation type="textLength" errorStyle="information" allowBlank="1" showInputMessage="1" showErrorMessage="1" error="XLBVal:6=639_x000d__x000a_" sqref="H87">
      <formula1>0</formula1>
      <formula2>300</formula2>
    </dataValidation>
    <dataValidation type="textLength" errorStyle="information" allowBlank="1" showInputMessage="1" showErrorMessage="1" error="XLBVal:6=179_x000d__x000a_" sqref="H85">
      <formula1>0</formula1>
      <formula2>300</formula2>
    </dataValidation>
    <dataValidation type="textLength" errorStyle="information" allowBlank="1" showInputMessage="1" showErrorMessage="1" error="XLBVal:6=32898.6_x000d__x000a_" sqref="H25">
      <formula1>0</formula1>
      <formula2>300</formula2>
    </dataValidation>
    <dataValidation type="textLength" errorStyle="information" allowBlank="1" showInputMessage="1" showErrorMessage="1" error="XLBVal:6=13_x000d__x000a_" sqref="G89">
      <formula1>0</formula1>
      <formula2>300</formula2>
    </dataValidation>
    <dataValidation type="textLength" errorStyle="information" allowBlank="1" showInputMessage="1" showErrorMessage="1" error="XLBVal:6=397_x000d__x000a_" sqref="G87">
      <formula1>0</formula1>
      <formula2>300</formula2>
    </dataValidation>
    <dataValidation type="textLength" errorStyle="information" allowBlank="1" showInputMessage="1" showErrorMessage="1" error="XLBVal:6=148_x000d__x000a_" sqref="G85">
      <formula1>0</formula1>
      <formula2>300</formula2>
    </dataValidation>
    <dataValidation type="textLength" errorStyle="information" allowBlank="1" showInputMessage="1" showErrorMessage="1" error="XLBVal:6=3.9_x000d__x000a_" sqref="G26">
      <formula1>0</formula1>
      <formula2>300</formula2>
    </dataValidation>
    <dataValidation type="textLength" errorStyle="information" allowBlank="1" showInputMessage="1" showErrorMessage="1" error="XLBVal:6=18459.43_x000d__x000a_" sqref="G25">
      <formula1>0</formula1>
      <formula2>300</formula2>
    </dataValidation>
    <dataValidation type="textLength" errorStyle="information" allowBlank="1" showInputMessage="1" showErrorMessage="1" error="XLBVal:6=1827.89_x000d__x000a_" sqref="S108">
      <formula1>0</formula1>
      <formula2>300</formula2>
    </dataValidation>
    <dataValidation type="textLength" errorStyle="information" allowBlank="1" showInputMessage="1" showErrorMessage="1" error="XLBVal:6=1834.23_x000d__x000a_" sqref="R108">
      <formula1>0</formula1>
      <formula2>300</formula2>
    </dataValidation>
    <dataValidation type="textLength" errorStyle="information" allowBlank="1" showInputMessage="1" showErrorMessage="1" error="XLBVal:6=494_x000d__x000a_" sqref="E88">
      <formula1>0</formula1>
      <formula2>300</formula2>
    </dataValidation>
    <dataValidation type="textLength" errorStyle="information" allowBlank="1" showInputMessage="1" showErrorMessage="1" error="XLBVal:6=288_x000d__x000a_" sqref="F87">
      <formula1>0</formula1>
      <formula2>300</formula2>
    </dataValidation>
    <dataValidation type="textLength" errorStyle="information" allowBlank="1" showInputMessage="1" showErrorMessage="1" error="XLBVal:6=386_x000d__x000a_" sqref="E87">
      <formula1>0</formula1>
      <formula2>300</formula2>
    </dataValidation>
    <dataValidation type="textLength" errorStyle="information" allowBlank="1" showInputMessage="1" showErrorMessage="1" error="XLBVal:6=297_x000d__x000a_" sqref="D87">
      <formula1>0</formula1>
      <formula2>300</formula2>
    </dataValidation>
    <dataValidation type="textLength" errorStyle="information" allowBlank="1" showInputMessage="1" showErrorMessage="1" error="XLBVal:6=326_x000d__x000a_" sqref="F86">
      <formula1>0</formula1>
      <formula2>300</formula2>
    </dataValidation>
    <dataValidation type="textLength" errorStyle="information" allowBlank="1" showInputMessage="1" showErrorMessage="1" error="XLBVal:6=342_x000d__x000a_" sqref="E86">
      <formula1>0</formula1>
      <formula2>300</formula2>
    </dataValidation>
    <dataValidation type="textLength" errorStyle="information" allowBlank="1" showInputMessage="1" showErrorMessage="1" error="XLBVal:6=269_x000d__x000a_" sqref="D86 G86:K86">
      <formula1>0</formula1>
      <formula2>300</formula2>
    </dataValidation>
    <dataValidation type="textLength" errorStyle="information" allowBlank="1" showInputMessage="1" showErrorMessage="1" error="XLBVal:6=174_x000d__x000a_" sqref="F85">
      <formula1>0</formula1>
      <formula2>300</formula2>
    </dataValidation>
    <dataValidation type="textLength" errorStyle="information" allowBlank="1" showInputMessage="1" showErrorMessage="1" error="XLBVal:6=196_x000d__x000a_" sqref="E85">
      <formula1>0</formula1>
      <formula2>300</formula2>
    </dataValidation>
    <dataValidation type="textLength" errorStyle="information" allowBlank="1" showInputMessage="1" showErrorMessage="1" error="XLBVal:6=143_x000d__x000a_" sqref="D85">
      <formula1>0</formula1>
      <formula2>300</formula2>
    </dataValidation>
    <dataValidation type="textLength" errorStyle="information" allowBlank="1" showInputMessage="1" showErrorMessage="1" error="XLBVal:6=300.56_x000d__x000a_" sqref="D38:O42 D73:O78 D44:O71">
      <formula1>0</formula1>
      <formula2>300</formula2>
    </dataValidation>
    <dataValidation type="textLength" errorStyle="information" allowBlank="1" showInputMessage="1" showErrorMessage="1" error="XLBVal:6=1357.43_x000d__x000a_" sqref="D32:O32">
      <formula1>0</formula1>
      <formula2>300</formula2>
    </dataValidation>
    <dataValidation type="textLength" errorStyle="information" allowBlank="1" showInputMessage="1" showErrorMessage="1" error="XLBVal:6=76722.52_x000d__x000a_" sqref="R30">
      <formula1>0</formula1>
      <formula2>300</formula2>
    </dataValidation>
    <dataValidation type="textLength" errorStyle="information" allowBlank="1" showInputMessage="1" showErrorMessage="1" error="XLBVal:6=454.4_x000d__x000a_" sqref="F26">
      <formula1>0</formula1>
      <formula2>300</formula2>
    </dataValidation>
    <dataValidation type="textLength" errorStyle="information" allowBlank="1" showInputMessage="1" showErrorMessage="1" error="XLBVal:6=2140.7_x000d__x000a_" sqref="E26">
      <formula1>0</formula1>
      <formula2>300</formula2>
    </dataValidation>
    <dataValidation type="textLength" errorStyle="information" allowBlank="1" showInputMessage="1" showErrorMessage="1" error="XLBVal:6=160.8_x000d__x000a_" sqref="D26">
      <formula1>0</formula1>
      <formula2>300</formula2>
    </dataValidation>
    <dataValidation type="textLength" errorStyle="information" allowBlank="1" showInputMessage="1" showErrorMessage="1" error="XLBVal:6=7481.81_x000d__x000a_" sqref="F25">
      <formula1>0</formula1>
      <formula2>300</formula2>
    </dataValidation>
    <dataValidation type="textLength" errorStyle="information" allowBlank="1" showInputMessage="1" showErrorMessage="1" error="XLBVal:6=29018.2_x000d__x000a_" sqref="E25">
      <formula1>0</formula1>
      <formula2>300</formula2>
    </dataValidation>
    <dataValidation type="textLength" errorStyle="information" allowBlank="1" showInputMessage="1" showErrorMessage="1" error="XLBVal:6=6440.1_x000d__x000a_" sqref="D25">
      <formula1>0</formula1>
      <formula2>300</formula2>
    </dataValidation>
    <dataValidation type="textLength" errorStyle="information" allowBlank="1" showInputMessage="1" showErrorMessage="1" error="XLBVal:6=15659.78_x000d__x000a_" sqref="D9:O13">
      <formula1>0</formula1>
      <formula2>300</formula2>
    </dataValidation>
    <dataValidation type="textLength" errorStyle="information" allowBlank="1" showInputMessage="1" showErrorMessage="1" error="XLBVal:6=406_x000d__x000a_" sqref="D88">
      <formula1>0</formula1>
      <formula2>300</formula2>
    </dataValidation>
    <dataValidation type="textLength" errorStyle="information" allowBlank="1" showInputMessage="1" showErrorMessage="1" error="XLBVal:6=341_x000d__x000a_" sqref="G88">
      <formula1>0</formula1>
      <formula2>300</formula2>
    </dataValidation>
    <dataValidation type="textLength" errorStyle="information" allowBlank="1" showInputMessage="1" showErrorMessage="1" error="XLBVal:6=56.38_x000d__x000a_" sqref="Q116:V116">
      <formula1>0</formula1>
      <formula2>300</formula2>
    </dataValidation>
    <dataValidation type="textLength" errorStyle="information" allowBlank="1" showInputMessage="1" showErrorMessage="1" error="XLBVal:6=420_x000d__x000a_" sqref="F88">
      <formula1>0</formula1>
      <formula2>300</formula2>
    </dataValidation>
    <dataValidation type="textLength" errorStyle="information" allowBlank="1" showInputMessage="1" showErrorMessage="1" error="XLBVal:6=1233.76_x000d__x000a_" sqref="T108">
      <formula1>0</formula1>
      <formula2>300</formula2>
    </dataValidation>
    <dataValidation type="textLength" errorStyle="information" allowBlank="1" showInputMessage="1" showErrorMessage="1" error="XLBVal:6=1587_x000d__x000a_" sqref="S86">
      <formula1>0</formula1>
      <formula2>300</formula2>
    </dataValidation>
    <dataValidation type="textLength" errorStyle="information" allowBlank="1" showInputMessage="1" showErrorMessage="1" error="XLBVal:6=1024_x000d__x000a_" sqref="T71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257_x000d__x000a_" sqref="S87">
      <formula1>0</formula1>
      <formula2>300</formula2>
    </dataValidation>
    <dataValidation type="textLength" errorStyle="information" allowBlank="1" showInputMessage="1" showErrorMessage="1" error="XLBVal:6=1879.64_x000d__x000a_" sqref="V130">
      <formula1>0</formula1>
      <formula2>300</formula2>
    </dataValidation>
    <dataValidation type="textLength" errorStyle="information" allowBlank="1" showInputMessage="1" showErrorMessage="1" error="XLBVal:6=1657.33_x000d__x000a_" sqref="U130">
      <formula1>0</formula1>
      <formula2>300</formula2>
    </dataValidation>
    <dataValidation type="textLength" errorStyle="information" allowBlank="1" showInputMessage="1" showErrorMessage="1" error="XLBVal:6=2242.2_x000d__x000a_" sqref="T130">
      <formula1>0</formula1>
      <formula2>300</formula2>
    </dataValidation>
    <dataValidation type="textLength" errorStyle="information" allowBlank="1" showInputMessage="1" showErrorMessage="1" error="XLBVal:6=2331.6_x000d__x000a_" sqref="S130">
      <formula1>0</formula1>
      <formula2>300</formula2>
    </dataValidation>
    <dataValidation type="textLength" errorStyle="information" allowBlank="1" showInputMessage="1" showErrorMessage="1" error="XLBVal:6=2432.42_x000d__x000a_" sqref="R130">
      <formula1>0</formula1>
      <formula2>300</formula2>
    </dataValidation>
    <dataValidation type="textLength" errorStyle="information" allowBlank="1" showInputMessage="1" showErrorMessage="1" error="XLBVal:6=2301.32_x000d__x000a_" sqref="Q130">
      <formula1>0</formula1>
      <formula2>300</formula2>
    </dataValidation>
    <dataValidation type="textLength" errorStyle="information" allowBlank="1" showInputMessage="1" showErrorMessage="1" error="XLBVal:6=927.31_x000d__x000a_" sqref="V129">
      <formula1>0</formula1>
      <formula2>300</formula2>
    </dataValidation>
    <dataValidation type="textLength" errorStyle="information" allowBlank="1" showInputMessage="1" showErrorMessage="1" error="XLBVal:6=970.43_x000d__x000a_" sqref="U129">
      <formula1>0</formula1>
      <formula2>300</formula2>
    </dataValidation>
    <dataValidation type="textLength" errorStyle="information" allowBlank="1" showInputMessage="1" showErrorMessage="1" error="XLBVal:6=886.67_x000d__x000a_" sqref="T129">
      <formula1>0</formula1>
      <formula2>300</formula2>
    </dataValidation>
    <dataValidation type="textLength" errorStyle="information" allowBlank="1" showInputMessage="1" showErrorMessage="1" error="XLBVal:6=764.76_x000d__x000a_" sqref="S129">
      <formula1>0</formula1>
      <formula2>300</formula2>
    </dataValidation>
    <dataValidation type="textLength" errorStyle="information" allowBlank="1" showInputMessage="1" showErrorMessage="1" error="XLBVal:6=873.52_x000d__x000a_" sqref="R129">
      <formula1>0</formula1>
      <formula2>300</formula2>
    </dataValidation>
    <dataValidation type="textLength" errorStyle="information" allowBlank="1" showInputMessage="1" showErrorMessage="1" error="XLBVal:6=683.23_x000d__x000a_" sqref="Q129">
      <formula1>0</formula1>
      <formula2>300</formula2>
    </dataValidation>
    <dataValidation type="textLength" errorStyle="information" allowBlank="1" showInputMessage="1" showErrorMessage="1" error="XLBVal:6=39.52_x000d__x000a_" sqref="V128">
      <formula1>0</formula1>
      <formula2>300</formula2>
    </dataValidation>
    <dataValidation type="textLength" errorStyle="information" allowBlank="1" showInputMessage="1" showErrorMessage="1" error="XLBVal:6=39.35_x000d__x000a_" sqref="U128">
      <formula1>0</formula1>
      <formula2>300</formula2>
    </dataValidation>
    <dataValidation type="textLength" errorStyle="information" allowBlank="1" showInputMessage="1" showErrorMessage="1" error="XLBVal:6=38.02_x000d__x000a_" sqref="R128">
      <formula1>0</formula1>
      <formula2>300</formula2>
    </dataValidation>
    <dataValidation type="textLength" errorStyle="information" allowBlank="1" showInputMessage="1" showErrorMessage="1" error="XLBVal:6=37.7_x000d__x000a_" sqref="Q128 S128:T128">
      <formula1>0</formula1>
      <formula2>300</formula2>
    </dataValidation>
    <dataValidation type="textLength" errorStyle="information" allowBlank="1" showInputMessage="1" showErrorMessage="1" error="XLBVal:6=195.34_x000d__x000a_" sqref="V120">
      <formula1>0</formula1>
      <formula2>300</formula2>
    </dataValidation>
    <dataValidation type="textLength" errorStyle="information" allowBlank="1" showInputMessage="1" showErrorMessage="1" error="XLBVal:6=197.74_x000d__x000a_" sqref="U120">
      <formula1>0</formula1>
      <formula2>300</formula2>
    </dataValidation>
    <dataValidation type="textLength" errorStyle="information" allowBlank="1" showInputMessage="1" showErrorMessage="1" error="XLBVal:6=334.95_x000d__x000a_" sqref="T120">
      <formula1>0</formula1>
      <formula2>300</formula2>
    </dataValidation>
    <dataValidation type="textLength" errorStyle="information" allowBlank="1" showInputMessage="1" showErrorMessage="1" error="XLBVal:6=400.86_x000d__x000a_" sqref="S120">
      <formula1>0</formula1>
      <formula2>300</formula2>
    </dataValidation>
    <dataValidation type="textLength" errorStyle="information" allowBlank="1" showInputMessage="1" showErrorMessage="1" error="XLBVal:6=224.28_x000d__x000a_" sqref="R120">
      <formula1>0</formula1>
      <formula2>300</formula2>
    </dataValidation>
    <dataValidation type="textLength" errorStyle="information" allowBlank="1" showInputMessage="1" showErrorMessage="1" error="XLBVal:6=188.37_x000d__x000a_" sqref="Q120">
      <formula1>0</formula1>
      <formula2>300</formula2>
    </dataValidation>
    <dataValidation type="textLength" errorStyle="information" allowBlank="1" showInputMessage="1" showErrorMessage="1" error="XLBVal:6=558_x000d__x000a_" sqref="Q119:V119">
      <formula1>0</formula1>
      <formula2>300</formula2>
    </dataValidation>
    <dataValidation type="textLength" errorStyle="information" allowBlank="1" showInputMessage="1" showErrorMessage="1" error="XLBVal:6=13.53_x000d__x000a_" sqref="Q117:V117">
      <formula1>0</formula1>
      <formula2>300</formula2>
    </dataValidation>
    <dataValidation type="textLength" errorStyle="information" allowBlank="1" showInputMessage="1" showErrorMessage="1" error="XLBVal:6=958.42_x000d__x000a_" sqref="Q115:V115">
      <formula1>0</formula1>
      <formula2>300</formula2>
    </dataValidation>
    <dataValidation type="textLength" errorStyle="information" allowBlank="1" showInputMessage="1" showErrorMessage="1" error="XLBVal:6=1804.08_x000d__x000a_" sqref="Q114:V114">
      <formula1>0</formula1>
      <formula2>300</formula2>
    </dataValidation>
    <dataValidation type="textLength" errorStyle="information" allowBlank="1" showInputMessage="1" showErrorMessage="1" error="XLBVal:6=400_x000d__x000a_" sqref="Q54:S54 R111:S111">
      <formula1>0</formula1>
      <formula2>300</formula2>
    </dataValidation>
    <dataValidation type="textLength" errorStyle="information" allowBlank="1" showInputMessage="1" showErrorMessage="1" error="XLBVal:6=200_x000d__x000a_" sqref="Q111 Q59:S59">
      <formula1>0</formula1>
      <formula2>300</formula2>
    </dataValidation>
    <dataValidation type="textLength" errorStyle="information" allowBlank="1" showInputMessage="1" showErrorMessage="1" error="XLBVal:6=2213.78_x000d__x000a_" sqref="R107">
      <formula1>0</formula1>
      <formula2>300</formula2>
    </dataValidation>
    <dataValidation type="textLength" errorStyle="information" allowBlank="1" showInputMessage="1" showErrorMessage="1" error="XLBVal:6=1006.89_x000d__x000a_" sqref="Q107 U107:V107">
      <formula1>0</formula1>
      <formula2>300</formula2>
    </dataValidation>
    <dataValidation type="textLength" errorStyle="information" allowBlank="1" showInputMessage="1" showErrorMessage="1" error="XLBVal:6=7248.28_x000d__x000a_" sqref="S103">
      <formula1>0</formula1>
      <formula2>300</formula2>
    </dataValidation>
    <dataValidation type="textLength" errorStyle="information" allowBlank="1" showInputMessage="1" showErrorMessage="1" error="XLBVal:6=7300_x000d__x000a_" sqref="R103 T103:V103">
      <formula1>0</formula1>
      <formula2>300</formula2>
    </dataValidation>
    <dataValidation type="textLength" errorStyle="information" allowBlank="1" showInputMessage="1" showErrorMessage="1" error="XLBVal:6=7162.07_x000d__x000a_" sqref="Q103">
      <formula1>0</formula1>
      <formula2>300</formula2>
    </dataValidation>
    <dataValidation type="textLength" errorStyle="information" allowBlank="1" showInputMessage="1" showErrorMessage="1" error="XLBVal:6=548_x000d__x000a_" sqref="V87">
      <formula1>0</formula1>
      <formula2>300</formula2>
    </dataValidation>
    <dataValidation type="textLength" errorStyle="information" allowBlank="1" showInputMessage="1" showErrorMessage="1" error="XLBVal:6=703_x000d__x000a_" sqref="U87">
      <formula1>0</formula1>
      <formula2>300</formula2>
    </dataValidation>
    <dataValidation type="textLength" errorStyle="information" allowBlank="1" showInputMessage="1" showErrorMessage="1" error="XLBVal:6=676_x000d__x000a_" sqref="T87">
      <formula1>0</formula1>
      <formula2>300</formula2>
    </dataValidation>
    <dataValidation type="textLength" errorStyle="information" allowBlank="1" showInputMessage="1" showErrorMessage="1" error="XLBVal:6=561_x000d__x000a_" sqref="Q87">
      <formula1>0</formula1>
      <formula2>300</formula2>
    </dataValidation>
    <dataValidation type="textLength" errorStyle="information" allowBlank="1" showInputMessage="1" showErrorMessage="1" error="XLBVal:6=1129_x000d__x000a_" sqref="V86">
      <formula1>0</formula1>
      <formula2>300</formula2>
    </dataValidation>
    <dataValidation type="textLength" errorStyle="information" allowBlank="1" showInputMessage="1" showErrorMessage="1" error="XLBVal:6=1450_x000d__x000a_" sqref="U86">
      <formula1>0</formula1>
      <formula2>300</formula2>
    </dataValidation>
    <dataValidation type="textLength" errorStyle="information" allowBlank="1" showInputMessage="1" showErrorMessage="1" error="XLBVal:6=1522_x000d__x000a_" sqref="T86">
      <formula1>0</formula1>
      <formula2>300</formula2>
    </dataValidation>
    <dataValidation type="textLength" errorStyle="information" allowBlank="1" showInputMessage="1" showErrorMessage="1" error="XLBVal:6=2375_x000d__x000a_" sqref="R86">
      <formula1>0</formula1>
      <formula2>300</formula2>
    </dataValidation>
    <dataValidation type="textLength" errorStyle="information" allowBlank="1" showInputMessage="1" showErrorMessage="1" error="XLBVal:6=1565_x000d__x000a_" sqref="Q86">
      <formula1>0</formula1>
      <formula2>300</formula2>
    </dataValidation>
    <dataValidation type="textLength" errorStyle="information" allowBlank="1" showInputMessage="1" showErrorMessage="1" error="XLBVal:6=131_x000d__x000a_" sqref="V85">
      <formula1>0</formula1>
      <formula2>300</formula2>
    </dataValidation>
    <dataValidation type="textLength" errorStyle="information" allowBlank="1" showInputMessage="1" showErrorMessage="1" error="XLBVal:6=234_x000d__x000a_" sqref="T85">
      <formula1>0</formula1>
      <formula2>300</formula2>
    </dataValidation>
    <dataValidation type="textLength" errorStyle="information" allowBlank="1" showInputMessage="1" showErrorMessage="1" error="XLBVal:6=172_x000d__x000a_" sqref="U85">
      <formula1>0</formula1>
      <formula2>300</formula2>
    </dataValidation>
    <dataValidation type="textLength" errorStyle="information" allowBlank="1" showInputMessage="1" showErrorMessage="1" error="XLBVal:6=197_x000d__x000a_" sqref="R85">
      <formula1>0</formula1>
      <formula2>300</formula2>
    </dataValidation>
    <dataValidation type="textLength" errorStyle="information" allowBlank="1" showInputMessage="1" showErrorMessage="1" error="XLBVal:6=251_x000d__x000a_" sqref="Q85">
      <formula1>0</formula1>
      <formula2>300</formula2>
    </dataValidation>
    <dataValidation type="textLength" errorStyle="information" allowBlank="1" showInputMessage="1" showErrorMessage="1" error="XLBVal:6=13624.34_x000d__x000a_" sqref="V79">
      <formula1>0</formula1>
      <formula2>300</formula2>
    </dataValidation>
    <dataValidation type="textLength" errorStyle="information" allowBlank="1" showInputMessage="1" showErrorMessage="1" error="XLBVal:6=12521.15_x000d__x000a_" sqref="U79">
      <formula1>0</formula1>
      <formula2>300</formula2>
    </dataValidation>
    <dataValidation type="textLength" errorStyle="information" allowBlank="1" showInputMessage="1" showErrorMessage="1" error="XLBVal:6=19373.51_x000d__x000a_" sqref="T79">
      <formula1>0</formula1>
      <formula2>300</formula2>
    </dataValidation>
    <dataValidation type="textLength" errorStyle="information" allowBlank="1" showInputMessage="1" showErrorMessage="1" error="XLBVal:6=22241.31_x000d__x000a_" sqref="S79">
      <formula1>0</formula1>
      <formula2>300</formula2>
    </dataValidation>
    <dataValidation type="textLength" errorStyle="information" allowBlank="1" showInputMessage="1" showErrorMessage="1" error="XLBVal:6=30274.88_x000d__x000a_" sqref="R79">
      <formula1>0</formula1>
      <formula2>300</formula2>
    </dataValidation>
    <dataValidation type="textLength" errorStyle="information" allowBlank="1" showInputMessage="1" showErrorMessage="1" error="XLBVal:6=19617.89_x000d__x000a_" sqref="Q79">
      <formula1>0</formula1>
      <formula2>300</formula2>
    </dataValidation>
    <dataValidation type="textLength" errorStyle="information" allowBlank="1" showInputMessage="1" showErrorMessage="1" error="XLBVal:6=15179.52_x000d__x000a_" sqref="V78">
      <formula1>0</formula1>
      <formula2>300</formula2>
    </dataValidation>
    <dataValidation type="textLength" errorStyle="information" allowBlank="1" showInputMessage="1" showErrorMessage="1" error="XLBVal:6=28016.05_x000d__x000a_" sqref="U78">
      <formula1>0</formula1>
      <formula2>300</formula2>
    </dataValidation>
    <dataValidation type="textLength" errorStyle="information" allowBlank="1" showInputMessage="1" showErrorMessage="1" error="XLBVal:6=24612.84_x000d__x000a_" sqref="T78">
      <formula1>0</formula1>
      <formula2>300</formula2>
    </dataValidation>
    <dataValidation type="textLength" errorStyle="information" allowBlank="1" showInputMessage="1" showErrorMessage="1" error="XLBVal:6=22236.36_x000d__x000a_" sqref="S78">
      <formula1>0</formula1>
      <formula2>300</formula2>
    </dataValidation>
    <dataValidation type="textLength" errorStyle="information" allowBlank="1" showInputMessage="1" showErrorMessage="1" error="XLBVal:6=84499.19_x000d__x000a_" sqref="R78">
      <formula1>0</formula1>
      <formula2>300</formula2>
    </dataValidation>
    <dataValidation type="textLength" errorStyle="information" allowBlank="1" showInputMessage="1" showErrorMessage="1" error="XLBVal:6=4218.89_x000d__x000a_" sqref="Q78">
      <formula1>0</formula1>
      <formula2>300</formula2>
    </dataValidation>
    <dataValidation type="textLength" errorStyle="information" allowBlank="1" showInputMessage="1" showErrorMessage="1" error="XLBVal:6=469.3_x000d__x000a_" sqref="V71">
      <formula1>0</formula1>
      <formula2>300</formula2>
    </dataValidation>
    <dataValidation type="textLength" errorStyle="information" allowBlank="1" showInputMessage="1" showErrorMessage="1" error="XLBVal:6=637.9_x000d__x000a_" sqref="Q71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5537.5_x000d__x000a_" sqref="V58">
      <formula1>0</formula1>
      <formula2>300</formula2>
    </dataValidation>
    <dataValidation type="textLength" errorStyle="information" allowBlank="1" showInputMessage="1" showErrorMessage="1" error="XLBVal:6=2244.11_x000d__x000a_" sqref="U58">
      <formula1>0</formula1>
      <formula2>300</formula2>
    </dataValidation>
    <dataValidation type="textLength" errorStyle="information" allowBlank="1" showInputMessage="1" showErrorMessage="1" error="XLBVal:6=5174.39_x000d__x000a_" sqref="T58">
      <formula1>0</formula1>
      <formula2>300</formula2>
    </dataValidation>
    <dataValidation type="textLength" errorStyle="information" allowBlank="1" showInputMessage="1" showErrorMessage="1" error="XLBVal:6=7437.02_x000d__x000a_" sqref="S58">
      <formula1>0</formula1>
      <formula2>300</formula2>
    </dataValidation>
    <dataValidation type="textLength" errorStyle="information" allowBlank="1" showInputMessage="1" showErrorMessage="1" error="XLBVal:6=15361.56_x000d__x000a_" sqref="R58">
      <formula1>0</formula1>
      <formula2>300</formula2>
    </dataValidation>
    <dataValidation type="textLength" errorStyle="information" allowBlank="1" showInputMessage="1" showErrorMessage="1" error="XLBVal:6=9407.45_x000d__x000a_" sqref="Q58">
      <formula1>0</formula1>
      <formula2>300</formula2>
    </dataValidation>
    <dataValidation type="textLength" errorStyle="information" allowBlank="1" showInputMessage="1" showErrorMessage="1" error="XLBVal:6=2275_x000d__x000a_" sqref="V51 S51">
      <formula1>0</formula1>
      <formula2>300</formula2>
    </dataValidation>
    <dataValidation type="textLength" errorStyle="information" allowBlank="1" showInputMessage="1" showErrorMessage="1" error="XLBVal:6=1782_x000d__x000a_" sqref="U51">
      <formula1>0</formula1>
      <formula2>300</formula2>
    </dataValidation>
    <dataValidation type="textLength" errorStyle="information" allowBlank="1" showInputMessage="1" showErrorMessage="1" error="XLBVal:6=1960_x000d__x000a_" sqref="Q51">
      <formula1>0</formula1>
      <formula2>300</formula2>
    </dataValidation>
    <dataValidation type="textLength" errorStyle="information" allowBlank="1" showInputMessage="1" showErrorMessage="1" error="XLBVal:6=53.21_x000d__x000a_" sqref="V38">
      <formula1>0</formula1>
      <formula2>300</formula2>
    </dataValidation>
    <dataValidation type="textLength" errorStyle="information" allowBlank="1" showInputMessage="1" showErrorMessage="1" error="XLBVal:6=71.7_x000d__x000a_" sqref="U38">
      <formula1>0</formula1>
      <formula2>300</formula2>
    </dataValidation>
    <dataValidation type="textLength" errorStyle="information" allowBlank="1" showInputMessage="1" showErrorMessage="1" error="XLBVal:6=26.23_x000d__x000a_" sqref="T38">
      <formula1>0</formula1>
      <formula2>300</formula2>
    </dataValidation>
    <dataValidation type="textLength" errorStyle="information" allowBlank="1" showInputMessage="1" showErrorMessage="1" error="XLBVal:6=69.54_x000d__x000a_" sqref="S38">
      <formula1>0</formula1>
      <formula2>300</formula2>
    </dataValidation>
    <dataValidation type="textLength" errorStyle="information" allowBlank="1" showInputMessage="1" showErrorMessage="1" error="XLBVal:6=579.53_x000d__x000a_" sqref="R38">
      <formula1>0</formula1>
      <formula2>300</formula2>
    </dataValidation>
    <dataValidation type="textLength" errorStyle="information" allowBlank="1" showInputMessage="1" showErrorMessage="1" error="XLBVal:6=171.13_x000d__x000a_" sqref="Q38">
      <formula1>0</formula1>
      <formula2>300</formula2>
    </dataValidation>
    <dataValidation type="textLength" errorStyle="information" allowBlank="1" showInputMessage="1" showErrorMessage="1" error="XLBVal:6=2708.09_x000d__x000a_" sqref="V32">
      <formula1>0</formula1>
      <formula2>300</formula2>
    </dataValidation>
    <dataValidation type="textLength" errorStyle="information" allowBlank="1" showInputMessage="1" showErrorMessage="1" error="XLBVal:6=1520.35_x000d__x000a_" sqref="U32">
      <formula1>0</formula1>
      <formula2>300</formula2>
    </dataValidation>
    <dataValidation type="textLength" errorStyle="information" allowBlank="1" showInputMessage="1" showErrorMessage="1" error="XLBVal:6=2070.35_x000d__x000a_" sqref="T32">
      <formula1>0</formula1>
      <formula2>300</formula2>
    </dataValidation>
    <dataValidation type="textLength" errorStyle="information" allowBlank="1" showInputMessage="1" showErrorMessage="1" error="XLBVal:6=4219.15_x000d__x000a_" sqref="S32">
      <formula1>0</formula1>
      <formula2>300</formula2>
    </dataValidation>
    <dataValidation type="textLength" errorStyle="information" allowBlank="1" showInputMessage="1" showErrorMessage="1" error="XLBVal:6=5617.17_x000d__x000a_" sqref="R32">
      <formula1>0</formula1>
      <formula2>300</formula2>
    </dataValidation>
    <dataValidation type="textLength" errorStyle="information" allowBlank="1" showInputMessage="1" showErrorMessage="1" error="XLBVal:6=3742.98_x000d__x000a_" sqref="Q32">
      <formula1>0</formula1>
      <formula2>300</formula2>
    </dataValidation>
    <dataValidation type="textLength" errorStyle="information" allowBlank="1" showInputMessage="1" showErrorMessage="1" error="XLBVal:6=27775.49_x000d__x000a_" sqref="V30">
      <formula1>0</formula1>
      <formula2>300</formula2>
    </dataValidation>
    <dataValidation type="textLength" errorStyle="information" allowBlank="1" showInputMessage="1" showErrorMessage="1" error="XLBVal:6=32146.26_x000d__x000a_" sqref="U30">
      <formula1>0</formula1>
      <formula2>300</formula2>
    </dataValidation>
    <dataValidation type="textLength" errorStyle="information" allowBlank="1" showInputMessage="1" showErrorMessage="1" error="XLBVal:6=34938.75_x000d__x000a_" sqref="T30">
      <formula1>0</formula1>
      <formula2>300</formula2>
    </dataValidation>
    <dataValidation type="textLength" errorStyle="information" allowBlank="1" showInputMessage="1" showErrorMessage="1" error="XLBVal:6=40501.84_x000d__x000a_" sqref="S30">
      <formula1>0</formula1>
      <formula2>300</formula2>
    </dataValidation>
    <dataValidation type="textLength" errorStyle="information" allowBlank="1" showInputMessage="1" showErrorMessage="1" error="XLBVal:6=41033.65_x000d__x000a_" sqref="Q30">
      <formula1>0</formula1>
      <formula2>300</formula2>
    </dataValidation>
    <dataValidation type="textLength" errorStyle="information" allowBlank="1" showInputMessage="1" showErrorMessage="1" error="XLBVal:6=-0.3_x000d__x000a_" sqref="V26">
      <formula1>0</formula1>
      <formula2>300</formula2>
    </dataValidation>
    <dataValidation type="textLength" errorStyle="information" allowBlank="1" showInputMessage="1" showErrorMessage="1" error="XLBVal:6=0.3_x000d__x000a_" sqref="R26">
      <formula1>0</formula1>
      <formula2>300</formula2>
    </dataValidation>
    <dataValidation type="textLength" errorStyle="information" allowBlank="1" showInputMessage="1" showErrorMessage="1" error="XLBVal:6=0.2_x000d__x000a_" sqref="Q26">
      <formula1>0</formula1>
      <formula2>300</formula2>
    </dataValidation>
    <dataValidation type="textLength" errorStyle="information" allowBlank="1" showInputMessage="1" showErrorMessage="1" error="XLBVal:6=9186_x000d__x000a_" sqref="V25">
      <formula1>0</formula1>
      <formula2>300</formula2>
    </dataValidation>
    <dataValidation type="textLength" errorStyle="information" allowBlank="1" showInputMessage="1" showErrorMessage="1" error="XLBVal:6=7625.9_x000d__x000a_" sqref="U25">
      <formula1>0</formula1>
      <formula2>300</formula2>
    </dataValidation>
    <dataValidation type="textLength" errorStyle="information" allowBlank="1" showInputMessage="1" showErrorMessage="1" error="XLBVal:6=5302.9_x000d__x000a_" sqref="T25">
      <formula1>0</formula1>
      <formula2>300</formula2>
    </dataValidation>
    <dataValidation type="textLength" errorStyle="information" allowBlank="1" showInputMessage="1" showErrorMessage="1" error="XLBVal:6=10232.3_x000d__x000a_" sqref="S25">
      <formula1>0</formula1>
      <formula2>300</formula2>
    </dataValidation>
    <dataValidation type="textLength" errorStyle="information" allowBlank="1" showInputMessage="1" showErrorMessage="1" error="XLBVal:6=13181.1_x000d__x000a_" sqref="R25">
      <formula1>0</formula1>
      <formula2>300</formula2>
    </dataValidation>
    <dataValidation type="textLength" errorStyle="information" allowBlank="1" showInputMessage="1" showErrorMessage="1" error="XLBVal:6=9000.9_x000d__x000a_" sqref="Q25">
      <formula1>0</formula1>
      <formula2>300</formula2>
    </dataValidation>
    <dataValidation type="textLength" errorStyle="information" allowBlank="1" showInputMessage="1" showErrorMessage="1" error="XLBVal:6=29328.6_x000d__x000a_" sqref="V11">
      <formula1>0</formula1>
      <formula2>300</formula2>
    </dataValidation>
    <dataValidation type="textLength" errorStyle="information" allowBlank="1" showInputMessage="1" showErrorMessage="1" error="XLBVal:6=35187.1_x000d__x000a_" sqref="U11">
      <formula1>0</formula1>
      <formula2>300</formula2>
    </dataValidation>
    <dataValidation type="textLength" errorStyle="information" allowBlank="1" showInputMessage="1" showErrorMessage="1" error="XLBVal:6=35422.3_x000d__x000a_" sqref="T11">
      <formula1>0</formula1>
      <formula2>300</formula2>
    </dataValidation>
    <dataValidation type="textLength" errorStyle="information" allowBlank="1" showInputMessage="1" showErrorMessage="1" error="XLBVal:6=61703_x000d__x000a_" sqref="S11">
      <formula1>0</formula1>
      <formula2>300</formula2>
    </dataValidation>
    <dataValidation type="textLength" errorStyle="information" allowBlank="1" showInputMessage="1" showErrorMessage="1" error="XLBVal:6=113083.7_x000d__x000a_" sqref="R11">
      <formula1>0</formula1>
      <formula2>300</formula2>
    </dataValidation>
    <dataValidation type="textLength" errorStyle="information" allowBlank="1" showInputMessage="1" showErrorMessage="1" error="XLBVal:6=35086.8_x000d__x000a_" sqref="Q11">
      <formula1>0</formula1>
      <formula2>300</formula2>
    </dataValidation>
    <dataValidation type="textLength" errorStyle="information" allowBlank="1" showInputMessage="1" showErrorMessage="1" error="XLBVal:6=62268.5_x000d__x000a_" sqref="V10">
      <formula1>0</formula1>
      <formula2>300</formula2>
    </dataValidation>
    <dataValidation type="textLength" errorStyle="information" allowBlank="1" showInputMessage="1" showErrorMessage="1" error="XLBVal:6=73490.5_x000d__x000a_" sqref="U10">
      <formula1>0</formula1>
      <formula2>300</formula2>
    </dataValidation>
    <dataValidation type="textLength" errorStyle="information" allowBlank="1" showInputMessage="1" showErrorMessage="1" error="XLBVal:6=82408.8_x000d__x000a_" sqref="T10">
      <formula1>0</formula1>
      <formula2>300</formula2>
    </dataValidation>
    <dataValidation type="textLength" errorStyle="information" allowBlank="1" showInputMessage="1" showErrorMessage="1" error="XLBVal:6=91165.3_x000d__x000a_" sqref="S10">
      <formula1>0</formula1>
      <formula2>300</formula2>
    </dataValidation>
    <dataValidation type="textLength" errorStyle="information" allowBlank="1" showInputMessage="1" showErrorMessage="1" error="XLBVal:6=162024.4_x000d__x000a_" sqref="R10">
      <formula1>0</formula1>
      <formula2>300</formula2>
    </dataValidation>
    <dataValidation type="textLength" errorStyle="information" allowBlank="1" showInputMessage="1" showErrorMessage="1" error="XLBVal:6=101844.1_x000d__x000a_" sqref="Q10">
      <formula1>0</formula1>
      <formula2>300</formula2>
    </dataValidation>
    <dataValidation type="textLength" errorStyle="information" allowBlank="1" showInputMessage="1" showErrorMessage="1" error="XLBVal:6=13317.1_x000d__x000a_" sqref="V9">
      <formula1>0</formula1>
      <formula2>300</formula2>
    </dataValidation>
    <dataValidation type="textLength" errorStyle="information" allowBlank="1" showInputMessage="1" showErrorMessage="1" error="XLBVal:6=12804.3_x000d__x000a_" sqref="U9">
      <formula1>0</formula1>
      <formula2>300</formula2>
    </dataValidation>
    <dataValidation type="textLength" errorStyle="information" allowBlank="1" showInputMessage="1" showErrorMessage="1" error="XLBVal:6=17740.38_x000d__x000a_" sqref="T9">
      <formula1>0</formula1>
      <formula2>300</formula2>
    </dataValidation>
    <dataValidation type="textLength" errorStyle="information" allowBlank="1" showInputMessage="1" showErrorMessage="1" error="XLBVal:6=13700.9_x000d__x000a_" sqref="S9">
      <formula1>0</formula1>
      <formula2>300</formula2>
    </dataValidation>
    <dataValidation type="textLength" errorStyle="information" allowBlank="1" showInputMessage="1" showErrorMessage="1" error="XLBVal:6=21217.3_x000d__x000a_" sqref="R9">
      <formula1>0</formula1>
      <formula2>300</formula2>
    </dataValidation>
    <dataValidation type="textLength" errorStyle="information" allowBlank="1" showInputMessage="1" showErrorMessage="1" error="XLBVal:6=20578.4_x000d__x000a_" sqref="Q9">
      <formula1>0</formula1>
      <formula2>300</formula2>
    </dataValidation>
    <dataValidation type="textLength" errorStyle="information" allowBlank="1" showInputMessage="1" showErrorMessage="1" error="XLBVal:6=2_x000d__x000a_" sqref="Q136:V136">
      <formula1>0</formula1>
      <formula2>300</formula2>
    </dataValidation>
    <dataValidation type="textLength" errorStyle="information" allowBlank="1" showInputMessage="1" showErrorMessage="1" error="XLBVal:6=3_x000d__x000a_" sqref="R74:V74">
      <formula1>0</formula1>
      <formula2>300</formula2>
    </dataValidation>
    <dataValidation type="textLength" errorStyle="information" allowBlank="1" showInputMessage="1" showErrorMessage="1" error="XLBVal:6=1874_x000d__x000a_" sqref="R87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2074.4_x000d__x000a_" sqref="Q49">
      <formula1>0</formula1>
      <formula2>300</formula2>
    </dataValidation>
    <dataValidation type="textLength" errorStyle="information" allowBlank="1" showInputMessage="1" showErrorMessage="1" error="XLBVal:6=1160_x000d__x000a_" sqref="R109:U109">
      <formula1>0</formula1>
      <formula2>300</formula2>
    </dataValidation>
    <dataValidation type="textLength" errorStyle="information" allowBlank="1" showInputMessage="1" showErrorMessage="1" error="XLBVal:2=0_x000d__x000a_" sqref="D131:I132 Q24:V24 Q102:V102 Q72:V73 Q63:T63 D24:I24 D17:I21 D31:I31 Q56:S56 R60:V60 U62:V63 D89:F89 H26 Q17:V21 Q52:S52 Q88:V88 Q118:V118 Q110:V110 V56:V57 S107 Q131:V132 Y9 R62:T62 Q104:V104 Q75:V77 Q60:Q62 Q55:V55 E102:O104 S89:V89 Q50:V50 Q65:V70 Q12:AB12 Q39:V42 Q121:V121 Q124:V127 Q89 Q57:U57 Q48 Q44:V47 R61:S61 U59:V59 Q31:V31 S26:U26 T52:V54 S13:AB13 Q13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AG161"/>
  <sheetViews>
    <sheetView view="pageBreakPreview" zoomScaleNormal="100" zoomScaleSheetLayoutView="100" workbookViewId="0">
      <pane xSplit="4" ySplit="7" topLeftCell="L92" activePane="bottomRight" state="frozen"/>
      <selection activeCell="AP43" sqref="AP43"/>
      <selection pane="topRight" activeCell="AP43" sqref="AP43"/>
      <selection pane="bottomLeft" activeCell="AP43" sqref="AP43"/>
      <selection pane="bottomRight" activeCell="P124" sqref="P124"/>
    </sheetView>
  </sheetViews>
  <sheetFormatPr defaultColWidth="9" defaultRowHeight="14.25" outlineLevelCol="2"/>
  <cols>
    <col min="1" max="2" width="9" style="105" hidden="1" customWidth="1" outlineLevel="1"/>
    <col min="3" max="3" width="52.625" style="105" customWidth="1" collapsed="1"/>
    <col min="4" max="15" width="14.5" style="72" bestFit="1" customWidth="1"/>
    <col min="16" max="16" width="18.25" style="127" bestFit="1" customWidth="1"/>
    <col min="17" max="23" width="14.125" style="72" hidden="1" customWidth="1" outlineLevel="1"/>
    <col min="24" max="28" width="14.12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542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203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389</v>
      </c>
      <c r="C9" s="105" t="s">
        <v>481</v>
      </c>
      <c r="D9" s="210">
        <f>ROUND(D85*D93,0)</f>
        <v>3200</v>
      </c>
      <c r="E9" s="210">
        <f t="shared" ref="E9:O9" si="0">ROUND(E85*E93,0)</f>
        <v>3850</v>
      </c>
      <c r="F9" s="210">
        <f t="shared" si="0"/>
        <v>2135</v>
      </c>
      <c r="G9" s="210">
        <f t="shared" si="0"/>
        <v>1785</v>
      </c>
      <c r="H9" s="210">
        <f t="shared" si="0"/>
        <v>1995</v>
      </c>
      <c r="I9" s="210">
        <f t="shared" si="0"/>
        <v>1680</v>
      </c>
      <c r="J9" s="210">
        <f t="shared" si="0"/>
        <v>2205</v>
      </c>
      <c r="K9" s="210">
        <f t="shared" si="0"/>
        <v>2065</v>
      </c>
      <c r="L9" s="210">
        <f t="shared" si="0"/>
        <v>1645</v>
      </c>
      <c r="M9" s="210">
        <f t="shared" si="0"/>
        <v>1960</v>
      </c>
      <c r="N9" s="210">
        <f t="shared" si="0"/>
        <v>1925</v>
      </c>
      <c r="O9" s="210">
        <f t="shared" si="0"/>
        <v>2205</v>
      </c>
      <c r="P9" s="127">
        <f>SUM(D9:O9)</f>
        <v>26650</v>
      </c>
      <c r="Q9" s="72">
        <v>3642.3</v>
      </c>
      <c r="R9" s="72">
        <v>6340.6</v>
      </c>
      <c r="S9" s="72">
        <v>4931.2</v>
      </c>
      <c r="T9" s="72">
        <v>4461</v>
      </c>
      <c r="U9" s="72">
        <v>3553.3</v>
      </c>
      <c r="V9" s="72">
        <v>1991.6</v>
      </c>
      <c r="W9" s="72">
        <v>3872.9</v>
      </c>
      <c r="X9" s="72">
        <v>2211.9</v>
      </c>
      <c r="Y9" s="72">
        <v>1645</v>
      </c>
      <c r="Z9" s="72">
        <v>1960</v>
      </c>
      <c r="AA9" s="72">
        <v>1925</v>
      </c>
      <c r="AB9" s="72">
        <v>2205</v>
      </c>
      <c r="AC9" s="127">
        <f>SUM(Q9:AB9)</f>
        <v>38739.800000000003</v>
      </c>
      <c r="AD9" s="72">
        <f t="shared" ref="AD9:AD14" si="1">P9-AC9</f>
        <v>-12089.800000000003</v>
      </c>
      <c r="AE9" s="192">
        <f t="shared" ref="AE9:AE14" si="2">AD9/AC9</f>
        <v>-0.31207698542584117</v>
      </c>
      <c r="AF9" s="129">
        <v>58430.000000000007</v>
      </c>
      <c r="AG9" s="124">
        <f t="shared" ref="AG9:AG27" si="3">P9-AF9</f>
        <v>-31780.000000000007</v>
      </c>
    </row>
    <row r="10" spans="1:33">
      <c r="A10" s="105" t="s">
        <v>482</v>
      </c>
      <c r="B10" s="105" t="s">
        <v>389</v>
      </c>
      <c r="C10" s="105" t="s">
        <v>483</v>
      </c>
      <c r="D10" s="210">
        <f t="shared" ref="D10:O13" si="4">ROUND(D86*D94,0)</f>
        <v>12600</v>
      </c>
      <c r="E10" s="210">
        <f t="shared" si="4"/>
        <v>22400</v>
      </c>
      <c r="F10" s="210">
        <f t="shared" si="4"/>
        <v>2800</v>
      </c>
      <c r="G10" s="210">
        <f t="shared" si="4"/>
        <v>7500</v>
      </c>
      <c r="H10" s="210">
        <f t="shared" si="4"/>
        <v>9000</v>
      </c>
      <c r="I10" s="210">
        <f t="shared" si="4"/>
        <v>9000</v>
      </c>
      <c r="J10" s="210">
        <f t="shared" si="4"/>
        <v>15000</v>
      </c>
      <c r="K10" s="210">
        <f t="shared" si="4"/>
        <v>15000</v>
      </c>
      <c r="L10" s="210">
        <f t="shared" si="4"/>
        <v>7500</v>
      </c>
      <c r="M10" s="210">
        <f t="shared" si="4"/>
        <v>4000</v>
      </c>
      <c r="N10" s="210">
        <f t="shared" si="4"/>
        <v>2800</v>
      </c>
      <c r="O10" s="210">
        <f t="shared" si="4"/>
        <v>2800</v>
      </c>
      <c r="P10" s="127">
        <f>SUM(D10:O10)</f>
        <v>110400</v>
      </c>
      <c r="Q10" s="72">
        <v>13160.2</v>
      </c>
      <c r="R10" s="72">
        <v>41020.1</v>
      </c>
      <c r="S10" s="72">
        <v>18998.8</v>
      </c>
      <c r="T10" s="72">
        <v>16766.7</v>
      </c>
      <c r="U10" s="72">
        <v>13417.3</v>
      </c>
      <c r="V10" s="72">
        <v>15248.7</v>
      </c>
      <c r="W10" s="72">
        <v>11880.4</v>
      </c>
      <c r="X10" s="72">
        <v>12939.2</v>
      </c>
      <c r="Y10" s="72">
        <v>7500</v>
      </c>
      <c r="Z10" s="72">
        <v>4000</v>
      </c>
      <c r="AA10" s="72">
        <v>2800</v>
      </c>
      <c r="AB10" s="72">
        <v>2800</v>
      </c>
      <c r="AC10" s="127">
        <f>SUM(Q10:AB10)</f>
        <v>160531.4</v>
      </c>
      <c r="AD10" s="72">
        <f t="shared" si="1"/>
        <v>-50131.399999999994</v>
      </c>
      <c r="AE10" s="192">
        <f t="shared" si="2"/>
        <v>-0.31228407651088819</v>
      </c>
      <c r="AF10" s="129">
        <v>83894.68</v>
      </c>
      <c r="AG10" s="124">
        <f t="shared" si="3"/>
        <v>26505.320000000007</v>
      </c>
    </row>
    <row r="11" spans="1:33">
      <c r="A11" s="105" t="s">
        <v>484</v>
      </c>
      <c r="B11" s="105" t="s">
        <v>389</v>
      </c>
      <c r="C11" s="105" t="s">
        <v>485</v>
      </c>
      <c r="D11" s="210">
        <f t="shared" si="4"/>
        <v>20700</v>
      </c>
      <c r="E11" s="210">
        <f t="shared" si="4"/>
        <v>25200</v>
      </c>
      <c r="F11" s="210">
        <f t="shared" si="4"/>
        <v>9000</v>
      </c>
      <c r="G11" s="210">
        <f t="shared" si="4"/>
        <v>4500</v>
      </c>
      <c r="H11" s="210">
        <f t="shared" si="4"/>
        <v>4500</v>
      </c>
      <c r="I11" s="210">
        <f t="shared" si="4"/>
        <v>4500</v>
      </c>
      <c r="J11" s="210">
        <f t="shared" si="4"/>
        <v>9000</v>
      </c>
      <c r="K11" s="210">
        <f t="shared" si="4"/>
        <v>9000</v>
      </c>
      <c r="L11" s="210">
        <f t="shared" si="4"/>
        <v>5000</v>
      </c>
      <c r="M11" s="210">
        <f t="shared" si="4"/>
        <v>4500</v>
      </c>
      <c r="N11" s="210">
        <f t="shared" si="4"/>
        <v>4500</v>
      </c>
      <c r="O11" s="210">
        <f t="shared" si="4"/>
        <v>500</v>
      </c>
      <c r="P11" s="127">
        <f>SUM(D11:O11)</f>
        <v>100900</v>
      </c>
      <c r="Q11" s="72">
        <v>19783.2</v>
      </c>
      <c r="R11" s="72">
        <v>60835.3</v>
      </c>
      <c r="S11" s="72">
        <v>11540.2</v>
      </c>
      <c r="T11" s="72">
        <v>26209.4</v>
      </c>
      <c r="U11" s="72">
        <v>31470</v>
      </c>
      <c r="V11" s="72">
        <v>30355</v>
      </c>
      <c r="W11" s="72">
        <v>62370.9</v>
      </c>
      <c r="X11" s="72">
        <v>79601.899999999994</v>
      </c>
      <c r="Y11" s="72">
        <v>5000</v>
      </c>
      <c r="Z11" s="72">
        <v>4500</v>
      </c>
      <c r="AA11" s="72">
        <v>4500</v>
      </c>
      <c r="AB11" s="72">
        <v>500</v>
      </c>
      <c r="AC11" s="127">
        <f>SUM(Q11:AB11)</f>
        <v>336665.9</v>
      </c>
      <c r="AD11" s="72">
        <f t="shared" si="1"/>
        <v>-235765.90000000002</v>
      </c>
      <c r="AE11" s="192">
        <f t="shared" si="2"/>
        <v>-0.70029634720950362</v>
      </c>
      <c r="AF11" s="129">
        <v>226970.79</v>
      </c>
      <c r="AG11" s="124">
        <f t="shared" si="3"/>
        <v>-126070.79000000001</v>
      </c>
    </row>
    <row r="12" spans="1:33">
      <c r="A12" s="105" t="s">
        <v>486</v>
      </c>
      <c r="B12" s="105" t="s">
        <v>389</v>
      </c>
      <c r="C12" s="105" t="s">
        <v>487</v>
      </c>
      <c r="D12" s="210">
        <f t="shared" si="4"/>
        <v>80750</v>
      </c>
      <c r="E12" s="210">
        <f t="shared" si="4"/>
        <v>108000</v>
      </c>
      <c r="F12" s="210">
        <f t="shared" si="4"/>
        <v>85000</v>
      </c>
      <c r="G12" s="210">
        <f t="shared" si="4"/>
        <v>85000</v>
      </c>
      <c r="H12" s="210">
        <f t="shared" si="4"/>
        <v>85000</v>
      </c>
      <c r="I12" s="210">
        <f t="shared" si="4"/>
        <v>76500</v>
      </c>
      <c r="J12" s="210">
        <f t="shared" si="4"/>
        <v>85000</v>
      </c>
      <c r="K12" s="210">
        <f t="shared" si="4"/>
        <v>102000</v>
      </c>
      <c r="L12" s="210">
        <f t="shared" si="4"/>
        <v>76500</v>
      </c>
      <c r="M12" s="210">
        <f t="shared" si="4"/>
        <v>85000</v>
      </c>
      <c r="N12" s="210">
        <f t="shared" si="4"/>
        <v>85000</v>
      </c>
      <c r="O12" s="210">
        <f t="shared" si="4"/>
        <v>85000</v>
      </c>
      <c r="P12" s="127">
        <f>SUM(D12:O12)</f>
        <v>1038750</v>
      </c>
      <c r="Q12" s="72">
        <v>71529.600000000006</v>
      </c>
      <c r="R12" s="72">
        <v>106268.66</v>
      </c>
      <c r="S12" s="72">
        <v>55638.93</v>
      </c>
      <c r="T12" s="72">
        <v>59255.34</v>
      </c>
      <c r="U12" s="72">
        <v>38824.519999999997</v>
      </c>
      <c r="V12" s="72">
        <v>46185.1</v>
      </c>
      <c r="W12" s="72">
        <v>57389.24</v>
      </c>
      <c r="X12" s="72">
        <v>57934.16</v>
      </c>
      <c r="Y12" s="72">
        <v>66154</v>
      </c>
      <c r="Z12" s="72">
        <v>85000</v>
      </c>
      <c r="AA12" s="72">
        <v>85000</v>
      </c>
      <c r="AB12" s="72">
        <v>85000</v>
      </c>
      <c r="AC12" s="127">
        <f>SUM(Q12:AB12)</f>
        <v>814179.55</v>
      </c>
      <c r="AD12" s="72">
        <f t="shared" si="1"/>
        <v>224570.44999999995</v>
      </c>
      <c r="AE12" s="192">
        <f t="shared" si="2"/>
        <v>0.2758242331190951</v>
      </c>
      <c r="AF12" s="129">
        <v>1135291.7399999998</v>
      </c>
      <c r="AG12" s="124">
        <f t="shared" si="3"/>
        <v>-96541.739999999758</v>
      </c>
    </row>
    <row r="13" spans="1:33">
      <c r="A13" s="105" t="s">
        <v>488</v>
      </c>
      <c r="B13" s="105" t="s">
        <v>389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7">
        <f>SUM(D13:O13)</f>
        <v>0</v>
      </c>
      <c r="Q13" s="72">
        <v>4580.6000000000004</v>
      </c>
      <c r="R13" s="72">
        <v>3419.1</v>
      </c>
      <c r="S13" s="72">
        <v>623.1</v>
      </c>
      <c r="T13" s="72">
        <v>1094.0999999999999</v>
      </c>
      <c r="U13" s="72">
        <v>640</v>
      </c>
      <c r="V13" s="72">
        <v>408.4</v>
      </c>
      <c r="W13" s="72">
        <v>867.8</v>
      </c>
      <c r="X13" s="72">
        <v>859.4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12492.5</v>
      </c>
      <c r="AD13" s="72">
        <f t="shared" si="1"/>
        <v>-12492.5</v>
      </c>
      <c r="AE13" s="192">
        <f t="shared" si="2"/>
        <v>-1</v>
      </c>
      <c r="AF13" s="129">
        <v>31456.86</v>
      </c>
      <c r="AG13" s="124">
        <f t="shared" si="3"/>
        <v>-31456.86</v>
      </c>
    </row>
    <row r="14" spans="1:33">
      <c r="C14" s="109" t="s">
        <v>490</v>
      </c>
      <c r="D14" s="127">
        <f t="shared" ref="D14:AC14" si="5">SUM(D9:D13)</f>
        <v>117250</v>
      </c>
      <c r="E14" s="127">
        <f t="shared" si="5"/>
        <v>159450</v>
      </c>
      <c r="F14" s="127">
        <f t="shared" si="5"/>
        <v>98935</v>
      </c>
      <c r="G14" s="127">
        <f t="shared" si="5"/>
        <v>98785</v>
      </c>
      <c r="H14" s="127">
        <f t="shared" si="5"/>
        <v>100495</v>
      </c>
      <c r="I14" s="127">
        <f t="shared" si="5"/>
        <v>91680</v>
      </c>
      <c r="J14" s="127">
        <f t="shared" si="5"/>
        <v>111205</v>
      </c>
      <c r="K14" s="127">
        <f t="shared" si="5"/>
        <v>128065</v>
      </c>
      <c r="L14" s="127">
        <f t="shared" si="5"/>
        <v>90645</v>
      </c>
      <c r="M14" s="127">
        <f t="shared" si="5"/>
        <v>95460</v>
      </c>
      <c r="N14" s="127">
        <f t="shared" si="5"/>
        <v>94225</v>
      </c>
      <c r="O14" s="127">
        <f t="shared" si="5"/>
        <v>90505</v>
      </c>
      <c r="P14" s="127">
        <f t="shared" si="5"/>
        <v>1276700</v>
      </c>
      <c r="Q14" s="127">
        <f t="shared" si="5"/>
        <v>112695.90000000001</v>
      </c>
      <c r="R14" s="127">
        <f t="shared" si="5"/>
        <v>217883.76</v>
      </c>
      <c r="S14" s="127">
        <f t="shared" si="5"/>
        <v>91732.23000000001</v>
      </c>
      <c r="T14" s="127">
        <f t="shared" si="5"/>
        <v>107786.54000000001</v>
      </c>
      <c r="U14" s="127">
        <f t="shared" si="5"/>
        <v>87905.12</v>
      </c>
      <c r="V14" s="127">
        <f t="shared" si="5"/>
        <v>94188.799999999988</v>
      </c>
      <c r="W14" s="127">
        <f t="shared" si="5"/>
        <v>136381.24</v>
      </c>
      <c r="X14" s="127">
        <f t="shared" si="5"/>
        <v>153546.56</v>
      </c>
      <c r="Y14" s="127">
        <f t="shared" si="5"/>
        <v>80299</v>
      </c>
      <c r="Z14" s="127">
        <f t="shared" si="5"/>
        <v>95460</v>
      </c>
      <c r="AA14" s="127">
        <f t="shared" si="5"/>
        <v>94225</v>
      </c>
      <c r="AB14" s="127">
        <f t="shared" si="5"/>
        <v>90505</v>
      </c>
      <c r="AC14" s="127">
        <f t="shared" si="5"/>
        <v>1362609.1500000001</v>
      </c>
      <c r="AD14" s="72">
        <f t="shared" si="1"/>
        <v>-85909.15000000014</v>
      </c>
      <c r="AE14" s="192">
        <f t="shared" si="2"/>
        <v>-6.3047536412037253E-2</v>
      </c>
      <c r="AF14" s="129">
        <v>1536044.0699999998</v>
      </c>
      <c r="AG14" s="124">
        <f t="shared" si="3"/>
        <v>-259344.06999999983</v>
      </c>
    </row>
    <row r="15" spans="1:33">
      <c r="C15" s="105" t="s">
        <v>154</v>
      </c>
      <c r="AF15" s="129"/>
      <c r="AG15" s="124">
        <f t="shared" si="3"/>
        <v>0</v>
      </c>
    </row>
    <row r="16" spans="1:33">
      <c r="C16" s="105" t="s">
        <v>491</v>
      </c>
      <c r="AF16" s="129"/>
      <c r="AG16" s="124">
        <f t="shared" si="3"/>
        <v>0</v>
      </c>
    </row>
    <row r="17" spans="1:33">
      <c r="A17" s="105" t="s">
        <v>492</v>
      </c>
      <c r="B17" s="105" t="s">
        <v>389</v>
      </c>
      <c r="C17" s="105" t="s">
        <v>481</v>
      </c>
      <c r="P17" s="127">
        <f>SUM(D17:O17)</f>
        <v>0</v>
      </c>
      <c r="Q17" s="72">
        <v>220</v>
      </c>
      <c r="R17" s="72">
        <v>1312</v>
      </c>
      <c r="S17" s="72">
        <v>1110</v>
      </c>
      <c r="T17" s="72">
        <v>232</v>
      </c>
      <c r="U17" s="72">
        <v>436.1</v>
      </c>
      <c r="V17" s="72">
        <v>216.1</v>
      </c>
      <c r="W17" s="72">
        <v>0</v>
      </c>
      <c r="X17" s="72">
        <v>317.3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3843.5</v>
      </c>
      <c r="AD17" s="72">
        <f t="shared" ref="AD17:AD22" si="6">P17-AC17</f>
        <v>-3843.5</v>
      </c>
      <c r="AE17" s="192">
        <f t="shared" ref="AE17:AE22" si="7">AD17/AC17</f>
        <v>-1</v>
      </c>
      <c r="AF17" s="129">
        <v>5298.7</v>
      </c>
      <c r="AG17" s="124">
        <f t="shared" si="3"/>
        <v>-5298.7</v>
      </c>
    </row>
    <row r="18" spans="1:33">
      <c r="A18" s="105" t="s">
        <v>493</v>
      </c>
      <c r="B18" s="105" t="s">
        <v>389</v>
      </c>
      <c r="C18" s="105" t="s">
        <v>483</v>
      </c>
      <c r="D18" s="72">
        <v>3000</v>
      </c>
      <c r="E18" s="72">
        <v>4000</v>
      </c>
      <c r="F18" s="72">
        <v>2000</v>
      </c>
      <c r="G18" s="72">
        <v>1100</v>
      </c>
      <c r="H18" s="72">
        <v>1000</v>
      </c>
      <c r="I18" s="72">
        <v>1000</v>
      </c>
      <c r="J18" s="72">
        <v>1000</v>
      </c>
      <c r="K18" s="72">
        <v>1000</v>
      </c>
      <c r="L18" s="72">
        <v>1000</v>
      </c>
      <c r="M18" s="72">
        <v>1500</v>
      </c>
      <c r="N18" s="72">
        <v>1500</v>
      </c>
      <c r="O18" s="72">
        <v>1500</v>
      </c>
      <c r="P18" s="127">
        <f>SUM(D18:O18)</f>
        <v>19600</v>
      </c>
      <c r="Q18" s="72">
        <v>893.7</v>
      </c>
      <c r="R18" s="72">
        <v>5106.8</v>
      </c>
      <c r="S18" s="72">
        <v>3686</v>
      </c>
      <c r="T18" s="72">
        <v>2106.6999999999998</v>
      </c>
      <c r="U18" s="72">
        <v>1722</v>
      </c>
      <c r="V18" s="72">
        <v>1426.5</v>
      </c>
      <c r="W18" s="72">
        <v>830.2</v>
      </c>
      <c r="X18" s="72">
        <v>565.9</v>
      </c>
      <c r="Y18" s="72">
        <v>1000</v>
      </c>
      <c r="Z18" s="72">
        <v>1500</v>
      </c>
      <c r="AA18" s="72">
        <v>1500</v>
      </c>
      <c r="AB18" s="72">
        <v>1500</v>
      </c>
      <c r="AC18" s="127">
        <f>SUM(Q18:AB18)</f>
        <v>21837.800000000003</v>
      </c>
      <c r="AD18" s="72">
        <f t="shared" si="6"/>
        <v>-2237.8000000000029</v>
      </c>
      <c r="AE18" s="192">
        <f t="shared" si="7"/>
        <v>-0.10247369240491271</v>
      </c>
      <c r="AF18" s="129">
        <v>20555.12</v>
      </c>
      <c r="AG18" s="124">
        <f t="shared" si="3"/>
        <v>-955.11999999999898</v>
      </c>
    </row>
    <row r="19" spans="1:33">
      <c r="A19" s="105" t="s">
        <v>494</v>
      </c>
      <c r="B19" s="105" t="s">
        <v>389</v>
      </c>
      <c r="C19" s="105" t="s">
        <v>485</v>
      </c>
      <c r="D19" s="72">
        <v>5000</v>
      </c>
      <c r="E19" s="72">
        <v>7000</v>
      </c>
      <c r="F19" s="72">
        <v>5000</v>
      </c>
      <c r="G19" s="72">
        <v>3000</v>
      </c>
      <c r="H19" s="72">
        <v>3000</v>
      </c>
      <c r="I19" s="72">
        <v>3000</v>
      </c>
      <c r="J19" s="72">
        <v>3000</v>
      </c>
      <c r="K19" s="72">
        <v>3000</v>
      </c>
      <c r="L19" s="72">
        <v>3000</v>
      </c>
      <c r="M19" s="72">
        <v>3500</v>
      </c>
      <c r="N19" s="72">
        <v>3500</v>
      </c>
      <c r="O19" s="72">
        <v>3500</v>
      </c>
      <c r="P19" s="127">
        <f>SUM(D19:O19)</f>
        <v>45500</v>
      </c>
      <c r="Q19" s="72">
        <v>14793.6</v>
      </c>
      <c r="R19" s="72">
        <v>21585.1</v>
      </c>
      <c r="S19" s="72">
        <v>10601.4</v>
      </c>
      <c r="T19" s="72">
        <v>6681.6</v>
      </c>
      <c r="U19" s="72">
        <v>8838.7000000000007</v>
      </c>
      <c r="V19" s="72">
        <v>18653.2</v>
      </c>
      <c r="W19" s="72">
        <v>6715</v>
      </c>
      <c r="X19" s="72">
        <v>4657.8999999999996</v>
      </c>
      <c r="Y19" s="72">
        <v>2000</v>
      </c>
      <c r="Z19" s="72">
        <v>3500</v>
      </c>
      <c r="AA19" s="72">
        <v>3500</v>
      </c>
      <c r="AB19" s="72">
        <v>3500</v>
      </c>
      <c r="AC19" s="127">
        <f>SUM(Q19:AB19)</f>
        <v>105026.49999999999</v>
      </c>
      <c r="AD19" s="72">
        <f t="shared" si="6"/>
        <v>-59526.499999999985</v>
      </c>
      <c r="AE19" s="192">
        <f t="shared" si="7"/>
        <v>-0.56677600415133322</v>
      </c>
      <c r="AF19" s="129">
        <v>430081.61</v>
      </c>
      <c r="AG19" s="124">
        <f t="shared" si="3"/>
        <v>-384581.61</v>
      </c>
    </row>
    <row r="20" spans="1:33">
      <c r="A20" s="105" t="s">
        <v>495</v>
      </c>
      <c r="B20" s="105" t="s">
        <v>389</v>
      </c>
      <c r="C20" s="105" t="s">
        <v>487</v>
      </c>
      <c r="D20" s="72">
        <v>12000</v>
      </c>
      <c r="E20" s="72">
        <v>12000</v>
      </c>
      <c r="F20" s="72">
        <v>12000</v>
      </c>
      <c r="G20" s="72">
        <v>5000</v>
      </c>
      <c r="H20" s="72">
        <v>7000</v>
      </c>
      <c r="I20" s="72">
        <v>6000</v>
      </c>
      <c r="J20" s="72">
        <v>6000</v>
      </c>
      <c r="K20" s="72">
        <v>6000</v>
      </c>
      <c r="L20" s="72">
        <v>6000</v>
      </c>
      <c r="M20" s="72">
        <v>8000</v>
      </c>
      <c r="N20" s="72">
        <v>9000</v>
      </c>
      <c r="O20" s="72">
        <v>9000</v>
      </c>
      <c r="P20" s="127">
        <f>SUM(D20:O20)</f>
        <v>98000</v>
      </c>
      <c r="Q20" s="72">
        <v>3918.6</v>
      </c>
      <c r="R20" s="72">
        <v>19677.3</v>
      </c>
      <c r="S20" s="72">
        <v>4006.9</v>
      </c>
      <c r="T20" s="72">
        <v>1971.4</v>
      </c>
      <c r="U20" s="72">
        <v>3265.1</v>
      </c>
      <c r="V20" s="72">
        <v>6575.5</v>
      </c>
      <c r="W20" s="72">
        <v>1811.1</v>
      </c>
      <c r="X20" s="72">
        <v>2366.8000000000002</v>
      </c>
      <c r="Y20" s="72">
        <v>5000</v>
      </c>
      <c r="Z20" s="72">
        <v>8000</v>
      </c>
      <c r="AA20" s="72">
        <v>9000</v>
      </c>
      <c r="AB20" s="72">
        <v>9000</v>
      </c>
      <c r="AC20" s="127">
        <f>SUM(Q20:AB20)</f>
        <v>74592.700000000012</v>
      </c>
      <c r="AD20" s="72">
        <f t="shared" si="6"/>
        <v>23407.299999999988</v>
      </c>
      <c r="AE20" s="192">
        <f t="shared" si="7"/>
        <v>0.31380148459567742</v>
      </c>
      <c r="AF20" s="129">
        <v>36308.910000000003</v>
      </c>
      <c r="AG20" s="124">
        <f t="shared" si="3"/>
        <v>61691.09</v>
      </c>
    </row>
    <row r="21" spans="1:33">
      <c r="A21" s="105" t="s">
        <v>497</v>
      </c>
      <c r="B21" s="105" t="s">
        <v>389</v>
      </c>
      <c r="C21" s="105" t="s">
        <v>489</v>
      </c>
      <c r="P21" s="127">
        <f>SUM(D21:O21)</f>
        <v>0</v>
      </c>
      <c r="Q21" s="72">
        <v>11438.6</v>
      </c>
      <c r="R21" s="72">
        <v>5268.2</v>
      </c>
      <c r="S21" s="72">
        <v>3762</v>
      </c>
      <c r="T21" s="72">
        <v>118</v>
      </c>
      <c r="U21" s="72">
        <v>2421.8000000000002</v>
      </c>
      <c r="V21" s="72">
        <v>889.8</v>
      </c>
      <c r="W21" s="72">
        <v>108</v>
      </c>
      <c r="X21" s="72">
        <v>651.70000000000005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24658.1</v>
      </c>
      <c r="AD21" s="72">
        <f t="shared" si="6"/>
        <v>-24658.1</v>
      </c>
      <c r="AE21" s="192">
        <f t="shared" si="7"/>
        <v>-1</v>
      </c>
      <c r="AF21" s="129">
        <v>141282.23000000001</v>
      </c>
      <c r="AG21" s="124">
        <f t="shared" si="3"/>
        <v>-141282.23000000001</v>
      </c>
    </row>
    <row r="22" spans="1:33">
      <c r="C22" s="109" t="s">
        <v>498</v>
      </c>
      <c r="D22" s="127">
        <f t="shared" ref="D22:O22" si="8">SUM(D17:D21)</f>
        <v>20000</v>
      </c>
      <c r="E22" s="127">
        <f t="shared" si="8"/>
        <v>23000</v>
      </c>
      <c r="F22" s="127">
        <f t="shared" si="8"/>
        <v>19000</v>
      </c>
      <c r="G22" s="127">
        <f t="shared" si="8"/>
        <v>9100</v>
      </c>
      <c r="H22" s="127">
        <f t="shared" si="8"/>
        <v>11000</v>
      </c>
      <c r="I22" s="127">
        <f t="shared" si="8"/>
        <v>10000</v>
      </c>
      <c r="J22" s="127">
        <f t="shared" si="8"/>
        <v>10000</v>
      </c>
      <c r="K22" s="127">
        <f t="shared" si="8"/>
        <v>10000</v>
      </c>
      <c r="L22" s="127">
        <f t="shared" si="8"/>
        <v>10000</v>
      </c>
      <c r="M22" s="127">
        <f t="shared" si="8"/>
        <v>13000</v>
      </c>
      <c r="N22" s="127">
        <f t="shared" si="8"/>
        <v>14000</v>
      </c>
      <c r="O22" s="127">
        <f t="shared" si="8"/>
        <v>14000</v>
      </c>
      <c r="P22" s="127">
        <f>SUM(P17:P21)</f>
        <v>163100</v>
      </c>
      <c r="Q22" s="127">
        <f t="shared" ref="Q22:AC22" si="9">SUM(Q17:Q21)</f>
        <v>31264.5</v>
      </c>
      <c r="R22" s="127">
        <f t="shared" si="9"/>
        <v>52949.399999999994</v>
      </c>
      <c r="S22" s="127">
        <f t="shared" si="9"/>
        <v>23166.3</v>
      </c>
      <c r="T22" s="127">
        <f t="shared" si="9"/>
        <v>11109.699999999999</v>
      </c>
      <c r="U22" s="127">
        <f t="shared" si="9"/>
        <v>16683.7</v>
      </c>
      <c r="V22" s="127">
        <f t="shared" si="9"/>
        <v>27761.1</v>
      </c>
      <c r="W22" s="127">
        <f t="shared" si="9"/>
        <v>9464.2999999999993</v>
      </c>
      <c r="X22" s="127">
        <f t="shared" si="9"/>
        <v>8559.6</v>
      </c>
      <c r="Y22" s="127">
        <f t="shared" si="9"/>
        <v>8000</v>
      </c>
      <c r="Z22" s="127">
        <f t="shared" si="9"/>
        <v>13000</v>
      </c>
      <c r="AA22" s="127">
        <f t="shared" si="9"/>
        <v>14000</v>
      </c>
      <c r="AB22" s="127">
        <f t="shared" si="9"/>
        <v>14000</v>
      </c>
      <c r="AC22" s="127">
        <f t="shared" si="9"/>
        <v>229958.6</v>
      </c>
      <c r="AD22" s="72">
        <f t="shared" si="6"/>
        <v>-66858.600000000006</v>
      </c>
      <c r="AE22" s="192">
        <f t="shared" si="7"/>
        <v>-0.29074189875916795</v>
      </c>
      <c r="AF22" s="129">
        <v>633526.56999999995</v>
      </c>
      <c r="AG22" s="124">
        <f t="shared" si="3"/>
        <v>-470426.56999999995</v>
      </c>
    </row>
    <row r="23" spans="1:33">
      <c r="C23" s="105" t="s">
        <v>154</v>
      </c>
      <c r="AF23" s="129"/>
      <c r="AG23" s="124">
        <f t="shared" si="3"/>
        <v>0</v>
      </c>
    </row>
    <row r="24" spans="1:33">
      <c r="A24" s="105" t="s">
        <v>406</v>
      </c>
      <c r="B24" s="105" t="s">
        <v>389</v>
      </c>
      <c r="C24" s="105" t="s">
        <v>408</v>
      </c>
      <c r="J24" s="123"/>
      <c r="K24" s="123"/>
      <c r="L24" s="123"/>
      <c r="M24" s="123"/>
      <c r="N24" s="123"/>
      <c r="O24" s="123"/>
      <c r="P24" s="12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389</v>
      </c>
      <c r="C25" s="105" t="s">
        <v>499</v>
      </c>
      <c r="P25" s="127">
        <f>SUM(D25:O25)</f>
        <v>0</v>
      </c>
      <c r="Q25" s="72">
        <v>0</v>
      </c>
      <c r="R25" s="72">
        <v>0</v>
      </c>
      <c r="S25" s="72">
        <v>27.2</v>
      </c>
      <c r="T25" s="72">
        <v>0.2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27.4</v>
      </c>
      <c r="AD25" s="72">
        <f>P25-AC25</f>
        <v>-27.4</v>
      </c>
      <c r="AE25" s="192">
        <f>AD25/AC25</f>
        <v>-1</v>
      </c>
      <c r="AF25" s="129">
        <v>12709.449999999999</v>
      </c>
      <c r="AG25" s="124">
        <f t="shared" si="3"/>
        <v>-12709.449999999999</v>
      </c>
    </row>
    <row r="26" spans="1:33">
      <c r="A26" s="105" t="s">
        <v>169</v>
      </c>
      <c r="B26" s="105" t="s">
        <v>389</v>
      </c>
      <c r="C26" s="105" t="s">
        <v>170</v>
      </c>
      <c r="D26" s="230">
        <f>ROUND((D14+D22)*0.07,0)</f>
        <v>9608</v>
      </c>
      <c r="E26" s="230">
        <f>ROUND((E14+E22)*0.07,0)</f>
        <v>12772</v>
      </c>
      <c r="F26" s="230">
        <f t="shared" ref="F26:O26" si="10">ROUND((F14+F22)*0.07,0)</f>
        <v>8255</v>
      </c>
      <c r="G26" s="230">
        <f t="shared" si="10"/>
        <v>7552</v>
      </c>
      <c r="H26" s="230">
        <f t="shared" si="10"/>
        <v>7805</v>
      </c>
      <c r="I26" s="230">
        <f t="shared" si="10"/>
        <v>7118</v>
      </c>
      <c r="J26" s="230">
        <f t="shared" si="10"/>
        <v>8484</v>
      </c>
      <c r="K26" s="230">
        <f t="shared" si="10"/>
        <v>9665</v>
      </c>
      <c r="L26" s="230">
        <f t="shared" si="10"/>
        <v>7045</v>
      </c>
      <c r="M26" s="230">
        <f t="shared" si="10"/>
        <v>7592</v>
      </c>
      <c r="N26" s="230">
        <f t="shared" si="10"/>
        <v>7576</v>
      </c>
      <c r="O26" s="230">
        <f t="shared" si="10"/>
        <v>7315</v>
      </c>
      <c r="P26" s="127">
        <f>SUM(D26:O26)</f>
        <v>100787</v>
      </c>
      <c r="Q26" s="72">
        <v>11107.3</v>
      </c>
      <c r="R26" s="72">
        <v>24371.1</v>
      </c>
      <c r="S26" s="72">
        <v>10155.5</v>
      </c>
      <c r="T26" s="72">
        <v>6639.6</v>
      </c>
      <c r="U26" s="72">
        <v>7669.7</v>
      </c>
      <c r="V26" s="72">
        <v>4601.6000000000004</v>
      </c>
      <c r="W26" s="72">
        <v>2871.2</v>
      </c>
      <c r="X26" s="72">
        <v>2979.6</v>
      </c>
      <c r="Y26" s="72">
        <v>6160</v>
      </c>
      <c r="Z26" s="72">
        <v>7592</v>
      </c>
      <c r="AA26" s="72">
        <v>7576</v>
      </c>
      <c r="AB26" s="72">
        <v>7315</v>
      </c>
      <c r="AC26" s="127">
        <f>SUM(Q26:AB26)</f>
        <v>99038.599999999991</v>
      </c>
      <c r="AD26" s="72">
        <f>P26-AC26</f>
        <v>1748.4000000000087</v>
      </c>
      <c r="AE26" s="192">
        <f>AD26/AC26</f>
        <v>1.7653722891882648E-2</v>
      </c>
      <c r="AF26" s="129">
        <v>119988.79000000001</v>
      </c>
      <c r="AG26" s="124">
        <f t="shared" si="3"/>
        <v>-19201.790000000008</v>
      </c>
    </row>
    <row r="27" spans="1:33">
      <c r="C27" s="109" t="s">
        <v>500</v>
      </c>
      <c r="D27" s="127">
        <f t="shared" ref="D27:P27" si="11">SUM(D24:D26)+D14+D22</f>
        <v>146858</v>
      </c>
      <c r="E27" s="127">
        <f t="shared" si="11"/>
        <v>195222</v>
      </c>
      <c r="F27" s="127">
        <f t="shared" si="11"/>
        <v>126190</v>
      </c>
      <c r="G27" s="127">
        <f t="shared" si="11"/>
        <v>115437</v>
      </c>
      <c r="H27" s="127">
        <f t="shared" si="11"/>
        <v>119300</v>
      </c>
      <c r="I27" s="127">
        <f t="shared" si="11"/>
        <v>108798</v>
      </c>
      <c r="J27" s="127">
        <f t="shared" si="11"/>
        <v>129689</v>
      </c>
      <c r="K27" s="127">
        <f t="shared" si="11"/>
        <v>147730</v>
      </c>
      <c r="L27" s="127">
        <f t="shared" si="11"/>
        <v>107690</v>
      </c>
      <c r="M27" s="127">
        <f t="shared" si="11"/>
        <v>116052</v>
      </c>
      <c r="N27" s="127">
        <f t="shared" si="11"/>
        <v>115801</v>
      </c>
      <c r="O27" s="127">
        <f t="shared" si="11"/>
        <v>111820</v>
      </c>
      <c r="P27" s="127">
        <f t="shared" si="11"/>
        <v>1540587</v>
      </c>
      <c r="Q27" s="127">
        <f t="shared" ref="Q27:V27" si="12">SUM(Q24:Q26)+Q14+Q22</f>
        <v>155067.70000000001</v>
      </c>
      <c r="R27" s="127">
        <f t="shared" si="12"/>
        <v>295204.26</v>
      </c>
      <c r="S27" s="127">
        <f t="shared" si="12"/>
        <v>125081.23000000001</v>
      </c>
      <c r="T27" s="127">
        <f t="shared" si="12"/>
        <v>125536.04000000001</v>
      </c>
      <c r="U27" s="127">
        <f t="shared" si="12"/>
        <v>112258.51999999999</v>
      </c>
      <c r="V27" s="127">
        <f t="shared" si="12"/>
        <v>126551.5</v>
      </c>
      <c r="W27" s="127">
        <f t="shared" ref="W27:AC27" si="13">SUM(W24:W26)+W14+W22</f>
        <v>148716.74</v>
      </c>
      <c r="X27" s="127">
        <f t="shared" si="13"/>
        <v>165085.76000000001</v>
      </c>
      <c r="Y27" s="127">
        <f t="shared" si="13"/>
        <v>94459</v>
      </c>
      <c r="Z27" s="127">
        <f t="shared" si="13"/>
        <v>116052</v>
      </c>
      <c r="AA27" s="127">
        <f t="shared" si="13"/>
        <v>115801</v>
      </c>
      <c r="AB27" s="127">
        <f t="shared" si="13"/>
        <v>111820</v>
      </c>
      <c r="AC27" s="127">
        <f t="shared" si="13"/>
        <v>1691633.7500000002</v>
      </c>
      <c r="AD27" s="72">
        <f>P27-AC27</f>
        <v>-151046.75000000023</v>
      </c>
      <c r="AE27" s="192">
        <f>AD27/AC27</f>
        <v>-8.9290456636964249E-2</v>
      </c>
      <c r="AF27" s="129">
        <v>2302268.88</v>
      </c>
      <c r="AG27" s="124">
        <f t="shared" si="3"/>
        <v>-761681.87999999989</v>
      </c>
    </row>
    <row r="28" spans="1:33">
      <c r="C28" s="105" t="s">
        <v>154</v>
      </c>
      <c r="P28" s="132">
        <f>+P30/P14</f>
        <v>0.28294352627868724</v>
      </c>
      <c r="AF28" s="129"/>
    </row>
    <row r="29" spans="1:33">
      <c r="C29" s="105" t="s">
        <v>414</v>
      </c>
      <c r="D29" s="211">
        <f t="shared" ref="D29:N29" si="14">D31/D22</f>
        <v>0.2</v>
      </c>
      <c r="E29" s="211">
        <f t="shared" si="14"/>
        <v>0.2</v>
      </c>
      <c r="F29" s="211">
        <f t="shared" si="14"/>
        <v>0.2</v>
      </c>
      <c r="G29" s="211">
        <f t="shared" si="14"/>
        <v>0.2</v>
      </c>
      <c r="H29" s="211">
        <f t="shared" si="14"/>
        <v>0.2</v>
      </c>
      <c r="I29" s="211">
        <f t="shared" si="14"/>
        <v>0.2</v>
      </c>
      <c r="J29" s="211">
        <f t="shared" si="14"/>
        <v>0.2</v>
      </c>
      <c r="K29" s="211">
        <f t="shared" si="14"/>
        <v>0.2</v>
      </c>
      <c r="L29" s="211">
        <f t="shared" si="14"/>
        <v>0.2</v>
      </c>
      <c r="M29" s="211">
        <f t="shared" si="14"/>
        <v>0.2</v>
      </c>
      <c r="N29" s="211">
        <f t="shared" si="14"/>
        <v>0.2</v>
      </c>
      <c r="O29" s="211">
        <f>O31/O22</f>
        <v>0.2</v>
      </c>
      <c r="P29" s="211">
        <f>P31/P22</f>
        <v>0.2</v>
      </c>
      <c r="AC29" s="211">
        <f>AC31/AC22</f>
        <v>0.23161503853302293</v>
      </c>
      <c r="AF29" s="211">
        <f>AF31/AF22</f>
        <v>0.23521635406704411</v>
      </c>
    </row>
    <row r="30" spans="1:33">
      <c r="A30" s="105" t="s">
        <v>415</v>
      </c>
      <c r="B30" s="105" t="s">
        <v>389</v>
      </c>
      <c r="C30" s="105" t="s">
        <v>416</v>
      </c>
      <c r="D30" s="72">
        <f>ROUND(D14*0.315,0)</f>
        <v>36934</v>
      </c>
      <c r="E30" s="72">
        <f>ROUND(E14*0.273,0)</f>
        <v>43530</v>
      </c>
      <c r="F30" s="72">
        <f>ROUND(F14*0.281,0)</f>
        <v>27801</v>
      </c>
      <c r="G30" s="72">
        <f>ROUND(G14*0.283,0)</f>
        <v>27956</v>
      </c>
      <c r="H30" s="72">
        <f>ROUND(H14*0.268,0)</f>
        <v>26933</v>
      </c>
      <c r="I30" s="72">
        <f>ROUND(I14*0.28,0)</f>
        <v>25670</v>
      </c>
      <c r="J30" s="72">
        <f>ROUND(J14*0.285,0)</f>
        <v>31693</v>
      </c>
      <c r="K30" s="72">
        <f>ROUND(K14*0.288,0)</f>
        <v>36883</v>
      </c>
      <c r="L30" s="72">
        <f>ROUND(L14*0.28,0)</f>
        <v>25381</v>
      </c>
      <c r="M30" s="72">
        <f>ROUND(M14*0.28,0)</f>
        <v>26729</v>
      </c>
      <c r="N30" s="72">
        <f>ROUND(N14*0.28,0)</f>
        <v>26383</v>
      </c>
      <c r="O30" s="72">
        <f>ROUND(O14*0.28,0)</f>
        <v>25341</v>
      </c>
      <c r="P30" s="127">
        <f>SUM(D30:O30)</f>
        <v>361234</v>
      </c>
      <c r="Q30" s="72">
        <v>35533.160000000003</v>
      </c>
      <c r="R30" s="72">
        <v>59400.52</v>
      </c>
      <c r="S30" s="72">
        <v>25775.21</v>
      </c>
      <c r="T30" s="72">
        <v>30512.41</v>
      </c>
      <c r="U30" s="72">
        <v>23539.41</v>
      </c>
      <c r="V30" s="72">
        <v>26337.38</v>
      </c>
      <c r="W30" s="72">
        <v>38929.9</v>
      </c>
      <c r="X30" s="72">
        <v>44573.43</v>
      </c>
      <c r="Y30" s="72">
        <v>23126</v>
      </c>
      <c r="Z30" s="72">
        <v>27492</v>
      </c>
      <c r="AA30" s="72">
        <v>27137</v>
      </c>
      <c r="AB30" s="72">
        <v>26065</v>
      </c>
      <c r="AC30" s="127">
        <f>SUM(Q30:AB30)</f>
        <v>388421.42</v>
      </c>
      <c r="AD30" s="72">
        <f t="shared" ref="AD30:AD33" si="15">P30-AC30</f>
        <v>-27187.419999999984</v>
      </c>
      <c r="AE30" s="192">
        <f t="shared" ref="AE30:AE33" si="16">AD30/AC30</f>
        <v>-6.9994646536228569E-2</v>
      </c>
      <c r="AF30" s="129">
        <v>331701.64</v>
      </c>
      <c r="AG30" s="124">
        <f t="shared" ref="AG30:AG80" si="17">AF30-P30</f>
        <v>-29532.359999999986</v>
      </c>
    </row>
    <row r="31" spans="1:33">
      <c r="A31" s="105" t="s">
        <v>417</v>
      </c>
      <c r="B31" s="105" t="s">
        <v>389</v>
      </c>
      <c r="C31" s="105" t="s">
        <v>418</v>
      </c>
      <c r="D31" s="72">
        <f t="shared" ref="D31:O31" si="18">ROUND(D22*0.2,0)</f>
        <v>4000</v>
      </c>
      <c r="E31" s="72">
        <f t="shared" si="18"/>
        <v>4600</v>
      </c>
      <c r="F31" s="72">
        <f t="shared" si="18"/>
        <v>3800</v>
      </c>
      <c r="G31" s="72">
        <f t="shared" si="18"/>
        <v>1820</v>
      </c>
      <c r="H31" s="72">
        <f t="shared" si="18"/>
        <v>2200</v>
      </c>
      <c r="I31" s="72">
        <f t="shared" si="18"/>
        <v>2000</v>
      </c>
      <c r="J31" s="72">
        <f t="shared" si="18"/>
        <v>2000</v>
      </c>
      <c r="K31" s="72">
        <f t="shared" si="18"/>
        <v>2000</v>
      </c>
      <c r="L31" s="72">
        <f t="shared" si="18"/>
        <v>2000</v>
      </c>
      <c r="M31" s="72">
        <f t="shared" si="18"/>
        <v>2600</v>
      </c>
      <c r="N31" s="72">
        <f t="shared" si="18"/>
        <v>2800</v>
      </c>
      <c r="O31" s="72">
        <f t="shared" si="18"/>
        <v>2800</v>
      </c>
      <c r="P31" s="127">
        <f>SUM(D31:O31)</f>
        <v>32620</v>
      </c>
      <c r="Q31" s="72">
        <v>8592.35</v>
      </c>
      <c r="R31" s="72">
        <v>12554.23</v>
      </c>
      <c r="S31" s="72">
        <v>5285.9</v>
      </c>
      <c r="T31" s="72">
        <v>2258.4899999999998</v>
      </c>
      <c r="U31" s="72">
        <v>3722.34</v>
      </c>
      <c r="V31" s="72">
        <v>7831.32</v>
      </c>
      <c r="W31" s="72">
        <v>1769.33</v>
      </c>
      <c r="X31" s="72">
        <v>1447.91</v>
      </c>
      <c r="Y31" s="72">
        <v>1600</v>
      </c>
      <c r="Z31" s="72">
        <v>2600</v>
      </c>
      <c r="AA31" s="72">
        <v>2800</v>
      </c>
      <c r="AB31" s="72">
        <v>2800</v>
      </c>
      <c r="AC31" s="127">
        <f>SUM(Q31:AB31)</f>
        <v>53261.87000000001</v>
      </c>
      <c r="AD31" s="72">
        <f t="shared" si="15"/>
        <v>-20641.87000000001</v>
      </c>
      <c r="AE31" s="192">
        <f t="shared" si="16"/>
        <v>-0.38755436112175567</v>
      </c>
      <c r="AF31" s="129">
        <v>149015.81</v>
      </c>
      <c r="AG31" s="124">
        <f t="shared" si="17"/>
        <v>116395.81</v>
      </c>
    </row>
    <row r="32" spans="1:33">
      <c r="A32" s="105" t="s">
        <v>421</v>
      </c>
      <c r="B32" s="105" t="s">
        <v>389</v>
      </c>
      <c r="C32" s="105" t="s">
        <v>422</v>
      </c>
      <c r="P32" s="12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5"/>
        <v>0</v>
      </c>
      <c r="AE32" s="192" t="e">
        <f t="shared" si="16"/>
        <v>#DIV/0!</v>
      </c>
      <c r="AF32" s="129">
        <v>7181.5700000000006</v>
      </c>
      <c r="AG32" s="124">
        <f t="shared" si="17"/>
        <v>7181.5700000000006</v>
      </c>
    </row>
    <row r="33" spans="1:33">
      <c r="C33" s="109" t="s">
        <v>501</v>
      </c>
      <c r="D33" s="127">
        <f t="shared" ref="D33:AC33" si="19">SUM(D30:D32)</f>
        <v>40934</v>
      </c>
      <c r="E33" s="127">
        <f t="shared" si="19"/>
        <v>48130</v>
      </c>
      <c r="F33" s="127">
        <f t="shared" si="19"/>
        <v>31601</v>
      </c>
      <c r="G33" s="127">
        <f t="shared" si="19"/>
        <v>29776</v>
      </c>
      <c r="H33" s="127">
        <f t="shared" si="19"/>
        <v>29133</v>
      </c>
      <c r="I33" s="127">
        <f t="shared" si="19"/>
        <v>27670</v>
      </c>
      <c r="J33" s="127">
        <f t="shared" si="19"/>
        <v>33693</v>
      </c>
      <c r="K33" s="127">
        <f t="shared" si="19"/>
        <v>38883</v>
      </c>
      <c r="L33" s="127">
        <f t="shared" si="19"/>
        <v>27381</v>
      </c>
      <c r="M33" s="127">
        <f t="shared" si="19"/>
        <v>29329</v>
      </c>
      <c r="N33" s="127">
        <f t="shared" si="19"/>
        <v>29183</v>
      </c>
      <c r="O33" s="127">
        <f t="shared" si="19"/>
        <v>28141</v>
      </c>
      <c r="P33" s="127">
        <f t="shared" si="19"/>
        <v>393854</v>
      </c>
      <c r="Q33" s="127">
        <f t="shared" si="19"/>
        <v>44125.51</v>
      </c>
      <c r="R33" s="127">
        <f t="shared" si="19"/>
        <v>71954.75</v>
      </c>
      <c r="S33" s="127">
        <f t="shared" si="19"/>
        <v>31061.11</v>
      </c>
      <c r="T33" s="127">
        <f t="shared" si="19"/>
        <v>32770.9</v>
      </c>
      <c r="U33" s="127">
        <f t="shared" si="19"/>
        <v>27261.75</v>
      </c>
      <c r="V33" s="127">
        <f t="shared" si="19"/>
        <v>34168.699999999997</v>
      </c>
      <c r="W33" s="127">
        <f t="shared" si="19"/>
        <v>40699.230000000003</v>
      </c>
      <c r="X33" s="127">
        <f t="shared" si="19"/>
        <v>46021.340000000004</v>
      </c>
      <c r="Y33" s="127">
        <f t="shared" si="19"/>
        <v>24726</v>
      </c>
      <c r="Z33" s="127">
        <f t="shared" si="19"/>
        <v>30092</v>
      </c>
      <c r="AA33" s="127">
        <f t="shared" si="19"/>
        <v>29937</v>
      </c>
      <c r="AB33" s="127">
        <f t="shared" si="19"/>
        <v>28865</v>
      </c>
      <c r="AC33" s="127">
        <f t="shared" si="19"/>
        <v>441683.29</v>
      </c>
      <c r="AD33" s="72">
        <f t="shared" si="15"/>
        <v>-47829.289999999979</v>
      </c>
      <c r="AE33" s="192">
        <f t="shared" si="16"/>
        <v>-0.10828865633562905</v>
      </c>
      <c r="AF33" s="129">
        <v>487899.02</v>
      </c>
      <c r="AG33" s="124">
        <f t="shared" si="17"/>
        <v>94045.020000000019</v>
      </c>
    </row>
    <row r="34" spans="1:33">
      <c r="C34" s="105" t="s">
        <v>154</v>
      </c>
      <c r="AF34" s="129"/>
      <c r="AG34" s="124">
        <f t="shared" si="17"/>
        <v>0</v>
      </c>
    </row>
    <row r="35" spans="1:33" s="109" customFormat="1">
      <c r="C35" s="109" t="s">
        <v>289</v>
      </c>
      <c r="D35" s="127">
        <f t="shared" ref="D35:AB35" si="20">D134</f>
        <v>59723.08</v>
      </c>
      <c r="E35" s="127">
        <f t="shared" si="20"/>
        <v>45357.270000000004</v>
      </c>
      <c r="F35" s="127">
        <f t="shared" si="20"/>
        <v>45993.07</v>
      </c>
      <c r="G35" s="127">
        <f t="shared" si="20"/>
        <v>48193.1</v>
      </c>
      <c r="H35" s="127">
        <f t="shared" si="20"/>
        <v>50774.850000000006</v>
      </c>
      <c r="I35" s="127">
        <f t="shared" si="20"/>
        <v>46200.58</v>
      </c>
      <c r="J35" s="127">
        <f t="shared" si="20"/>
        <v>46610.520000000004</v>
      </c>
      <c r="K35" s="127">
        <f t="shared" si="20"/>
        <v>46479.3</v>
      </c>
      <c r="L35" s="127">
        <f t="shared" si="20"/>
        <v>46510.3</v>
      </c>
      <c r="M35" s="127">
        <f t="shared" si="20"/>
        <v>61722.11</v>
      </c>
      <c r="N35" s="127">
        <f t="shared" si="20"/>
        <v>46552.01</v>
      </c>
      <c r="O35" s="127">
        <f t="shared" si="20"/>
        <v>46388.79</v>
      </c>
      <c r="P35" s="117">
        <f t="shared" si="20"/>
        <v>590504.98</v>
      </c>
      <c r="Q35" s="127">
        <f t="shared" si="20"/>
        <v>51862.829999999994</v>
      </c>
      <c r="R35" s="127">
        <f t="shared" si="20"/>
        <v>58530.979999999996</v>
      </c>
      <c r="S35" s="127">
        <f t="shared" si="20"/>
        <v>49169.630000000005</v>
      </c>
      <c r="T35" s="127">
        <f t="shared" si="20"/>
        <v>51902.74</v>
      </c>
      <c r="U35" s="127">
        <f t="shared" si="20"/>
        <v>58774.17</v>
      </c>
      <c r="V35" s="127">
        <f t="shared" si="20"/>
        <v>60850.05</v>
      </c>
      <c r="W35" s="127">
        <f t="shared" si="20"/>
        <v>51419.880000000005</v>
      </c>
      <c r="X35" s="127">
        <f t="shared" si="20"/>
        <v>75505.61</v>
      </c>
      <c r="Y35" s="127">
        <f t="shared" si="20"/>
        <v>58573</v>
      </c>
      <c r="Z35" s="127">
        <f t="shared" si="20"/>
        <v>66597</v>
      </c>
      <c r="AA35" s="127">
        <f t="shared" si="20"/>
        <v>54647</v>
      </c>
      <c r="AB35" s="127">
        <f t="shared" si="20"/>
        <v>54647</v>
      </c>
      <c r="AC35" s="127">
        <f>SUM(Q35:AB35)</f>
        <v>692479.8899999999</v>
      </c>
      <c r="AD35" s="127">
        <f t="shared" ref="AD35" si="21">P35-AC35</f>
        <v>-101974.90999999992</v>
      </c>
      <c r="AE35" s="132">
        <f t="shared" ref="AE35" si="22">AD35/AC35</f>
        <v>-0.14726046412697982</v>
      </c>
      <c r="AF35" s="129">
        <v>779142.45</v>
      </c>
      <c r="AG35" s="129">
        <f t="shared" si="17"/>
        <v>188637.46999999997</v>
      </c>
    </row>
    <row r="36" spans="1:33">
      <c r="C36" s="105" t="s">
        <v>154</v>
      </c>
      <c r="P36" s="117"/>
      <c r="AF36" s="129"/>
      <c r="AG36" s="124">
        <f t="shared" si="17"/>
        <v>0</v>
      </c>
    </row>
    <row r="37" spans="1:33">
      <c r="C37" s="109" t="s">
        <v>502</v>
      </c>
      <c r="P37" s="117"/>
      <c r="AF37" s="129"/>
      <c r="AG37" s="124">
        <f t="shared" si="17"/>
        <v>0</v>
      </c>
    </row>
    <row r="38" spans="1:33">
      <c r="A38" s="105" t="s">
        <v>424</v>
      </c>
      <c r="B38" s="105" t="s">
        <v>389</v>
      </c>
      <c r="C38" s="105" t="s">
        <v>425</v>
      </c>
      <c r="D38" s="72">
        <v>3000</v>
      </c>
      <c r="E38" s="72">
        <v>3000</v>
      </c>
      <c r="F38" s="72">
        <v>3000</v>
      </c>
      <c r="G38" s="72">
        <v>3000</v>
      </c>
      <c r="H38" s="72">
        <v>3000</v>
      </c>
      <c r="I38" s="72">
        <v>3000</v>
      </c>
      <c r="J38" s="72">
        <v>3000</v>
      </c>
      <c r="K38" s="72">
        <v>3000</v>
      </c>
      <c r="L38" s="72">
        <v>3000</v>
      </c>
      <c r="M38" s="72">
        <v>3000</v>
      </c>
      <c r="N38" s="72">
        <v>3000</v>
      </c>
      <c r="O38" s="72">
        <v>3000</v>
      </c>
      <c r="P38" s="200">
        <f t="shared" ref="P38:P78" si="23">SUM(D38:O38)</f>
        <v>36000</v>
      </c>
      <c r="Q38" s="72">
        <v>2663.58</v>
      </c>
      <c r="R38" s="72">
        <v>1858.9</v>
      </c>
      <c r="S38" s="72">
        <v>1315.9</v>
      </c>
      <c r="T38" s="72">
        <v>996.79</v>
      </c>
      <c r="U38" s="72">
        <v>514.95000000000005</v>
      </c>
      <c r="V38" s="72">
        <v>531.91999999999996</v>
      </c>
      <c r="W38" s="72">
        <v>1002.72</v>
      </c>
      <c r="X38" s="72">
        <v>1477.67</v>
      </c>
      <c r="Y38" s="72">
        <v>2000</v>
      </c>
      <c r="Z38" s="72">
        <v>3000</v>
      </c>
      <c r="AA38" s="72">
        <v>3000</v>
      </c>
      <c r="AB38" s="72">
        <v>3000</v>
      </c>
      <c r="AC38" s="127">
        <f t="shared" ref="AC38:AC79" si="24">SUM(Q38:AB38)</f>
        <v>21362.43</v>
      </c>
      <c r="AD38" s="72">
        <f t="shared" ref="AD38:AD82" si="25">P38-AC38</f>
        <v>14637.57</v>
      </c>
      <c r="AE38" s="192">
        <f t="shared" ref="AE38:AE82" si="26">AD38/AC38</f>
        <v>0.68520154308287962</v>
      </c>
      <c r="AF38" s="129">
        <v>45727.570000000007</v>
      </c>
      <c r="AG38" s="124">
        <f t="shared" si="17"/>
        <v>9727.570000000007</v>
      </c>
    </row>
    <row r="39" spans="1:33">
      <c r="A39" s="105" t="s">
        <v>273</v>
      </c>
      <c r="C39" s="105" t="s">
        <v>426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200">
        <f t="shared" si="23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4"/>
        <v>0</v>
      </c>
      <c r="AD39" s="72">
        <f t="shared" si="25"/>
        <v>0</v>
      </c>
      <c r="AE39" s="192" t="e">
        <f t="shared" si="26"/>
        <v>#DIV/0!</v>
      </c>
      <c r="AF39" s="129">
        <v>0</v>
      </c>
      <c r="AG39" s="124">
        <f t="shared" si="17"/>
        <v>0</v>
      </c>
    </row>
    <row r="40" spans="1:33">
      <c r="A40" s="105" t="s">
        <v>273</v>
      </c>
      <c r="C40" s="105" t="s">
        <v>427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200">
        <f t="shared" si="23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4"/>
        <v>0</v>
      </c>
      <c r="AD40" s="72">
        <f t="shared" si="25"/>
        <v>0</v>
      </c>
      <c r="AE40" s="192" t="e">
        <f t="shared" si="26"/>
        <v>#DIV/0!</v>
      </c>
      <c r="AF40" s="129">
        <v>0</v>
      </c>
      <c r="AG40" s="124">
        <f t="shared" si="17"/>
        <v>0</v>
      </c>
    </row>
    <row r="41" spans="1:33">
      <c r="A41" s="105" t="s">
        <v>273</v>
      </c>
      <c r="C41" s="105" t="s">
        <v>428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200">
        <f t="shared" si="23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4"/>
        <v>0</v>
      </c>
      <c r="AD41" s="72">
        <f t="shared" si="25"/>
        <v>0</v>
      </c>
      <c r="AE41" s="192" t="e">
        <f t="shared" si="26"/>
        <v>#DIV/0!</v>
      </c>
      <c r="AF41" s="129">
        <v>0</v>
      </c>
      <c r="AG41" s="124">
        <f t="shared" si="17"/>
        <v>0</v>
      </c>
    </row>
    <row r="42" spans="1:33">
      <c r="A42" s="105" t="s">
        <v>429</v>
      </c>
      <c r="B42" s="105" t="s">
        <v>389</v>
      </c>
      <c r="C42" s="105" t="s">
        <v>143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200">
        <f t="shared" si="23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4"/>
        <v>0</v>
      </c>
      <c r="AD42" s="72">
        <f t="shared" si="25"/>
        <v>0</v>
      </c>
      <c r="AE42" s="192" t="e">
        <f t="shared" si="26"/>
        <v>#DIV/0!</v>
      </c>
      <c r="AF42" s="129">
        <v>0</v>
      </c>
      <c r="AG42" s="124">
        <f t="shared" si="17"/>
        <v>0</v>
      </c>
    </row>
    <row r="43" spans="1:33">
      <c r="A43" s="105" t="s">
        <v>180</v>
      </c>
      <c r="B43" s="105" t="s">
        <v>389</v>
      </c>
      <c r="C43" s="105" t="s">
        <v>144</v>
      </c>
      <c r="D43" s="174">
        <f t="shared" ref="D43:O43" si="27">+D138+D139+D140</f>
        <v>10648.28</v>
      </c>
      <c r="E43" s="174">
        <f t="shared" si="27"/>
        <v>8573.83</v>
      </c>
      <c r="F43" s="174">
        <f t="shared" si="27"/>
        <v>8591.83</v>
      </c>
      <c r="G43" s="174">
        <f t="shared" si="27"/>
        <v>9329.3100000000013</v>
      </c>
      <c r="H43" s="174">
        <f t="shared" si="27"/>
        <v>9396.3100000000013</v>
      </c>
      <c r="I43" s="174">
        <f t="shared" si="27"/>
        <v>8673.83</v>
      </c>
      <c r="J43" s="174">
        <f t="shared" si="27"/>
        <v>8667.83</v>
      </c>
      <c r="K43" s="174">
        <f t="shared" si="27"/>
        <v>8680.83</v>
      </c>
      <c r="L43" s="174">
        <f t="shared" si="27"/>
        <v>8690.83</v>
      </c>
      <c r="M43" s="174">
        <f t="shared" si="27"/>
        <v>11370.77</v>
      </c>
      <c r="N43" s="174">
        <f t="shared" si="27"/>
        <v>8646.83</v>
      </c>
      <c r="O43" s="174">
        <f t="shared" si="27"/>
        <v>8643.83</v>
      </c>
      <c r="P43" s="200">
        <f t="shared" si="23"/>
        <v>109914.31000000001</v>
      </c>
      <c r="Q43" s="72">
        <v>23497.89</v>
      </c>
      <c r="R43" s="72">
        <v>28607.94</v>
      </c>
      <c r="S43" s="72">
        <v>11241.35</v>
      </c>
      <c r="T43" s="72">
        <v>5396.14</v>
      </c>
      <c r="U43" s="72">
        <v>10835.32</v>
      </c>
      <c r="V43" s="72">
        <v>13346.76</v>
      </c>
      <c r="W43" s="72">
        <v>13473.48</v>
      </c>
      <c r="X43" s="72">
        <v>9160.73</v>
      </c>
      <c r="Y43" s="72">
        <v>7250</v>
      </c>
      <c r="Z43" s="72">
        <v>7250</v>
      </c>
      <c r="AA43" s="72">
        <v>7250</v>
      </c>
      <c r="AB43" s="72">
        <v>7250</v>
      </c>
      <c r="AC43" s="127">
        <f t="shared" si="24"/>
        <v>144559.60999999999</v>
      </c>
      <c r="AD43" s="72">
        <f t="shared" si="25"/>
        <v>-34645.299999999974</v>
      </c>
      <c r="AE43" s="192">
        <f t="shared" si="26"/>
        <v>-0.23966099521159456</v>
      </c>
      <c r="AF43" s="129">
        <v>16251.349999999999</v>
      </c>
      <c r="AG43" s="124">
        <f t="shared" si="17"/>
        <v>-93662.960000000021</v>
      </c>
    </row>
    <row r="44" spans="1:33">
      <c r="A44" s="105" t="s">
        <v>181</v>
      </c>
      <c r="B44" s="105" t="s">
        <v>389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200">
        <f t="shared" si="23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4"/>
        <v>0</v>
      </c>
      <c r="AD44" s="72">
        <f t="shared" si="25"/>
        <v>0</v>
      </c>
      <c r="AE44" s="192" t="e">
        <f t="shared" si="26"/>
        <v>#DIV/0!</v>
      </c>
      <c r="AF44" s="129">
        <v>0</v>
      </c>
      <c r="AG44" s="124">
        <f t="shared" si="17"/>
        <v>0</v>
      </c>
    </row>
    <row r="45" spans="1:33">
      <c r="A45" s="105" t="s">
        <v>430</v>
      </c>
      <c r="B45" s="105" t="s">
        <v>389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200">
        <f t="shared" si="23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4"/>
        <v>0</v>
      </c>
      <c r="AD45" s="72">
        <f t="shared" si="25"/>
        <v>0</v>
      </c>
      <c r="AE45" s="192" t="e">
        <f t="shared" si="26"/>
        <v>#DIV/0!</v>
      </c>
      <c r="AF45" s="129">
        <v>0</v>
      </c>
      <c r="AG45" s="124">
        <f t="shared" si="17"/>
        <v>0</v>
      </c>
    </row>
    <row r="46" spans="1:33">
      <c r="A46" s="105" t="s">
        <v>183</v>
      </c>
      <c r="B46" s="105" t="s">
        <v>389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200">
        <f t="shared" si="23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4"/>
        <v>0</v>
      </c>
      <c r="AD46" s="72">
        <f t="shared" si="25"/>
        <v>0</v>
      </c>
      <c r="AE46" s="192" t="e">
        <f t="shared" si="26"/>
        <v>#DIV/0!</v>
      </c>
      <c r="AF46" s="129">
        <v>0</v>
      </c>
      <c r="AG46" s="124">
        <f t="shared" si="17"/>
        <v>0</v>
      </c>
    </row>
    <row r="47" spans="1:33">
      <c r="A47" s="105" t="s">
        <v>273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200">
        <f t="shared" si="23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4"/>
        <v>0</v>
      </c>
      <c r="AD47" s="72">
        <f t="shared" si="25"/>
        <v>0</v>
      </c>
      <c r="AE47" s="192" t="e">
        <f t="shared" si="26"/>
        <v>#DIV/0!</v>
      </c>
      <c r="AF47" s="129">
        <v>0</v>
      </c>
      <c r="AG47" s="124">
        <f t="shared" si="17"/>
        <v>0</v>
      </c>
    </row>
    <row r="48" spans="1:33">
      <c r="A48" s="105" t="s">
        <v>185</v>
      </c>
      <c r="B48" s="105" t="s">
        <v>389</v>
      </c>
      <c r="C48" s="105" t="s">
        <v>186</v>
      </c>
      <c r="D48" s="72">
        <v>200</v>
      </c>
      <c r="E48" s="72">
        <v>200</v>
      </c>
      <c r="F48" s="72">
        <v>200</v>
      </c>
      <c r="G48" s="72">
        <v>200</v>
      </c>
      <c r="H48" s="72">
        <v>200</v>
      </c>
      <c r="I48" s="72">
        <v>200</v>
      </c>
      <c r="J48" s="72">
        <v>200</v>
      </c>
      <c r="K48" s="72">
        <v>200</v>
      </c>
      <c r="L48" s="72">
        <v>200</v>
      </c>
      <c r="M48" s="72">
        <v>200</v>
      </c>
      <c r="N48" s="72">
        <v>200</v>
      </c>
      <c r="O48" s="72">
        <v>200</v>
      </c>
      <c r="P48" s="200">
        <f t="shared" si="23"/>
        <v>2400</v>
      </c>
      <c r="Q48" s="72">
        <v>0</v>
      </c>
      <c r="R48" s="72">
        <v>531.04</v>
      </c>
      <c r="S48" s="72">
        <v>265.52</v>
      </c>
      <c r="T48" s="72">
        <v>265.52</v>
      </c>
      <c r="U48" s="72">
        <v>265.52</v>
      </c>
      <c r="V48" s="72">
        <v>265.52</v>
      </c>
      <c r="W48" s="72">
        <v>265.52</v>
      </c>
      <c r="X48" s="72">
        <v>265.52</v>
      </c>
      <c r="Y48" s="72">
        <v>310</v>
      </c>
      <c r="Z48" s="72">
        <v>310</v>
      </c>
      <c r="AA48" s="72">
        <v>310</v>
      </c>
      <c r="AB48" s="72">
        <v>310</v>
      </c>
      <c r="AC48" s="127">
        <f t="shared" si="24"/>
        <v>3364.16</v>
      </c>
      <c r="AD48" s="72">
        <f t="shared" si="25"/>
        <v>-964.15999999999985</v>
      </c>
      <c r="AE48" s="192">
        <f t="shared" si="26"/>
        <v>-0.28659754589555786</v>
      </c>
      <c r="AF48" s="129">
        <v>3360</v>
      </c>
      <c r="AG48" s="124">
        <f t="shared" si="17"/>
        <v>960</v>
      </c>
    </row>
    <row r="49" spans="1:33">
      <c r="A49" s="105" t="s">
        <v>187</v>
      </c>
      <c r="B49" s="105" t="s">
        <v>389</v>
      </c>
      <c r="C49" s="105" t="s">
        <v>188</v>
      </c>
      <c r="D49" s="72">
        <v>1000</v>
      </c>
      <c r="E49" s="72">
        <v>1000</v>
      </c>
      <c r="F49" s="72">
        <v>1000</v>
      </c>
      <c r="G49" s="72">
        <v>1000</v>
      </c>
      <c r="H49" s="72">
        <v>1000</v>
      </c>
      <c r="I49" s="72">
        <v>1000</v>
      </c>
      <c r="J49" s="72">
        <v>1000</v>
      </c>
      <c r="K49" s="72">
        <v>1000</v>
      </c>
      <c r="L49" s="72">
        <v>1000</v>
      </c>
      <c r="M49" s="72">
        <v>1000</v>
      </c>
      <c r="N49" s="72">
        <v>1000</v>
      </c>
      <c r="O49" s="72">
        <v>1000</v>
      </c>
      <c r="P49" s="200">
        <f t="shared" si="23"/>
        <v>12000</v>
      </c>
      <c r="Q49" s="72">
        <v>397.2</v>
      </c>
      <c r="R49" s="72">
        <v>494.1</v>
      </c>
      <c r="S49" s="72">
        <v>1116.3499999999999</v>
      </c>
      <c r="T49" s="72">
        <v>946.5</v>
      </c>
      <c r="U49" s="72">
        <v>820</v>
      </c>
      <c r="V49" s="72">
        <v>940</v>
      </c>
      <c r="W49" s="72">
        <v>610</v>
      </c>
      <c r="X49" s="72">
        <v>1075.1099999999999</v>
      </c>
      <c r="Y49" s="72">
        <v>2000</v>
      </c>
      <c r="Z49" s="72">
        <v>2000</v>
      </c>
      <c r="AA49" s="72">
        <v>2000</v>
      </c>
      <c r="AB49" s="72">
        <v>2000</v>
      </c>
      <c r="AC49" s="127">
        <f t="shared" si="24"/>
        <v>14399.259999999998</v>
      </c>
      <c r="AD49" s="72">
        <f t="shared" si="25"/>
        <v>-2399.2599999999984</v>
      </c>
      <c r="AE49" s="192">
        <f t="shared" si="26"/>
        <v>-0.16662384039179781</v>
      </c>
      <c r="AF49" s="129">
        <v>20256.86</v>
      </c>
      <c r="AG49" s="124">
        <f t="shared" si="17"/>
        <v>8256.86</v>
      </c>
    </row>
    <row r="50" spans="1:33">
      <c r="A50" s="105" t="s">
        <v>195</v>
      </c>
      <c r="B50" s="105" t="s">
        <v>389</v>
      </c>
      <c r="C50" s="105" t="s">
        <v>196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200">
        <f t="shared" si="23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4"/>
        <v>0</v>
      </c>
      <c r="AD50" s="72">
        <f t="shared" si="25"/>
        <v>0</v>
      </c>
      <c r="AE50" s="192" t="e">
        <f t="shared" si="26"/>
        <v>#DIV/0!</v>
      </c>
      <c r="AF50" s="129">
        <v>0</v>
      </c>
      <c r="AG50" s="124">
        <f t="shared" si="17"/>
        <v>0</v>
      </c>
    </row>
    <row r="51" spans="1:33">
      <c r="A51" s="105" t="s">
        <v>197</v>
      </c>
      <c r="B51" s="105" t="s">
        <v>389</v>
      </c>
      <c r="C51" s="105" t="s">
        <v>305</v>
      </c>
      <c r="D51" s="72">
        <v>1500</v>
      </c>
      <c r="E51" s="72">
        <v>1500</v>
      </c>
      <c r="F51" s="72">
        <v>1500</v>
      </c>
      <c r="G51" s="72">
        <v>1500</v>
      </c>
      <c r="H51" s="72">
        <v>1500</v>
      </c>
      <c r="I51" s="72">
        <v>1500</v>
      </c>
      <c r="J51" s="72">
        <v>1500</v>
      </c>
      <c r="K51" s="72">
        <v>1500</v>
      </c>
      <c r="L51" s="72">
        <v>1500</v>
      </c>
      <c r="M51" s="72">
        <v>1500</v>
      </c>
      <c r="N51" s="72">
        <v>1500</v>
      </c>
      <c r="O51" s="72">
        <v>1500</v>
      </c>
      <c r="P51" s="200">
        <f t="shared" si="23"/>
        <v>18000</v>
      </c>
      <c r="Q51" s="72">
        <v>350</v>
      </c>
      <c r="R51" s="72">
        <v>350</v>
      </c>
      <c r="S51" s="72">
        <v>3148.48</v>
      </c>
      <c r="T51" s="72">
        <v>0</v>
      </c>
      <c r="U51" s="72">
        <v>-888.95</v>
      </c>
      <c r="V51" s="72">
        <v>1661.74</v>
      </c>
      <c r="W51" s="72">
        <v>525</v>
      </c>
      <c r="X51" s="72">
        <v>1253.3499999999999</v>
      </c>
      <c r="Y51" s="72">
        <v>300</v>
      </c>
      <c r="Z51" s="72">
        <v>300</v>
      </c>
      <c r="AA51" s="72">
        <v>300</v>
      </c>
      <c r="AB51" s="72">
        <v>300</v>
      </c>
      <c r="AC51" s="127">
        <f t="shared" si="24"/>
        <v>7599.619999999999</v>
      </c>
      <c r="AD51" s="72">
        <f t="shared" si="25"/>
        <v>10400.380000000001</v>
      </c>
      <c r="AE51" s="192">
        <f t="shared" si="26"/>
        <v>1.3685394796055594</v>
      </c>
      <c r="AF51" s="129">
        <v>2952.83</v>
      </c>
      <c r="AG51" s="124">
        <f t="shared" si="17"/>
        <v>-15047.17</v>
      </c>
    </row>
    <row r="52" spans="1:33">
      <c r="A52" s="105" t="s">
        <v>434</v>
      </c>
      <c r="B52" s="105" t="s">
        <v>389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200">
        <f t="shared" si="23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4"/>
        <v>0</v>
      </c>
      <c r="AD52" s="72">
        <f t="shared" si="25"/>
        <v>0</v>
      </c>
      <c r="AE52" s="192" t="e">
        <f t="shared" si="26"/>
        <v>#DIV/0!</v>
      </c>
      <c r="AF52" s="129">
        <v>0</v>
      </c>
      <c r="AG52" s="124">
        <f t="shared" si="17"/>
        <v>0</v>
      </c>
    </row>
    <row r="53" spans="1:33">
      <c r="A53" s="105" t="s">
        <v>436</v>
      </c>
      <c r="B53" s="105" t="s">
        <v>389</v>
      </c>
      <c r="C53" s="105" t="s">
        <v>437</v>
      </c>
      <c r="D53" s="72">
        <v>500</v>
      </c>
      <c r="E53" s="72">
        <v>500</v>
      </c>
      <c r="F53" s="72">
        <v>500</v>
      </c>
      <c r="G53" s="72">
        <v>0</v>
      </c>
      <c r="H53" s="72">
        <v>0</v>
      </c>
      <c r="I53" s="72">
        <v>0</v>
      </c>
      <c r="J53" s="72">
        <v>500</v>
      </c>
      <c r="K53" s="72">
        <v>500</v>
      </c>
      <c r="L53" s="72">
        <v>0</v>
      </c>
      <c r="M53" s="72">
        <v>0</v>
      </c>
      <c r="N53" s="72">
        <v>0</v>
      </c>
      <c r="O53" s="72">
        <v>500</v>
      </c>
      <c r="P53" s="200">
        <f t="shared" si="23"/>
        <v>3000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4"/>
        <v>0</v>
      </c>
      <c r="AD53" s="72">
        <f t="shared" si="25"/>
        <v>3000</v>
      </c>
      <c r="AE53" s="192" t="e">
        <f t="shared" si="26"/>
        <v>#DIV/0!</v>
      </c>
      <c r="AF53" s="129">
        <v>0</v>
      </c>
      <c r="AG53" s="124">
        <f t="shared" si="17"/>
        <v>-3000</v>
      </c>
    </row>
    <row r="54" spans="1:33">
      <c r="A54" s="105" t="s">
        <v>199</v>
      </c>
      <c r="B54" s="105" t="s">
        <v>389</v>
      </c>
      <c r="C54" s="105" t="s">
        <v>200</v>
      </c>
      <c r="D54" s="72">
        <v>500</v>
      </c>
      <c r="E54" s="72">
        <v>500</v>
      </c>
      <c r="F54" s="72">
        <v>500</v>
      </c>
      <c r="G54" s="72">
        <v>0</v>
      </c>
      <c r="H54" s="72">
        <v>0</v>
      </c>
      <c r="I54" s="72">
        <v>0</v>
      </c>
      <c r="J54" s="72">
        <v>500</v>
      </c>
      <c r="K54" s="72">
        <v>500</v>
      </c>
      <c r="L54" s="72">
        <v>0</v>
      </c>
      <c r="M54" s="72">
        <v>0</v>
      </c>
      <c r="N54" s="72">
        <v>0</v>
      </c>
      <c r="O54" s="72">
        <v>500</v>
      </c>
      <c r="P54" s="200">
        <f t="shared" si="23"/>
        <v>3000</v>
      </c>
      <c r="Q54" s="72">
        <v>200</v>
      </c>
      <c r="R54" s="72">
        <v>200</v>
      </c>
      <c r="S54" s="72">
        <v>200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4"/>
        <v>600</v>
      </c>
      <c r="AD54" s="72">
        <f t="shared" si="25"/>
        <v>2400</v>
      </c>
      <c r="AE54" s="192">
        <f t="shared" si="26"/>
        <v>4</v>
      </c>
      <c r="AF54" s="129">
        <v>0</v>
      </c>
      <c r="AG54" s="124">
        <f t="shared" si="17"/>
        <v>-3000</v>
      </c>
    </row>
    <row r="55" spans="1:33">
      <c r="A55" s="105" t="s">
        <v>438</v>
      </c>
      <c r="B55" s="105" t="s">
        <v>389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200">
        <f t="shared" si="23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4"/>
        <v>0</v>
      </c>
      <c r="AD55" s="72">
        <f t="shared" si="25"/>
        <v>0</v>
      </c>
      <c r="AE55" s="192" t="e">
        <f t="shared" si="26"/>
        <v>#DIV/0!</v>
      </c>
      <c r="AF55" s="129">
        <v>0</v>
      </c>
      <c r="AG55" s="124">
        <f t="shared" si="17"/>
        <v>0</v>
      </c>
    </row>
    <row r="56" spans="1:33">
      <c r="A56" s="105" t="s">
        <v>201</v>
      </c>
      <c r="B56" s="105" t="s">
        <v>389</v>
      </c>
      <c r="C56" s="105" t="s">
        <v>202</v>
      </c>
      <c r="D56" s="72">
        <v>1000</v>
      </c>
      <c r="E56" s="72">
        <v>1000</v>
      </c>
      <c r="F56" s="72">
        <v>1000</v>
      </c>
      <c r="G56" s="72">
        <v>1000</v>
      </c>
      <c r="H56" s="72">
        <v>1000</v>
      </c>
      <c r="I56" s="72">
        <v>0</v>
      </c>
      <c r="J56" s="72">
        <v>1000</v>
      </c>
      <c r="K56" s="72">
        <v>1000</v>
      </c>
      <c r="L56" s="72">
        <v>0</v>
      </c>
      <c r="M56" s="72">
        <v>1000</v>
      </c>
      <c r="N56" s="72">
        <v>1000</v>
      </c>
      <c r="O56" s="72">
        <v>1000</v>
      </c>
      <c r="P56" s="200">
        <f t="shared" si="23"/>
        <v>10000</v>
      </c>
      <c r="Q56" s="72">
        <v>-10619.46</v>
      </c>
      <c r="R56" s="72">
        <v>0</v>
      </c>
      <c r="S56" s="72">
        <v>0</v>
      </c>
      <c r="T56" s="72">
        <v>0</v>
      </c>
      <c r="U56" s="72">
        <v>0</v>
      </c>
      <c r="V56" s="72">
        <v>-28.3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24"/>
        <v>-10647.759999999998</v>
      </c>
      <c r="AD56" s="72">
        <f t="shared" si="25"/>
        <v>20647.759999999998</v>
      </c>
      <c r="AE56" s="192">
        <f t="shared" si="26"/>
        <v>-1.9391646693764699</v>
      </c>
      <c r="AF56" s="129">
        <v>97043.040000000008</v>
      </c>
      <c r="AG56" s="124">
        <f t="shared" si="17"/>
        <v>87043.040000000008</v>
      </c>
    </row>
    <row r="57" spans="1:33">
      <c r="A57" s="105" t="s">
        <v>440</v>
      </c>
      <c r="B57" s="105" t="s">
        <v>389</v>
      </c>
      <c r="C57" s="105" t="s">
        <v>441</v>
      </c>
      <c r="D57" s="72">
        <v>0</v>
      </c>
      <c r="E57" s="72">
        <v>20000</v>
      </c>
      <c r="F57" s="72">
        <v>0</v>
      </c>
      <c r="G57" s="72">
        <v>0</v>
      </c>
      <c r="H57" s="72">
        <v>20000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200">
        <f t="shared" si="23"/>
        <v>40000</v>
      </c>
      <c r="Q57" s="72">
        <v>15000</v>
      </c>
      <c r="R57" s="72">
        <v>20000</v>
      </c>
      <c r="S57" s="72">
        <v>2000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4"/>
        <v>37000</v>
      </c>
      <c r="AD57" s="72">
        <f t="shared" si="25"/>
        <v>3000</v>
      </c>
      <c r="AE57" s="192">
        <f t="shared" si="26"/>
        <v>8.1081081081081086E-2</v>
      </c>
      <c r="AF57" s="129">
        <v>399.95</v>
      </c>
      <c r="AG57" s="124">
        <f t="shared" si="17"/>
        <v>-39600.050000000003</v>
      </c>
    </row>
    <row r="58" spans="1:33">
      <c r="A58" s="105" t="s">
        <v>442</v>
      </c>
      <c r="B58" s="105" t="s">
        <v>389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200">
        <f t="shared" si="23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4"/>
        <v>0</v>
      </c>
      <c r="AD58" s="72">
        <f t="shared" si="25"/>
        <v>0</v>
      </c>
      <c r="AE58" s="192" t="e">
        <f t="shared" si="26"/>
        <v>#DIV/0!</v>
      </c>
      <c r="AF58" s="129">
        <v>633.20000000000005</v>
      </c>
      <c r="AG58" s="124">
        <f t="shared" si="17"/>
        <v>633.20000000000005</v>
      </c>
    </row>
    <row r="59" spans="1:33">
      <c r="A59" s="105" t="s">
        <v>203</v>
      </c>
      <c r="B59" s="105" t="s">
        <v>389</v>
      </c>
      <c r="C59" s="105" t="s">
        <v>204</v>
      </c>
      <c r="D59" s="72">
        <v>619</v>
      </c>
      <c r="E59" s="72">
        <v>619</v>
      </c>
      <c r="F59" s="72">
        <v>619</v>
      </c>
      <c r="G59" s="72">
        <v>619</v>
      </c>
      <c r="H59" s="72">
        <v>619</v>
      </c>
      <c r="I59" s="72">
        <v>619</v>
      </c>
      <c r="J59" s="72">
        <v>619</v>
      </c>
      <c r="K59" s="72">
        <v>619</v>
      </c>
      <c r="L59" s="72">
        <v>619</v>
      </c>
      <c r="M59" s="72">
        <v>619</v>
      </c>
      <c r="N59" s="72">
        <v>619</v>
      </c>
      <c r="O59" s="72">
        <v>619</v>
      </c>
      <c r="P59" s="200">
        <f t="shared" si="23"/>
        <v>7428</v>
      </c>
      <c r="Q59" s="72">
        <v>687</v>
      </c>
      <c r="R59" s="72">
        <v>687</v>
      </c>
      <c r="S59" s="72">
        <v>687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4"/>
        <v>2061</v>
      </c>
      <c r="AD59" s="72">
        <f t="shared" si="25"/>
        <v>5367</v>
      </c>
      <c r="AE59" s="192">
        <f t="shared" si="26"/>
        <v>2.6040756914119361</v>
      </c>
      <c r="AF59" s="129">
        <v>11124.26</v>
      </c>
      <c r="AG59" s="124">
        <f t="shared" si="17"/>
        <v>3696.26</v>
      </c>
    </row>
    <row r="60" spans="1:33">
      <c r="A60" s="105" t="s">
        <v>444</v>
      </c>
      <c r="B60" s="105" t="s">
        <v>389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200">
        <f t="shared" si="23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4"/>
        <v>0</v>
      </c>
      <c r="AD60" s="72">
        <f t="shared" si="25"/>
        <v>0</v>
      </c>
      <c r="AE60" s="192" t="e">
        <f t="shared" si="26"/>
        <v>#DIV/0!</v>
      </c>
      <c r="AF60" s="129">
        <v>175</v>
      </c>
      <c r="AG60" s="124">
        <f t="shared" si="17"/>
        <v>175</v>
      </c>
    </row>
    <row r="61" spans="1:33">
      <c r="A61" s="105" t="s">
        <v>446</v>
      </c>
      <c r="B61" s="105" t="s">
        <v>389</v>
      </c>
      <c r="C61" s="105" t="s">
        <v>447</v>
      </c>
      <c r="D61" s="72">
        <v>300</v>
      </c>
      <c r="E61" s="72">
        <v>300</v>
      </c>
      <c r="F61" s="72">
        <v>300</v>
      </c>
      <c r="G61" s="72">
        <v>300</v>
      </c>
      <c r="H61" s="72">
        <v>300</v>
      </c>
      <c r="I61" s="72">
        <v>300</v>
      </c>
      <c r="J61" s="72">
        <v>300</v>
      </c>
      <c r="K61" s="72">
        <v>300</v>
      </c>
      <c r="L61" s="72">
        <v>300</v>
      </c>
      <c r="M61" s="72">
        <v>300</v>
      </c>
      <c r="N61" s="72">
        <v>300</v>
      </c>
      <c r="O61" s="72">
        <v>300</v>
      </c>
      <c r="P61" s="200">
        <f t="shared" si="23"/>
        <v>3600</v>
      </c>
      <c r="Q61" s="72">
        <v>0</v>
      </c>
      <c r="R61" s="72">
        <v>0</v>
      </c>
      <c r="S61" s="72">
        <v>143.69</v>
      </c>
      <c r="T61" s="72">
        <v>364.78</v>
      </c>
      <c r="U61" s="72">
        <v>364.78</v>
      </c>
      <c r="V61" s="72">
        <v>364.78</v>
      </c>
      <c r="W61" s="72">
        <v>590.02</v>
      </c>
      <c r="X61" s="72">
        <v>364.78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4"/>
        <v>2192.83</v>
      </c>
      <c r="AD61" s="72">
        <f t="shared" si="25"/>
        <v>1407.17</v>
      </c>
      <c r="AE61" s="192">
        <f t="shared" si="26"/>
        <v>0.64171413196645433</v>
      </c>
      <c r="AF61" s="129">
        <v>0</v>
      </c>
      <c r="AG61" s="124">
        <f t="shared" si="17"/>
        <v>-3600</v>
      </c>
    </row>
    <row r="62" spans="1:33">
      <c r="A62" s="105" t="s">
        <v>273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200">
        <f t="shared" si="23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4"/>
        <v>0</v>
      </c>
      <c r="AD62" s="72">
        <f t="shared" si="25"/>
        <v>0</v>
      </c>
      <c r="AE62" s="192" t="e">
        <f t="shared" si="26"/>
        <v>#DIV/0!</v>
      </c>
      <c r="AF62" s="129">
        <v>0</v>
      </c>
      <c r="AG62" s="124">
        <f t="shared" si="17"/>
        <v>0</v>
      </c>
    </row>
    <row r="63" spans="1:33">
      <c r="A63" s="105" t="s">
        <v>207</v>
      </c>
      <c r="B63" s="105" t="s">
        <v>389</v>
      </c>
      <c r="C63" s="105" t="s">
        <v>208</v>
      </c>
      <c r="D63" s="72">
        <v>4000</v>
      </c>
      <c r="E63" s="72">
        <v>4000</v>
      </c>
      <c r="F63" s="72">
        <v>3000</v>
      </c>
      <c r="G63" s="72">
        <v>3000</v>
      </c>
      <c r="H63" s="72">
        <v>3000</v>
      </c>
      <c r="I63" s="72">
        <v>3000</v>
      </c>
      <c r="J63" s="72">
        <v>3000</v>
      </c>
      <c r="K63" s="72">
        <v>3000</v>
      </c>
      <c r="L63" s="72">
        <v>3000</v>
      </c>
      <c r="M63" s="72">
        <v>3000</v>
      </c>
      <c r="N63" s="72">
        <v>3000</v>
      </c>
      <c r="O63" s="72">
        <v>3000</v>
      </c>
      <c r="P63" s="200">
        <f t="shared" si="23"/>
        <v>38000</v>
      </c>
      <c r="Q63" s="72">
        <v>1047.08</v>
      </c>
      <c r="R63" s="72">
        <v>602.63</v>
      </c>
      <c r="S63" s="72">
        <v>4074.77</v>
      </c>
      <c r="T63" s="72">
        <v>4852.62</v>
      </c>
      <c r="U63" s="72">
        <v>4461.6499999999996</v>
      </c>
      <c r="V63" s="72">
        <v>3486.8</v>
      </c>
      <c r="W63" s="72">
        <v>2817.51</v>
      </c>
      <c r="X63" s="72">
        <v>4507.8900000000003</v>
      </c>
      <c r="Y63" s="72">
        <v>3000</v>
      </c>
      <c r="Z63" s="72">
        <v>3000</v>
      </c>
      <c r="AA63" s="72">
        <v>3000</v>
      </c>
      <c r="AB63" s="72">
        <v>3000</v>
      </c>
      <c r="AC63" s="127">
        <f t="shared" si="24"/>
        <v>37850.949999999997</v>
      </c>
      <c r="AD63" s="72">
        <f t="shared" si="25"/>
        <v>149.05000000000291</v>
      </c>
      <c r="AE63" s="192">
        <f t="shared" si="26"/>
        <v>3.9378139782489715E-3</v>
      </c>
      <c r="AF63" s="129">
        <v>68626.97</v>
      </c>
      <c r="AG63" s="124">
        <f t="shared" si="17"/>
        <v>30626.97</v>
      </c>
    </row>
    <row r="64" spans="1:33">
      <c r="A64" s="105" t="s">
        <v>449</v>
      </c>
      <c r="B64" s="105" t="s">
        <v>389</v>
      </c>
      <c r="C64" s="105" t="s">
        <v>450</v>
      </c>
      <c r="D64" s="72">
        <v>38000</v>
      </c>
      <c r="E64" s="72">
        <v>38000</v>
      </c>
      <c r="F64" s="72">
        <v>38000</v>
      </c>
      <c r="G64" s="72">
        <v>38000</v>
      </c>
      <c r="H64" s="72">
        <v>38000</v>
      </c>
      <c r="I64" s="72">
        <v>38000</v>
      </c>
      <c r="J64" s="72">
        <v>38000</v>
      </c>
      <c r="K64" s="72">
        <v>38000</v>
      </c>
      <c r="L64" s="72">
        <v>38000</v>
      </c>
      <c r="M64" s="72">
        <v>38000</v>
      </c>
      <c r="N64" s="72">
        <v>38000</v>
      </c>
      <c r="O64" s="72">
        <v>38000</v>
      </c>
      <c r="P64" s="200">
        <f t="shared" si="23"/>
        <v>456000</v>
      </c>
      <c r="Q64" s="72">
        <v>36906.800000000003</v>
      </c>
      <c r="R64" s="72">
        <v>36906.800000000003</v>
      </c>
      <c r="S64" s="72">
        <v>41114.35</v>
      </c>
      <c r="T64" s="72">
        <v>41114.35</v>
      </c>
      <c r="U64" s="72">
        <v>41114.35</v>
      </c>
      <c r="V64" s="72">
        <v>41054.25</v>
      </c>
      <c r="W64" s="72">
        <v>41054.25</v>
      </c>
      <c r="X64" s="72">
        <v>41054.25</v>
      </c>
      <c r="Y64" s="72">
        <v>41054.25</v>
      </c>
      <c r="Z64" s="72">
        <v>38728</v>
      </c>
      <c r="AA64" s="72">
        <v>38728</v>
      </c>
      <c r="AB64" s="72">
        <v>38728</v>
      </c>
      <c r="AC64" s="127">
        <f t="shared" si="24"/>
        <v>477557.65</v>
      </c>
      <c r="AD64" s="72">
        <f t="shared" si="25"/>
        <v>-21557.650000000023</v>
      </c>
      <c r="AE64" s="192">
        <f t="shared" si="26"/>
        <v>-4.5141460931470832E-2</v>
      </c>
      <c r="AF64" s="129">
        <v>468919.52999999991</v>
      </c>
      <c r="AG64" s="124">
        <f t="shared" si="17"/>
        <v>12919.529999999912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200">
        <f t="shared" si="23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4"/>
        <v>0</v>
      </c>
      <c r="AD65" s="72">
        <f t="shared" si="25"/>
        <v>0</v>
      </c>
      <c r="AE65" s="192" t="e">
        <f t="shared" si="26"/>
        <v>#DIV/0!</v>
      </c>
      <c r="AF65" s="129">
        <v>0</v>
      </c>
      <c r="AG65" s="124">
        <f t="shared" si="17"/>
        <v>0</v>
      </c>
    </row>
    <row r="66" spans="1:33">
      <c r="A66" s="105" t="s">
        <v>452</v>
      </c>
      <c r="B66" s="105" t="s">
        <v>389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200">
        <f t="shared" si="23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4"/>
        <v>0</v>
      </c>
      <c r="AD66" s="72">
        <f t="shared" si="25"/>
        <v>0</v>
      </c>
      <c r="AE66" s="192" t="e">
        <f t="shared" si="26"/>
        <v>#DIV/0!</v>
      </c>
      <c r="AF66" s="129">
        <v>0</v>
      </c>
      <c r="AG66" s="124">
        <f t="shared" si="17"/>
        <v>0</v>
      </c>
    </row>
    <row r="67" spans="1:33">
      <c r="A67" s="105" t="s">
        <v>454</v>
      </c>
      <c r="B67" s="105" t="s">
        <v>389</v>
      </c>
      <c r="C67" s="105" t="s">
        <v>455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200">
        <f t="shared" si="23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4"/>
        <v>0</v>
      </c>
      <c r="AD67" s="136">
        <f t="shared" si="25"/>
        <v>0</v>
      </c>
      <c r="AE67" s="196" t="e">
        <f t="shared" si="26"/>
        <v>#DIV/0!</v>
      </c>
      <c r="AF67" s="133">
        <v>0</v>
      </c>
      <c r="AG67" s="124">
        <f t="shared" si="17"/>
        <v>0</v>
      </c>
    </row>
    <row r="68" spans="1:33">
      <c r="A68" s="105" t="s">
        <v>456</v>
      </c>
      <c r="B68" s="105" t="s">
        <v>389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200">
        <f t="shared" si="23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4"/>
        <v>0</v>
      </c>
      <c r="AD68" s="136">
        <f t="shared" si="25"/>
        <v>0</v>
      </c>
      <c r="AE68" s="196" t="e">
        <f t="shared" si="26"/>
        <v>#DIV/0!</v>
      </c>
      <c r="AF68" s="133">
        <v>0</v>
      </c>
      <c r="AG68" s="124">
        <f t="shared" si="17"/>
        <v>0</v>
      </c>
    </row>
    <row r="69" spans="1:33">
      <c r="A69" s="105" t="s">
        <v>273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200">
        <f t="shared" si="23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4"/>
        <v>0</v>
      </c>
      <c r="AD69" s="136">
        <f t="shared" si="25"/>
        <v>0</v>
      </c>
      <c r="AE69" s="196" t="e">
        <f t="shared" si="26"/>
        <v>#DIV/0!</v>
      </c>
      <c r="AF69" s="133">
        <v>0</v>
      </c>
      <c r="AG69" s="124">
        <f t="shared" si="17"/>
        <v>0</v>
      </c>
    </row>
    <row r="70" spans="1:33">
      <c r="A70" s="105" t="s">
        <v>209</v>
      </c>
      <c r="B70" s="105" t="s">
        <v>389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200">
        <f t="shared" si="23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4"/>
        <v>0</v>
      </c>
      <c r="AD70" s="136">
        <f t="shared" si="25"/>
        <v>0</v>
      </c>
      <c r="AE70" s="196" t="e">
        <f t="shared" si="26"/>
        <v>#DIV/0!</v>
      </c>
      <c r="AF70" s="133">
        <v>0</v>
      </c>
      <c r="AG70" s="124">
        <f t="shared" si="17"/>
        <v>0</v>
      </c>
    </row>
    <row r="71" spans="1:33">
      <c r="A71" s="105" t="s">
        <v>211</v>
      </c>
      <c r="B71" s="105" t="s">
        <v>389</v>
      </c>
      <c r="C71" s="105" t="s">
        <v>212</v>
      </c>
      <c r="D71" s="72">
        <v>300</v>
      </c>
      <c r="E71" s="72">
        <v>300</v>
      </c>
      <c r="F71" s="72">
        <v>300</v>
      </c>
      <c r="G71" s="72">
        <v>300</v>
      </c>
      <c r="H71" s="72">
        <v>300</v>
      </c>
      <c r="I71" s="72">
        <v>300</v>
      </c>
      <c r="J71" s="72">
        <v>300</v>
      </c>
      <c r="K71" s="72">
        <v>300</v>
      </c>
      <c r="L71" s="72">
        <v>300</v>
      </c>
      <c r="M71" s="72">
        <v>300</v>
      </c>
      <c r="N71" s="72">
        <v>300</v>
      </c>
      <c r="O71" s="72">
        <v>300</v>
      </c>
      <c r="P71" s="200">
        <f t="shared" si="23"/>
        <v>3600</v>
      </c>
      <c r="Q71" s="136">
        <v>270</v>
      </c>
      <c r="R71" s="136">
        <v>87.51</v>
      </c>
      <c r="S71" s="136">
        <v>0</v>
      </c>
      <c r="T71" s="136">
        <v>167</v>
      </c>
      <c r="U71" s="136">
        <v>255</v>
      </c>
      <c r="V71" s="136">
        <v>155</v>
      </c>
      <c r="W71" s="72">
        <v>1050.33</v>
      </c>
      <c r="X71" s="72">
        <v>472.66</v>
      </c>
      <c r="Y71" s="72">
        <v>0</v>
      </c>
      <c r="Z71" s="72">
        <v>0</v>
      </c>
      <c r="AA71" s="72">
        <v>0</v>
      </c>
      <c r="AB71" s="72">
        <v>0</v>
      </c>
      <c r="AC71" s="137">
        <f t="shared" si="24"/>
        <v>2457.5</v>
      </c>
      <c r="AD71" s="136">
        <f t="shared" si="25"/>
        <v>1142.5</v>
      </c>
      <c r="AE71" s="196">
        <f t="shared" si="26"/>
        <v>0.46490335707019331</v>
      </c>
      <c r="AF71" s="133">
        <v>3250.2299999999996</v>
      </c>
      <c r="AG71" s="124">
        <f t="shared" si="17"/>
        <v>-349.77000000000044</v>
      </c>
    </row>
    <row r="72" spans="1:33">
      <c r="A72" s="105" t="s">
        <v>213</v>
      </c>
      <c r="B72" s="105" t="s">
        <v>389</v>
      </c>
      <c r="C72" s="105" t="s">
        <v>214</v>
      </c>
      <c r="D72" s="222">
        <f>Laundry!E134</f>
        <v>407</v>
      </c>
      <c r="E72" s="222">
        <f>Laundry!F134</f>
        <v>371</v>
      </c>
      <c r="F72" s="222">
        <f>Laundry!G134</f>
        <v>375</v>
      </c>
      <c r="G72" s="222">
        <f>Laundry!H134</f>
        <v>385</v>
      </c>
      <c r="H72" s="222">
        <f>Laundry!I134</f>
        <v>396</v>
      </c>
      <c r="I72" s="222">
        <f>Laundry!J134</f>
        <v>379</v>
      </c>
      <c r="J72" s="222">
        <f>Laundry!K134</f>
        <v>404</v>
      </c>
      <c r="K72" s="222">
        <f>Laundry!L134</f>
        <v>402</v>
      </c>
      <c r="L72" s="222">
        <f>Laundry!M134</f>
        <v>388</v>
      </c>
      <c r="M72" s="222">
        <f>Laundry!N134</f>
        <v>441</v>
      </c>
      <c r="N72" s="222">
        <f>Laundry!O134</f>
        <v>390</v>
      </c>
      <c r="O72" s="222">
        <f>Laundry!P134</f>
        <v>388</v>
      </c>
      <c r="P72" s="200">
        <f t="shared" si="23"/>
        <v>4726</v>
      </c>
      <c r="Q72" s="136">
        <v>587</v>
      </c>
      <c r="R72" s="136">
        <v>584.04999999999995</v>
      </c>
      <c r="S72" s="136">
        <v>432</v>
      </c>
      <c r="T72" s="136">
        <v>377.17</v>
      </c>
      <c r="U72" s="136">
        <v>131.01</v>
      </c>
      <c r="V72" s="136">
        <v>421.46</v>
      </c>
      <c r="W72" s="72">
        <v>361.77</v>
      </c>
      <c r="X72" s="72">
        <v>293.27</v>
      </c>
      <c r="Y72" s="72">
        <v>439</v>
      </c>
      <c r="Z72" s="72">
        <v>491</v>
      </c>
      <c r="AA72" s="72">
        <v>412</v>
      </c>
      <c r="AB72" s="72">
        <v>422</v>
      </c>
      <c r="AC72" s="137">
        <f t="shared" si="24"/>
        <v>4951.7299999999996</v>
      </c>
      <c r="AD72" s="136">
        <f t="shared" si="25"/>
        <v>-225.72999999999956</v>
      </c>
      <c r="AE72" s="196">
        <f t="shared" si="26"/>
        <v>-4.5586088094463871E-2</v>
      </c>
      <c r="AF72" s="133">
        <v>3267.34</v>
      </c>
      <c r="AG72" s="124">
        <f t="shared" si="17"/>
        <v>-1458.6599999999999</v>
      </c>
    </row>
    <row r="73" spans="1:33">
      <c r="A73" s="105" t="s">
        <v>306</v>
      </c>
      <c r="B73" s="105" t="s">
        <v>389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200">
        <f t="shared" si="23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4"/>
        <v>0</v>
      </c>
      <c r="AD73" s="136">
        <f t="shared" si="25"/>
        <v>0</v>
      </c>
      <c r="AE73" s="196" t="e">
        <f t="shared" si="26"/>
        <v>#DIV/0!</v>
      </c>
      <c r="AF73" s="133">
        <v>0</v>
      </c>
      <c r="AG73" s="124">
        <f t="shared" si="17"/>
        <v>0</v>
      </c>
    </row>
    <row r="74" spans="1:33">
      <c r="A74" s="105" t="s">
        <v>215</v>
      </c>
      <c r="B74" s="105" t="s">
        <v>389</v>
      </c>
      <c r="C74" s="105" t="s">
        <v>216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72">
        <v>0</v>
      </c>
      <c r="O74" s="72">
        <v>0</v>
      </c>
      <c r="P74" s="200">
        <f t="shared" si="23"/>
        <v>0</v>
      </c>
      <c r="Q74" s="136"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72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137">
        <f t="shared" si="24"/>
        <v>0</v>
      </c>
      <c r="AD74" s="136">
        <f t="shared" si="25"/>
        <v>0</v>
      </c>
      <c r="AE74" s="196" t="e">
        <f t="shared" si="26"/>
        <v>#DIV/0!</v>
      </c>
      <c r="AF74" s="133">
        <v>769.79999999999984</v>
      </c>
      <c r="AG74" s="124">
        <f t="shared" si="17"/>
        <v>769.79999999999984</v>
      </c>
    </row>
    <row r="75" spans="1:33">
      <c r="A75" s="105" t="s">
        <v>217</v>
      </c>
      <c r="B75" s="105" t="s">
        <v>389</v>
      </c>
      <c r="C75" s="105" t="s">
        <v>218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200">
        <f t="shared" si="23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24"/>
        <v>0</v>
      </c>
      <c r="AD75" s="136">
        <f t="shared" si="25"/>
        <v>0</v>
      </c>
      <c r="AE75" s="196" t="e">
        <f t="shared" si="26"/>
        <v>#DIV/0!</v>
      </c>
      <c r="AF75" s="133">
        <v>361.1</v>
      </c>
      <c r="AG75" s="124">
        <f t="shared" si="17"/>
        <v>361.1</v>
      </c>
    </row>
    <row r="76" spans="1:33">
      <c r="A76" s="105" t="s">
        <v>219</v>
      </c>
      <c r="B76" s="105" t="s">
        <v>389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200">
        <f t="shared" si="23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4"/>
        <v>0</v>
      </c>
      <c r="AD76" s="136">
        <f t="shared" si="25"/>
        <v>0</v>
      </c>
      <c r="AE76" s="196" t="e">
        <f t="shared" si="26"/>
        <v>#DIV/0!</v>
      </c>
      <c r="AF76" s="133">
        <v>0</v>
      </c>
      <c r="AG76" s="124">
        <f t="shared" si="17"/>
        <v>0</v>
      </c>
    </row>
    <row r="77" spans="1:33">
      <c r="A77" s="105" t="s">
        <v>273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200">
        <f t="shared" si="23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4"/>
        <v>0</v>
      </c>
      <c r="AD77" s="136">
        <f t="shared" si="25"/>
        <v>0</v>
      </c>
      <c r="AE77" s="196" t="e">
        <f t="shared" si="26"/>
        <v>#DIV/0!</v>
      </c>
      <c r="AF77" s="133">
        <v>0</v>
      </c>
      <c r="AG77" s="124">
        <f t="shared" si="17"/>
        <v>0</v>
      </c>
    </row>
    <row r="78" spans="1:33">
      <c r="A78" s="105" t="s">
        <v>221</v>
      </c>
      <c r="B78" s="105" t="s">
        <v>389</v>
      </c>
      <c r="C78" s="105" t="s">
        <v>222</v>
      </c>
      <c r="D78" s="72">
        <v>10000</v>
      </c>
      <c r="E78" s="72">
        <v>10000</v>
      </c>
      <c r="F78" s="72">
        <v>10000</v>
      </c>
      <c r="G78" s="72">
        <v>10000</v>
      </c>
      <c r="H78" s="72">
        <v>10000</v>
      </c>
      <c r="I78" s="72">
        <v>10000</v>
      </c>
      <c r="J78" s="72">
        <v>10000</v>
      </c>
      <c r="K78" s="72">
        <v>10000</v>
      </c>
      <c r="L78" s="72">
        <v>10000</v>
      </c>
      <c r="M78" s="72">
        <v>10000</v>
      </c>
      <c r="N78" s="72">
        <v>10000</v>
      </c>
      <c r="O78" s="72">
        <v>10000</v>
      </c>
      <c r="P78" s="200">
        <f t="shared" si="23"/>
        <v>120000</v>
      </c>
      <c r="Q78" s="136">
        <v>0</v>
      </c>
      <c r="R78" s="136">
        <v>-247.79</v>
      </c>
      <c r="S78" s="136">
        <v>18914.61</v>
      </c>
      <c r="T78" s="136">
        <v>17303.39</v>
      </c>
      <c r="U78" s="136">
        <v>12572.82</v>
      </c>
      <c r="V78" s="136">
        <v>16674.759999999998</v>
      </c>
      <c r="W78" s="72">
        <v>37364.080000000002</v>
      </c>
      <c r="X78" s="72">
        <v>41148.07</v>
      </c>
      <c r="Y78" s="72">
        <v>15000</v>
      </c>
      <c r="Z78" s="72">
        <v>0</v>
      </c>
      <c r="AA78" s="72">
        <v>0</v>
      </c>
      <c r="AB78" s="72">
        <v>0</v>
      </c>
      <c r="AC78" s="137">
        <f t="shared" si="24"/>
        <v>158729.94</v>
      </c>
      <c r="AD78" s="136">
        <f t="shared" si="25"/>
        <v>-38729.94</v>
      </c>
      <c r="AE78" s="196">
        <f t="shared" si="26"/>
        <v>-0.24399895823056444</v>
      </c>
      <c r="AF78" s="133">
        <v>22270.190000000002</v>
      </c>
      <c r="AG78" s="124">
        <f t="shared" si="17"/>
        <v>-97729.81</v>
      </c>
    </row>
    <row r="79" spans="1:33">
      <c r="A79" s="105" t="s">
        <v>505</v>
      </c>
      <c r="B79" s="105" t="s">
        <v>389</v>
      </c>
      <c r="C79" s="105" t="s">
        <v>506</v>
      </c>
      <c r="D79" s="223">
        <f>SUM('F&amp;B Admin:Main Kichen'!D164)</f>
        <v>10775</v>
      </c>
      <c r="E79" s="223">
        <f>SUM('F&amp;B Admin:Main Kichen'!E164)</f>
        <v>14895</v>
      </c>
      <c r="F79" s="223">
        <f>SUM('F&amp;B Admin:Main Kichen'!F164)</f>
        <v>12633</v>
      </c>
      <c r="G79" s="223">
        <f>SUM('F&amp;B Admin:Main Kichen'!G164)</f>
        <v>13667</v>
      </c>
      <c r="H79" s="223">
        <f>SUM('F&amp;B Admin:Main Kichen'!H164)</f>
        <v>14159</v>
      </c>
      <c r="I79" s="223">
        <f>SUM('F&amp;B Admin:Main Kichen'!I164)</f>
        <v>13341</v>
      </c>
      <c r="J79" s="223">
        <f>SUM('F&amp;B Admin:Main Kichen'!J164)</f>
        <v>11886</v>
      </c>
      <c r="K79" s="223">
        <f>SUM('F&amp;B Admin:Main Kichen'!K164)</f>
        <v>13122</v>
      </c>
      <c r="L79" s="223">
        <f>SUM('F&amp;B Admin:Main Kichen'!L164)</f>
        <v>13107</v>
      </c>
      <c r="M79" s="223">
        <f>SUM('F&amp;B Admin:Main Kichen'!M164)</f>
        <v>13580</v>
      </c>
      <c r="N79" s="223">
        <f>SUM('F&amp;B Admin:Main Kichen'!N164)</f>
        <v>11829</v>
      </c>
      <c r="O79" s="223">
        <f>SUM('F&amp;B Admin:Main Kichen'!O164)</f>
        <v>9409</v>
      </c>
      <c r="P79" s="135">
        <f>SUM(D79:O79)</f>
        <v>152403</v>
      </c>
      <c r="Q79" s="136">
        <v>13912.35</v>
      </c>
      <c r="R79" s="136">
        <v>22171.88</v>
      </c>
      <c r="S79" s="136">
        <v>12519.38</v>
      </c>
      <c r="T79" s="136">
        <v>15360.61</v>
      </c>
      <c r="U79" s="136">
        <v>9120.56</v>
      </c>
      <c r="V79" s="136">
        <v>12878.9</v>
      </c>
      <c r="W79" s="72">
        <v>14793.03</v>
      </c>
      <c r="X79" s="72">
        <v>14781.5</v>
      </c>
      <c r="Y79" s="72">
        <v>14917</v>
      </c>
      <c r="Z79" s="72">
        <v>13660</v>
      </c>
      <c r="AA79" s="72">
        <v>13050</v>
      </c>
      <c r="AB79" s="72">
        <v>10774</v>
      </c>
      <c r="AC79" s="137">
        <f t="shared" si="24"/>
        <v>167939.21</v>
      </c>
      <c r="AD79" s="136">
        <f t="shared" si="25"/>
        <v>-15536.209999999992</v>
      </c>
      <c r="AE79" s="196">
        <f t="shared" si="26"/>
        <v>-9.2510915110294925E-2</v>
      </c>
      <c r="AF79" s="133">
        <v>180070.37</v>
      </c>
      <c r="AG79" s="124">
        <f t="shared" si="17"/>
        <v>27667.369999999995</v>
      </c>
    </row>
    <row r="80" spans="1:33">
      <c r="C80" s="109" t="s">
        <v>507</v>
      </c>
      <c r="D80" s="137">
        <f t="shared" ref="D80:O80" si="28">SUM(D38:D79)</f>
        <v>82749.279999999999</v>
      </c>
      <c r="E80" s="137">
        <f t="shared" si="28"/>
        <v>104758.83</v>
      </c>
      <c r="F80" s="137">
        <f t="shared" si="28"/>
        <v>81518.83</v>
      </c>
      <c r="G80" s="137">
        <f t="shared" si="28"/>
        <v>82300.31</v>
      </c>
      <c r="H80" s="137">
        <f t="shared" si="28"/>
        <v>102870.31</v>
      </c>
      <c r="I80" s="137">
        <f t="shared" si="28"/>
        <v>80312.83</v>
      </c>
      <c r="J80" s="137">
        <f t="shared" si="28"/>
        <v>80876.83</v>
      </c>
      <c r="K80" s="137">
        <f t="shared" si="28"/>
        <v>82123.83</v>
      </c>
      <c r="L80" s="137">
        <f t="shared" si="28"/>
        <v>80104.83</v>
      </c>
      <c r="M80" s="137">
        <f t="shared" si="28"/>
        <v>84310.77</v>
      </c>
      <c r="N80" s="137">
        <f t="shared" si="28"/>
        <v>79784.83</v>
      </c>
      <c r="O80" s="137">
        <f t="shared" si="28"/>
        <v>78359.83</v>
      </c>
      <c r="P80" s="135">
        <f>SUM(P38:P79)</f>
        <v>1020071.31</v>
      </c>
      <c r="Q80" s="137">
        <f t="shared" ref="Q80:AC80" si="29">SUM(Q38:Q79)</f>
        <v>84899.44</v>
      </c>
      <c r="R80" s="137">
        <f t="shared" si="29"/>
        <v>112834.06000000001</v>
      </c>
      <c r="S80" s="137">
        <f t="shared" si="29"/>
        <v>97173.400000000009</v>
      </c>
      <c r="T80" s="137">
        <f t="shared" si="29"/>
        <v>87144.87</v>
      </c>
      <c r="U80" s="137">
        <f t="shared" si="29"/>
        <v>79567.009999999995</v>
      </c>
      <c r="V80" s="137">
        <f t="shared" si="29"/>
        <v>91753.59</v>
      </c>
      <c r="W80" s="137">
        <f t="shared" si="29"/>
        <v>113907.70999999999</v>
      </c>
      <c r="X80" s="137">
        <f t="shared" si="29"/>
        <v>115854.8</v>
      </c>
      <c r="Y80" s="137">
        <f t="shared" si="29"/>
        <v>86270.25</v>
      </c>
      <c r="Z80" s="137">
        <f t="shared" si="29"/>
        <v>68739</v>
      </c>
      <c r="AA80" s="137">
        <f t="shared" si="29"/>
        <v>68050</v>
      </c>
      <c r="AB80" s="137">
        <f t="shared" si="29"/>
        <v>65784</v>
      </c>
      <c r="AC80" s="137">
        <f t="shared" si="29"/>
        <v>1071978.1299999999</v>
      </c>
      <c r="AD80" s="136">
        <f t="shared" si="25"/>
        <v>-51906.819999999832</v>
      </c>
      <c r="AE80" s="196">
        <f t="shared" si="26"/>
        <v>-4.8421528898168698E-2</v>
      </c>
      <c r="AF80" s="133">
        <v>945459.59</v>
      </c>
      <c r="AG80" s="124">
        <f t="shared" si="17"/>
        <v>-74611.720000000088</v>
      </c>
    </row>
    <row r="81" spans="1:33">
      <c r="C81" s="109" t="s">
        <v>508</v>
      </c>
      <c r="D81" s="137">
        <f t="shared" ref="D81:AC81" si="30">D27-D33-D35-D80</f>
        <v>-36548.36</v>
      </c>
      <c r="E81" s="137">
        <f t="shared" si="30"/>
        <v>-3024.1000000000058</v>
      </c>
      <c r="F81" s="137">
        <f t="shared" si="30"/>
        <v>-32922.9</v>
      </c>
      <c r="G81" s="137">
        <f t="shared" si="30"/>
        <v>-44832.409999999996</v>
      </c>
      <c r="H81" s="137">
        <f t="shared" si="30"/>
        <v>-63478.16</v>
      </c>
      <c r="I81" s="137">
        <f t="shared" si="30"/>
        <v>-45385.41</v>
      </c>
      <c r="J81" s="137">
        <f t="shared" si="30"/>
        <v>-31491.350000000006</v>
      </c>
      <c r="K81" s="137">
        <f t="shared" si="30"/>
        <v>-19756.130000000005</v>
      </c>
      <c r="L81" s="137">
        <f t="shared" si="30"/>
        <v>-46306.130000000005</v>
      </c>
      <c r="M81" s="137">
        <f t="shared" si="30"/>
        <v>-59309.880000000005</v>
      </c>
      <c r="N81" s="137">
        <f t="shared" si="30"/>
        <v>-39718.840000000004</v>
      </c>
      <c r="O81" s="137">
        <f t="shared" si="30"/>
        <v>-41069.620000000003</v>
      </c>
      <c r="P81" s="135">
        <f t="shared" si="30"/>
        <v>-463843.29000000004</v>
      </c>
      <c r="Q81" s="137">
        <f t="shared" si="30"/>
        <v>-25820.079999999994</v>
      </c>
      <c r="R81" s="137">
        <f t="shared" si="30"/>
        <v>51884.470000000016</v>
      </c>
      <c r="S81" s="137">
        <f t="shared" si="30"/>
        <v>-52322.91</v>
      </c>
      <c r="T81" s="137">
        <f t="shared" si="30"/>
        <v>-46282.469999999979</v>
      </c>
      <c r="U81" s="137">
        <f t="shared" si="30"/>
        <v>-53344.41</v>
      </c>
      <c r="V81" s="137">
        <f t="shared" si="30"/>
        <v>-60220.84</v>
      </c>
      <c r="W81" s="137">
        <f t="shared" si="30"/>
        <v>-57310.080000000016</v>
      </c>
      <c r="X81" s="137">
        <f t="shared" si="30"/>
        <v>-72295.989999999991</v>
      </c>
      <c r="Y81" s="137">
        <f t="shared" si="30"/>
        <v>-75110.25</v>
      </c>
      <c r="Z81" s="137">
        <f t="shared" si="30"/>
        <v>-49376</v>
      </c>
      <c r="AA81" s="137">
        <f t="shared" si="30"/>
        <v>-36833</v>
      </c>
      <c r="AB81" s="137">
        <f t="shared" si="30"/>
        <v>-37476</v>
      </c>
      <c r="AC81" s="137">
        <f t="shared" si="30"/>
        <v>-514507.55999999959</v>
      </c>
      <c r="AD81" s="136">
        <f t="shared" si="25"/>
        <v>50664.269999999553</v>
      </c>
      <c r="AE81" s="196">
        <f t="shared" si="26"/>
        <v>-9.8471381061921798E-2</v>
      </c>
      <c r="AF81" s="133">
        <v>89767.819999999949</v>
      </c>
      <c r="AG81" s="124">
        <f>P81-AF81</f>
        <v>-553611.11</v>
      </c>
    </row>
    <row r="82" spans="1:33">
      <c r="C82" s="109" t="s">
        <v>509</v>
      </c>
      <c r="D82" s="213">
        <f t="shared" ref="D82:AC82" si="31">D81/D27</f>
        <v>-0.24886870310095466</v>
      </c>
      <c r="E82" s="213">
        <f t="shared" si="31"/>
        <v>-1.5490569710381033E-2</v>
      </c>
      <c r="F82" s="213">
        <f t="shared" si="31"/>
        <v>-0.26089943735636739</v>
      </c>
      <c r="G82" s="213">
        <f t="shared" si="31"/>
        <v>-0.38837123279364499</v>
      </c>
      <c r="H82" s="213">
        <f t="shared" si="31"/>
        <v>-0.53208851634534793</v>
      </c>
      <c r="I82" s="213">
        <f t="shared" si="31"/>
        <v>-0.41715298075332269</v>
      </c>
      <c r="J82" s="213">
        <f t="shared" si="31"/>
        <v>-0.24282205892558356</v>
      </c>
      <c r="K82" s="213">
        <f t="shared" si="31"/>
        <v>-0.13373133419075342</v>
      </c>
      <c r="L82" s="213">
        <f t="shared" si="31"/>
        <v>-0.42999470702943637</v>
      </c>
      <c r="M82" s="213">
        <f t="shared" si="31"/>
        <v>-0.51106297177127502</v>
      </c>
      <c r="N82" s="213">
        <f t="shared" si="31"/>
        <v>-0.34299220213987791</v>
      </c>
      <c r="O82" s="213">
        <f t="shared" si="31"/>
        <v>-0.36728331246646401</v>
      </c>
      <c r="P82" s="213">
        <f t="shared" si="31"/>
        <v>-0.30108217841640883</v>
      </c>
      <c r="Q82" s="213">
        <f t="shared" si="31"/>
        <v>-0.16650843470303611</v>
      </c>
      <c r="R82" s="213">
        <f t="shared" si="31"/>
        <v>0.17575786338584684</v>
      </c>
      <c r="S82" s="213">
        <f t="shared" si="31"/>
        <v>-0.41831144449091201</v>
      </c>
      <c r="T82" s="213">
        <f t="shared" si="31"/>
        <v>-0.36867874755329205</v>
      </c>
      <c r="U82" s="213">
        <f t="shared" si="31"/>
        <v>-0.47519252881652108</v>
      </c>
      <c r="V82" s="213">
        <f t="shared" si="31"/>
        <v>-0.47586034144202161</v>
      </c>
      <c r="W82" s="213">
        <f t="shared" si="31"/>
        <v>-0.38536401483787247</v>
      </c>
      <c r="X82" s="213">
        <f t="shared" si="31"/>
        <v>-0.43792989776949864</v>
      </c>
      <c r="Y82" s="213">
        <f t="shared" si="31"/>
        <v>-0.79516245143395548</v>
      </c>
      <c r="Z82" s="213">
        <f t="shared" si="31"/>
        <v>-0.42546444697204699</v>
      </c>
      <c r="AA82" s="213">
        <f t="shared" si="31"/>
        <v>-0.31807151924422067</v>
      </c>
      <c r="AB82" s="213">
        <f t="shared" si="31"/>
        <v>-0.33514576998747986</v>
      </c>
      <c r="AC82" s="213">
        <f t="shared" si="31"/>
        <v>-0.30414831815692939</v>
      </c>
      <c r="AD82" s="136">
        <f t="shared" si="25"/>
        <v>3.066139740520557E-3</v>
      </c>
      <c r="AE82" s="105">
        <f t="shared" si="26"/>
        <v>-1.0081067549873944E-2</v>
      </c>
      <c r="AF82" s="139">
        <v>3.899102349852375E-2</v>
      </c>
      <c r="AG82" s="124">
        <f>P82-AF82</f>
        <v>-0.34007320191493257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389</v>
      </c>
      <c r="C85" s="105" t="s">
        <v>481</v>
      </c>
      <c r="D85" s="136">
        <v>80</v>
      </c>
      <c r="E85" s="136">
        <v>110</v>
      </c>
      <c r="F85" s="136">
        <v>61</v>
      </c>
      <c r="G85" s="136">
        <v>51</v>
      </c>
      <c r="H85" s="136">
        <v>57</v>
      </c>
      <c r="I85" s="136">
        <v>48</v>
      </c>
      <c r="J85" s="136">
        <v>63</v>
      </c>
      <c r="K85" s="136">
        <v>59</v>
      </c>
      <c r="L85" s="136">
        <v>47</v>
      </c>
      <c r="M85" s="136">
        <v>56</v>
      </c>
      <c r="N85" s="136">
        <v>55</v>
      </c>
      <c r="O85" s="136">
        <v>63</v>
      </c>
      <c r="P85" s="137">
        <f>SUM(D85:O85)</f>
        <v>750</v>
      </c>
      <c r="Q85" s="136">
        <v>76</v>
      </c>
      <c r="R85" s="136">
        <v>107</v>
      </c>
      <c r="S85" s="136">
        <v>98</v>
      </c>
      <c r="T85" s="136">
        <v>98</v>
      </c>
      <c r="U85" s="136">
        <v>71</v>
      </c>
      <c r="V85" s="136">
        <v>48</v>
      </c>
      <c r="W85" s="72">
        <v>75</v>
      </c>
      <c r="X85" s="72">
        <v>55</v>
      </c>
      <c r="Y85" s="72">
        <v>47</v>
      </c>
      <c r="Z85" s="72">
        <v>56</v>
      </c>
      <c r="AA85" s="72">
        <v>55</v>
      </c>
      <c r="AB85" s="72">
        <v>63</v>
      </c>
      <c r="AC85" s="137">
        <f>SUM(Q85:AB85)</f>
        <v>849</v>
      </c>
      <c r="AD85" s="136">
        <f t="shared" ref="AD85:AD90" si="32">P85-AC85</f>
        <v>-99</v>
      </c>
      <c r="AE85" s="196">
        <f t="shared" ref="AE85:AE90" si="33">AD85/AC85</f>
        <v>-0.1166077738515901</v>
      </c>
      <c r="AF85" s="133">
        <v>812</v>
      </c>
      <c r="AG85" s="124">
        <f t="shared" ref="AG85:AG98" si="34">P85-AF85</f>
        <v>-62</v>
      </c>
    </row>
    <row r="86" spans="1:33">
      <c r="A86" s="105" t="s">
        <v>511</v>
      </c>
      <c r="B86" s="105" t="s">
        <v>389</v>
      </c>
      <c r="C86" s="105" t="s">
        <v>483</v>
      </c>
      <c r="D86" s="136">
        <v>180</v>
      </c>
      <c r="E86" s="136">
        <v>280</v>
      </c>
      <c r="F86" s="136">
        <v>50</v>
      </c>
      <c r="G86" s="136">
        <v>150</v>
      </c>
      <c r="H86" s="136">
        <v>150</v>
      </c>
      <c r="I86" s="136">
        <v>150</v>
      </c>
      <c r="J86" s="136">
        <v>300</v>
      </c>
      <c r="K86" s="136">
        <v>300</v>
      </c>
      <c r="L86" s="136">
        <v>150</v>
      </c>
      <c r="M86" s="136">
        <v>80</v>
      </c>
      <c r="N86" s="136">
        <v>50</v>
      </c>
      <c r="O86" s="136">
        <v>50</v>
      </c>
      <c r="P86" s="137">
        <f>SUM(D86:O86)</f>
        <v>1890</v>
      </c>
      <c r="Q86" s="136">
        <v>276</v>
      </c>
      <c r="R86" s="136">
        <v>618</v>
      </c>
      <c r="S86" s="136">
        <v>373</v>
      </c>
      <c r="T86" s="136">
        <v>352</v>
      </c>
      <c r="U86" s="136">
        <v>250</v>
      </c>
      <c r="V86" s="136">
        <v>265</v>
      </c>
      <c r="W86" s="72">
        <v>224</v>
      </c>
      <c r="X86" s="72">
        <v>296</v>
      </c>
      <c r="Y86" s="72">
        <v>150</v>
      </c>
      <c r="Z86" s="72">
        <v>80</v>
      </c>
      <c r="AA86" s="72">
        <v>50</v>
      </c>
      <c r="AB86" s="72">
        <v>50</v>
      </c>
      <c r="AC86" s="137">
        <f>SUM(Q86:AB86)</f>
        <v>2984</v>
      </c>
      <c r="AD86" s="136">
        <f t="shared" si="32"/>
        <v>-1094</v>
      </c>
      <c r="AE86" s="196">
        <f t="shared" si="33"/>
        <v>-0.36662198391420914</v>
      </c>
      <c r="AF86" s="133">
        <v>1597</v>
      </c>
      <c r="AG86" s="124">
        <f t="shared" si="34"/>
        <v>293</v>
      </c>
    </row>
    <row r="87" spans="1:33">
      <c r="A87" s="105" t="s">
        <v>512</v>
      </c>
      <c r="B87" s="105" t="s">
        <v>389</v>
      </c>
      <c r="C87" s="105" t="s">
        <v>485</v>
      </c>
      <c r="D87" s="136">
        <v>230</v>
      </c>
      <c r="E87" s="136">
        <v>280</v>
      </c>
      <c r="F87" s="136">
        <v>100</v>
      </c>
      <c r="G87" s="136">
        <v>100</v>
      </c>
      <c r="H87" s="136">
        <v>100</v>
      </c>
      <c r="I87" s="136">
        <v>100</v>
      </c>
      <c r="J87" s="136">
        <v>150</v>
      </c>
      <c r="K87" s="136">
        <v>150</v>
      </c>
      <c r="L87" s="136">
        <v>100</v>
      </c>
      <c r="M87" s="136">
        <v>100</v>
      </c>
      <c r="N87" s="136">
        <v>100</v>
      </c>
      <c r="O87" s="136">
        <v>100</v>
      </c>
      <c r="P87" s="137">
        <f>SUM(D87:O87)</f>
        <v>1610</v>
      </c>
      <c r="Q87" s="136">
        <v>368</v>
      </c>
      <c r="R87" s="136">
        <v>869</v>
      </c>
      <c r="S87" s="136">
        <v>226</v>
      </c>
      <c r="T87" s="136">
        <v>580</v>
      </c>
      <c r="U87" s="136">
        <v>646</v>
      </c>
      <c r="V87" s="136">
        <v>602</v>
      </c>
      <c r="W87" s="72">
        <v>1160</v>
      </c>
      <c r="X87" s="72">
        <v>1509</v>
      </c>
      <c r="Y87" s="72">
        <v>100</v>
      </c>
      <c r="Z87" s="72">
        <v>100</v>
      </c>
      <c r="AA87" s="72">
        <v>100</v>
      </c>
      <c r="AB87" s="72">
        <v>100</v>
      </c>
      <c r="AC87" s="137">
        <f>SUM(Q87:AB87)</f>
        <v>6360</v>
      </c>
      <c r="AD87" s="136">
        <f t="shared" si="32"/>
        <v>-4750</v>
      </c>
      <c r="AE87" s="196">
        <f t="shared" si="33"/>
        <v>-0.74685534591194969</v>
      </c>
      <c r="AF87" s="133">
        <v>2975</v>
      </c>
      <c r="AG87" s="124">
        <f t="shared" si="34"/>
        <v>-1365</v>
      </c>
    </row>
    <row r="88" spans="1:33">
      <c r="A88" s="105" t="s">
        <v>513</v>
      </c>
      <c r="B88" s="105" t="s">
        <v>389</v>
      </c>
      <c r="C88" s="105" t="s">
        <v>487</v>
      </c>
      <c r="D88" s="136">
        <v>950</v>
      </c>
      <c r="E88" s="136">
        <v>1200</v>
      </c>
      <c r="F88" s="136">
        <v>1000</v>
      </c>
      <c r="G88" s="136">
        <v>1000</v>
      </c>
      <c r="H88" s="136">
        <v>1000</v>
      </c>
      <c r="I88" s="136">
        <v>900</v>
      </c>
      <c r="J88" s="136">
        <v>1000</v>
      </c>
      <c r="K88" s="136">
        <v>1200</v>
      </c>
      <c r="L88" s="136">
        <v>900</v>
      </c>
      <c r="M88" s="136">
        <v>1000</v>
      </c>
      <c r="N88" s="136">
        <v>1000</v>
      </c>
      <c r="O88" s="136">
        <v>1000</v>
      </c>
      <c r="P88" s="137">
        <f>SUM(D88:O88)</f>
        <v>12150</v>
      </c>
      <c r="Q88" s="136">
        <v>960</v>
      </c>
      <c r="R88" s="136">
        <v>1500</v>
      </c>
      <c r="S88" s="136">
        <v>874</v>
      </c>
      <c r="T88" s="136">
        <v>1613</v>
      </c>
      <c r="U88" s="136">
        <v>747</v>
      </c>
      <c r="V88" s="136">
        <v>744</v>
      </c>
      <c r="W88" s="72">
        <v>951</v>
      </c>
      <c r="X88" s="72">
        <v>1139</v>
      </c>
      <c r="Y88" s="72">
        <v>900</v>
      </c>
      <c r="Z88" s="72">
        <v>1000</v>
      </c>
      <c r="AA88" s="72">
        <v>1000</v>
      </c>
      <c r="AB88" s="72">
        <v>1000</v>
      </c>
      <c r="AC88" s="137">
        <f>SUM(Q88:AB88)</f>
        <v>12428</v>
      </c>
      <c r="AD88" s="136">
        <f t="shared" si="32"/>
        <v>-278</v>
      </c>
      <c r="AE88" s="196">
        <f t="shared" si="33"/>
        <v>-2.2368844544576761E-2</v>
      </c>
      <c r="AF88" s="133">
        <v>13018</v>
      </c>
      <c r="AG88" s="124">
        <f t="shared" si="34"/>
        <v>-868</v>
      </c>
    </row>
    <row r="89" spans="1:33">
      <c r="A89" s="105" t="s">
        <v>514</v>
      </c>
      <c r="B89" s="105" t="s">
        <v>389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76</v>
      </c>
      <c r="R89" s="136">
        <v>38</v>
      </c>
      <c r="S89" s="136">
        <v>10</v>
      </c>
      <c r="T89" s="136">
        <v>20</v>
      </c>
      <c r="U89" s="136">
        <v>15</v>
      </c>
      <c r="V89" s="136">
        <v>11</v>
      </c>
      <c r="W89" s="72">
        <v>20</v>
      </c>
      <c r="X89" s="72">
        <v>18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208</v>
      </c>
      <c r="AD89" s="136">
        <f t="shared" si="32"/>
        <v>-208</v>
      </c>
      <c r="AE89" s="196">
        <f t="shared" si="33"/>
        <v>-1</v>
      </c>
      <c r="AF89" s="133">
        <v>384</v>
      </c>
      <c r="AG89" s="124">
        <f t="shared" si="34"/>
        <v>-384</v>
      </c>
    </row>
    <row r="90" spans="1:33">
      <c r="C90" s="109" t="s">
        <v>462</v>
      </c>
      <c r="D90" s="137">
        <f t="shared" ref="D90:AC90" si="35">SUM(D85:D89)</f>
        <v>1440</v>
      </c>
      <c r="E90" s="137">
        <f t="shared" si="35"/>
        <v>1870</v>
      </c>
      <c r="F90" s="137">
        <f t="shared" si="35"/>
        <v>1211</v>
      </c>
      <c r="G90" s="137">
        <f t="shared" si="35"/>
        <v>1301</v>
      </c>
      <c r="H90" s="137">
        <f t="shared" si="35"/>
        <v>1307</v>
      </c>
      <c r="I90" s="137">
        <f t="shared" si="35"/>
        <v>1198</v>
      </c>
      <c r="J90" s="137">
        <f t="shared" si="35"/>
        <v>1513</v>
      </c>
      <c r="K90" s="137">
        <f t="shared" si="35"/>
        <v>1709</v>
      </c>
      <c r="L90" s="137">
        <f t="shared" si="35"/>
        <v>1197</v>
      </c>
      <c r="M90" s="137">
        <f t="shared" si="35"/>
        <v>1236</v>
      </c>
      <c r="N90" s="137">
        <f t="shared" si="35"/>
        <v>1205</v>
      </c>
      <c r="O90" s="137">
        <f t="shared" si="35"/>
        <v>1213</v>
      </c>
      <c r="P90" s="137">
        <f t="shared" si="35"/>
        <v>16400</v>
      </c>
      <c r="Q90" s="137">
        <f t="shared" si="35"/>
        <v>1756</v>
      </c>
      <c r="R90" s="137">
        <f t="shared" si="35"/>
        <v>3132</v>
      </c>
      <c r="S90" s="137">
        <f t="shared" si="35"/>
        <v>1581</v>
      </c>
      <c r="T90" s="137">
        <f t="shared" si="35"/>
        <v>2663</v>
      </c>
      <c r="U90" s="137">
        <f t="shared" si="35"/>
        <v>1729</v>
      </c>
      <c r="V90" s="137">
        <f t="shared" si="35"/>
        <v>1670</v>
      </c>
      <c r="W90" s="137">
        <f t="shared" si="35"/>
        <v>2430</v>
      </c>
      <c r="X90" s="137">
        <f t="shared" si="35"/>
        <v>3017</v>
      </c>
      <c r="Y90" s="137">
        <f t="shared" si="35"/>
        <v>1197</v>
      </c>
      <c r="Z90" s="137">
        <f t="shared" si="35"/>
        <v>1236</v>
      </c>
      <c r="AA90" s="137">
        <f t="shared" si="35"/>
        <v>1205</v>
      </c>
      <c r="AB90" s="137">
        <f t="shared" si="35"/>
        <v>1213</v>
      </c>
      <c r="AC90" s="137">
        <f t="shared" si="35"/>
        <v>22829</v>
      </c>
      <c r="AD90" s="136">
        <f t="shared" si="32"/>
        <v>-6429</v>
      </c>
      <c r="AE90" s="196">
        <f t="shared" si="33"/>
        <v>-0.28161548907091855</v>
      </c>
      <c r="AF90" s="133">
        <v>18786</v>
      </c>
      <c r="AG90" s="124">
        <f t="shared" si="34"/>
        <v>-2386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4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4"/>
        <v>0</v>
      </c>
    </row>
    <row r="93" spans="1:33">
      <c r="C93" s="105" t="s">
        <v>481</v>
      </c>
      <c r="D93" s="136">
        <v>40</v>
      </c>
      <c r="E93" s="136">
        <v>35</v>
      </c>
      <c r="F93" s="136">
        <v>35</v>
      </c>
      <c r="G93" s="136">
        <v>35</v>
      </c>
      <c r="H93" s="136">
        <v>35</v>
      </c>
      <c r="I93" s="136">
        <v>35</v>
      </c>
      <c r="J93" s="136">
        <v>35</v>
      </c>
      <c r="K93" s="136">
        <v>35</v>
      </c>
      <c r="L93" s="136">
        <v>35</v>
      </c>
      <c r="M93" s="136">
        <v>35</v>
      </c>
      <c r="N93" s="136">
        <v>35</v>
      </c>
      <c r="O93" s="136">
        <v>35</v>
      </c>
      <c r="P93" s="137">
        <f t="shared" ref="P93:AB98" si="36">P9/P85</f>
        <v>35.533333333333331</v>
      </c>
      <c r="Q93" s="136">
        <f t="shared" si="36"/>
        <v>47.925000000000004</v>
      </c>
      <c r="R93" s="136">
        <f t="shared" si="36"/>
        <v>59.257943925233647</v>
      </c>
      <c r="S93" s="136">
        <f t="shared" si="36"/>
        <v>50.318367346938771</v>
      </c>
      <c r="T93" s="136">
        <f t="shared" si="36"/>
        <v>45.520408163265309</v>
      </c>
      <c r="U93" s="136">
        <f t="shared" si="36"/>
        <v>50.046478873239437</v>
      </c>
      <c r="V93" s="136">
        <f t="shared" si="36"/>
        <v>41.491666666666667</v>
      </c>
      <c r="W93" s="72">
        <v>51.638666666666666</v>
      </c>
      <c r="X93" s="72">
        <v>40.216363636363639</v>
      </c>
      <c r="Y93" s="72">
        <v>35</v>
      </c>
      <c r="Z93" s="72">
        <v>35</v>
      </c>
      <c r="AA93" s="72">
        <v>35</v>
      </c>
      <c r="AB93" s="72">
        <v>35</v>
      </c>
      <c r="AC93" s="137">
        <f t="shared" ref="AC93:AC98" si="37">AC9/AC85</f>
        <v>45.629917550058899</v>
      </c>
      <c r="AD93" s="136">
        <f t="shared" ref="AD93:AD98" si="38">P93-AC93</f>
        <v>-10.096584216725567</v>
      </c>
      <c r="AE93" s="196">
        <f t="shared" ref="AE93:AE98" si="39">AD93/AC93</f>
        <v>-0.22127114750205229</v>
      </c>
      <c r="AF93" s="133">
        <v>71.958128078817737</v>
      </c>
      <c r="AG93" s="124">
        <f t="shared" si="34"/>
        <v>-36.424794745484405</v>
      </c>
    </row>
    <row r="94" spans="1:33">
      <c r="C94" s="105" t="s">
        <v>483</v>
      </c>
      <c r="D94" s="136">
        <v>70</v>
      </c>
      <c r="E94" s="136">
        <v>80</v>
      </c>
      <c r="F94" s="136">
        <v>56</v>
      </c>
      <c r="G94" s="136">
        <v>50</v>
      </c>
      <c r="H94" s="136">
        <v>60</v>
      </c>
      <c r="I94" s="136">
        <v>60</v>
      </c>
      <c r="J94" s="136">
        <v>50</v>
      </c>
      <c r="K94" s="136">
        <v>50</v>
      </c>
      <c r="L94" s="136">
        <v>50</v>
      </c>
      <c r="M94" s="136">
        <v>50</v>
      </c>
      <c r="N94" s="136">
        <v>56</v>
      </c>
      <c r="O94" s="136">
        <v>56</v>
      </c>
      <c r="P94" s="137">
        <f t="shared" si="36"/>
        <v>58.412698412698411</v>
      </c>
      <c r="Q94" s="136">
        <f t="shared" si="36"/>
        <v>47.681884057971018</v>
      </c>
      <c r="R94" s="136">
        <f t="shared" si="36"/>
        <v>66.375566343042067</v>
      </c>
      <c r="S94" s="136">
        <f t="shared" si="36"/>
        <v>50.935120643431631</v>
      </c>
      <c r="T94" s="136">
        <f t="shared" si="36"/>
        <v>47.632670454545455</v>
      </c>
      <c r="U94" s="136">
        <f t="shared" si="36"/>
        <v>53.669199999999996</v>
      </c>
      <c r="V94" s="136">
        <f t="shared" si="36"/>
        <v>57.542264150943396</v>
      </c>
      <c r="W94" s="72">
        <v>53.037500000000001</v>
      </c>
      <c r="X94" s="72">
        <v>43.713513513513519</v>
      </c>
      <c r="Y94" s="72">
        <v>50</v>
      </c>
      <c r="Z94" s="72">
        <v>50</v>
      </c>
      <c r="AA94" s="72">
        <v>56</v>
      </c>
      <c r="AB94" s="72">
        <v>56</v>
      </c>
      <c r="AC94" s="137">
        <f t="shared" si="37"/>
        <v>53.797386058981232</v>
      </c>
      <c r="AD94" s="136">
        <f t="shared" si="38"/>
        <v>4.6153123537171794</v>
      </c>
      <c r="AE94" s="196">
        <f t="shared" si="39"/>
        <v>8.5790643223020935E-2</v>
      </c>
      <c r="AF94" s="133">
        <v>52.532673763306192</v>
      </c>
      <c r="AG94" s="124">
        <f t="shared" si="34"/>
        <v>5.8800246493922188</v>
      </c>
    </row>
    <row r="95" spans="1:33">
      <c r="C95" s="105" t="s">
        <v>485</v>
      </c>
      <c r="D95" s="136">
        <v>90</v>
      </c>
      <c r="E95" s="136">
        <v>90</v>
      </c>
      <c r="F95" s="136">
        <v>90</v>
      </c>
      <c r="G95" s="136">
        <v>45</v>
      </c>
      <c r="H95" s="136">
        <v>45</v>
      </c>
      <c r="I95" s="136">
        <v>45</v>
      </c>
      <c r="J95" s="136">
        <v>60</v>
      </c>
      <c r="K95" s="136">
        <v>60</v>
      </c>
      <c r="L95" s="136">
        <v>50</v>
      </c>
      <c r="M95" s="136">
        <v>45</v>
      </c>
      <c r="N95" s="136">
        <v>45</v>
      </c>
      <c r="O95" s="136">
        <v>5</v>
      </c>
      <c r="P95" s="137">
        <f t="shared" si="36"/>
        <v>62.670807453416153</v>
      </c>
      <c r="Q95" s="136">
        <f t="shared" si="36"/>
        <v>53.758695652173913</v>
      </c>
      <c r="R95" s="136">
        <f t="shared" si="36"/>
        <v>70.00609896432681</v>
      </c>
      <c r="S95" s="136">
        <f t="shared" si="36"/>
        <v>51.06283185840708</v>
      </c>
      <c r="T95" s="136">
        <f t="shared" si="36"/>
        <v>45.188620689655174</v>
      </c>
      <c r="U95" s="136">
        <f t="shared" si="36"/>
        <v>48.715170278637771</v>
      </c>
      <c r="V95" s="136">
        <f t="shared" si="36"/>
        <v>50.423588039867113</v>
      </c>
      <c r="W95" s="72">
        <v>53.768017241379312</v>
      </c>
      <c r="X95" s="72">
        <v>52.751424784625577</v>
      </c>
      <c r="Y95" s="72">
        <v>50</v>
      </c>
      <c r="Z95" s="72">
        <v>45</v>
      </c>
      <c r="AA95" s="72">
        <v>45</v>
      </c>
      <c r="AB95" s="72">
        <v>5</v>
      </c>
      <c r="AC95" s="137">
        <f t="shared" si="37"/>
        <v>52.934889937106924</v>
      </c>
      <c r="AD95" s="136">
        <f t="shared" si="38"/>
        <v>9.7359175163092289</v>
      </c>
      <c r="AE95" s="196">
        <f t="shared" si="39"/>
        <v>0.1839225041910294</v>
      </c>
      <c r="AF95" s="133">
        <v>76.292702521008408</v>
      </c>
      <c r="AG95" s="124">
        <f t="shared" si="34"/>
        <v>-13.621895067592256</v>
      </c>
    </row>
    <row r="96" spans="1:33">
      <c r="C96" s="105" t="s">
        <v>487</v>
      </c>
      <c r="D96" s="136">
        <v>85</v>
      </c>
      <c r="E96" s="136">
        <v>90</v>
      </c>
      <c r="F96" s="136">
        <v>85</v>
      </c>
      <c r="G96" s="136">
        <v>85</v>
      </c>
      <c r="H96" s="136">
        <v>85</v>
      </c>
      <c r="I96" s="136">
        <v>85</v>
      </c>
      <c r="J96" s="136">
        <v>85</v>
      </c>
      <c r="K96" s="136">
        <v>85</v>
      </c>
      <c r="L96" s="136">
        <v>85</v>
      </c>
      <c r="M96" s="136">
        <v>85</v>
      </c>
      <c r="N96" s="136">
        <v>85</v>
      </c>
      <c r="O96" s="136">
        <v>85</v>
      </c>
      <c r="P96" s="137">
        <f t="shared" si="36"/>
        <v>85.493827160493822</v>
      </c>
      <c r="Q96" s="136">
        <f t="shared" si="36"/>
        <v>74.510000000000005</v>
      </c>
      <c r="R96" s="136">
        <f t="shared" si="36"/>
        <v>70.845773333333341</v>
      </c>
      <c r="S96" s="136">
        <f t="shared" si="36"/>
        <v>63.660102974828376</v>
      </c>
      <c r="T96" s="136">
        <f t="shared" si="36"/>
        <v>36.736106633601985</v>
      </c>
      <c r="U96" s="136">
        <f t="shared" si="36"/>
        <v>51.973922356091023</v>
      </c>
      <c r="V96" s="136">
        <f t="shared" si="36"/>
        <v>62.076747311827958</v>
      </c>
      <c r="W96" s="72">
        <v>60.3462039957939</v>
      </c>
      <c r="X96" s="72">
        <v>50.864056189640038</v>
      </c>
      <c r="Y96" s="72">
        <v>85</v>
      </c>
      <c r="Z96" s="72">
        <v>85</v>
      </c>
      <c r="AA96" s="72">
        <v>85</v>
      </c>
      <c r="AB96" s="72">
        <v>85</v>
      </c>
      <c r="AC96" s="137">
        <f t="shared" si="37"/>
        <v>65.511711457998075</v>
      </c>
      <c r="AD96" s="136">
        <f t="shared" si="38"/>
        <v>19.982115702495747</v>
      </c>
      <c r="AE96" s="196">
        <f t="shared" si="39"/>
        <v>0.30501593162173762</v>
      </c>
      <c r="AF96" s="133">
        <v>87.209382393608834</v>
      </c>
      <c r="AG96" s="124">
        <f t="shared" si="34"/>
        <v>-1.7155552331150119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6"/>
        <v>#DIV/0!</v>
      </c>
      <c r="Q97" s="136">
        <f t="shared" si="36"/>
        <v>60.271052631578954</v>
      </c>
      <c r="R97" s="136">
        <f t="shared" si="36"/>
        <v>89.976315789473688</v>
      </c>
      <c r="S97" s="136">
        <f t="shared" si="36"/>
        <v>62.31</v>
      </c>
      <c r="T97" s="136">
        <f t="shared" si="36"/>
        <v>54.704999999999998</v>
      </c>
      <c r="U97" s="136">
        <f t="shared" si="36"/>
        <v>42.666666666666664</v>
      </c>
      <c r="V97" s="136">
        <f t="shared" si="36"/>
        <v>37.127272727272725</v>
      </c>
      <c r="W97" s="72">
        <v>43.39</v>
      </c>
      <c r="X97" s="72">
        <v>47.74444444444444</v>
      </c>
      <c r="Y97" s="72">
        <v>0</v>
      </c>
      <c r="Z97" s="72">
        <v>0</v>
      </c>
      <c r="AA97" s="72">
        <v>0</v>
      </c>
      <c r="AB97" s="72">
        <v>0</v>
      </c>
      <c r="AC97" s="137">
        <f t="shared" si="37"/>
        <v>60.060096153846153</v>
      </c>
      <c r="AD97" s="136" t="e">
        <f t="shared" si="38"/>
        <v>#DIV/0!</v>
      </c>
      <c r="AE97" s="196" t="e">
        <f t="shared" si="39"/>
        <v>#DIV/0!</v>
      </c>
      <c r="AF97" s="133">
        <v>81.918906250000006</v>
      </c>
      <c r="AG97" s="124" t="e">
        <f t="shared" si="34"/>
        <v>#DIV/0!</v>
      </c>
    </row>
    <row r="98" spans="1:33">
      <c r="C98" s="109" t="s">
        <v>463</v>
      </c>
      <c r="D98" s="137">
        <f t="shared" ref="D98:O98" si="40">D14/D90</f>
        <v>81.423611111111114</v>
      </c>
      <c r="E98" s="137">
        <f t="shared" si="40"/>
        <v>85.267379679144383</v>
      </c>
      <c r="F98" s="137">
        <f t="shared" si="40"/>
        <v>81.696944673823282</v>
      </c>
      <c r="G98" s="137">
        <f t="shared" si="40"/>
        <v>75.930053804765564</v>
      </c>
      <c r="H98" s="137">
        <f t="shared" si="40"/>
        <v>76.889824024483545</v>
      </c>
      <c r="I98" s="137">
        <f t="shared" si="40"/>
        <v>76.527545909849749</v>
      </c>
      <c r="J98" s="137">
        <f t="shared" si="40"/>
        <v>73.499669530733641</v>
      </c>
      <c r="K98" s="137">
        <f t="shared" si="40"/>
        <v>74.935634874195429</v>
      </c>
      <c r="L98" s="137">
        <f t="shared" si="40"/>
        <v>75.726817042606513</v>
      </c>
      <c r="M98" s="137">
        <f t="shared" si="40"/>
        <v>77.233009708737868</v>
      </c>
      <c r="N98" s="137">
        <f t="shared" si="40"/>
        <v>78.195020746887963</v>
      </c>
      <c r="O98" s="137">
        <f t="shared" si="40"/>
        <v>74.612530915086566</v>
      </c>
      <c r="P98" s="137">
        <f t="shared" si="36"/>
        <v>77.847560975609753</v>
      </c>
      <c r="Q98" s="136">
        <f t="shared" si="36"/>
        <v>64.177619589977226</v>
      </c>
      <c r="R98" s="136">
        <f t="shared" si="36"/>
        <v>69.56697318007663</v>
      </c>
      <c r="S98" s="136">
        <f t="shared" si="36"/>
        <v>58.021650853889952</v>
      </c>
      <c r="T98" s="136">
        <f t="shared" si="36"/>
        <v>40.475606458880968</v>
      </c>
      <c r="U98" s="136">
        <f t="shared" si="36"/>
        <v>50.841596298438404</v>
      </c>
      <c r="V98" s="136">
        <f t="shared" si="36"/>
        <v>56.400479041916164</v>
      </c>
      <c r="W98" s="136">
        <f t="shared" si="36"/>
        <v>56.123967078189295</v>
      </c>
      <c r="X98" s="136">
        <f t="shared" si="36"/>
        <v>50.893788531653961</v>
      </c>
      <c r="Y98" s="136">
        <f t="shared" si="36"/>
        <v>67.083542188805353</v>
      </c>
      <c r="Z98" s="136">
        <f t="shared" si="36"/>
        <v>77.233009708737868</v>
      </c>
      <c r="AA98" s="136">
        <f t="shared" si="36"/>
        <v>78.195020746887963</v>
      </c>
      <c r="AB98" s="136">
        <f t="shared" si="36"/>
        <v>74.612530915086566</v>
      </c>
      <c r="AC98" s="137">
        <f t="shared" si="37"/>
        <v>59.687640720136677</v>
      </c>
      <c r="AD98" s="136">
        <f t="shared" si="38"/>
        <v>18.159920255473075</v>
      </c>
      <c r="AE98" s="196">
        <f t="shared" si="39"/>
        <v>0.30424925556399995</v>
      </c>
      <c r="AF98" s="133">
        <v>81.765360907058437</v>
      </c>
      <c r="AG98" s="124">
        <f t="shared" si="34"/>
        <v>-3.917799931448684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389</v>
      </c>
      <c r="C102" s="105" t="s">
        <v>250</v>
      </c>
      <c r="D102" s="215">
        <v>8382</v>
      </c>
      <c r="E102" s="136">
        <v>8382</v>
      </c>
      <c r="F102" s="136">
        <v>8423.91</v>
      </c>
      <c r="G102" s="136">
        <v>8423.91</v>
      </c>
      <c r="H102" s="136">
        <v>8423.91</v>
      </c>
      <c r="I102" s="136">
        <v>8423.91</v>
      </c>
      <c r="J102" s="136">
        <v>8423.91</v>
      </c>
      <c r="K102" s="136">
        <v>8423.91</v>
      </c>
      <c r="L102" s="136">
        <v>8423.91</v>
      </c>
      <c r="M102" s="136">
        <v>8423.91</v>
      </c>
      <c r="N102" s="136">
        <v>8423.91</v>
      </c>
      <c r="O102" s="136">
        <v>8423.91</v>
      </c>
      <c r="P102" s="135">
        <f>SUM(D102:O102)</f>
        <v>101003.10000000002</v>
      </c>
      <c r="Q102" s="136">
        <v>7500</v>
      </c>
      <c r="R102" s="136">
        <v>7500</v>
      </c>
      <c r="S102" s="136">
        <v>8881.99</v>
      </c>
      <c r="T102" s="136">
        <v>7500</v>
      </c>
      <c r="U102" s="136">
        <v>12786.21</v>
      </c>
      <c r="V102" s="136">
        <v>11425.7</v>
      </c>
      <c r="W102" s="72">
        <v>7500</v>
      </c>
      <c r="X102" s="72">
        <v>7500</v>
      </c>
      <c r="Y102" s="72">
        <v>7500</v>
      </c>
      <c r="Z102" s="72">
        <v>7500</v>
      </c>
      <c r="AA102" s="72">
        <v>7500</v>
      </c>
      <c r="AB102" s="72">
        <v>7500</v>
      </c>
      <c r="AC102" s="137">
        <f>SUM(Q102:AB102)</f>
        <v>100593.9</v>
      </c>
      <c r="AD102" s="72">
        <f t="shared" ref="AD102:AD105" si="41">P102-AC102</f>
        <v>409.20000000002619</v>
      </c>
      <c r="AE102" s="192">
        <f t="shared" ref="AE102:AE105" si="42">AD102/AC102</f>
        <v>4.0678410917563213E-3</v>
      </c>
      <c r="AF102" s="133">
        <v>132418.95000000001</v>
      </c>
      <c r="AG102" s="124">
        <f t="shared" ref="AG102:AG136" si="43">AF102-P102</f>
        <v>31415.849999999991</v>
      </c>
    </row>
    <row r="103" spans="1:33">
      <c r="A103" s="105" t="s">
        <v>251</v>
      </c>
      <c r="B103" s="105" t="s">
        <v>389</v>
      </c>
      <c r="C103" s="105" t="s">
        <v>468</v>
      </c>
      <c r="D103" s="215">
        <v>11154</v>
      </c>
      <c r="E103" s="136">
        <v>11154</v>
      </c>
      <c r="F103" s="136">
        <v>11711.7</v>
      </c>
      <c r="G103" s="136">
        <v>11711.7</v>
      </c>
      <c r="H103" s="136">
        <v>11711.7</v>
      </c>
      <c r="I103" s="136">
        <v>11711.7</v>
      </c>
      <c r="J103" s="136">
        <v>11711.7</v>
      </c>
      <c r="K103" s="136">
        <v>11711.7</v>
      </c>
      <c r="L103" s="136">
        <v>11711.7</v>
      </c>
      <c r="M103" s="136">
        <v>11711.7</v>
      </c>
      <c r="N103" s="136">
        <v>11711.7</v>
      </c>
      <c r="O103" s="136">
        <v>11711.7</v>
      </c>
      <c r="P103" s="135">
        <f>SUM(D103:O103)</f>
        <v>139424.99999999997</v>
      </c>
      <c r="Q103" s="136">
        <v>13800</v>
      </c>
      <c r="R103" s="136">
        <v>13800</v>
      </c>
      <c r="S103" s="136">
        <v>13748.28</v>
      </c>
      <c r="T103" s="136">
        <v>13662.07</v>
      </c>
      <c r="U103" s="136">
        <v>13800</v>
      </c>
      <c r="V103" s="136">
        <v>16800</v>
      </c>
      <c r="W103" s="72">
        <v>16800</v>
      </c>
      <c r="X103" s="72">
        <v>16800</v>
      </c>
      <c r="Y103" s="72">
        <v>17326</v>
      </c>
      <c r="Z103" s="72">
        <v>17326</v>
      </c>
      <c r="AA103" s="72">
        <v>17326</v>
      </c>
      <c r="AB103" s="72">
        <v>17326</v>
      </c>
      <c r="AC103" s="137">
        <f>SUM(Q103:AB103)</f>
        <v>188514.35</v>
      </c>
      <c r="AD103" s="72">
        <f t="shared" si="41"/>
        <v>-49089.350000000035</v>
      </c>
      <c r="AE103" s="192">
        <f t="shared" si="42"/>
        <v>-0.26040113126666503</v>
      </c>
      <c r="AF103" s="133">
        <v>217400.92999999996</v>
      </c>
      <c r="AG103" s="124">
        <f t="shared" si="43"/>
        <v>77975.929999999993</v>
      </c>
    </row>
    <row r="104" spans="1:33">
      <c r="A104" s="105" t="s">
        <v>273</v>
      </c>
      <c r="C104" s="105" t="s">
        <v>470</v>
      </c>
      <c r="D104" s="136">
        <v>0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5">
        <f>SUM(D104:O104)</f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0</v>
      </c>
      <c r="Z104" s="72">
        <v>0</v>
      </c>
      <c r="AA104" s="72">
        <v>0</v>
      </c>
      <c r="AB104" s="72">
        <v>0</v>
      </c>
      <c r="AC104" s="137">
        <f>SUM(Q104:AB104)</f>
        <v>0</v>
      </c>
      <c r="AD104" s="72">
        <f t="shared" si="41"/>
        <v>0</v>
      </c>
      <c r="AE104" s="192" t="e">
        <f t="shared" si="42"/>
        <v>#DIV/0!</v>
      </c>
      <c r="AF104" s="133">
        <v>0</v>
      </c>
      <c r="AG104" s="124">
        <f t="shared" si="43"/>
        <v>0</v>
      </c>
    </row>
    <row r="105" spans="1:33">
      <c r="A105" s="105" t="s">
        <v>273</v>
      </c>
      <c r="C105" s="109" t="s">
        <v>520</v>
      </c>
      <c r="D105" s="137">
        <f t="shared" ref="D105:AC105" si="44">SUM(D102:D104)</f>
        <v>19536</v>
      </c>
      <c r="E105" s="137">
        <f t="shared" si="44"/>
        <v>19536</v>
      </c>
      <c r="F105" s="137">
        <f t="shared" si="44"/>
        <v>20135.61</v>
      </c>
      <c r="G105" s="137">
        <f t="shared" si="44"/>
        <v>20135.61</v>
      </c>
      <c r="H105" s="137">
        <f t="shared" si="44"/>
        <v>20135.61</v>
      </c>
      <c r="I105" s="137">
        <f t="shared" si="44"/>
        <v>20135.61</v>
      </c>
      <c r="J105" s="137">
        <f t="shared" si="44"/>
        <v>20135.61</v>
      </c>
      <c r="K105" s="137">
        <f t="shared" si="44"/>
        <v>20135.61</v>
      </c>
      <c r="L105" s="137">
        <f t="shared" si="44"/>
        <v>20135.61</v>
      </c>
      <c r="M105" s="137">
        <f t="shared" si="44"/>
        <v>20135.61</v>
      </c>
      <c r="N105" s="137">
        <f t="shared" si="44"/>
        <v>20135.61</v>
      </c>
      <c r="O105" s="137">
        <f t="shared" si="44"/>
        <v>20135.61</v>
      </c>
      <c r="P105" s="135">
        <f t="shared" si="44"/>
        <v>240428.09999999998</v>
      </c>
      <c r="Q105" s="137">
        <f t="shared" si="44"/>
        <v>21300</v>
      </c>
      <c r="R105" s="137">
        <f t="shared" si="44"/>
        <v>21300</v>
      </c>
      <c r="S105" s="137">
        <f t="shared" si="44"/>
        <v>22630.27</v>
      </c>
      <c r="T105" s="137">
        <f t="shared" si="44"/>
        <v>21162.07</v>
      </c>
      <c r="U105" s="137">
        <f t="shared" si="44"/>
        <v>26586.21</v>
      </c>
      <c r="V105" s="137">
        <f t="shared" si="44"/>
        <v>28225.7</v>
      </c>
      <c r="W105" s="137">
        <f t="shared" si="44"/>
        <v>24300</v>
      </c>
      <c r="X105" s="137">
        <f t="shared" si="44"/>
        <v>24300</v>
      </c>
      <c r="Y105" s="137">
        <f t="shared" si="44"/>
        <v>24826</v>
      </c>
      <c r="Z105" s="137">
        <f t="shared" si="44"/>
        <v>24826</v>
      </c>
      <c r="AA105" s="137">
        <f t="shared" si="44"/>
        <v>24826</v>
      </c>
      <c r="AB105" s="137">
        <f t="shared" si="44"/>
        <v>24826</v>
      </c>
      <c r="AC105" s="137">
        <f t="shared" si="44"/>
        <v>289108.25</v>
      </c>
      <c r="AD105" s="72">
        <f t="shared" si="41"/>
        <v>-48680.150000000023</v>
      </c>
      <c r="AE105" s="192">
        <f t="shared" si="42"/>
        <v>-0.16838035580098465</v>
      </c>
      <c r="AF105" s="133">
        <v>349819.88</v>
      </c>
      <c r="AG105" s="124">
        <f t="shared" si="43"/>
        <v>109391.78000000003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3"/>
        <v>0</v>
      </c>
    </row>
    <row r="107" spans="1:33">
      <c r="A107" s="105" t="s">
        <v>119</v>
      </c>
      <c r="B107" s="105" t="s">
        <v>389</v>
      </c>
      <c r="C107" s="105" t="s">
        <v>260</v>
      </c>
      <c r="D107" s="215">
        <v>13144.809999999998</v>
      </c>
      <c r="E107" s="215">
        <v>0</v>
      </c>
      <c r="F107" s="215">
        <v>0</v>
      </c>
      <c r="G107" s="215">
        <v>1931.03</v>
      </c>
      <c r="H107" s="215">
        <v>4068.9700000000003</v>
      </c>
      <c r="I107" s="215">
        <v>0</v>
      </c>
      <c r="J107" s="215">
        <v>0</v>
      </c>
      <c r="K107" s="215">
        <v>0</v>
      </c>
      <c r="L107" s="215">
        <v>0</v>
      </c>
      <c r="M107" s="215">
        <v>14179.289999999999</v>
      </c>
      <c r="N107" s="215">
        <v>0</v>
      </c>
      <c r="O107" s="215">
        <v>0</v>
      </c>
      <c r="P107" s="135">
        <f>SUM(D107:O107)</f>
        <v>33324.1</v>
      </c>
      <c r="Q107" s="136">
        <v>1931.04</v>
      </c>
      <c r="R107" s="136">
        <v>8808.6299999999992</v>
      </c>
      <c r="S107" s="136">
        <v>0</v>
      </c>
      <c r="T107" s="136">
        <v>2344.83</v>
      </c>
      <c r="U107" s="136">
        <v>3579.32</v>
      </c>
      <c r="V107" s="136">
        <v>2275.86</v>
      </c>
      <c r="W107" s="72">
        <v>0</v>
      </c>
      <c r="X107" s="72">
        <v>0</v>
      </c>
      <c r="Y107" s="72">
        <v>3650</v>
      </c>
      <c r="Z107" s="72">
        <v>10949</v>
      </c>
      <c r="AA107" s="72">
        <v>0</v>
      </c>
      <c r="AB107" s="72">
        <v>0</v>
      </c>
      <c r="AC107" s="137">
        <f>SUM(Q107:AB107)</f>
        <v>33538.68</v>
      </c>
      <c r="AD107" s="72">
        <f t="shared" ref="AD107:AD112" si="45">P107-AC107</f>
        <v>-214.58000000000175</v>
      </c>
      <c r="AE107" s="192">
        <f t="shared" ref="AE107:AE112" si="46">AD107/AC107</f>
        <v>-6.397985847982143E-3</v>
      </c>
      <c r="AF107" s="133">
        <v>25781.950000000004</v>
      </c>
      <c r="AG107" s="124">
        <f t="shared" si="43"/>
        <v>-7542.1499999999942</v>
      </c>
    </row>
    <row r="108" spans="1:33">
      <c r="A108" s="105" t="s">
        <v>120</v>
      </c>
      <c r="B108" s="105" t="s">
        <v>389</v>
      </c>
      <c r="C108" s="105" t="s">
        <v>261</v>
      </c>
      <c r="D108" s="215">
        <v>4500</v>
      </c>
      <c r="E108" s="215">
        <v>4500</v>
      </c>
      <c r="F108" s="215">
        <v>4500</v>
      </c>
      <c r="G108" s="215">
        <v>4500</v>
      </c>
      <c r="H108" s="215">
        <v>4500</v>
      </c>
      <c r="I108" s="215">
        <v>4500</v>
      </c>
      <c r="J108" s="215">
        <v>4500</v>
      </c>
      <c r="K108" s="215">
        <v>4500</v>
      </c>
      <c r="L108" s="215">
        <v>4500</v>
      </c>
      <c r="M108" s="215">
        <v>4500</v>
      </c>
      <c r="N108" s="215">
        <v>4500</v>
      </c>
      <c r="O108" s="215">
        <v>4500</v>
      </c>
      <c r="P108" s="135">
        <f>SUM(D108:O108)</f>
        <v>54000</v>
      </c>
      <c r="Q108" s="136">
        <v>5351.27</v>
      </c>
      <c r="R108" s="136">
        <v>5298.89</v>
      </c>
      <c r="S108" s="136">
        <v>5348.26</v>
      </c>
      <c r="T108" s="136">
        <v>3308.92</v>
      </c>
      <c r="U108" s="136">
        <v>4418.72</v>
      </c>
      <c r="V108" s="136">
        <v>4929.83</v>
      </c>
      <c r="W108" s="72">
        <v>4047.56</v>
      </c>
      <c r="X108" s="72">
        <v>4060.01</v>
      </c>
      <c r="Y108" s="72">
        <v>2471</v>
      </c>
      <c r="Z108" s="72">
        <v>2471</v>
      </c>
      <c r="AA108" s="72">
        <v>2471</v>
      </c>
      <c r="AB108" s="72">
        <v>2471</v>
      </c>
      <c r="AC108" s="137">
        <f>SUM(Q108:AB108)</f>
        <v>46647.46</v>
      </c>
      <c r="AD108" s="72">
        <f t="shared" si="45"/>
        <v>7352.5400000000009</v>
      </c>
      <c r="AE108" s="192">
        <f t="shared" si="46"/>
        <v>0.15761930017197079</v>
      </c>
      <c r="AF108" s="133">
        <v>40119.53</v>
      </c>
      <c r="AG108" s="124">
        <f t="shared" si="43"/>
        <v>-13880.470000000001</v>
      </c>
    </row>
    <row r="109" spans="1:33">
      <c r="A109" s="105" t="s">
        <v>121</v>
      </c>
      <c r="B109" s="105" t="s">
        <v>389</v>
      </c>
      <c r="C109" s="105" t="s">
        <v>262</v>
      </c>
      <c r="D109" s="215">
        <v>3380</v>
      </c>
      <c r="E109" s="215">
        <v>3380</v>
      </c>
      <c r="F109" s="215">
        <v>3380</v>
      </c>
      <c r="G109" s="215">
        <v>3380</v>
      </c>
      <c r="H109" s="215">
        <v>3380</v>
      </c>
      <c r="I109" s="215">
        <v>3380</v>
      </c>
      <c r="J109" s="215">
        <v>3380</v>
      </c>
      <c r="K109" s="215">
        <v>3380</v>
      </c>
      <c r="L109" s="215">
        <v>3380</v>
      </c>
      <c r="M109" s="215">
        <v>3380</v>
      </c>
      <c r="N109" s="215">
        <v>3380</v>
      </c>
      <c r="O109" s="215">
        <v>3380</v>
      </c>
      <c r="P109" s="135">
        <f>SUM(D109:O109)</f>
        <v>40560</v>
      </c>
      <c r="Q109" s="136">
        <v>3055</v>
      </c>
      <c r="R109" s="136">
        <v>2650</v>
      </c>
      <c r="S109" s="136">
        <v>2750</v>
      </c>
      <c r="T109" s="136">
        <v>2750</v>
      </c>
      <c r="U109" s="136">
        <v>3680</v>
      </c>
      <c r="V109" s="136">
        <v>3482.26</v>
      </c>
      <c r="W109" s="72">
        <v>3280</v>
      </c>
      <c r="X109" s="72">
        <v>3380</v>
      </c>
      <c r="Y109" s="72">
        <v>3933</v>
      </c>
      <c r="Z109" s="72">
        <v>3933</v>
      </c>
      <c r="AA109" s="72">
        <v>3933</v>
      </c>
      <c r="AB109" s="72">
        <v>3933</v>
      </c>
      <c r="AC109" s="137">
        <f>SUM(Q109:AB109)</f>
        <v>40759.26</v>
      </c>
      <c r="AD109" s="72">
        <f t="shared" si="45"/>
        <v>-199.26000000000204</v>
      </c>
      <c r="AE109" s="192">
        <f t="shared" si="46"/>
        <v>-4.8887050451848742E-3</v>
      </c>
      <c r="AF109" s="133">
        <v>25065</v>
      </c>
      <c r="AG109" s="124">
        <f t="shared" si="43"/>
        <v>-15495</v>
      </c>
    </row>
    <row r="110" spans="1:33">
      <c r="A110" s="105" t="s">
        <v>122</v>
      </c>
      <c r="B110" s="105" t="s">
        <v>389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5"/>
        <v>0</v>
      </c>
      <c r="AE110" s="192" t="e">
        <f t="shared" si="46"/>
        <v>#DIV/0!</v>
      </c>
      <c r="AF110" s="133">
        <v>0</v>
      </c>
      <c r="AG110" s="124">
        <f t="shared" si="43"/>
        <v>0</v>
      </c>
    </row>
    <row r="111" spans="1:33">
      <c r="A111" s="105" t="s">
        <v>123</v>
      </c>
      <c r="B111" s="105" t="s">
        <v>389</v>
      </c>
      <c r="C111" s="105" t="s">
        <v>264</v>
      </c>
      <c r="D111" s="215">
        <v>800</v>
      </c>
      <c r="E111" s="215">
        <v>800</v>
      </c>
      <c r="F111" s="215">
        <v>800</v>
      </c>
      <c r="G111" s="215">
        <v>800</v>
      </c>
      <c r="H111" s="215">
        <v>800</v>
      </c>
      <c r="I111" s="215">
        <v>800</v>
      </c>
      <c r="J111" s="215">
        <v>800</v>
      </c>
      <c r="K111" s="215">
        <v>800</v>
      </c>
      <c r="L111" s="215">
        <v>800</v>
      </c>
      <c r="M111" s="215">
        <v>800</v>
      </c>
      <c r="N111" s="215">
        <v>800</v>
      </c>
      <c r="O111" s="215">
        <v>800</v>
      </c>
      <c r="P111" s="135">
        <f>SUM(D111:O111)</f>
        <v>9600</v>
      </c>
      <c r="Q111" s="136">
        <v>1660.14</v>
      </c>
      <c r="R111" s="136">
        <v>1984.04</v>
      </c>
      <c r="S111" s="136">
        <v>44.39</v>
      </c>
      <c r="T111" s="136">
        <v>2357.44</v>
      </c>
      <c r="U111" s="136">
        <v>304.07</v>
      </c>
      <c r="V111" s="136">
        <v>945.14</v>
      </c>
      <c r="W111" s="72">
        <v>1152.5999999999999</v>
      </c>
      <c r="X111" s="72">
        <v>24405.8</v>
      </c>
      <c r="Y111" s="72">
        <v>1000</v>
      </c>
      <c r="Z111" s="72">
        <v>1000</v>
      </c>
      <c r="AA111" s="72">
        <v>1000</v>
      </c>
      <c r="AB111" s="72">
        <v>1000</v>
      </c>
      <c r="AC111" s="137">
        <f>SUM(Q111:AB111)</f>
        <v>36853.619999999995</v>
      </c>
      <c r="AD111" s="72">
        <f t="shared" si="45"/>
        <v>-27253.619999999995</v>
      </c>
      <c r="AE111" s="192">
        <f t="shared" si="46"/>
        <v>-0.73950998572189108</v>
      </c>
      <c r="AF111" s="133">
        <v>28993.199999999997</v>
      </c>
      <c r="AG111" s="124">
        <f t="shared" si="43"/>
        <v>19393.199999999997</v>
      </c>
    </row>
    <row r="112" spans="1:33">
      <c r="A112" s="105" t="s">
        <v>273</v>
      </c>
      <c r="C112" s="109" t="s">
        <v>521</v>
      </c>
      <c r="D112" s="137">
        <f t="shared" ref="D112:O112" si="47">SUM(D107:D111)</f>
        <v>21824.809999999998</v>
      </c>
      <c r="E112" s="137">
        <f t="shared" si="47"/>
        <v>8680</v>
      </c>
      <c r="F112" s="137">
        <f t="shared" si="47"/>
        <v>8680</v>
      </c>
      <c r="G112" s="137">
        <f t="shared" si="47"/>
        <v>10611.029999999999</v>
      </c>
      <c r="H112" s="137">
        <f t="shared" si="47"/>
        <v>12748.970000000001</v>
      </c>
      <c r="I112" s="137">
        <f t="shared" si="47"/>
        <v>8680</v>
      </c>
      <c r="J112" s="137">
        <f t="shared" si="47"/>
        <v>8680</v>
      </c>
      <c r="K112" s="137">
        <f t="shared" si="47"/>
        <v>8680</v>
      </c>
      <c r="L112" s="137">
        <f t="shared" si="47"/>
        <v>8680</v>
      </c>
      <c r="M112" s="137">
        <f t="shared" si="47"/>
        <v>22859.29</v>
      </c>
      <c r="N112" s="137">
        <f t="shared" si="47"/>
        <v>8680</v>
      </c>
      <c r="O112" s="137">
        <f t="shared" si="47"/>
        <v>8680</v>
      </c>
      <c r="P112" s="135">
        <f>SUM(P107:P111)</f>
        <v>137484.1</v>
      </c>
      <c r="Q112" s="137">
        <f t="shared" ref="Q112:AC112" si="48">SUM(Q107:Q111)</f>
        <v>11997.45</v>
      </c>
      <c r="R112" s="137">
        <f t="shared" si="48"/>
        <v>18741.560000000001</v>
      </c>
      <c r="S112" s="137">
        <f t="shared" si="48"/>
        <v>8142.6500000000005</v>
      </c>
      <c r="T112" s="137">
        <f t="shared" si="48"/>
        <v>10761.19</v>
      </c>
      <c r="U112" s="137">
        <f t="shared" si="48"/>
        <v>11982.11</v>
      </c>
      <c r="V112" s="137">
        <f t="shared" si="48"/>
        <v>11633.09</v>
      </c>
      <c r="W112" s="137">
        <f t="shared" si="48"/>
        <v>8480.16</v>
      </c>
      <c r="X112" s="137">
        <f t="shared" si="48"/>
        <v>31845.809999999998</v>
      </c>
      <c r="Y112" s="137">
        <f t="shared" si="48"/>
        <v>11054</v>
      </c>
      <c r="Z112" s="137">
        <f t="shared" si="48"/>
        <v>18353</v>
      </c>
      <c r="AA112" s="137">
        <f t="shared" si="48"/>
        <v>7404</v>
      </c>
      <c r="AB112" s="137">
        <f t="shared" si="48"/>
        <v>7404</v>
      </c>
      <c r="AC112" s="137">
        <f t="shared" si="48"/>
        <v>157799.01999999999</v>
      </c>
      <c r="AD112" s="72">
        <f t="shared" si="45"/>
        <v>-20314.919999999984</v>
      </c>
      <c r="AE112" s="192">
        <f t="shared" si="46"/>
        <v>-0.12873920256285487</v>
      </c>
      <c r="AF112" s="133">
        <v>119959.68000000001</v>
      </c>
      <c r="AG112" s="124">
        <f t="shared" si="43"/>
        <v>-17524.419999999998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3"/>
        <v>0</v>
      </c>
    </row>
    <row r="114" spans="1:33">
      <c r="A114" s="105" t="s">
        <v>124</v>
      </c>
      <c r="B114" s="105" t="s">
        <v>389</v>
      </c>
      <c r="C114" s="105" t="s">
        <v>266</v>
      </c>
      <c r="D114" s="215">
        <v>6089.3100000000013</v>
      </c>
      <c r="E114" s="215">
        <v>6089.3100000000013</v>
      </c>
      <c r="F114" s="215">
        <v>6089.3100000000013</v>
      </c>
      <c r="G114" s="215">
        <v>6089.3100000000013</v>
      </c>
      <c r="H114" s="215">
        <v>6089.3100000000013</v>
      </c>
      <c r="I114" s="215">
        <v>6089.3100000000013</v>
      </c>
      <c r="J114" s="215">
        <v>6302.3099999999995</v>
      </c>
      <c r="K114" s="215">
        <v>6302.3099999999995</v>
      </c>
      <c r="L114" s="215">
        <v>6302.3099999999995</v>
      </c>
      <c r="M114" s="215">
        <v>6302.3099999999995</v>
      </c>
      <c r="N114" s="215">
        <v>6302.3099999999995</v>
      </c>
      <c r="O114" s="215">
        <v>6302.3099999999995</v>
      </c>
      <c r="P114" s="135">
        <f>SUM(D114:O114)</f>
        <v>74349.72</v>
      </c>
      <c r="Q114" s="136">
        <v>5206.43</v>
      </c>
      <c r="R114" s="136">
        <v>5206.43</v>
      </c>
      <c r="S114" s="136">
        <v>5206.43</v>
      </c>
      <c r="T114" s="136">
        <v>5206.43</v>
      </c>
      <c r="U114" s="136">
        <v>6355.84</v>
      </c>
      <c r="V114" s="136">
        <v>5979.23</v>
      </c>
      <c r="W114" s="72">
        <v>5979.23</v>
      </c>
      <c r="X114" s="72">
        <v>5979.23</v>
      </c>
      <c r="Y114" s="72">
        <v>5530</v>
      </c>
      <c r="Z114" s="72">
        <v>5530</v>
      </c>
      <c r="AA114" s="72">
        <v>5530</v>
      </c>
      <c r="AB114" s="72">
        <v>5530</v>
      </c>
      <c r="AC114" s="137">
        <f t="shared" ref="AC114:AC121" si="49">SUM(Q114:AB114)</f>
        <v>67239.25</v>
      </c>
      <c r="AD114" s="72">
        <f t="shared" ref="AD114:AD122" si="50">P114-AC114</f>
        <v>7110.4700000000012</v>
      </c>
      <c r="AE114" s="192">
        <f t="shared" ref="AE114:AE122" si="51">AD114/AC114</f>
        <v>0.10574879999405111</v>
      </c>
      <c r="AF114" s="133">
        <v>46312.259999999995</v>
      </c>
      <c r="AG114" s="124">
        <f t="shared" si="43"/>
        <v>-28037.460000000006</v>
      </c>
    </row>
    <row r="115" spans="1:33">
      <c r="A115" s="105" t="s">
        <v>125</v>
      </c>
      <c r="B115" s="105" t="s">
        <v>389</v>
      </c>
      <c r="C115" s="105" t="s">
        <v>267</v>
      </c>
      <c r="D115" s="215">
        <v>2502.34</v>
      </c>
      <c r="E115" s="215">
        <v>2502.34</v>
      </c>
      <c r="F115" s="215">
        <v>2502.34</v>
      </c>
      <c r="G115" s="215">
        <v>2502.34</v>
      </c>
      <c r="H115" s="215">
        <v>2502.34</v>
      </c>
      <c r="I115" s="215">
        <v>2502.34</v>
      </c>
      <c r="J115" s="215">
        <v>2558.41</v>
      </c>
      <c r="K115" s="215">
        <v>2558.41</v>
      </c>
      <c r="L115" s="215">
        <v>2558.41</v>
      </c>
      <c r="M115" s="215">
        <v>2558.41</v>
      </c>
      <c r="N115" s="215">
        <v>2558.41</v>
      </c>
      <c r="O115" s="215">
        <v>2558.41</v>
      </c>
      <c r="P115" s="135">
        <f t="shared" ref="P115:P121" si="52">SUM(D115:O115)</f>
        <v>30364.5</v>
      </c>
      <c r="Q115" s="136">
        <v>2765.92</v>
      </c>
      <c r="R115" s="136">
        <v>2765.92</v>
      </c>
      <c r="S115" s="136">
        <v>2765.92</v>
      </c>
      <c r="T115" s="136">
        <v>2765.92</v>
      </c>
      <c r="U115" s="136">
        <v>3376.54</v>
      </c>
      <c r="V115" s="136">
        <v>3176.47</v>
      </c>
      <c r="W115" s="72">
        <v>2429.06</v>
      </c>
      <c r="X115" s="72">
        <v>2429.06</v>
      </c>
      <c r="Y115" s="72">
        <v>2786</v>
      </c>
      <c r="Z115" s="72">
        <v>2786</v>
      </c>
      <c r="AA115" s="72">
        <v>2786</v>
      </c>
      <c r="AB115" s="72">
        <v>2786</v>
      </c>
      <c r="AC115" s="137">
        <f t="shared" si="49"/>
        <v>33618.810000000005</v>
      </c>
      <c r="AD115" s="72">
        <f t="shared" si="50"/>
        <v>-3254.3100000000049</v>
      </c>
      <c r="AE115" s="192">
        <f t="shared" si="51"/>
        <v>-9.6800273418363239E-2</v>
      </c>
      <c r="AF115" s="133">
        <v>22628.93</v>
      </c>
      <c r="AG115" s="124">
        <f t="shared" si="43"/>
        <v>-7735.57</v>
      </c>
    </row>
    <row r="116" spans="1:33">
      <c r="A116" s="105" t="s">
        <v>126</v>
      </c>
      <c r="B116" s="105" t="s">
        <v>389</v>
      </c>
      <c r="C116" s="105" t="s">
        <v>268</v>
      </c>
      <c r="D116" s="215">
        <v>189.51</v>
      </c>
      <c r="E116" s="215">
        <v>189.51</v>
      </c>
      <c r="F116" s="215">
        <v>189.51</v>
      </c>
      <c r="G116" s="215">
        <v>189.51</v>
      </c>
      <c r="H116" s="215">
        <v>189.51</v>
      </c>
      <c r="I116" s="215">
        <v>189.51</v>
      </c>
      <c r="J116" s="215">
        <v>194.86</v>
      </c>
      <c r="K116" s="215">
        <v>194.86</v>
      </c>
      <c r="L116" s="215">
        <v>194.86</v>
      </c>
      <c r="M116" s="215">
        <v>194.86</v>
      </c>
      <c r="N116" s="215">
        <v>194.86</v>
      </c>
      <c r="O116" s="215">
        <v>194.86</v>
      </c>
      <c r="P116" s="135">
        <f t="shared" si="52"/>
        <v>2306.2200000000007</v>
      </c>
      <c r="Q116" s="136">
        <v>162.69999999999999</v>
      </c>
      <c r="R116" s="136">
        <v>162.69999999999999</v>
      </c>
      <c r="S116" s="136">
        <v>162.69999999999999</v>
      </c>
      <c r="T116" s="136">
        <v>162.69999999999999</v>
      </c>
      <c r="U116" s="136">
        <v>198.62</v>
      </c>
      <c r="V116" s="136">
        <v>186.85</v>
      </c>
      <c r="W116" s="72">
        <v>186.85</v>
      </c>
      <c r="X116" s="72">
        <v>186.85</v>
      </c>
      <c r="Y116" s="72">
        <v>174</v>
      </c>
      <c r="Z116" s="72">
        <v>174</v>
      </c>
      <c r="AA116" s="72">
        <v>174</v>
      </c>
      <c r="AB116" s="72">
        <v>174</v>
      </c>
      <c r="AC116" s="137">
        <f t="shared" si="49"/>
        <v>2105.9699999999998</v>
      </c>
      <c r="AD116" s="72">
        <f t="shared" si="50"/>
        <v>200.25000000000091</v>
      </c>
      <c r="AE116" s="192">
        <f t="shared" si="51"/>
        <v>9.5086824598641442E-2</v>
      </c>
      <c r="AF116" s="133">
        <v>1386.46</v>
      </c>
      <c r="AG116" s="124">
        <f t="shared" si="43"/>
        <v>-919.76000000000067</v>
      </c>
    </row>
    <row r="117" spans="1:33">
      <c r="A117" s="105" t="s">
        <v>127</v>
      </c>
      <c r="B117" s="105" t="s">
        <v>389</v>
      </c>
      <c r="C117" s="105" t="s">
        <v>269</v>
      </c>
      <c r="D117" s="215">
        <v>45.47</v>
      </c>
      <c r="E117" s="215">
        <v>45.47</v>
      </c>
      <c r="F117" s="215">
        <v>45.47</v>
      </c>
      <c r="G117" s="215">
        <v>45.47</v>
      </c>
      <c r="H117" s="215">
        <v>45.47</v>
      </c>
      <c r="I117" s="215">
        <v>45.47</v>
      </c>
      <c r="J117" s="215">
        <v>46.769999999999996</v>
      </c>
      <c r="K117" s="215">
        <v>46.769999999999996</v>
      </c>
      <c r="L117" s="215">
        <v>46.769999999999996</v>
      </c>
      <c r="M117" s="215">
        <v>46.769999999999996</v>
      </c>
      <c r="N117" s="215">
        <v>46.769999999999996</v>
      </c>
      <c r="O117" s="215">
        <v>46.769999999999996</v>
      </c>
      <c r="P117" s="135">
        <f t="shared" si="52"/>
        <v>553.43999999999994</v>
      </c>
      <c r="Q117" s="136">
        <v>39.04</v>
      </c>
      <c r="R117" s="136">
        <v>39.04</v>
      </c>
      <c r="S117" s="136">
        <v>39.04</v>
      </c>
      <c r="T117" s="136">
        <v>39.04</v>
      </c>
      <c r="U117" s="136">
        <v>47.66</v>
      </c>
      <c r="V117" s="136">
        <v>44.84</v>
      </c>
      <c r="W117" s="72">
        <v>44.84</v>
      </c>
      <c r="X117" s="72">
        <v>44.84</v>
      </c>
      <c r="Y117" s="72">
        <v>54</v>
      </c>
      <c r="Z117" s="72">
        <v>54</v>
      </c>
      <c r="AA117" s="72">
        <v>54</v>
      </c>
      <c r="AB117" s="72">
        <v>54</v>
      </c>
      <c r="AC117" s="137">
        <f t="shared" si="49"/>
        <v>554.34</v>
      </c>
      <c r="AD117" s="72">
        <f t="shared" si="50"/>
        <v>-0.90000000000009095</v>
      </c>
      <c r="AE117" s="192">
        <f t="shared" si="51"/>
        <v>-1.6235523325036816E-3</v>
      </c>
      <c r="AF117" s="133">
        <v>443.72999999999996</v>
      </c>
      <c r="AG117" s="124">
        <f t="shared" si="43"/>
        <v>-109.70999999999998</v>
      </c>
    </row>
    <row r="118" spans="1:33">
      <c r="A118" s="105" t="s">
        <v>128</v>
      </c>
      <c r="B118" s="105" t="s">
        <v>389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52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9"/>
        <v>0</v>
      </c>
      <c r="AD118" s="72">
        <f t="shared" si="50"/>
        <v>0</v>
      </c>
      <c r="AE118" s="192" t="e">
        <f t="shared" si="51"/>
        <v>#DIV/0!</v>
      </c>
      <c r="AF118" s="133">
        <v>939.66</v>
      </c>
      <c r="AG118" s="124">
        <f t="shared" si="43"/>
        <v>939.66</v>
      </c>
    </row>
    <row r="119" spans="1:33">
      <c r="A119" s="105" t="s">
        <v>129</v>
      </c>
      <c r="B119" s="105" t="s">
        <v>389</v>
      </c>
      <c r="C119" s="105" t="s">
        <v>271</v>
      </c>
      <c r="D119" s="215">
        <v>1791.19</v>
      </c>
      <c r="E119" s="215">
        <v>1791.19</v>
      </c>
      <c r="F119" s="215">
        <v>1791.19</v>
      </c>
      <c r="G119" s="215">
        <v>1791.19</v>
      </c>
      <c r="H119" s="215">
        <v>1791.19</v>
      </c>
      <c r="I119" s="215">
        <v>1791.19</v>
      </c>
      <c r="J119" s="215">
        <v>1948.4099999999999</v>
      </c>
      <c r="K119" s="215">
        <v>1791.19</v>
      </c>
      <c r="L119" s="215">
        <v>1791.19</v>
      </c>
      <c r="M119" s="215">
        <v>1791.19</v>
      </c>
      <c r="N119" s="215">
        <v>1948.4099999999999</v>
      </c>
      <c r="O119" s="215">
        <v>1791.19</v>
      </c>
      <c r="P119" s="135">
        <f t="shared" si="52"/>
        <v>21808.720000000001</v>
      </c>
      <c r="Q119" s="136">
        <v>1618</v>
      </c>
      <c r="R119" s="136">
        <v>1618</v>
      </c>
      <c r="S119" s="136">
        <v>1618</v>
      </c>
      <c r="T119" s="136">
        <v>1618</v>
      </c>
      <c r="U119" s="136">
        <v>1977</v>
      </c>
      <c r="V119" s="136">
        <v>1768</v>
      </c>
      <c r="W119" s="72">
        <v>1768</v>
      </c>
      <c r="X119" s="72">
        <v>1768</v>
      </c>
      <c r="Y119" s="72">
        <v>1608</v>
      </c>
      <c r="Z119" s="72">
        <v>1608</v>
      </c>
      <c r="AA119" s="72">
        <v>1608</v>
      </c>
      <c r="AB119" s="72">
        <v>1608</v>
      </c>
      <c r="AC119" s="137">
        <f t="shared" si="49"/>
        <v>20185</v>
      </c>
      <c r="AD119" s="72">
        <f t="shared" si="50"/>
        <v>1623.7200000000012</v>
      </c>
      <c r="AE119" s="192">
        <f t="shared" si="51"/>
        <v>8.0441912311122174E-2</v>
      </c>
      <c r="AF119" s="133">
        <v>13321</v>
      </c>
      <c r="AG119" s="124">
        <f t="shared" si="43"/>
        <v>-8487.7200000000012</v>
      </c>
    </row>
    <row r="120" spans="1:33">
      <c r="A120" s="105" t="s">
        <v>130</v>
      </c>
      <c r="B120" s="105" t="s">
        <v>389</v>
      </c>
      <c r="C120" s="105" t="s">
        <v>272</v>
      </c>
      <c r="D120" s="215">
        <v>827</v>
      </c>
      <c r="E120" s="215">
        <v>564</v>
      </c>
      <c r="F120" s="215">
        <v>576</v>
      </c>
      <c r="G120" s="215">
        <v>615</v>
      </c>
      <c r="H120" s="215">
        <v>658</v>
      </c>
      <c r="I120" s="215">
        <v>576</v>
      </c>
      <c r="J120" s="215">
        <v>576</v>
      </c>
      <c r="K120" s="215">
        <v>576</v>
      </c>
      <c r="L120" s="215">
        <v>576</v>
      </c>
      <c r="M120" s="215">
        <v>860</v>
      </c>
      <c r="N120" s="215">
        <v>576</v>
      </c>
      <c r="O120" s="215">
        <v>576</v>
      </c>
      <c r="P120" s="135">
        <f t="shared" si="52"/>
        <v>7556</v>
      </c>
      <c r="Q120" s="136">
        <v>633.98</v>
      </c>
      <c r="R120" s="136">
        <v>774.49</v>
      </c>
      <c r="S120" s="136">
        <v>1157.1199999999999</v>
      </c>
      <c r="T120" s="136">
        <v>1149.21</v>
      </c>
      <c r="U120" s="136">
        <v>736.8</v>
      </c>
      <c r="V120" s="136">
        <v>731.68</v>
      </c>
      <c r="W120" s="72">
        <v>588.4</v>
      </c>
      <c r="X120" s="72">
        <v>679.41</v>
      </c>
      <c r="Y120" s="72">
        <v>810</v>
      </c>
      <c r="Z120" s="72">
        <v>810</v>
      </c>
      <c r="AA120" s="72">
        <v>810</v>
      </c>
      <c r="AB120" s="72">
        <v>810</v>
      </c>
      <c r="AC120" s="137">
        <f t="shared" si="49"/>
        <v>9691.09</v>
      </c>
      <c r="AD120" s="72">
        <f t="shared" si="50"/>
        <v>-2135.09</v>
      </c>
      <c r="AE120" s="192">
        <f t="shared" si="51"/>
        <v>-0.22031474271727949</v>
      </c>
      <c r="AF120" s="133">
        <v>9549.4299999999985</v>
      </c>
      <c r="AG120" s="124">
        <f t="shared" si="43"/>
        <v>1993.4299999999985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52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9"/>
        <v>0</v>
      </c>
      <c r="AD121" s="72">
        <f t="shared" si="50"/>
        <v>0</v>
      </c>
      <c r="AE121" s="192" t="e">
        <f t="shared" si="51"/>
        <v>#DIV/0!</v>
      </c>
      <c r="AF121" s="133">
        <v>0</v>
      </c>
      <c r="AG121" s="124">
        <f t="shared" si="43"/>
        <v>0</v>
      </c>
    </row>
    <row r="122" spans="1:33">
      <c r="A122" s="105" t="s">
        <v>273</v>
      </c>
      <c r="C122" s="109" t="s">
        <v>522</v>
      </c>
      <c r="D122" s="137">
        <f t="shared" ref="D122:AC122" si="53">SUM(D114:D121)</f>
        <v>11444.820000000002</v>
      </c>
      <c r="E122" s="137">
        <f t="shared" si="53"/>
        <v>11181.820000000002</v>
      </c>
      <c r="F122" s="137">
        <f t="shared" si="53"/>
        <v>11193.820000000002</v>
      </c>
      <c r="G122" s="137">
        <f t="shared" si="53"/>
        <v>11232.820000000002</v>
      </c>
      <c r="H122" s="137">
        <f t="shared" si="53"/>
        <v>11275.820000000002</v>
      </c>
      <c r="I122" s="137">
        <f t="shared" si="53"/>
        <v>11193.820000000002</v>
      </c>
      <c r="J122" s="137">
        <f t="shared" si="53"/>
        <v>11626.76</v>
      </c>
      <c r="K122" s="137">
        <f t="shared" si="53"/>
        <v>11469.54</v>
      </c>
      <c r="L122" s="137">
        <f t="shared" si="53"/>
        <v>11469.54</v>
      </c>
      <c r="M122" s="137">
        <f t="shared" si="53"/>
        <v>11753.54</v>
      </c>
      <c r="N122" s="137">
        <f t="shared" si="53"/>
        <v>11626.76</v>
      </c>
      <c r="O122" s="137">
        <f t="shared" si="53"/>
        <v>11469.54</v>
      </c>
      <c r="P122" s="135">
        <f t="shared" si="53"/>
        <v>136938.6</v>
      </c>
      <c r="Q122" s="137">
        <f t="shared" si="53"/>
        <v>10426.07</v>
      </c>
      <c r="R122" s="137">
        <f t="shared" si="53"/>
        <v>10566.58</v>
      </c>
      <c r="S122" s="137">
        <f t="shared" si="53"/>
        <v>10949.21</v>
      </c>
      <c r="T122" s="137">
        <f t="shared" si="53"/>
        <v>10941.3</v>
      </c>
      <c r="U122" s="137">
        <f t="shared" si="53"/>
        <v>12692.460000000001</v>
      </c>
      <c r="V122" s="137">
        <f t="shared" si="53"/>
        <v>11887.07</v>
      </c>
      <c r="W122" s="137">
        <f t="shared" si="53"/>
        <v>10996.38</v>
      </c>
      <c r="X122" s="137">
        <f t="shared" si="53"/>
        <v>11087.39</v>
      </c>
      <c r="Y122" s="137">
        <f t="shared" si="53"/>
        <v>10962</v>
      </c>
      <c r="Z122" s="137">
        <f t="shared" si="53"/>
        <v>10962</v>
      </c>
      <c r="AA122" s="137">
        <f t="shared" si="53"/>
        <v>10962</v>
      </c>
      <c r="AB122" s="137">
        <f t="shared" si="53"/>
        <v>10962</v>
      </c>
      <c r="AC122" s="137">
        <f t="shared" si="53"/>
        <v>133394.46</v>
      </c>
      <c r="AD122" s="72">
        <f t="shared" si="50"/>
        <v>3544.140000000014</v>
      </c>
      <c r="AE122" s="192">
        <f t="shared" si="51"/>
        <v>2.6568869501777018E-2</v>
      </c>
      <c r="AF122" s="133">
        <v>94581.47</v>
      </c>
      <c r="AG122" s="124">
        <f t="shared" si="43"/>
        <v>-42357.130000000005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3"/>
        <v>0</v>
      </c>
    </row>
    <row r="124" spans="1:33">
      <c r="A124" s="105" t="s">
        <v>131</v>
      </c>
      <c r="B124" s="105" t="s">
        <v>389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54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5">SUM(Q124:AB124)</f>
        <v>0</v>
      </c>
      <c r="AD124" s="72">
        <f t="shared" ref="AD124:AD134" si="56">P124-AC124</f>
        <v>0</v>
      </c>
      <c r="AE124" s="192" t="e">
        <f t="shared" ref="AE124:AE134" si="57">AD124/AC124</f>
        <v>#DIV/0!</v>
      </c>
      <c r="AF124" s="133">
        <v>0</v>
      </c>
      <c r="AG124" s="124">
        <f t="shared" si="43"/>
        <v>0</v>
      </c>
    </row>
    <row r="125" spans="1:33">
      <c r="A125" s="105" t="s">
        <v>132</v>
      </c>
      <c r="B125" s="105" t="s">
        <v>389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54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5"/>
        <v>0</v>
      </c>
      <c r="AD125" s="72">
        <f t="shared" si="56"/>
        <v>0</v>
      </c>
      <c r="AE125" s="192" t="e">
        <f t="shared" si="57"/>
        <v>#DIV/0!</v>
      </c>
      <c r="AF125" s="133">
        <v>0</v>
      </c>
      <c r="AG125" s="124">
        <f t="shared" si="43"/>
        <v>0</v>
      </c>
    </row>
    <row r="126" spans="1:33">
      <c r="A126" s="105" t="s">
        <v>133</v>
      </c>
      <c r="B126" s="105" t="s">
        <v>389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54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5"/>
        <v>0</v>
      </c>
      <c r="AD126" s="72">
        <f t="shared" si="56"/>
        <v>0</v>
      </c>
      <c r="AE126" s="192" t="e">
        <f t="shared" si="57"/>
        <v>#DIV/0!</v>
      </c>
      <c r="AF126" s="133">
        <v>0</v>
      </c>
      <c r="AG126" s="124">
        <f t="shared" si="43"/>
        <v>0</v>
      </c>
    </row>
    <row r="127" spans="1:33">
      <c r="A127" s="105" t="s">
        <v>134</v>
      </c>
      <c r="B127" s="105" t="s">
        <v>389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00">
        <f t="shared" si="54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5"/>
        <v>0</v>
      </c>
      <c r="AD127" s="72">
        <f t="shared" si="56"/>
        <v>0</v>
      </c>
      <c r="AE127" s="192" t="e">
        <f t="shared" si="57"/>
        <v>#DIV/0!</v>
      </c>
      <c r="AF127" s="133">
        <v>0</v>
      </c>
      <c r="AG127" s="124">
        <f t="shared" si="43"/>
        <v>0</v>
      </c>
    </row>
    <row r="128" spans="1:33">
      <c r="A128" s="105" t="s">
        <v>135</v>
      </c>
      <c r="B128" s="105" t="s">
        <v>389</v>
      </c>
      <c r="C128" s="105" t="s">
        <v>280</v>
      </c>
      <c r="D128" s="215">
        <v>136.26999999999998</v>
      </c>
      <c r="E128" s="215">
        <v>136.26999999999998</v>
      </c>
      <c r="F128" s="215">
        <v>136.26999999999998</v>
      </c>
      <c r="G128" s="215">
        <v>136.26999999999998</v>
      </c>
      <c r="H128" s="215">
        <v>136.26999999999998</v>
      </c>
      <c r="I128" s="215">
        <v>136.26999999999998</v>
      </c>
      <c r="J128" s="215">
        <v>136.26999999999998</v>
      </c>
      <c r="K128" s="215">
        <v>136.26999999999998</v>
      </c>
      <c r="L128" s="215">
        <v>136.26999999999998</v>
      </c>
      <c r="M128" s="215">
        <v>136.26999999999998</v>
      </c>
      <c r="N128" s="215">
        <v>136.26999999999998</v>
      </c>
      <c r="O128" s="215">
        <v>136.26999999999998</v>
      </c>
      <c r="P128" s="200">
        <f t="shared" si="54"/>
        <v>1635.2399999999998</v>
      </c>
      <c r="Q128" s="136">
        <v>94.25</v>
      </c>
      <c r="R128" s="136">
        <v>95.05</v>
      </c>
      <c r="S128" s="136">
        <v>94.25</v>
      </c>
      <c r="T128" s="136">
        <v>113.11</v>
      </c>
      <c r="U128" s="136">
        <v>118.04</v>
      </c>
      <c r="V128" s="136">
        <v>138.32</v>
      </c>
      <c r="W128" s="72">
        <v>119.88</v>
      </c>
      <c r="X128" s="72">
        <v>117.53</v>
      </c>
      <c r="Y128" s="72">
        <v>101</v>
      </c>
      <c r="Z128" s="72">
        <v>101</v>
      </c>
      <c r="AA128" s="72">
        <v>101</v>
      </c>
      <c r="AB128" s="72">
        <v>101</v>
      </c>
      <c r="AC128" s="137">
        <f t="shared" si="55"/>
        <v>1294.4299999999998</v>
      </c>
      <c r="AD128" s="72">
        <f t="shared" si="56"/>
        <v>340.80999999999995</v>
      </c>
      <c r="AE128" s="192">
        <f t="shared" si="57"/>
        <v>0.26328963327487775</v>
      </c>
      <c r="AF128" s="133">
        <v>3253.4800000000005</v>
      </c>
      <c r="AG128" s="124">
        <f t="shared" si="43"/>
        <v>1618.2400000000007</v>
      </c>
    </row>
    <row r="129" spans="1:33">
      <c r="A129" s="105" t="s">
        <v>136</v>
      </c>
      <c r="B129" s="105" t="s">
        <v>389</v>
      </c>
      <c r="C129" s="105" t="s">
        <v>282</v>
      </c>
      <c r="D129" s="164">
        <v>1363</v>
      </c>
      <c r="E129" s="164">
        <v>1253</v>
      </c>
      <c r="F129" s="164">
        <v>1270</v>
      </c>
      <c r="G129" s="164">
        <v>1432</v>
      </c>
      <c r="H129" s="164">
        <v>1481</v>
      </c>
      <c r="I129" s="164">
        <v>1404</v>
      </c>
      <c r="J129" s="164">
        <v>1411</v>
      </c>
      <c r="K129" s="164">
        <v>1440</v>
      </c>
      <c r="L129" s="164">
        <v>1441</v>
      </c>
      <c r="M129" s="164">
        <v>1447</v>
      </c>
      <c r="N129" s="164">
        <v>1343</v>
      </c>
      <c r="O129" s="164">
        <v>1341</v>
      </c>
      <c r="P129" s="200">
        <f t="shared" si="54"/>
        <v>16626</v>
      </c>
      <c r="Q129" s="136">
        <v>1369.19</v>
      </c>
      <c r="R129" s="136">
        <v>1773.57</v>
      </c>
      <c r="S129" s="136">
        <v>1553.29</v>
      </c>
      <c r="T129" s="136">
        <v>2217.83</v>
      </c>
      <c r="U129" s="136">
        <v>2423.4</v>
      </c>
      <c r="V129" s="136">
        <v>2385.15</v>
      </c>
      <c r="W129" s="72">
        <v>2010.78</v>
      </c>
      <c r="X129" s="72">
        <v>2416.14</v>
      </c>
      <c r="Y129" s="72">
        <v>3484</v>
      </c>
      <c r="Z129" s="72">
        <v>3313</v>
      </c>
      <c r="AA129" s="72">
        <v>3099</v>
      </c>
      <c r="AB129" s="72">
        <v>3099</v>
      </c>
      <c r="AC129" s="137">
        <f t="shared" si="55"/>
        <v>29144.35</v>
      </c>
      <c r="AD129" s="72">
        <f t="shared" si="56"/>
        <v>-12518.349999999999</v>
      </c>
      <c r="AE129" s="192">
        <f t="shared" si="57"/>
        <v>-0.42952922264521248</v>
      </c>
      <c r="AF129" s="133">
        <v>45202.74</v>
      </c>
      <c r="AG129" s="124">
        <f t="shared" si="43"/>
        <v>28576.739999999998</v>
      </c>
    </row>
    <row r="130" spans="1:33">
      <c r="A130" s="105" t="s">
        <v>137</v>
      </c>
      <c r="B130" s="105" t="s">
        <v>389</v>
      </c>
      <c r="C130" s="105" t="s">
        <v>283</v>
      </c>
      <c r="D130" s="164">
        <v>5418.18</v>
      </c>
      <c r="E130" s="164">
        <v>4570.18</v>
      </c>
      <c r="F130" s="164">
        <v>4577.37</v>
      </c>
      <c r="G130" s="164">
        <v>4645.37</v>
      </c>
      <c r="H130" s="164">
        <v>4997.18</v>
      </c>
      <c r="I130" s="164">
        <v>4650.88</v>
      </c>
      <c r="J130" s="164">
        <v>4620.88</v>
      </c>
      <c r="K130" s="164">
        <v>4617.88</v>
      </c>
      <c r="L130" s="164">
        <v>4647.88</v>
      </c>
      <c r="M130" s="164">
        <v>5390.4</v>
      </c>
      <c r="N130" s="164">
        <v>4630.37</v>
      </c>
      <c r="O130" s="164">
        <v>4626.37</v>
      </c>
      <c r="P130" s="200">
        <f t="shared" si="54"/>
        <v>57392.94</v>
      </c>
      <c r="Q130" s="136">
        <v>6675.87</v>
      </c>
      <c r="R130" s="136">
        <v>6054.22</v>
      </c>
      <c r="S130" s="136">
        <v>5799.96</v>
      </c>
      <c r="T130" s="136">
        <v>6707.24</v>
      </c>
      <c r="U130" s="136">
        <v>4971.95</v>
      </c>
      <c r="V130" s="136">
        <v>6580.72</v>
      </c>
      <c r="W130" s="72">
        <v>5512.68</v>
      </c>
      <c r="X130" s="72">
        <v>5738.74</v>
      </c>
      <c r="Y130" s="72">
        <v>8146</v>
      </c>
      <c r="Z130" s="72">
        <v>9042</v>
      </c>
      <c r="AA130" s="72">
        <v>8255</v>
      </c>
      <c r="AB130" s="72">
        <v>8255</v>
      </c>
      <c r="AC130" s="137">
        <f t="shared" si="55"/>
        <v>81739.38</v>
      </c>
      <c r="AD130" s="72">
        <f t="shared" si="56"/>
        <v>-24346.440000000002</v>
      </c>
      <c r="AE130" s="192">
        <f t="shared" si="57"/>
        <v>-0.29785447357197964</v>
      </c>
      <c r="AF130" s="133">
        <v>166325.20000000001</v>
      </c>
      <c r="AG130" s="124">
        <f t="shared" si="43"/>
        <v>108932.26000000001</v>
      </c>
    </row>
    <row r="131" spans="1:33">
      <c r="A131" s="105" t="s">
        <v>138</v>
      </c>
      <c r="B131" s="105" t="s">
        <v>389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54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5"/>
        <v>0</v>
      </c>
      <c r="AD131" s="72">
        <f t="shared" si="56"/>
        <v>0</v>
      </c>
      <c r="AE131" s="192" t="e">
        <f t="shared" si="57"/>
        <v>#DIV/0!</v>
      </c>
      <c r="AF131" s="133">
        <v>0</v>
      </c>
      <c r="AG131" s="124">
        <f t="shared" si="43"/>
        <v>0</v>
      </c>
    </row>
    <row r="132" spans="1:33">
      <c r="A132" s="105" t="s">
        <v>140</v>
      </c>
      <c r="B132" s="105" t="s">
        <v>389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54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5"/>
        <v>0</v>
      </c>
      <c r="AD132" s="72">
        <f t="shared" si="56"/>
        <v>0</v>
      </c>
      <c r="AE132" s="192" t="e">
        <f t="shared" si="57"/>
        <v>#DIV/0!</v>
      </c>
      <c r="AF132" s="133">
        <v>0</v>
      </c>
      <c r="AG132" s="124">
        <f t="shared" si="43"/>
        <v>0</v>
      </c>
    </row>
    <row r="133" spans="1:33">
      <c r="A133" s="105" t="s">
        <v>273</v>
      </c>
      <c r="C133" s="109" t="s">
        <v>523</v>
      </c>
      <c r="D133" s="137">
        <f t="shared" ref="D133:AC133" si="58">SUM(D124:D132)</f>
        <v>6917.4500000000007</v>
      </c>
      <c r="E133" s="137">
        <f t="shared" si="58"/>
        <v>5959.4500000000007</v>
      </c>
      <c r="F133" s="137">
        <f t="shared" si="58"/>
        <v>5983.6399999999994</v>
      </c>
      <c r="G133" s="137">
        <f t="shared" si="58"/>
        <v>6213.6399999999994</v>
      </c>
      <c r="H133" s="137">
        <f t="shared" si="58"/>
        <v>6614.4500000000007</v>
      </c>
      <c r="I133" s="137">
        <f t="shared" si="58"/>
        <v>6191.15</v>
      </c>
      <c r="J133" s="137">
        <f t="shared" si="58"/>
        <v>6168.15</v>
      </c>
      <c r="K133" s="137">
        <f t="shared" si="58"/>
        <v>6194.15</v>
      </c>
      <c r="L133" s="137">
        <f t="shared" si="58"/>
        <v>6225.15</v>
      </c>
      <c r="M133" s="137">
        <f t="shared" si="58"/>
        <v>6973.67</v>
      </c>
      <c r="N133" s="137">
        <f t="shared" si="58"/>
        <v>6109.6399999999994</v>
      </c>
      <c r="O133" s="137">
        <f t="shared" si="58"/>
        <v>6103.6399999999994</v>
      </c>
      <c r="P133" s="135">
        <f t="shared" si="58"/>
        <v>75654.179999999993</v>
      </c>
      <c r="Q133" s="137">
        <f t="shared" si="58"/>
        <v>8139.3099999999995</v>
      </c>
      <c r="R133" s="137">
        <f t="shared" si="58"/>
        <v>7922.84</v>
      </c>
      <c r="S133" s="137">
        <f t="shared" si="58"/>
        <v>7447.5</v>
      </c>
      <c r="T133" s="137">
        <f t="shared" si="58"/>
        <v>9038.18</v>
      </c>
      <c r="U133" s="137">
        <f t="shared" si="58"/>
        <v>7513.3899999999994</v>
      </c>
      <c r="V133" s="137">
        <f t="shared" si="58"/>
        <v>9104.19</v>
      </c>
      <c r="W133" s="137">
        <f t="shared" si="58"/>
        <v>7643.34</v>
      </c>
      <c r="X133" s="137">
        <f t="shared" si="58"/>
        <v>8272.41</v>
      </c>
      <c r="Y133" s="137">
        <f t="shared" si="58"/>
        <v>11731</v>
      </c>
      <c r="Z133" s="137">
        <f t="shared" si="58"/>
        <v>12456</v>
      </c>
      <c r="AA133" s="137">
        <f t="shared" si="58"/>
        <v>11455</v>
      </c>
      <c r="AB133" s="137">
        <f t="shared" si="58"/>
        <v>11455</v>
      </c>
      <c r="AC133" s="137">
        <f t="shared" si="58"/>
        <v>112178.16</v>
      </c>
      <c r="AD133" s="72">
        <f t="shared" si="56"/>
        <v>-36523.98000000001</v>
      </c>
      <c r="AE133" s="192">
        <f t="shared" si="57"/>
        <v>-0.32558904514033754</v>
      </c>
      <c r="AF133" s="133">
        <v>214781.42</v>
      </c>
      <c r="AG133" s="124">
        <f t="shared" si="43"/>
        <v>139127.24000000002</v>
      </c>
    </row>
    <row r="134" spans="1:33">
      <c r="A134" s="105" t="s">
        <v>273</v>
      </c>
      <c r="C134" s="109" t="s">
        <v>524</v>
      </c>
      <c r="D134" s="137">
        <f t="shared" ref="D134:AC134" si="59">D105+D112+D122+D133</f>
        <v>59723.08</v>
      </c>
      <c r="E134" s="137">
        <f t="shared" si="59"/>
        <v>45357.270000000004</v>
      </c>
      <c r="F134" s="137">
        <f t="shared" si="59"/>
        <v>45993.07</v>
      </c>
      <c r="G134" s="137">
        <f t="shared" si="59"/>
        <v>48193.1</v>
      </c>
      <c r="H134" s="137">
        <f t="shared" si="59"/>
        <v>50774.850000000006</v>
      </c>
      <c r="I134" s="137">
        <f t="shared" si="59"/>
        <v>46200.58</v>
      </c>
      <c r="J134" s="137">
        <f t="shared" si="59"/>
        <v>46610.520000000004</v>
      </c>
      <c r="K134" s="137">
        <f t="shared" si="59"/>
        <v>46479.3</v>
      </c>
      <c r="L134" s="137">
        <f t="shared" si="59"/>
        <v>46510.3</v>
      </c>
      <c r="M134" s="137">
        <f t="shared" si="59"/>
        <v>61722.11</v>
      </c>
      <c r="N134" s="137">
        <f t="shared" si="59"/>
        <v>46552.01</v>
      </c>
      <c r="O134" s="137">
        <f t="shared" si="59"/>
        <v>46388.79</v>
      </c>
      <c r="P134" s="135">
        <f t="shared" si="59"/>
        <v>590504.98</v>
      </c>
      <c r="Q134" s="137">
        <f t="shared" si="59"/>
        <v>51862.829999999994</v>
      </c>
      <c r="R134" s="137">
        <f t="shared" si="59"/>
        <v>58530.979999999996</v>
      </c>
      <c r="S134" s="137">
        <f t="shared" si="59"/>
        <v>49169.630000000005</v>
      </c>
      <c r="T134" s="137">
        <f t="shared" si="59"/>
        <v>51902.74</v>
      </c>
      <c r="U134" s="137">
        <f t="shared" si="59"/>
        <v>58774.17</v>
      </c>
      <c r="V134" s="137">
        <f t="shared" si="59"/>
        <v>60850.05</v>
      </c>
      <c r="W134" s="137">
        <f t="shared" si="59"/>
        <v>51419.880000000005</v>
      </c>
      <c r="X134" s="137">
        <f t="shared" si="59"/>
        <v>75505.61</v>
      </c>
      <c r="Y134" s="137">
        <f t="shared" si="59"/>
        <v>58573</v>
      </c>
      <c r="Z134" s="137">
        <f t="shared" si="59"/>
        <v>66597</v>
      </c>
      <c r="AA134" s="137">
        <f t="shared" si="59"/>
        <v>54647</v>
      </c>
      <c r="AB134" s="137">
        <f t="shared" si="59"/>
        <v>54647</v>
      </c>
      <c r="AC134" s="137">
        <f t="shared" si="59"/>
        <v>692479.89</v>
      </c>
      <c r="AD134" s="72">
        <f t="shared" si="56"/>
        <v>-101974.91000000003</v>
      </c>
      <c r="AE134" s="192">
        <f t="shared" si="57"/>
        <v>-0.14726046412697996</v>
      </c>
      <c r="AF134" s="133">
        <v>779142.45000000007</v>
      </c>
      <c r="AG134" s="124">
        <f t="shared" si="43"/>
        <v>188637.47000000009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3"/>
        <v>0</v>
      </c>
    </row>
    <row r="136" spans="1:33" s="224" customFormat="1">
      <c r="A136" s="224" t="s">
        <v>141</v>
      </c>
      <c r="B136" s="224" t="s">
        <v>389</v>
      </c>
      <c r="C136" s="224" t="s">
        <v>142</v>
      </c>
      <c r="D136" s="215">
        <v>6</v>
      </c>
      <c r="E136" s="215">
        <v>6</v>
      </c>
      <c r="F136" s="215">
        <v>6</v>
      </c>
      <c r="G136" s="215">
        <v>6</v>
      </c>
      <c r="H136" s="215">
        <v>6</v>
      </c>
      <c r="I136" s="215">
        <v>6</v>
      </c>
      <c r="J136" s="215">
        <v>6</v>
      </c>
      <c r="K136" s="215">
        <v>6</v>
      </c>
      <c r="L136" s="215">
        <v>6</v>
      </c>
      <c r="M136" s="215">
        <v>6</v>
      </c>
      <c r="N136" s="215">
        <v>6</v>
      </c>
      <c r="O136" s="215">
        <v>6</v>
      </c>
      <c r="P136" s="225">
        <f>SUM(D136:O136)/12</f>
        <v>6</v>
      </c>
      <c r="Q136" s="225">
        <v>5</v>
      </c>
      <c r="R136" s="225">
        <v>5</v>
      </c>
      <c r="S136" s="225">
        <v>5</v>
      </c>
      <c r="T136" s="225">
        <v>6</v>
      </c>
      <c r="U136" s="225">
        <v>6</v>
      </c>
      <c r="V136" s="225">
        <v>7</v>
      </c>
      <c r="W136" s="127">
        <v>6</v>
      </c>
      <c r="X136" s="127">
        <v>6</v>
      </c>
      <c r="Y136" s="127">
        <v>4</v>
      </c>
      <c r="Z136" s="127">
        <v>4</v>
      </c>
      <c r="AA136" s="127">
        <v>4</v>
      </c>
      <c r="AB136" s="127">
        <v>4</v>
      </c>
      <c r="AC136" s="225">
        <f>SUM(Q136:AB136)/12</f>
        <v>5.166666666666667</v>
      </c>
      <c r="AD136" s="225">
        <f t="shared" ref="AD136" si="60">P136-AC136</f>
        <v>0.83333333333333304</v>
      </c>
      <c r="AE136" s="226">
        <f t="shared" ref="AE136" si="61">AD136/AC136</f>
        <v>0.1612903225806451</v>
      </c>
      <c r="AF136" s="227">
        <v>10.833333333333334</v>
      </c>
      <c r="AG136" s="228">
        <f t="shared" si="43"/>
        <v>4.8333333333333339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229">
        <v>0</v>
      </c>
      <c r="E138" s="229">
        <v>0</v>
      </c>
      <c r="F138" s="229">
        <v>0</v>
      </c>
      <c r="G138" s="229">
        <v>0</v>
      </c>
      <c r="H138" s="229">
        <v>0</v>
      </c>
      <c r="I138" s="229">
        <v>0</v>
      </c>
      <c r="J138" s="229">
        <v>0</v>
      </c>
      <c r="K138" s="229">
        <v>0</v>
      </c>
      <c r="L138" s="229">
        <v>0</v>
      </c>
      <c r="M138" s="229">
        <v>0</v>
      </c>
      <c r="N138" s="229">
        <v>0</v>
      </c>
      <c r="O138" s="229">
        <v>0</v>
      </c>
      <c r="P138" s="200">
        <f t="shared" ref="P138:P140" si="62">SUM(D138:O138)</f>
        <v>0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0</v>
      </c>
      <c r="E139" s="136">
        <v>0</v>
      </c>
      <c r="F139" s="136">
        <v>0</v>
      </c>
      <c r="G139" s="136">
        <v>0</v>
      </c>
      <c r="H139" s="136">
        <v>0</v>
      </c>
      <c r="I139" s="136">
        <v>0</v>
      </c>
      <c r="J139" s="136">
        <v>0</v>
      </c>
      <c r="K139" s="136">
        <v>0</v>
      </c>
      <c r="L139" s="136">
        <v>0</v>
      </c>
      <c r="M139" s="136">
        <v>0</v>
      </c>
      <c r="N139" s="136">
        <v>0</v>
      </c>
      <c r="O139" s="136">
        <v>0</v>
      </c>
      <c r="P139" s="200">
        <f t="shared" si="62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10648.28</v>
      </c>
      <c r="E140" s="136">
        <v>8573.83</v>
      </c>
      <c r="F140" s="136">
        <v>8591.83</v>
      </c>
      <c r="G140" s="136">
        <v>9329.3100000000013</v>
      </c>
      <c r="H140" s="136">
        <v>9396.3100000000013</v>
      </c>
      <c r="I140" s="136">
        <v>8673.83</v>
      </c>
      <c r="J140" s="136">
        <v>8667.83</v>
      </c>
      <c r="K140" s="136">
        <v>8680.83</v>
      </c>
      <c r="L140" s="136">
        <v>8690.83</v>
      </c>
      <c r="M140" s="136">
        <v>11370.77</v>
      </c>
      <c r="N140" s="136">
        <v>8646.83</v>
      </c>
      <c r="O140" s="136">
        <v>8643.83</v>
      </c>
      <c r="P140" s="200">
        <f t="shared" si="62"/>
        <v>109914.31000000001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10648.28</v>
      </c>
      <c r="E141" s="117">
        <f t="shared" ref="E141:P141" si="63">SUM(E138:E140)</f>
        <v>8573.83</v>
      </c>
      <c r="F141" s="117">
        <f t="shared" si="63"/>
        <v>8591.83</v>
      </c>
      <c r="G141" s="117">
        <f t="shared" si="63"/>
        <v>9329.3100000000013</v>
      </c>
      <c r="H141" s="117">
        <f t="shared" si="63"/>
        <v>9396.3100000000013</v>
      </c>
      <c r="I141" s="117">
        <f t="shared" si="63"/>
        <v>8673.83</v>
      </c>
      <c r="J141" s="117">
        <f t="shared" si="63"/>
        <v>8667.83</v>
      </c>
      <c r="K141" s="117">
        <f t="shared" si="63"/>
        <v>8680.83</v>
      </c>
      <c r="L141" s="117">
        <f t="shared" si="63"/>
        <v>8690.83</v>
      </c>
      <c r="M141" s="117">
        <f t="shared" si="63"/>
        <v>11370.77</v>
      </c>
      <c r="N141" s="117">
        <f t="shared" si="63"/>
        <v>8646.83</v>
      </c>
      <c r="O141" s="117">
        <f t="shared" si="63"/>
        <v>8643.83</v>
      </c>
      <c r="P141" s="117">
        <f t="shared" si="63"/>
        <v>109914.31000000001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342">
    <dataValidation type="textLength" errorStyle="information" allowBlank="1" showInputMessage="1" showErrorMessage="1" error="XLBVal:6=1977_x000d__x000a_" sqref="U119">
      <formula1>0</formula1>
      <formula2>300</formula2>
    </dataValidation>
    <dataValidation type="textLength" errorStyle="information" allowBlank="1" showInputMessage="1" showErrorMessage="1" error="XLBVal:6=47.66_x000d__x000a_" sqref="U117">
      <formula1>0</formula1>
      <formula2>300</formula2>
    </dataValidation>
    <dataValidation type="textLength" errorStyle="information" allowBlank="1" showInputMessage="1" showErrorMessage="1" error="XLBVal:6=198.62_x000d__x000a_" sqref="U116">
      <formula1>0</formula1>
      <formula2>300</formula2>
    </dataValidation>
    <dataValidation type="textLength" errorStyle="information" allowBlank="1" showInputMessage="1" showErrorMessage="1" error="XLBVal:6=3376.54_x000d__x000a_" sqref="U115">
      <formula1>0</formula1>
      <formula2>300</formula2>
    </dataValidation>
    <dataValidation type="textLength" errorStyle="information" allowBlank="1" showInputMessage="1" showErrorMessage="1" error="XLBVal:6=2275.86_x000d__x000a_" sqref="V107">
      <formula1>0</formula1>
      <formula2>300</formula2>
    </dataValidation>
    <dataValidation type="textLength" errorStyle="information" allowBlank="1" showInputMessage="1" showErrorMessage="1" error="XLBVal:6=11425.7_x000d__x000a_" sqref="V102">
      <formula1>0</formula1>
      <formula2>300</formula2>
    </dataValidation>
    <dataValidation type="textLength" errorStyle="information" allowBlank="1" showInputMessage="1" showErrorMessage="1" error="XLBVal:6=12786.21_x000d__x000a_" sqref="U102">
      <formula1>0</formula1>
      <formula2>300</formula2>
    </dataValidation>
    <dataValidation type="textLength" errorStyle="information" allowBlank="1" showInputMessage="1" showErrorMessage="1" error="XLBVal:6=8881.99_x000d__x000a_" sqref="S102">
      <formula1>0</formula1>
      <formula2>300</formula2>
    </dataValidation>
    <dataValidation type="textLength" errorStyle="information" allowBlank="1" showInputMessage="1" showErrorMessage="1" error="XLBVal:6=11_x000d__x000a_" sqref="V89">
      <formula1>0</formula1>
      <formula2>300</formula2>
    </dataValidation>
    <dataValidation type="textLength" errorStyle="information" allowBlank="1" showInputMessage="1" showErrorMessage="1" error="XLBVal:6=15_x000d__x000a_" sqref="U89">
      <formula1>0</formula1>
      <formula2>300</formula2>
    </dataValidation>
    <dataValidation type="textLength" errorStyle="information" allowBlank="1" showInputMessage="1" showErrorMessage="1" error="XLBVal:6=10_x000d__x000a_" sqref="S89">
      <formula1>0</formula1>
      <formula2>300</formula2>
    </dataValidation>
    <dataValidation type="textLength" errorStyle="information" allowBlank="1" showInputMessage="1" showErrorMessage="1" error="XLBVal:6=16674.76_x000d__x000a_" sqref="V78">
      <formula1>0</formula1>
      <formula2>300</formula2>
    </dataValidation>
    <dataValidation type="textLength" errorStyle="information" allowBlank="1" showInputMessage="1" showErrorMessage="1" error="XLBVal:6=36906.8_x000d__x000a_" sqref="Q64:R64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2000_x000d__x000a_" sqref="S57">
      <formula1>0</formula1>
      <formula2>300</formula2>
    </dataValidation>
    <dataValidation type="textLength" errorStyle="information" allowBlank="1" showInputMessage="1" showErrorMessage="1" error="XLBVal:6=20000_x000d__x000a_" sqref="R57">
      <formula1>0</formula1>
      <formula2>300</formula2>
    </dataValidation>
    <dataValidation type="textLength" errorStyle="information" allowBlank="1" showInputMessage="1" showErrorMessage="1" error="XLBVal:6=15000_x000d__x000a_" sqref="Q57">
      <formula1>0</formula1>
      <formula2>300</formula2>
    </dataValidation>
    <dataValidation type="textLength" errorStyle="information" allowBlank="1" showInputMessage="1" showErrorMessage="1" error="XLBVal:6=-28.3_x000d__x000a_" sqref="V56">
      <formula1>0</formula1>
      <formula2>300</formula2>
    </dataValidation>
    <dataValidation type="textLength" errorStyle="information" allowBlank="1" showInputMessage="1" showErrorMessage="1" error="XLBVal:6=-888.95_x000d__x000a_" sqref="U51">
      <formula1>0</formula1>
      <formula2>300</formula2>
    </dataValidation>
    <dataValidation type="textLength" errorStyle="information" allowBlank="1" showInputMessage="1" showErrorMessage="1" error="XLBVal:6=3148.48_x000d__x000a_" sqref="S51">
      <formula1>0</formula1>
      <formula2>300</formula2>
    </dataValidation>
    <dataValidation type="textLength" errorStyle="information" allowBlank="1" showInputMessage="1" showErrorMessage="1" error="XLBVal:6=531.04_x000d__x000a_" sqref="R48">
      <formula1>0</formula1>
      <formula2>300</formula2>
    </dataValidation>
    <dataValidation type="textLength" errorStyle="information" allowBlank="1" showInputMessage="1" showErrorMessage="1" error="XLBVal:6=10835.32_x000d__x000a_" sqref="U43">
      <formula1>0</formula1>
      <formula2>300</formula2>
    </dataValidation>
    <dataValidation type="textLength" errorStyle="information" allowBlank="1" showInputMessage="1" showErrorMessage="1" error="XLBVal:6=5396.14_x000d__x000a_" sqref="T43">
      <formula1>0</formula1>
      <formula2>300</formula2>
    </dataValidation>
    <dataValidation type="textLength" errorStyle="information" allowBlank="1" showInputMessage="1" showErrorMessage="1" error="XLBVal:6=1315.9_x000d__x000a_" sqref="S38">
      <formula1>0</formula1>
      <formula2>300</formula2>
    </dataValidation>
    <dataValidation type="textLength" errorStyle="information" allowBlank="1" showInputMessage="1" showErrorMessage="1" error="XLBVal:6=0.2_x000d__x000a_" sqref="T25">
      <formula1>0</formula1>
      <formula2>300</formula2>
    </dataValidation>
    <dataValidation type="textLength" errorStyle="information" allowBlank="1" showInputMessage="1" showErrorMessage="1" error="XLBVal:6=27.2_x000d__x000a_" sqref="S25">
      <formula1>0</formula1>
      <formula2>300</formula2>
    </dataValidation>
    <dataValidation type="textLength" errorStyle="information" allowBlank="1" showInputMessage="1" showErrorMessage="1" error="XLBVal:6=889.8_x000d__x000a_" sqref="V21">
      <formula1>0</formula1>
      <formula2>300</formula2>
    </dataValidation>
    <dataValidation type="textLength" errorStyle="information" allowBlank="1" showInputMessage="1" showErrorMessage="1" error="XLBVal:6=1426.5_x000d__x000a_" sqref="V18">
      <formula1>0</formula1>
      <formula2>300</formula2>
    </dataValidation>
    <dataValidation type="textLength" errorStyle="information" allowBlank="1" showInputMessage="1" showErrorMessage="1" error="XLBVal:6=1312_x000d__x000a_" sqref="R17">
      <formula1>0</formula1>
      <formula2>300</formula2>
    </dataValidation>
    <dataValidation type="textLength" errorStyle="information" allowBlank="1" showInputMessage="1" showErrorMessage="1" error="XLBVal:6=408.4_x000d__x000a_" sqref="V13">
      <formula1>0</formula1>
      <formula2>300</formula2>
    </dataValidation>
    <dataValidation type="textLength" errorStyle="information" allowBlank="1" showInputMessage="1" showErrorMessage="1" error="XLBVal:6=640_x000d__x000a_" sqref="U13">
      <formula1>0</formula1>
      <formula2>300</formula2>
    </dataValidation>
    <dataValidation type="textLength" errorStyle="information" allowBlank="1" showInputMessage="1" showErrorMessage="1" error="XLBVal:6=3419.1_x000d__x000a_" sqref="R13">
      <formula1>0</formula1>
      <formula2>300</formula2>
    </dataValidation>
    <dataValidation type="textLength" errorStyle="information" allowBlank="1" showInputMessage="1" showErrorMessage="1" error="XLBVal:6=61308.36_x000d__x000a_" sqref="D102:D103 D107:O111 D114:O121 D124:O128 D136:O136">
      <formula1>0</formula1>
      <formula2>300</formula2>
    </dataValidation>
    <dataValidation type="textLength" errorStyle="information" allowBlank="1" showInputMessage="1" showErrorMessage="1" error="XLBVal:6=4929.83_x000d__x000a_" sqref="V108">
      <formula1>0</formula1>
      <formula2>300</formula2>
    </dataValidation>
    <dataValidation type="textLength" errorStyle="information" allowBlank="1" showInputMessage="1" showErrorMessage="1" error="XLBVal:6=4418.72_x000d__x000a_" sqref="U108">
      <formula1>0</formula1>
      <formula2>300</formula2>
    </dataValidation>
    <dataValidation type="textLength" errorStyle="information" allowBlank="1" showInputMessage="1" showErrorMessage="1" error="XLBVal:6=48_x000d__x000a_" sqref="V85">
      <formula1>0</formula1>
      <formula2>300</formula2>
    </dataValidation>
    <dataValidation type="textLength" errorStyle="information" allowBlank="1" showInputMessage="1" showErrorMessage="1" error="XLBVal:6=71_x000d__x000a_" sqref="U85">
      <formula1>0</formula1>
      <formula2>300</formula2>
    </dataValidation>
    <dataValidation type="textLength" errorStyle="information" allowBlank="1" showInputMessage="1" showErrorMessage="1" error="XLBVal:6=687_x000d__x000a_" sqref="Q59:S59">
      <formula1>0</formula1>
      <formula2>300</formula2>
    </dataValidation>
    <dataValidation type="textLength" errorStyle="information" allowBlank="1" showInputMessage="1" showErrorMessage="1" error="XLBVal:6=265.52_x000d__x000a_" sqref="S48:V48">
      <formula1>0</formula1>
      <formula2>300</formula2>
    </dataValidation>
    <dataValidation type="textLength" errorStyle="information" allowBlank="1" showInputMessage="1" showErrorMessage="1" error="XLBVal:6=220_x000d__x000a_" sqref="Q17">
      <formula1>0</formula1>
      <formula2>300</formula2>
    </dataValidation>
    <dataValidation type="textLength" errorStyle="information" allowBlank="1" showInputMessage="1" showErrorMessage="1" error="XLBVal:6=623.1_x000d__x000a_" sqref="S13">
      <formula1>0</formula1>
      <formula2>300</formula2>
    </dataValidation>
    <dataValidation type="textLength" errorStyle="information" allowBlank="1" showInputMessage="1" showErrorMessage="1" error="XLBVal:6=55880.37_x000d__x000a_" sqref="AB12">
      <formula1>0</formula1>
      <formula2>300</formula2>
    </dataValidation>
    <dataValidation type="textLength" errorStyle="information" allowBlank="1" showInputMessage="1" showErrorMessage="1" error="XLBVal:6=7436.8_x000d__x000a_" sqref="AB11">
      <formula1>0</formula1>
      <formula2>300</formula2>
    </dataValidation>
    <dataValidation type="textLength" errorStyle="information" allowBlank="1" showInputMessage="1" showErrorMessage="1" error="XLBVal:6=4965.7_x000d__x000a_" sqref="AB10">
      <formula1>0</formula1>
      <formula2>300</formula2>
    </dataValidation>
    <dataValidation type="textLength" errorStyle="information" allowBlank="1" showInputMessage="1" showErrorMessage="1" error="XLBVal:6=2547.1_x000d__x000a_" sqref="AB9">
      <formula1>0</formula1>
      <formula2>300</formula2>
    </dataValidation>
    <dataValidation type="textLength" errorStyle="information" allowBlank="1" showInputMessage="1" showErrorMessage="1" error="XLBVal:6=351_x000d__x000a_" sqref="AA13">
      <formula1>0</formula1>
      <formula2>300</formula2>
    </dataValidation>
    <dataValidation type="textLength" errorStyle="information" allowBlank="1" showInputMessage="1" showErrorMessage="1" error="XLBVal:6=133_x000d__x000a_" sqref="Z13 AB13">
      <formula1>0</formula1>
      <formula2>300</formula2>
    </dataValidation>
    <dataValidation type="textLength" errorStyle="information" allowBlank="1" showInputMessage="1" showErrorMessage="1" error="XLBVal:6=29990.08_x000d__x000a_" sqref="AA12">
      <formula1>0</formula1>
      <formula2>300</formula2>
    </dataValidation>
    <dataValidation type="textLength" errorStyle="information" allowBlank="1" showInputMessage="1" showErrorMessage="1" error="XLBVal:6=35667.31_x000d__x000a_" sqref="Z12">
      <formula1>0</formula1>
      <formula2>300</formula2>
    </dataValidation>
    <dataValidation type="textLength" errorStyle="information" allowBlank="1" showInputMessage="1" showErrorMessage="1" error="XLBVal:6=3694.1_x000d__x000a_" sqref="AA11">
      <formula1>0</formula1>
      <formula2>300</formula2>
    </dataValidation>
    <dataValidation type="textLength" errorStyle="information" allowBlank="1" showInputMessage="1" showErrorMessage="1" error="XLBVal:6=1353.8_x000d__x000a_" sqref="Z11">
      <formula1>0</formula1>
      <formula2>300</formula2>
    </dataValidation>
    <dataValidation type="textLength" errorStyle="information" allowBlank="1" showInputMessage="1" showErrorMessage="1" error="XLBVal:6=2609.7_x000d__x000a_" sqref="AA10">
      <formula1>0</formula1>
      <formula2>300</formula2>
    </dataValidation>
    <dataValidation type="textLength" errorStyle="information" allowBlank="1" showInputMessage="1" showErrorMessage="1" error="XLBVal:6=1214_x000d__x000a_" sqref="Z10">
      <formula1>0</formula1>
      <formula2>300</formula2>
    </dataValidation>
    <dataValidation type="textLength" errorStyle="information" allowBlank="1" showInputMessage="1" showErrorMessage="1" error="XLBVal:6=2125.9_x000d__x000a_" sqref="AA9">
      <formula1>0</formula1>
      <formula2>300</formula2>
    </dataValidation>
    <dataValidation type="textLength" errorStyle="information" allowBlank="1" showInputMessage="1" showErrorMessage="1" error="XLBVal:6=973_x000d__x000a_" sqref="Z9">
      <formula1>0</formula1>
      <formula2>300</formula2>
    </dataValidation>
    <dataValidation type="textLength" errorStyle="information" allowBlank="1" showInputMessage="1" showErrorMessage="1" error="XLBVal:6=824.69_x000d__x000a_" sqref="Y12">
      <formula1>0</formula1>
      <formula2>300</formula2>
    </dataValidation>
    <dataValidation type="textLength" errorStyle="information" allowBlank="1" showInputMessage="1" showErrorMessage="1" error="XLBVal:6=21975.01_x000d__x000a_" sqref="X12">
      <formula1>0</formula1>
      <formula2>300</formula2>
    </dataValidation>
    <dataValidation type="textLength" errorStyle="information" allowBlank="1" showInputMessage="1" showErrorMessage="1" error="XLBVal:6=1170.5_x000d__x000a_" sqref="X11">
      <formula1>0</formula1>
      <formula2>300</formula2>
    </dataValidation>
    <dataValidation type="textLength" errorStyle="information" allowBlank="1" showInputMessage="1" showErrorMessage="1" error="XLBVal:6=1069.6_x000d__x000a_" sqref="X10">
      <formula1>0</formula1>
      <formula2>300</formula2>
    </dataValidation>
    <dataValidation type="textLength" errorStyle="information" allowBlank="1" showInputMessage="1" showErrorMessage="1" error="XLBVal:6=321_x000d__x000a_" sqref="X9">
      <formula1>0</formula1>
      <formula2>300</formula2>
    </dataValidation>
    <dataValidation type="textLength" errorStyle="information" allowBlank="1" showInputMessage="1" showErrorMessage="1" error="XLBVal:6=3680_x000d__x000a_" sqref="U109">
      <formula1>0</formula1>
      <formula2>300</formula2>
    </dataValidation>
    <dataValidation type="textLength" errorStyle="information" allowBlank="1" showInputMessage="1" showErrorMessage="1" error="XLBVal:6=5298.89_x000d__x000a_" sqref="R108">
      <formula1>0</formula1>
      <formula2>300</formula2>
    </dataValidation>
    <dataValidation type="textLength" errorStyle="information" allowBlank="1" showInputMessage="1" showErrorMessage="1" error="XLBVal:6=874_x000d__x000a_" sqref="S88">
      <formula1>0</formula1>
      <formula2>300</formula2>
    </dataValidation>
    <dataValidation type="textLength" errorStyle="information" allowBlank="1" showInputMessage="1" showErrorMessage="1" error="XLBVal:6=1500_x000d__x000a_" sqref="R88">
      <formula1>0</formula1>
      <formula2>300</formula2>
    </dataValidation>
    <dataValidation type="textLength" errorStyle="information" allowBlank="1" showInputMessage="1" showErrorMessage="1" error="XLBVal:6=87.51_x000d__x000a_" sqref="R71">
      <formula1>0</formula1>
      <formula2>300</formula2>
    </dataValidation>
    <dataValidation type="textLength" errorStyle="information" allowBlank="1" showInputMessage="1" showErrorMessage="1" error="XLBVal:6=364.78_x000d__x000a_" sqref="T61:V61">
      <formula1>0</formula1>
      <formula2>300</formula2>
    </dataValidation>
    <dataValidation type="textLength" errorStyle="information" allowBlank="1" showInputMessage="1" showErrorMessage="1" error="XLBVal:6=143.69_x000d__x000a_" sqref="S61">
      <formula1>0</formula1>
      <formula2>300</formula2>
    </dataValidation>
    <dataValidation type="textLength" errorStyle="information" allowBlank="1" showInputMessage="1" showErrorMessage="1" error="XLBVal:6=200_x000d__x000a_" sqref="Q54:S54">
      <formula1>0</formula1>
      <formula2>300</formula2>
    </dataValidation>
    <dataValidation type="textLength" errorStyle="information" allowBlank="1" showInputMessage="1" showErrorMessage="1" error="XLBVal:6=11241.35_x000d__x000a_" sqref="S43">
      <formula1>0</formula1>
      <formula2>300</formula2>
    </dataValidation>
    <dataValidation type="textLength" errorStyle="information" allowBlank="1" showInputMessage="1" showErrorMessage="1" error="XLBVal:6=12554.23_x000d__x000a_" sqref="R31">
      <formula1>0</formula1>
      <formula2>300</formula2>
    </dataValidation>
    <dataValidation type="textLength" errorStyle="information" allowBlank="1" showInputMessage="1" showErrorMessage="1" error="XLBVal:6=1110_x000d__x000a_" sqref="S17">
      <formula1>0</formula1>
      <formula2>300</formula2>
    </dataValidation>
    <dataValidation type="textLength" errorStyle="information" allowBlank="1" showInputMessage="1" showErrorMessage="1" error="XLBVal:6=250_x000d__x000a_" sqref="U86">
      <formula1>0</formula1>
      <formula2>300</formula2>
    </dataValidation>
    <dataValidation type="textLength" errorStyle="information" allowBlank="1" showInputMessage="1" showErrorMessage="1" error="XLBVal:6=655_x000d__x000a_" sqref="W13">
      <formula1>0</formula1>
      <formula2>300</formula2>
    </dataValidation>
    <dataValidation type="textLength" errorStyle="information" allowBlank="1" showInputMessage="1" showErrorMessage="1" error="XLBVal:6=131625.43_x000d__x000a_" sqref="W12">
      <formula1>0</formula1>
      <formula2>300</formula2>
    </dataValidation>
    <dataValidation type="textLength" errorStyle="information" allowBlank="1" showInputMessage="1" showErrorMessage="1" error="XLBVal:6=4788.95_x000d__x000a_" sqref="W11 W17:AB21 W24:AB26 W30:AB32 W38:AB79 W85:AB89 W93:AB97 W102:AB104 W107:AB111 W114:AB121 W124:AB132 W136:AB136">
      <formula1>0</formula1>
      <formula2>300</formula2>
    </dataValidation>
    <dataValidation type="textLength" errorStyle="information" allowBlank="1" showInputMessage="1" showErrorMessage="1" error="XLBVal:6=6088_x000d__x000a_" sqref="W10">
      <formula1>0</formula1>
      <formula2>300</formula2>
    </dataValidation>
    <dataValidation type="textLength" errorStyle="information" allowBlank="1" showInputMessage="1" showErrorMessage="1" error="XLBVal:6=2358.7_x000d__x000a_" sqref="W9">
      <formula1>0</formula1>
      <formula2>300</formula2>
    </dataValidation>
    <dataValidation type="textLength" errorStyle="information" allowBlank="1" showInputMessage="1" showErrorMessage="1" error="XLBVal:6=40_x000d__x000a_" sqref="I89">
      <formula1>0</formula1>
      <formula2>300</formula2>
    </dataValidation>
    <dataValidation type="textLength" errorStyle="information" allowBlank="1" showInputMessage="1" showErrorMessage="1" error="XLBVal:6=1516_x000d__x000a_" sqref="I88">
      <formula1>0</formula1>
      <formula2>300</formula2>
    </dataValidation>
    <dataValidation type="textLength" errorStyle="information" allowBlank="1" showInputMessage="1" showErrorMessage="1" error="XLBVal:6=126_x000d__x000a_" sqref="I87">
      <formula1>0</formula1>
      <formula2>300</formula2>
    </dataValidation>
    <dataValidation type="textLength" errorStyle="information" allowBlank="1" showInputMessage="1" showErrorMessage="1" error="XLBVal:6=49_x000d__x000a_" sqref="I86">
      <formula1>0</formula1>
      <formula2>300</formula2>
    </dataValidation>
    <dataValidation type="textLength" errorStyle="information" allowBlank="1" showInputMessage="1" showErrorMessage="1" error="XLBVal:6=16_x000d__x000a_" sqref="I85">
      <formula1>0</formula1>
      <formula2>300</formula2>
    </dataValidation>
    <dataValidation type="textLength" errorStyle="information" allowBlank="1" showInputMessage="1" showErrorMessage="1" error="XLBVal:6=21040.2_x000d__x000a_" sqref="I21">
      <formula1>0</formula1>
      <formula2>300</formula2>
    </dataValidation>
    <dataValidation type="textLength" errorStyle="information" allowBlank="1" showInputMessage="1" showErrorMessage="1" error="XLBVal:6=4582_x000d__x000a_" sqref="I20">
      <formula1>0</formula1>
      <formula2>300</formula2>
    </dataValidation>
    <dataValidation type="textLength" errorStyle="information" allowBlank="1" showInputMessage="1" showErrorMessage="1" error="XLBVal:6=9082.1_x000d__x000a_" sqref="I19">
      <formula1>0</formula1>
      <formula2>300</formula2>
    </dataValidation>
    <dataValidation type="textLength" errorStyle="information" allowBlank="1" showInputMessage="1" showErrorMessage="1" error="XLBVal:6=1368_x000d__x000a_" sqref="I18">
      <formula1>0</formula1>
      <formula2>300</formula2>
    </dataValidation>
    <dataValidation type="textLength" errorStyle="information" allowBlank="1" showInputMessage="1" showErrorMessage="1" error="XLBVal:6=166.1_x000d__x000a_" sqref="I17">
      <formula1>0</formula1>
      <formula2>300</formula2>
    </dataValidation>
    <dataValidation type="textLength" errorStyle="information" allowBlank="1" showInputMessage="1" showErrorMessage="1" error="XLBVal:6=67_x000d__x000a_" sqref="H87">
      <formula1>0</formula1>
      <formula2>300</formula2>
    </dataValidation>
    <dataValidation type="textLength" errorStyle="information" allowBlank="1" showInputMessage="1" showErrorMessage="1" error="XLBVal:6=396_x000d__x000a_" sqref="H25">
      <formula1>0</formula1>
      <formula2>300</formula2>
    </dataValidation>
    <dataValidation type="textLength" errorStyle="information" allowBlank="1" showInputMessage="1" showErrorMessage="1" error="XLBVal:6=15131.3_x000d__x000a_" sqref="H21">
      <formula1>0</formula1>
      <formula2>300</formula2>
    </dataValidation>
    <dataValidation type="textLength" errorStyle="information" allowBlank="1" showInputMessage="1" showErrorMessage="1" error="XLBVal:6=3490_x000d__x000a_" sqref="H20">
      <formula1>0</formula1>
      <formula2>300</formula2>
    </dataValidation>
    <dataValidation type="textLength" errorStyle="information" allowBlank="1" showInputMessage="1" showErrorMessage="1" error="XLBVal:6=14630.7_x000d__x000a_" sqref="H19">
      <formula1>0</formula1>
      <formula2>300</formula2>
    </dataValidation>
    <dataValidation type="textLength" errorStyle="information" allowBlank="1" showInputMessage="1" showErrorMessage="1" error="XLBVal:6=1530.6_x000d__x000a_" sqref="H18">
      <formula1>0</formula1>
      <formula2>300</formula2>
    </dataValidation>
    <dataValidation type="textLength" errorStyle="information" allowBlank="1" showInputMessage="1" showErrorMessage="1" error="XLBVal:6=136_x000d__x000a_" sqref="H17">
      <formula1>0</formula1>
      <formula2>300</formula2>
    </dataValidation>
    <dataValidation type="textLength" errorStyle="information" allowBlank="1" showInputMessage="1" showErrorMessage="1" error="XLBVal:6=33_x000d__x000a_" sqref="G89">
      <formula1>0</formula1>
      <formula2>300</formula2>
    </dataValidation>
    <dataValidation type="textLength" errorStyle="information" allowBlank="1" showInputMessage="1" showErrorMessage="1" error="XLBVal:6=1309_x000d__x000a_" sqref="G88">
      <formula1>0</formula1>
      <formula2>300</formula2>
    </dataValidation>
    <dataValidation type="textLength" errorStyle="information" allowBlank="1" showInputMessage="1" showErrorMessage="1" error="XLBVal:6=117_x000d__x000a_" sqref="G87">
      <formula1>0</formula1>
      <formula2>300</formula2>
    </dataValidation>
    <dataValidation type="textLength" errorStyle="information" allowBlank="1" showInputMessage="1" showErrorMessage="1" error="XLBVal:6=39_x000d__x000a_" sqref="G85">
      <formula1>0</formula1>
      <formula2>300</formula2>
    </dataValidation>
    <dataValidation type="textLength" errorStyle="information" allowBlank="1" showInputMessage="1" showErrorMessage="1" error="XLBVal:6=1922.9_x000d__x000a_" sqref="G25">
      <formula1>0</formula1>
      <formula2>300</formula2>
    </dataValidation>
    <dataValidation type="textLength" errorStyle="information" allowBlank="1" showInputMessage="1" showErrorMessage="1" error="XLBVal:6=18512.4_x000d__x000a_" sqref="G21">
      <formula1>0</formula1>
      <formula2>300</formula2>
    </dataValidation>
    <dataValidation type="textLength" errorStyle="information" allowBlank="1" showInputMessage="1" showErrorMessage="1" error="XLBVal:6=4644_x000d__x000a_" sqref="G20">
      <formula1>0</formula1>
      <formula2>300</formula2>
    </dataValidation>
    <dataValidation type="textLength" errorStyle="information" allowBlank="1" showInputMessage="1" showErrorMessage="1" error="XLBVal:6=18210.3_x000d__x000a_" sqref="G19">
      <formula1>0</formula1>
      <formula2>300</formula2>
    </dataValidation>
    <dataValidation type="textLength" errorStyle="information" allowBlank="1" showInputMessage="1" showErrorMessage="1" error="XLBVal:6=1740_x000d__x000a_" sqref="G18">
      <formula1>0</formula1>
      <formula2>300</formula2>
    </dataValidation>
    <dataValidation type="textLength" errorStyle="information" allowBlank="1" showInputMessage="1" showErrorMessage="1" error="XLBVal:6=105.83_x000d__x000a_" sqref="G17">
      <formula1>0</formula1>
      <formula2>300</formula2>
    </dataValidation>
    <dataValidation type="textLength" errorStyle="information" allowBlank="1" showInputMessage="1" showErrorMessage="1" error="XLBVal:6=1094.1_x000d__x000a_" sqref="T13">
      <formula1>0</formula1>
      <formula2>300</formula2>
    </dataValidation>
    <dataValidation type="textLength" errorStyle="information" allowBlank="1" showInputMessage="1" showErrorMessage="1" error="XLBVal:6=5348.26_x000d__x000a_" sqref="S108">
      <formula1>0</formula1>
      <formula2>300</formula2>
    </dataValidation>
    <dataValidation type="textLength" errorStyle="information" allowBlank="1" showInputMessage="1" showErrorMessage="1" error="XLBVal:6=5351.27_x000d__x000a_" sqref="Q108">
      <formula1>0</formula1>
      <formula2>300</formula2>
    </dataValidation>
    <dataValidation type="textLength" errorStyle="information" allowBlank="1" showInputMessage="1" showErrorMessage="1" error="XLBVal:6=23703.45_x000d__x000a_" sqref="D104">
      <formula1>0</formula1>
      <formula2>300</formula2>
    </dataValidation>
    <dataValidation type="textLength" errorStyle="information" allowBlank="1" showInputMessage="1" showErrorMessage="1" error="XLBVal:6=61_x000d__x000a_" sqref="F89">
      <formula1>0</formula1>
      <formula2>300</formula2>
    </dataValidation>
    <dataValidation type="textLength" errorStyle="information" allowBlank="1" showInputMessage="1" showErrorMessage="1" error="XLBVal:6=18_x000d__x000a_" sqref="E89">
      <formula1>0</formula1>
      <formula2>300</formula2>
    </dataValidation>
    <dataValidation type="textLength" errorStyle="information" allowBlank="1" showInputMessage="1" showErrorMessage="1" error="XLBVal:6=1182_x000d__x000a_" sqref="F88">
      <formula1>0</formula1>
      <formula2>300</formula2>
    </dataValidation>
    <dataValidation type="textLength" errorStyle="information" allowBlank="1" showInputMessage="1" showErrorMessage="1" error="XLBVal:6=1376_x000d__x000a_" sqref="E88">
      <formula1>0</formula1>
      <formula2>300</formula2>
    </dataValidation>
    <dataValidation type="textLength" errorStyle="information" allowBlank="1" showInputMessage="1" showErrorMessage="1" error="XLBVal:6=1065_x000d__x000a_" sqref="D88">
      <formula1>0</formula1>
      <formula2>300</formula2>
    </dataValidation>
    <dataValidation type="textLength" errorStyle="information" allowBlank="1" showInputMessage="1" showErrorMessage="1" error="XLBVal:6=229_x000d__x000a_" sqref="F87">
      <formula1>0</formula1>
      <formula2>300</formula2>
    </dataValidation>
    <dataValidation type="textLength" errorStyle="information" allowBlank="1" showInputMessage="1" showErrorMessage="1" error="XLBVal:6=205_x000d__x000a_" sqref="E87">
      <formula1>0</formula1>
      <formula2>300</formula2>
    </dataValidation>
    <dataValidation type="textLength" errorStyle="information" allowBlank="1" showInputMessage="1" showErrorMessage="1" error="XLBVal:6=277_x000d__x000a_" sqref="D87">
      <formula1>0</formula1>
      <formula2>300</formula2>
    </dataValidation>
    <dataValidation type="textLength" errorStyle="information" allowBlank="1" showInputMessage="1" showErrorMessage="1" error="XLBVal:6=120_x000d__x000a_" sqref="F86">
      <formula1>0</formula1>
      <formula2>300</formula2>
    </dataValidation>
    <dataValidation type="textLength" errorStyle="information" allowBlank="1" showInputMessage="1" showErrorMessage="1" error="XLBVal:6=146_x000d__x000a_" sqref="E86">
      <formula1>0</formula1>
      <formula2>300</formula2>
    </dataValidation>
    <dataValidation type="textLength" errorStyle="information" allowBlank="1" showInputMessage="1" showErrorMessage="1" error="XLBVal:6=50_x000d__x000a_" sqref="F85">
      <formula1>0</formula1>
      <formula2>300</formula2>
    </dataValidation>
    <dataValidation type="textLength" errorStyle="information" allowBlank="1" showInputMessage="1" showErrorMessage="1" error="XLBVal:6=81_x000d__x000a_" sqref="E85">
      <formula1>0</formula1>
      <formula2>300</formula2>
    </dataValidation>
    <dataValidation type="textLength" errorStyle="information" allowBlank="1" showInputMessage="1" showErrorMessage="1" error="XLBVal:6=153_x000d__x000a_" sqref="D85">
      <formula1>0</formula1>
      <formula2>300</formula2>
    </dataValidation>
    <dataValidation type="textLength" errorStyle="information" allowBlank="1" showInputMessage="1" showErrorMessage="1" error="XLBVal:6=18914.61_x000d__x000a_" sqref="S78">
      <formula1>0</formula1>
      <formula2>300</formula2>
    </dataValidation>
    <dataValidation type="textLength" errorStyle="information" allowBlank="1" showInputMessage="1" showErrorMessage="1" error="XLBVal:6=494.1_x000d__x000a_" sqref="R49">
      <formula1>0</formula1>
      <formula2>300</formula2>
    </dataValidation>
    <dataValidation type="textLength" errorStyle="information" allowBlank="1" showInputMessage="1" showErrorMessage="1" error="XLBVal:6=3725.32_x000d__x000a_" sqref="D38:O42 D73:O78 D44:O71">
      <formula1>0</formula1>
      <formula2>300</formula2>
    </dataValidation>
    <dataValidation type="textLength" errorStyle="information" allowBlank="1" showInputMessage="1" showErrorMessage="1" error="XLBVal:6=7484.53_x000d__x000a_" sqref="D31:O31">
      <formula1>0</formula1>
      <formula2>300</formula2>
    </dataValidation>
    <dataValidation type="textLength" errorStyle="information" allowBlank="1" showInputMessage="1" showErrorMessage="1" error="XLBVal:6=9795.2_x000d__x000a_" sqref="D26:O26">
      <formula1>0</formula1>
      <formula2>300</formula2>
    </dataValidation>
    <dataValidation type="textLength" errorStyle="information" allowBlank="1" showInputMessage="1" showErrorMessage="1" error="XLBVal:6=1980_x000d__x000a_" sqref="F25">
      <formula1>0</formula1>
      <formula2>300</formula2>
    </dataValidation>
    <dataValidation type="textLength" errorStyle="information" allowBlank="1" showInputMessage="1" showErrorMessage="1" error="XLBVal:6=1584_x000d__x000a_" sqref="E25">
      <formula1>0</formula1>
      <formula2>300</formula2>
    </dataValidation>
    <dataValidation type="textLength" errorStyle="information" allowBlank="1" showInputMessage="1" showErrorMessage="1" error="XLBVal:6=5416_x000d__x000a_" sqref="D25">
      <formula1>0</formula1>
      <formula2>300</formula2>
    </dataValidation>
    <dataValidation type="textLength" errorStyle="information" allowBlank="1" showInputMessage="1" showErrorMessage="1" error="XLBVal:6=18144.2_x000d__x000a_" sqref="F21">
      <formula1>0</formula1>
      <formula2>300</formula2>
    </dataValidation>
    <dataValidation type="textLength" errorStyle="information" allowBlank="1" showInputMessage="1" showErrorMessage="1" error="XLBVal:6=8264_x000d__x000a_" sqref="E21">
      <formula1>0</formula1>
      <formula2>300</formula2>
    </dataValidation>
    <dataValidation type="textLength" errorStyle="information" allowBlank="1" showInputMessage="1" showErrorMessage="1" error="XLBVal:6=1846_x000d__x000a_" sqref="D21">
      <formula1>0</formula1>
      <formula2>300</formula2>
    </dataValidation>
    <dataValidation type="textLength" errorStyle="information" allowBlank="1" showInputMessage="1" showErrorMessage="1" error="XLBVal:6=4370_x000d__x000a_" sqref="F20">
      <formula1>0</formula1>
      <formula2>300</formula2>
    </dataValidation>
    <dataValidation type="textLength" errorStyle="information" allowBlank="1" showInputMessage="1" showErrorMessage="1" error="XLBVal:6=8029_x000d__x000a_" sqref="E20">
      <formula1>0</formula1>
      <formula2>300</formula2>
    </dataValidation>
    <dataValidation type="textLength" errorStyle="information" allowBlank="1" showInputMessage="1" showErrorMessage="1" error="XLBVal:6=4756_x000d__x000a_" sqref="D20">
      <formula1>0</formula1>
      <formula2>300</formula2>
    </dataValidation>
    <dataValidation type="textLength" errorStyle="information" allowBlank="1" showInputMessage="1" showErrorMessage="1" error="XLBVal:6=20681_x000d__x000a_" sqref="F19">
      <formula1>0</formula1>
      <formula2>300</formula2>
    </dataValidation>
    <dataValidation type="textLength" errorStyle="information" allowBlank="1" showInputMessage="1" showErrorMessage="1" error="XLBVal:6=24086.4_x000d__x000a_" sqref="E19">
      <formula1>0</formula1>
      <formula2>300</formula2>
    </dataValidation>
    <dataValidation type="textLength" errorStyle="information" allowBlank="1" showInputMessage="1" showErrorMessage="1" error="XLBVal:6=25324.6_x000d__x000a_" sqref="D19">
      <formula1>0</formula1>
      <formula2>300</formula2>
    </dataValidation>
    <dataValidation type="textLength" errorStyle="information" allowBlank="1" showInputMessage="1" showErrorMessage="1" error="XLBVal:6=1920_x000d__x000a_" sqref="F18">
      <formula1>0</formula1>
      <formula2>300</formula2>
    </dataValidation>
    <dataValidation type="textLength" errorStyle="information" allowBlank="1" showInputMessage="1" showErrorMessage="1" error="XLBVal:6=1880_x000d__x000a_" sqref="E18">
      <formula1>0</formula1>
      <formula2>300</formula2>
    </dataValidation>
    <dataValidation type="textLength" errorStyle="information" allowBlank="1" showInputMessage="1" showErrorMessage="1" error="XLBVal:6=1555_x000d__x000a_" sqref="D18">
      <formula1>0</formula1>
      <formula2>300</formula2>
    </dataValidation>
    <dataValidation type="textLength" errorStyle="information" allowBlank="1" showInputMessage="1" showErrorMessage="1" error="XLBVal:6=214_x000d__x000a_" sqref="F17">
      <formula1>0</formula1>
      <formula2>300</formula2>
    </dataValidation>
    <dataValidation type="textLength" errorStyle="information" allowBlank="1" showInputMessage="1" showErrorMessage="1" error="XLBVal:6=292_x000d__x000a_" sqref="D17">
      <formula1>0</formula1>
      <formula2>300</formula2>
    </dataValidation>
    <dataValidation type="textLength" errorStyle="information" allowBlank="1" showInputMessage="1" showErrorMessage="1" error="XLBVal:6=41020.1_x000d__x000a_" sqref="R10">
      <formula1>0</formula1>
      <formula2>300</formula2>
    </dataValidation>
    <dataValidation type="textLength" errorStyle="information" allowBlank="1" showInputMessage="1" showErrorMessage="1" error="XLBVal:6=7928_x000d__x000a_" sqref="D9:O13">
      <formula1>0</formula1>
      <formula2>300</formula2>
    </dataValidation>
    <dataValidation type="textLength" errorStyle="information" allowBlank="1" showInputMessage="1" showErrorMessage="1" error="XLBVal:6=4500_x000d__x000a_" sqref="E102:O104">
      <formula1>0</formula1>
      <formula2>300</formula2>
    </dataValidation>
    <dataValidation type="textLength" errorStyle="information" allowBlank="1" showInputMessage="1" showErrorMessage="1" error="XLBVal:6=6_x000d__x000a_" sqref="T136:U136">
      <formula1>0</formula1>
      <formula2>300</formula2>
    </dataValidation>
    <dataValidation type="textLength" errorStyle="information" allowBlank="1" showInputMessage="1" showErrorMessage="1" error="XLBVal:6=86_x000d__x000a_" sqref="G86">
      <formula1>0</formula1>
      <formula2>300</formula2>
    </dataValidation>
    <dataValidation type="textLength" errorStyle="information" allowBlank="1" showInputMessage="1" showErrorMessage="1" error="XLBVal:6=7_x000d__x000a_" sqref="V136">
      <formula1>0</formula1>
      <formula2>300</formula2>
    </dataValidation>
    <dataValidation type="textLength" errorStyle="information" allowBlank="1" showInputMessage="1" showErrorMessage="1" error="XLBVal:6=5_x000d__x000a_" sqref="Q136:S136">
      <formula1>0</formula1>
      <formula2>300</formula2>
    </dataValidation>
    <dataValidation type="textLength" errorStyle="information" allowBlank="1" showInputMessage="1" showErrorMessage="1" error="XLBVal:6=186.85_x000d__x000a_" sqref="V116">
      <formula1>0</formula1>
      <formula2>300</formula2>
    </dataValidation>
    <dataValidation type="textLength" errorStyle="information" allowBlank="1" showInputMessage="1" showErrorMessage="1" error="XLBVal:6=162.7_x000d__x000a_" sqref="Q116:T116">
      <formula1>0</formula1>
      <formula2>300</formula2>
    </dataValidation>
    <dataValidation type="textLength" errorStyle="information" allowBlank="1" showInputMessage="1" showErrorMessage="1" error="XLBVal:6=3308.92_x000d__x000a_" sqref="T108">
      <formula1>0</formula1>
      <formula2>300</formula2>
    </dataValidation>
    <dataValidation type="textLength" errorStyle="information" allowBlank="1" showInputMessage="1" showErrorMessage="1" error="XLBVal:6=265_x000d__x000a_" sqref="V86">
      <formula1>0</formula1>
      <formula2>300</formula2>
    </dataValidation>
    <dataValidation type="textLength" errorStyle="information" allowBlank="1" showInputMessage="1" showErrorMessage="1" error="XLBVal:6=352_x000d__x000a_" sqref="T86">
      <formula1>0</formula1>
      <formula2>300</formula2>
    </dataValidation>
    <dataValidation type="textLength" errorStyle="information" allowBlank="1" showInputMessage="1" showErrorMessage="1" error="XLBVal:6=41054.25_x000d__x000a_" sqref="V64">
      <formula1>0</formula1>
      <formula2>300</formula2>
    </dataValidation>
    <dataValidation type="textLength" errorStyle="information" allowBlank="1" showInputMessage="1" showErrorMessage="1" error="XLBVal:6=23497.89_x000d__x000a_" sqref="Q43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6580.72_x000d__x000a_" sqref="V130">
      <formula1>0</formula1>
      <formula2>300</formula2>
    </dataValidation>
    <dataValidation type="textLength" errorStyle="information" allowBlank="1" showInputMessage="1" showErrorMessage="1" error="XLBVal:6=4971.95_x000d__x000a_" sqref="U130">
      <formula1>0</formula1>
      <formula2>300</formula2>
    </dataValidation>
    <dataValidation type="textLength" errorStyle="information" allowBlank="1" showInputMessage="1" showErrorMessage="1" error="XLBVal:6=6707.24_x000d__x000a_" sqref="T130">
      <formula1>0</formula1>
      <formula2>300</formula2>
    </dataValidation>
    <dataValidation type="textLength" errorStyle="information" allowBlank="1" showInputMessage="1" showErrorMessage="1" error="XLBVal:6=5799.96_x000d__x000a_" sqref="S130">
      <formula1>0</formula1>
      <formula2>300</formula2>
    </dataValidation>
    <dataValidation type="textLength" errorStyle="information" allowBlank="1" showInputMessage="1" showErrorMessage="1" error="XLBVal:6=6054.22_x000d__x000a_" sqref="R130">
      <formula1>0</formula1>
      <formula2>300</formula2>
    </dataValidation>
    <dataValidation type="textLength" errorStyle="information" allowBlank="1" showInputMessage="1" showErrorMessage="1" error="XLBVal:6=6675.87_x000d__x000a_" sqref="Q130">
      <formula1>0</formula1>
      <formula2>300</formula2>
    </dataValidation>
    <dataValidation type="textLength" errorStyle="information" allowBlank="1" showInputMessage="1" showErrorMessage="1" error="XLBVal:6=2385.15_x000d__x000a_" sqref="V129">
      <formula1>0</formula1>
      <formula2>300</formula2>
    </dataValidation>
    <dataValidation type="textLength" errorStyle="information" allowBlank="1" showInputMessage="1" showErrorMessage="1" error="XLBVal:6=2423.4_x000d__x000a_" sqref="U129">
      <formula1>0</formula1>
      <formula2>300</formula2>
    </dataValidation>
    <dataValidation type="textLength" errorStyle="information" allowBlank="1" showInputMessage="1" showErrorMessage="1" error="XLBVal:6=2217.83_x000d__x000a_" sqref="T129">
      <formula1>0</formula1>
      <formula2>300</formula2>
    </dataValidation>
    <dataValidation type="textLength" errorStyle="information" allowBlank="1" showInputMessage="1" showErrorMessage="1" error="XLBVal:6=1553.29_x000d__x000a_" sqref="S129">
      <formula1>0</formula1>
      <formula2>300</formula2>
    </dataValidation>
    <dataValidation type="textLength" errorStyle="information" allowBlank="1" showInputMessage="1" showErrorMessage="1" error="XLBVal:6=1773.57_x000d__x000a_" sqref="R129">
      <formula1>0</formula1>
      <formula2>300</formula2>
    </dataValidation>
    <dataValidation type="textLength" errorStyle="information" allowBlank="1" showInputMessage="1" showErrorMessage="1" error="XLBVal:6=1369.19_x000d__x000a_" sqref="Q129">
      <formula1>0</formula1>
      <formula2>300</formula2>
    </dataValidation>
    <dataValidation type="textLength" errorStyle="information" allowBlank="1" showInputMessage="1" showErrorMessage="1" error="XLBVal:6=138.32_x000d__x000a_" sqref="V128">
      <formula1>0</formula1>
      <formula2>300</formula2>
    </dataValidation>
    <dataValidation type="textLength" errorStyle="information" allowBlank="1" showInputMessage="1" showErrorMessage="1" error="XLBVal:6=118.04_x000d__x000a_" sqref="U128">
      <formula1>0</formula1>
      <formula2>300</formula2>
    </dataValidation>
    <dataValidation type="textLength" errorStyle="information" allowBlank="1" showInputMessage="1" showErrorMessage="1" error="XLBVal:6=113.11_x000d__x000a_" sqref="T128">
      <formula1>0</formula1>
      <formula2>300</formula2>
    </dataValidation>
    <dataValidation type="textLength" errorStyle="information" allowBlank="1" showInputMessage="1" showErrorMessage="1" error="XLBVal:6=95.05_x000d__x000a_" sqref="R128">
      <formula1>0</formula1>
      <formula2>300</formula2>
    </dataValidation>
    <dataValidation type="textLength" errorStyle="information" allowBlank="1" showInputMessage="1" showErrorMessage="1" error="XLBVal:6=94.25_x000d__x000a_" sqref="Q128 S128">
      <formula1>0</formula1>
      <formula2>300</formula2>
    </dataValidation>
    <dataValidation type="textLength" errorStyle="information" allowBlank="1" showInputMessage="1" showErrorMessage="1" error="XLBVal:6=731.68_x000d__x000a_" sqref="V120">
      <formula1>0</formula1>
      <formula2>300</formula2>
    </dataValidation>
    <dataValidation type="textLength" errorStyle="information" allowBlank="1" showInputMessage="1" showErrorMessage="1" error="XLBVal:6=736.8_x000d__x000a_" sqref="U120">
      <formula1>0</formula1>
      <formula2>300</formula2>
    </dataValidation>
    <dataValidation type="textLength" errorStyle="information" allowBlank="1" showInputMessage="1" showErrorMessage="1" error="XLBVal:6=1149.21_x000d__x000a_" sqref="T120">
      <formula1>0</formula1>
      <formula2>300</formula2>
    </dataValidation>
    <dataValidation type="textLength" errorStyle="information" allowBlank="1" showInputMessage="1" showErrorMessage="1" error="XLBVal:6=1157.12_x000d__x000a_" sqref="S120">
      <formula1>0</formula1>
      <formula2>300</formula2>
    </dataValidation>
    <dataValidation type="textLength" errorStyle="information" allowBlank="1" showInputMessage="1" showErrorMessage="1" error="XLBVal:6=774.49_x000d__x000a_" sqref="R120">
      <formula1>0</formula1>
      <formula2>300</formula2>
    </dataValidation>
    <dataValidation type="textLength" errorStyle="information" allowBlank="1" showInputMessage="1" showErrorMessage="1" error="XLBVal:6=633.98_x000d__x000a_" sqref="Q120">
      <formula1>0</formula1>
      <formula2>300</formula2>
    </dataValidation>
    <dataValidation type="textLength" errorStyle="information" allowBlank="1" showInputMessage="1" showErrorMessage="1" error="XLBVal:6=1768_x000d__x000a_" sqref="V119">
      <formula1>0</formula1>
      <formula2>300</formula2>
    </dataValidation>
    <dataValidation type="textLength" errorStyle="information" allowBlank="1" showInputMessage="1" showErrorMessage="1" error="XLBVal:6=1618_x000d__x000a_" sqref="Q119:T119">
      <formula1>0</formula1>
      <formula2>300</formula2>
    </dataValidation>
    <dataValidation type="textLength" errorStyle="information" allowBlank="1" showInputMessage="1" showErrorMessage="1" error="XLBVal:6=44.84_x000d__x000a_" sqref="V117">
      <formula1>0</formula1>
      <formula2>300</formula2>
    </dataValidation>
    <dataValidation type="textLength" errorStyle="information" allowBlank="1" showInputMessage="1" showErrorMessage="1" error="XLBVal:6=39.04_x000d__x000a_" sqref="Q117:T117">
      <formula1>0</formula1>
      <formula2>300</formula2>
    </dataValidation>
    <dataValidation type="textLength" errorStyle="information" allowBlank="1" showInputMessage="1" showErrorMessage="1" error="XLBVal:6=3176.47_x000d__x000a_" sqref="V115">
      <formula1>0</formula1>
      <formula2>300</formula2>
    </dataValidation>
    <dataValidation type="textLength" errorStyle="information" allowBlank="1" showInputMessage="1" showErrorMessage="1" error="XLBVal:6=2765.92_x000d__x000a_" sqref="Q115:T115">
      <formula1>0</formula1>
      <formula2>300</formula2>
    </dataValidation>
    <dataValidation type="textLength" errorStyle="information" allowBlank="1" showInputMessage="1" showErrorMessage="1" error="XLBVal:6=5979.23_x000d__x000a_" sqref="V114">
      <formula1>0</formula1>
      <formula2>300</formula2>
    </dataValidation>
    <dataValidation type="textLength" errorStyle="information" allowBlank="1" showInputMessage="1" showErrorMessage="1" error="XLBVal:6=6355.84_x000d__x000a_" sqref="U114">
      <formula1>0</formula1>
      <formula2>300</formula2>
    </dataValidation>
    <dataValidation type="textLength" errorStyle="information" allowBlank="1" showInputMessage="1" showErrorMessage="1" error="XLBVal:6=5206.43_x000d__x000a_" sqref="Q114:T114">
      <formula1>0</formula1>
      <formula2>300</formula2>
    </dataValidation>
    <dataValidation type="textLength" errorStyle="information" allowBlank="1" showInputMessage="1" showErrorMessage="1" error="XLBVal:6=304.07_x000d__x000a_" sqref="U111">
      <formula1>0</formula1>
      <formula2>300</formula2>
    </dataValidation>
    <dataValidation type="textLength" errorStyle="information" allowBlank="1" showInputMessage="1" showErrorMessage="1" error="XLBVal:6=2357.44_x000d__x000a_" sqref="T111">
      <formula1>0</formula1>
      <formula2>300</formula2>
    </dataValidation>
    <dataValidation type="textLength" errorStyle="information" allowBlank="1" showInputMessage="1" showErrorMessage="1" error="XLBVal:6=44.39_x000d__x000a_" sqref="S111">
      <formula1>0</formula1>
      <formula2>300</formula2>
    </dataValidation>
    <dataValidation type="textLength" errorStyle="information" allowBlank="1" showInputMessage="1" showErrorMessage="1" error="XLBVal:6=1984.04_x000d__x000a_" sqref="R111">
      <formula1>0</formula1>
      <formula2>300</formula2>
    </dataValidation>
    <dataValidation type="textLength" errorStyle="information" allowBlank="1" showInputMessage="1" showErrorMessage="1" error="XLBVal:6=1660.14_x000d__x000a_" sqref="Q111">
      <formula1>0</formula1>
      <formula2>300</formula2>
    </dataValidation>
    <dataValidation type="textLength" errorStyle="information" allowBlank="1" showInputMessage="1" showErrorMessage="1" error="XLBVal:6=3482.26_x000d__x000a_" sqref="V109">
      <formula1>0</formula1>
      <formula2>300</formula2>
    </dataValidation>
    <dataValidation type="textLength" errorStyle="information" allowBlank="1" showInputMessage="1" showErrorMessage="1" error="XLBVal:6=2750_x000d__x000a_" sqref="S109:T109">
      <formula1>0</formula1>
      <formula2>300</formula2>
    </dataValidation>
    <dataValidation type="textLength" errorStyle="information" allowBlank="1" showInputMessage="1" showErrorMessage="1" error="XLBVal:6=2650_x000d__x000a_" sqref="R109">
      <formula1>0</formula1>
      <formula2>300</formula2>
    </dataValidation>
    <dataValidation type="textLength" errorStyle="information" allowBlank="1" showInputMessage="1" showErrorMessage="1" error="XLBVal:6=3579.32_x000d__x000a_" sqref="U107">
      <formula1>0</formula1>
      <formula2>300</formula2>
    </dataValidation>
    <dataValidation type="textLength" errorStyle="information" allowBlank="1" showInputMessage="1" showErrorMessage="1" error="XLBVal:6=2344.83_x000d__x000a_" sqref="T107">
      <formula1>0</formula1>
      <formula2>300</formula2>
    </dataValidation>
    <dataValidation type="textLength" errorStyle="information" allowBlank="1" showInputMessage="1" showErrorMessage="1" error="XLBVal:6=8808.63_x000d__x000a_" sqref="R107">
      <formula1>0</formula1>
      <formula2>300</formula2>
    </dataValidation>
    <dataValidation type="textLength" errorStyle="information" allowBlank="1" showInputMessage="1" showErrorMessage="1" error="XLBVal:6=1931.04_x000d__x000a_" sqref="Q107">
      <formula1>0</formula1>
      <formula2>300</formula2>
    </dataValidation>
    <dataValidation type="textLength" errorStyle="information" allowBlank="1" showInputMessage="1" showErrorMessage="1" error="XLBVal:6=16800_x000d__x000a_" sqref="V103">
      <formula1>0</formula1>
      <formula2>300</formula2>
    </dataValidation>
    <dataValidation type="textLength" errorStyle="information" allowBlank="1" showInputMessage="1" showErrorMessage="1" error="XLBVal:6=13662.07_x000d__x000a_" sqref="T103">
      <formula1>0</formula1>
      <formula2>300</formula2>
    </dataValidation>
    <dataValidation type="textLength" errorStyle="information" allowBlank="1" showInputMessage="1" showErrorMessage="1" error="XLBVal:6=13748.28_x000d__x000a_" sqref="S103">
      <formula1>0</formula1>
      <formula2>300</formula2>
    </dataValidation>
    <dataValidation type="textLength" errorStyle="information" allowBlank="1" showInputMessage="1" showErrorMessage="1" error="XLBVal:6=13800_x000d__x000a_" sqref="U103 Q103:R103">
      <formula1>0</formula1>
      <formula2>300</formula2>
    </dataValidation>
    <dataValidation type="textLength" errorStyle="information" allowBlank="1" showInputMessage="1" showErrorMessage="1" error="XLBVal:6=20_x000d__x000a_" sqref="T89">
      <formula1>0</formula1>
      <formula2>300</formula2>
    </dataValidation>
    <dataValidation type="textLength" errorStyle="information" allowBlank="1" showInputMessage="1" showErrorMessage="1" error="XLBVal:6=744_x000d__x000a_" sqref="V88">
      <formula1>0</formula1>
      <formula2>300</formula2>
    </dataValidation>
    <dataValidation type="textLength" errorStyle="information" allowBlank="1" showInputMessage="1" showErrorMessage="1" error="XLBVal:6=747_x000d__x000a_" sqref="U88">
      <formula1>0</formula1>
      <formula2>300</formula2>
    </dataValidation>
    <dataValidation type="textLength" errorStyle="information" allowBlank="1" showInputMessage="1" showErrorMessage="1" error="XLBVal:6=1613_x000d__x000a_" sqref="T88">
      <formula1>0</formula1>
      <formula2>300</formula2>
    </dataValidation>
    <dataValidation type="textLength" errorStyle="information" allowBlank="1" showInputMessage="1" showErrorMessage="1" error="XLBVal:6=38_x000d__x000a_" sqref="H85 R89">
      <formula1>0</formula1>
      <formula2>300</formula2>
    </dataValidation>
    <dataValidation type="textLength" errorStyle="information" allowBlank="1" showInputMessage="1" showErrorMessage="1" error="XLBVal:6=960_x000d__x000a_" sqref="Q88">
      <formula1>0</formula1>
      <formula2>300</formula2>
    </dataValidation>
    <dataValidation type="textLength" errorStyle="information" allowBlank="1" showInputMessage="1" showErrorMessage="1" error="XLBVal:6=602_x000d__x000a_" sqref="V87">
      <formula1>0</formula1>
      <formula2>300</formula2>
    </dataValidation>
    <dataValidation type="textLength" errorStyle="information" allowBlank="1" showInputMessage="1" showErrorMessage="1" error="XLBVal:6=646_x000d__x000a_" sqref="U87">
      <formula1>0</formula1>
      <formula2>300</formula2>
    </dataValidation>
    <dataValidation type="textLength" errorStyle="information" allowBlank="1" showInputMessage="1" showErrorMessage="1" error="XLBVal:6=580_x000d__x000a_" sqref="T87">
      <formula1>0</formula1>
      <formula2>300</formula2>
    </dataValidation>
    <dataValidation type="textLength" errorStyle="information" allowBlank="1" showInputMessage="1" showErrorMessage="1" error="XLBVal:6=226_x000d__x000a_" sqref="S87">
      <formula1>0</formula1>
      <formula2>300</formula2>
    </dataValidation>
    <dataValidation type="textLength" errorStyle="information" allowBlank="1" showInputMessage="1" showErrorMessage="1" error="XLBVal:6=869_x000d__x000a_" sqref="R87">
      <formula1>0</formula1>
      <formula2>300</formula2>
    </dataValidation>
    <dataValidation type="textLength" errorStyle="information" allowBlank="1" showInputMessage="1" showErrorMessage="1" error="XLBVal:6=368_x000d__x000a_" sqref="Q87">
      <formula1>0</formula1>
      <formula2>300</formula2>
    </dataValidation>
    <dataValidation type="textLength" errorStyle="information" allowBlank="1" showInputMessage="1" showErrorMessage="1" error="XLBVal:6=373_x000d__x000a_" sqref="S86">
      <formula1>0</formula1>
      <formula2>300</formula2>
    </dataValidation>
    <dataValidation type="textLength" errorStyle="information" allowBlank="1" showInputMessage="1" showErrorMessage="1" error="XLBVal:6=618_x000d__x000a_" sqref="R86">
      <formula1>0</formula1>
      <formula2>300</formula2>
    </dataValidation>
    <dataValidation type="textLength" errorStyle="information" allowBlank="1" showInputMessage="1" showErrorMessage="1" error="XLBVal:6=276_x000d__x000a_" sqref="Q86">
      <formula1>0</formula1>
      <formula2>300</formula2>
    </dataValidation>
    <dataValidation type="textLength" errorStyle="information" allowBlank="1" showInputMessage="1" showErrorMessage="1" error="XLBVal:6=8_x000d__x000a_" sqref="D89">
      <formula1>0</formula1>
      <formula2>300</formula2>
    </dataValidation>
    <dataValidation type="textLength" errorStyle="information" allowBlank="1" showInputMessage="1" showErrorMessage="1" error="XLBVal:6=46_x000d__x000a_" sqref="H89">
      <formula1>0</formula1>
      <formula2>300</formula2>
    </dataValidation>
    <dataValidation type="textLength" errorStyle="information" allowBlank="1" showInputMessage="1" showErrorMessage="1" error="XLBVal:6=107_x000d__x000a_" sqref="R85">
      <formula1>0</formula1>
      <formula2>300</formula2>
    </dataValidation>
    <dataValidation type="textLength" errorStyle="information" allowBlank="1" showInputMessage="1" showErrorMessage="1" error="XLBVal:6=76_x000d__x000a_" sqref="Q85 Q89">
      <formula1>0</formula1>
      <formula2>300</formula2>
    </dataValidation>
    <dataValidation type="textLength" errorStyle="information" allowBlank="1" showInputMessage="1" showErrorMessage="1" error="XLBVal:6=12878.9_x000d__x000a_" sqref="V79">
      <formula1>0</formula1>
      <formula2>300</formula2>
    </dataValidation>
    <dataValidation type="textLength" errorStyle="information" allowBlank="1" showInputMessage="1" showErrorMessage="1" error="XLBVal:6=9120.56_x000d__x000a_" sqref="U79">
      <formula1>0</formula1>
      <formula2>300</formula2>
    </dataValidation>
    <dataValidation type="textLength" errorStyle="information" allowBlank="1" showInputMessage="1" showErrorMessage="1" error="XLBVal:6=15360.61_x000d__x000a_" sqref="T79">
      <formula1>0</formula1>
      <formula2>300</formula2>
    </dataValidation>
    <dataValidation type="textLength" errorStyle="information" allowBlank="1" showInputMessage="1" showErrorMessage="1" error="XLBVal:6=12519.38_x000d__x000a_" sqref="S79">
      <formula1>0</formula1>
      <formula2>300</formula2>
    </dataValidation>
    <dataValidation type="textLength" errorStyle="information" allowBlank="1" showInputMessage="1" showErrorMessage="1" error="XLBVal:6=22171.88_x000d__x000a_" sqref="R79">
      <formula1>0</formula1>
      <formula2>300</formula2>
    </dataValidation>
    <dataValidation type="textLength" errorStyle="information" allowBlank="1" showInputMessage="1" showErrorMessage="1" error="XLBVal:6=13912.35_x000d__x000a_" sqref="Q79">
      <formula1>0</formula1>
      <formula2>300</formula2>
    </dataValidation>
    <dataValidation type="textLength" errorStyle="information" allowBlank="1" showInputMessage="1" showErrorMessage="1" error="XLBVal:6=12572.82_x000d__x000a_" sqref="U78">
      <formula1>0</formula1>
      <formula2>300</formula2>
    </dataValidation>
    <dataValidation type="textLength" errorStyle="information" allowBlank="1" showInputMessage="1" showErrorMessage="1" error="XLBVal:6=17303.39_x000d__x000a_" sqref="T78">
      <formula1>0</formula1>
      <formula2>300</formula2>
    </dataValidation>
    <dataValidation type="textLength" errorStyle="information" allowBlank="1" showInputMessage="1" showErrorMessage="1" error="XLBVal:6=-247.79_x000d__x000a_" sqref="R78">
      <formula1>0</formula1>
      <formula2>300</formula2>
    </dataValidation>
    <dataValidation type="textLength" errorStyle="information" allowBlank="1" showInputMessage="1" showErrorMessage="1" error="XLBVal:6=421.46_x000d__x000a_" sqref="V72">
      <formula1>0</formula1>
      <formula2>300</formula2>
    </dataValidation>
    <dataValidation type="textLength" errorStyle="information" allowBlank="1" showInputMessage="1" showErrorMessage="1" error="XLBVal:6=131.01_x000d__x000a_" sqref="U72">
      <formula1>0</formula1>
      <formula2>300</formula2>
    </dataValidation>
    <dataValidation type="textLength" errorStyle="information" allowBlank="1" showInputMessage="1" showErrorMessage="1" error="XLBVal:6=377.17_x000d__x000a_" sqref="T72">
      <formula1>0</formula1>
      <formula2>300</formula2>
    </dataValidation>
    <dataValidation type="textLength" errorStyle="information" allowBlank="1" showInputMessage="1" showErrorMessage="1" error="XLBVal:6=432_x000d__x000a_" sqref="S72">
      <formula1>0</formula1>
      <formula2>300</formula2>
    </dataValidation>
    <dataValidation type="textLength" errorStyle="information" allowBlank="1" showInputMessage="1" showErrorMessage="1" error="XLBVal:6=584.05_x000d__x000a_" sqref="R72">
      <formula1>0</formula1>
      <formula2>300</formula2>
    </dataValidation>
    <dataValidation type="textLength" errorStyle="information" allowBlank="1" showInputMessage="1" showErrorMessage="1" error="XLBVal:6=587_x000d__x000a_" sqref="Q72">
      <formula1>0</formula1>
      <formula2>300</formula2>
    </dataValidation>
    <dataValidation type="textLength" errorStyle="information" allowBlank="1" showInputMessage="1" showErrorMessage="1" error="XLBVal:6=155_x000d__x000a_" sqref="V71">
      <formula1>0</formula1>
      <formula2>300</formula2>
    </dataValidation>
    <dataValidation type="textLength" errorStyle="information" allowBlank="1" showInputMessage="1" showErrorMessage="1" error="XLBVal:6=167_x000d__x000a_" sqref="T71 D86">
      <formula1>0</formula1>
      <formula2>300</formula2>
    </dataValidation>
    <dataValidation type="textLength" errorStyle="information" allowBlank="1" showInputMessage="1" showErrorMessage="1" error="XLBVal:6=255_x000d__x000a_" sqref="U71">
      <formula1>0</formula1>
      <formula2>300</formula2>
    </dataValidation>
    <dataValidation type="textLength" errorStyle="information" allowBlank="1" showInputMessage="1" showErrorMessage="1" error="XLBVal:6=270_x000d__x000a_" sqref="Q71">
      <formula1>0</formula1>
      <formula2>300</formula2>
    </dataValidation>
    <dataValidation type="textLength" errorStyle="information" allowBlank="1" showInputMessage="1" showErrorMessage="1" error="XLBVal:6=41114.35_x000d__x000a_" sqref="S64:U64">
      <formula1>0</formula1>
      <formula2>300</formula2>
    </dataValidation>
    <dataValidation type="textLength" errorStyle="information" allowBlank="1" showInputMessage="1" showErrorMessage="1" error="XLBVal:6=3486.8_x000d__x000a_" sqref="V63">
      <formula1>0</formula1>
      <formula2>300</formula2>
    </dataValidation>
    <dataValidation type="textLength" errorStyle="information" allowBlank="1" showInputMessage="1" showErrorMessage="1" error="XLBVal:6=4461.65_x000d__x000a_" sqref="U63">
      <formula1>0</formula1>
      <formula2>300</formula2>
    </dataValidation>
    <dataValidation type="textLength" errorStyle="information" allowBlank="1" showInputMessage="1" showErrorMessage="1" error="XLBVal:6=4852.62_x000d__x000a_" sqref="T63">
      <formula1>0</formula1>
      <formula2>300</formula2>
    </dataValidation>
    <dataValidation type="textLength" errorStyle="information" allowBlank="1" showInputMessage="1" showErrorMessage="1" error="XLBVal:6=4074.77_x000d__x000a_" sqref="S63">
      <formula1>0</formula1>
      <formula2>300</formula2>
    </dataValidation>
    <dataValidation type="textLength" errorStyle="information" allowBlank="1" showInputMessage="1" showErrorMessage="1" error="XLBVal:6=602.63_x000d__x000a_" sqref="R63">
      <formula1>0</formula1>
      <formula2>300</formula2>
    </dataValidation>
    <dataValidation type="textLength" errorStyle="information" allowBlank="1" showInputMessage="1" showErrorMessage="1" error="XLBVal:6=1047.08_x000d__x000a_" sqref="Q63">
      <formula1>0</formula1>
      <formula2>300</formula2>
    </dataValidation>
    <dataValidation type="textLength" errorStyle="information" allowBlank="1" showInputMessage="1" showErrorMessage="1" error="XLBVal:6=3055_x000d__x000a_" sqref="Q109">
      <formula1>0</formula1>
      <formula2>300</formula2>
    </dataValidation>
    <dataValidation type="textLength" errorStyle="information" allowBlank="1" showInputMessage="1" showErrorMessage="1" error="XLBVal:6=-10619.46_x000d__x000a_" sqref="Q56">
      <formula1>0</formula1>
      <formula2>300</formula2>
    </dataValidation>
    <dataValidation type="textLength" errorStyle="information" allowBlank="1" showInputMessage="1" showErrorMessage="1" error="XLBVal:6=350_x000d__x000a_" sqref="Q51:R51">
      <formula1>0</formula1>
      <formula2>300</formula2>
    </dataValidation>
    <dataValidation type="textLength" errorStyle="information" allowBlank="1" showInputMessage="1" showErrorMessage="1" error="XLBVal:6=820_x000d__x000a_" sqref="U49">
      <formula1>0</formula1>
      <formula2>300</formula2>
    </dataValidation>
    <dataValidation type="textLength" errorStyle="information" allowBlank="1" showInputMessage="1" showErrorMessage="1" error="XLBVal:6=946.5_x000d__x000a_" sqref="T49">
      <formula1>0</formula1>
      <formula2>300</formula2>
    </dataValidation>
    <dataValidation type="textLength" errorStyle="information" allowBlank="1" showInputMessage="1" showErrorMessage="1" error="XLBVal:6=1116.35_x000d__x000a_" sqref="S49">
      <formula1>0</formula1>
      <formula2>300</formula2>
    </dataValidation>
    <dataValidation type="textLength" errorStyle="information" allowBlank="1" showInputMessage="1" showErrorMessage="1" error="XLBVal:6=940_x000d__x000a_" sqref="V49">
      <formula1>0</formula1>
      <formula2>300</formula2>
    </dataValidation>
    <dataValidation type="textLength" errorStyle="information" allowBlank="1" showInputMessage="1" showErrorMessage="1" error="XLBVal:6=397.2_x000d__x000a_" sqref="Q49">
      <formula1>0</formula1>
      <formula2>300</formula2>
    </dataValidation>
    <dataValidation type="textLength" errorStyle="information" allowBlank="1" showInputMessage="1" showErrorMessage="1" error="XLBVal:6=13346.76_x000d__x000a_" sqref="V43">
      <formula1>0</formula1>
      <formula2>300</formula2>
    </dataValidation>
    <dataValidation type="textLength" errorStyle="information" allowBlank="1" showInputMessage="1" showErrorMessage="1" error="XLBVal:6=1661.74_x000d__x000a_" sqref="V51">
      <formula1>0</formula1>
      <formula2>300</formula2>
    </dataValidation>
    <dataValidation type="textLength" errorStyle="information" allowBlank="1" showInputMessage="1" showErrorMessage="1" error="XLBVal:6=28607.94_x000d__x000a_" sqref="R43">
      <formula1>0</formula1>
      <formula2>300</formula2>
    </dataValidation>
    <dataValidation type="textLength" errorStyle="information" allowBlank="1" showInputMessage="1" showErrorMessage="1" error="XLBVal:6=531.92_x000d__x000a_" sqref="V38">
      <formula1>0</formula1>
      <formula2>300</formula2>
    </dataValidation>
    <dataValidation type="textLength" errorStyle="information" allowBlank="1" showInputMessage="1" showErrorMessage="1" error="XLBVal:6=514.95_x000d__x000a_" sqref="U38">
      <formula1>0</formula1>
      <formula2>300</formula2>
    </dataValidation>
    <dataValidation type="textLength" errorStyle="information" allowBlank="1" showInputMessage="1" showErrorMessage="1" error="XLBVal:6=996.79_x000d__x000a_" sqref="T38">
      <formula1>0</formula1>
      <formula2>300</formula2>
    </dataValidation>
    <dataValidation type="textLength" errorStyle="information" allowBlank="1" showInputMessage="1" showErrorMessage="1" error="XLBVal:6=1398_x000d__x000a_" sqref="H88">
      <formula1>0</formula1>
      <formula2>300</formula2>
    </dataValidation>
    <dataValidation type="textLength" errorStyle="information" allowBlank="1" showInputMessage="1" showErrorMessage="1" error="XLBVal:6=1858.9_x000d__x000a_" sqref="R38">
      <formula1>0</formula1>
      <formula2>300</formula2>
    </dataValidation>
    <dataValidation type="textLength" errorStyle="information" allowBlank="1" showInputMessage="1" showErrorMessage="1" error="XLBVal:6=2663.58_x000d__x000a_" sqref="Q38">
      <formula1>0</formula1>
      <formula2>300</formula2>
    </dataValidation>
    <dataValidation type="textLength" errorStyle="information" allowBlank="1" showInputMessage="1" showErrorMessage="1" error="XLBVal:6=7831.32_x000d__x000a_" sqref="V31">
      <formula1>0</formula1>
      <formula2>300</formula2>
    </dataValidation>
    <dataValidation type="textLength" errorStyle="information" allowBlank="1" showInputMessage="1" showErrorMessage="1" error="XLBVal:6=3722.34_x000d__x000a_" sqref="U31">
      <formula1>0</formula1>
      <formula2>300</formula2>
    </dataValidation>
    <dataValidation type="textLength" errorStyle="information" allowBlank="1" showInputMessage="1" showErrorMessage="1" error="XLBVal:6=2258.49_x000d__x000a_" sqref="T31">
      <formula1>0</formula1>
      <formula2>300</formula2>
    </dataValidation>
    <dataValidation type="textLength" errorStyle="information" allowBlank="1" showInputMessage="1" showErrorMessage="1" error="XLBVal:6=5285.9_x000d__x000a_" sqref="S31">
      <formula1>0</formula1>
      <formula2>300</formula2>
    </dataValidation>
    <dataValidation type="textLength" errorStyle="information" allowBlank="1" showInputMessage="1" showErrorMessage="1" error="XLBVal:6=8592.35_x000d__x000a_" sqref="Q31">
      <formula1>0</formula1>
      <formula2>300</formula2>
    </dataValidation>
    <dataValidation type="textLength" errorStyle="information" allowBlank="1" showInputMessage="1" showErrorMessage="1" error="XLBVal:6=26337.38_x000d__x000a_" sqref="V30">
      <formula1>0</formula1>
      <formula2>300</formula2>
    </dataValidation>
    <dataValidation type="textLength" errorStyle="information" allowBlank="1" showInputMessage="1" showErrorMessage="1" error="XLBVal:6=23539.41_x000d__x000a_" sqref="U30">
      <formula1>0</formula1>
      <formula2>300</formula2>
    </dataValidation>
    <dataValidation type="textLength" errorStyle="information" allowBlank="1" showInputMessage="1" showErrorMessage="1" error="XLBVal:6=30512.41_x000d__x000a_" sqref="T30">
      <formula1>0</formula1>
      <formula2>300</formula2>
    </dataValidation>
    <dataValidation type="textLength" errorStyle="information" allowBlank="1" showInputMessage="1" showErrorMessage="1" error="XLBVal:6=25775.21_x000d__x000a_" sqref="S30">
      <formula1>0</formula1>
      <formula2>300</formula2>
    </dataValidation>
    <dataValidation type="textLength" errorStyle="information" allowBlank="1" showInputMessage="1" showErrorMessage="1" error="XLBVal:6=59400.52_x000d__x000a_" sqref="R30">
      <formula1>0</formula1>
      <formula2>300</formula2>
    </dataValidation>
    <dataValidation type="textLength" errorStyle="information" allowBlank="1" showInputMessage="1" showErrorMessage="1" error="XLBVal:6=35533.16_x000d__x000a_" sqref="Q30">
      <formula1>0</formula1>
      <formula2>300</formula2>
    </dataValidation>
    <dataValidation type="textLength" errorStyle="information" allowBlank="1" showInputMessage="1" showErrorMessage="1" error="XLBVal:6=4601.6_x000d__x000a_" sqref="V26">
      <formula1>0</formula1>
      <formula2>300</formula2>
    </dataValidation>
    <dataValidation type="textLength" errorStyle="information" allowBlank="1" showInputMessage="1" showErrorMessage="1" error="XLBVal:6=7669.7_x000d__x000a_" sqref="U26">
      <formula1>0</formula1>
      <formula2>300</formula2>
    </dataValidation>
    <dataValidation type="textLength" errorStyle="information" allowBlank="1" showInputMessage="1" showErrorMessage="1" error="XLBVal:6=6639.6_x000d__x000a_" sqref="T26">
      <formula1>0</formula1>
      <formula2>300</formula2>
    </dataValidation>
    <dataValidation type="textLength" errorStyle="information" allowBlank="1" showInputMessage="1" showErrorMessage="1" error="XLBVal:6=10155.5_x000d__x000a_" sqref="S26">
      <formula1>0</formula1>
      <formula2>300</formula2>
    </dataValidation>
    <dataValidation type="textLength" errorStyle="information" allowBlank="1" showInputMessage="1" showErrorMessage="1" error="XLBVal:6=24371.1_x000d__x000a_" sqref="R26">
      <formula1>0</formula1>
      <formula2>300</formula2>
    </dataValidation>
    <dataValidation type="textLength" errorStyle="information" allowBlank="1" showInputMessage="1" showErrorMessage="1" error="XLBVal:6=11107.3_x000d__x000a_" sqref="Q26">
      <formula1>0</formula1>
      <formula2>300</formula2>
    </dataValidation>
    <dataValidation type="textLength" errorStyle="information" allowBlank="1" showInputMessage="1" showErrorMessage="1" error="XLBVal:6=2421.8_x000d__x000a_" sqref="U21">
      <formula1>0</formula1>
      <formula2>300</formula2>
    </dataValidation>
    <dataValidation type="textLength" errorStyle="information" allowBlank="1" showInputMessage="1" showErrorMessage="1" error="XLBVal:6=118_x000d__x000a_" sqref="T21">
      <formula1>0</formula1>
      <formula2>300</formula2>
    </dataValidation>
    <dataValidation type="textLength" errorStyle="information" allowBlank="1" showInputMessage="1" showErrorMessage="1" error="XLBVal:6=3762_x000d__x000a_" sqref="S21">
      <formula1>0</formula1>
      <formula2>300</formula2>
    </dataValidation>
    <dataValidation type="textLength" errorStyle="information" allowBlank="1" showInputMessage="1" showErrorMessage="1" error="XLBVal:6=5268.2_x000d__x000a_" sqref="R21">
      <formula1>0</formula1>
      <formula2>300</formula2>
    </dataValidation>
    <dataValidation type="textLength" errorStyle="information" allowBlank="1" showInputMessage="1" showErrorMessage="1" error="XLBVal:6=11438.6_x000d__x000a_" sqref="Q21">
      <formula1>0</formula1>
      <formula2>300</formula2>
    </dataValidation>
    <dataValidation type="textLength" errorStyle="information" allowBlank="1" showInputMessage="1" showErrorMessage="1" error="XLBVal:6=6575.5_x000d__x000a_" sqref="V20">
      <formula1>0</formula1>
      <formula2>300</formula2>
    </dataValidation>
    <dataValidation type="textLength" errorStyle="information" allowBlank="1" showInputMessage="1" showErrorMessage="1" error="XLBVal:6=3265.1_x000d__x000a_" sqref="U20">
      <formula1>0</formula1>
      <formula2>300</formula2>
    </dataValidation>
    <dataValidation type="textLength" errorStyle="information" allowBlank="1" showInputMessage="1" showErrorMessage="1" error="XLBVal:6=1971.4_x000d__x000a_" sqref="T20">
      <formula1>0</formula1>
      <formula2>300</formula2>
    </dataValidation>
    <dataValidation type="textLength" errorStyle="information" allowBlank="1" showInputMessage="1" showErrorMessage="1" error="XLBVal:6=4006.9_x000d__x000a_" sqref="S20">
      <formula1>0</formula1>
      <formula2>300</formula2>
    </dataValidation>
    <dataValidation type="textLength" errorStyle="information" allowBlank="1" showInputMessage="1" showErrorMessage="1" error="XLBVal:6=19677.3_x000d__x000a_" sqref="R20">
      <formula1>0</formula1>
      <formula2>300</formula2>
    </dataValidation>
    <dataValidation type="textLength" errorStyle="information" allowBlank="1" showInputMessage="1" showErrorMessage="1" error="XLBVal:6=3918.6_x000d__x000a_" sqref="Q20">
      <formula1>0</formula1>
      <formula2>300</formula2>
    </dataValidation>
    <dataValidation type="textLength" errorStyle="information" allowBlank="1" showInputMessage="1" showErrorMessage="1" error="XLBVal:6=18653.2_x000d__x000a_" sqref="V19">
      <formula1>0</formula1>
      <formula2>300</formula2>
    </dataValidation>
    <dataValidation type="textLength" errorStyle="information" allowBlank="1" showInputMessage="1" showErrorMessage="1" error="XLBVal:6=8838.7_x000d__x000a_" sqref="U19">
      <formula1>0</formula1>
      <formula2>300</formula2>
    </dataValidation>
    <dataValidation type="textLength" errorStyle="information" allowBlank="1" showInputMessage="1" showErrorMessage="1" error="XLBVal:6=6681.6_x000d__x000a_" sqref="T19">
      <formula1>0</formula1>
      <formula2>300</formula2>
    </dataValidation>
    <dataValidation type="textLength" errorStyle="information" allowBlank="1" showInputMessage="1" showErrorMessage="1" error="XLBVal:6=10601.4_x000d__x000a_" sqref="S19">
      <formula1>0</formula1>
      <formula2>300</formula2>
    </dataValidation>
    <dataValidation type="textLength" errorStyle="information" allowBlank="1" showInputMessage="1" showErrorMessage="1" error="XLBVal:6=21585.1_x000d__x000a_" sqref="R19">
      <formula1>0</formula1>
      <formula2>300</formula2>
    </dataValidation>
    <dataValidation type="textLength" errorStyle="information" allowBlank="1" showInputMessage="1" showErrorMessage="1" error="XLBVal:6=14793.6_x000d__x000a_" sqref="Q19">
      <formula1>0</formula1>
      <formula2>300</formula2>
    </dataValidation>
    <dataValidation type="textLength" errorStyle="information" allowBlank="1" showInputMessage="1" showErrorMessage="1" error="XLBVal:6=1722_x000d__x000a_" sqref="U18">
      <formula1>0</formula1>
      <formula2>300</formula2>
    </dataValidation>
    <dataValidation type="textLength" errorStyle="information" allowBlank="1" showInputMessage="1" showErrorMessage="1" error="XLBVal:6=2106.7_x000d__x000a_" sqref="T18">
      <formula1>0</formula1>
      <formula2>300</formula2>
    </dataValidation>
    <dataValidation type="textLength" errorStyle="information" allowBlank="1" showInputMessage="1" showErrorMessage="1" error="XLBVal:6=3686_x000d__x000a_" sqref="S18">
      <formula1>0</formula1>
      <formula2>300</formula2>
    </dataValidation>
    <dataValidation type="textLength" errorStyle="information" allowBlank="1" showInputMessage="1" showErrorMessage="1" error="XLBVal:6=5106.8_x000d__x000a_" sqref="R18">
      <formula1>0</formula1>
      <formula2>300</formula2>
    </dataValidation>
    <dataValidation type="textLength" errorStyle="information" allowBlank="1" showInputMessage="1" showErrorMessage="1" error="XLBVal:6=893.7_x000d__x000a_" sqref="Q18">
      <formula1>0</formula1>
      <formula2>300</formula2>
    </dataValidation>
    <dataValidation type="textLength" errorStyle="information" allowBlank="1" showInputMessage="1" showErrorMessage="1" error="XLBVal:6=216.1_x000d__x000a_" sqref="V17">
      <formula1>0</formula1>
      <formula2>300</formula2>
    </dataValidation>
    <dataValidation type="textLength" errorStyle="information" allowBlank="1" showInputMessage="1" showErrorMessage="1" error="XLBVal:6=436.1_x000d__x000a_" sqref="U17">
      <formula1>0</formula1>
      <formula2>300</formula2>
    </dataValidation>
    <dataValidation type="textLength" errorStyle="information" allowBlank="1" showInputMessage="1" showErrorMessage="1" error="XLBVal:6=232_x000d__x000a_" sqref="T17">
      <formula1>0</formula1>
      <formula2>300</formula2>
    </dataValidation>
    <dataValidation type="textLength" errorStyle="information" allowBlank="1" showInputMessage="1" showErrorMessage="1" error="XLBVal:6=98_x000d__x000a_" sqref="S85:T85">
      <formula1>0</formula1>
      <formula2>300</formula2>
    </dataValidation>
    <dataValidation type="textLength" errorStyle="information" allowBlank="1" showInputMessage="1" showErrorMessage="1" error="XLBVal:6=945.14_x000d__x000a_" sqref="V111">
      <formula1>0</formula1>
      <formula2>300</formula2>
    </dataValidation>
    <dataValidation type="textLength" errorStyle="information" allowBlank="1" showInputMessage="1" showErrorMessage="1" error="XLBVal:6=4580.6_x000d__x000a_" sqref="Q13">
      <formula1>0</formula1>
      <formula2>300</formula2>
    </dataValidation>
    <dataValidation type="textLength" errorStyle="information" allowBlank="1" showInputMessage="1" showErrorMessage="1" error="XLBVal:6=46185.1_x000d__x000a_" sqref="V12">
      <formula1>0</formula1>
      <formula2>300</formula2>
    </dataValidation>
    <dataValidation type="textLength" errorStyle="information" allowBlank="1" showInputMessage="1" showErrorMessage="1" error="XLBVal:6=38824.52_x000d__x000a_" sqref="U12">
      <formula1>0</formula1>
      <formula2>300</formula2>
    </dataValidation>
    <dataValidation type="textLength" errorStyle="information" allowBlank="1" showInputMessage="1" showErrorMessage="1" error="XLBVal:6=59255.34_x000d__x000a_" sqref="T12">
      <formula1>0</formula1>
      <formula2>300</formula2>
    </dataValidation>
    <dataValidation type="textLength" errorStyle="information" allowBlank="1" showInputMessage="1" showErrorMessage="1" error="XLBVal:6=55638.93_x000d__x000a_" sqref="S12">
      <formula1>0</formula1>
      <formula2>300</formula2>
    </dataValidation>
    <dataValidation type="textLength" errorStyle="information" allowBlank="1" showInputMessage="1" showErrorMessage="1" error="XLBVal:6=106268.66_x000d__x000a_" sqref="R12">
      <formula1>0</formula1>
      <formula2>300</formula2>
    </dataValidation>
    <dataValidation type="textLength" errorStyle="information" allowBlank="1" showInputMessage="1" showErrorMessage="1" error="XLBVal:6=71529.6_x000d__x000a_" sqref="Q12">
      <formula1>0</formula1>
      <formula2>300</formula2>
    </dataValidation>
    <dataValidation type="textLength" errorStyle="information" allowBlank="1" showInputMessage="1" showErrorMessage="1" error="XLBVal:6=30355_x000d__x000a_" sqref="V11">
      <formula1>0</formula1>
      <formula2>300</formula2>
    </dataValidation>
    <dataValidation type="textLength" errorStyle="information" allowBlank="1" showInputMessage="1" showErrorMessage="1" error="XLBVal:6=31470_x000d__x000a_" sqref="U11">
      <formula1>0</formula1>
      <formula2>300</formula2>
    </dataValidation>
    <dataValidation type="textLength" errorStyle="information" allowBlank="1" showInputMessage="1" showErrorMessage="1" error="XLBVal:6=26209.4_x000d__x000a_" sqref="T11">
      <formula1>0</formula1>
      <formula2>300</formula2>
    </dataValidation>
    <dataValidation type="textLength" errorStyle="information" allowBlank="1" showInputMessage="1" showErrorMessage="1" error="XLBVal:6=11540.2_x000d__x000a_" sqref="S11">
      <formula1>0</formula1>
      <formula2>300</formula2>
    </dataValidation>
    <dataValidation type="textLength" errorStyle="information" allowBlank="1" showInputMessage="1" showErrorMessage="1" error="XLBVal:6=60835.3_x000d__x000a_" sqref="R11">
      <formula1>0</formula1>
      <formula2>300</formula2>
    </dataValidation>
    <dataValidation type="textLength" errorStyle="information" allowBlank="1" showInputMessage="1" showErrorMessage="1" error="XLBVal:6=19783.2_x000d__x000a_" sqref="Q11">
      <formula1>0</formula1>
      <formula2>300</formula2>
    </dataValidation>
    <dataValidation type="textLength" errorStyle="information" allowBlank="1" showInputMessage="1" showErrorMessage="1" error="XLBVal:6=15248.7_x000d__x000a_" sqref="V10">
      <formula1>0</formula1>
      <formula2>300</formula2>
    </dataValidation>
    <dataValidation type="textLength" errorStyle="information" allowBlank="1" showInputMessage="1" showErrorMessage="1" error="XLBVal:6=13417.3_x000d__x000a_" sqref="U10">
      <formula1>0</formula1>
      <formula2>300</formula2>
    </dataValidation>
    <dataValidation type="textLength" errorStyle="information" allowBlank="1" showInputMessage="1" showErrorMessage="1" error="XLBVal:6=16766.7_x000d__x000a_" sqref="T10">
      <formula1>0</formula1>
      <formula2>300</formula2>
    </dataValidation>
    <dataValidation type="textLength" errorStyle="information" allowBlank="1" showInputMessage="1" showErrorMessage="1" error="XLBVal:6=18998.8_x000d__x000a_" sqref="S10">
      <formula1>0</formula1>
      <formula2>300</formula2>
    </dataValidation>
    <dataValidation type="textLength" errorStyle="information" allowBlank="1" showInputMessage="1" showErrorMessage="1" error="XLBVal:6=90_x000d__x000a_" sqref="H86">
      <formula1>0</formula1>
      <formula2>300</formula2>
    </dataValidation>
    <dataValidation type="textLength" errorStyle="information" allowBlank="1" showInputMessage="1" showErrorMessage="1" error="XLBVal:6=13160.2_x000d__x000a_" sqref="Q10">
      <formula1>0</formula1>
      <formula2>300</formula2>
    </dataValidation>
    <dataValidation type="textLength" errorStyle="information" allowBlank="1" showInputMessage="1" showErrorMessage="1" error="XLBVal:6=1991.6_x000d__x000a_" sqref="V9">
      <formula1>0</formula1>
      <formula2>300</formula2>
    </dataValidation>
    <dataValidation type="textLength" errorStyle="information" allowBlank="1" showInputMessage="1" showErrorMessage="1" error="XLBVal:6=3553.3_x000d__x000a_" sqref="U9">
      <formula1>0</formula1>
      <formula2>300</formula2>
    </dataValidation>
    <dataValidation type="textLength" errorStyle="information" allowBlank="1" showInputMessage="1" showErrorMessage="1" error="XLBVal:6=4461_x000d__x000a_" sqref="T9">
      <formula1>0</formula1>
      <formula2>300</formula2>
    </dataValidation>
    <dataValidation type="textLength" errorStyle="information" allowBlank="1" showInputMessage="1" showErrorMessage="1" error="XLBVal:6=4931.2_x000d__x000a_" sqref="S9">
      <formula1>0</formula1>
      <formula2>300</formula2>
    </dataValidation>
    <dataValidation type="textLength" errorStyle="information" allowBlank="1" showInputMessage="1" showErrorMessage="1" error="XLBVal:6=6340.6_x000d__x000a_" sqref="R9">
      <formula1>0</formula1>
      <formula2>300</formula2>
    </dataValidation>
    <dataValidation type="textLength" errorStyle="information" allowBlank="1" showInputMessage="1" showErrorMessage="1" error="XLBVal:6=3642.3_x000d__x000a_" sqref="Q9">
      <formula1>0</formula1>
      <formula2>300</formula2>
    </dataValidation>
    <dataValidation type="textLength" errorStyle="information" allowBlank="1" showInputMessage="1" showErrorMessage="1" error="XLBVal:6=116_x000d__x000a_" sqref="E17">
      <formula1>0</formula1>
      <formula2>300</formula2>
    </dataValidation>
    <dataValidation type="textLength" errorStyle="information" allowBlank="1" showInputMessage="1" showErrorMessage="1" error="XLBVal:6=7500_x000d__x000a_" sqref="T102 Q102:R102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2=0_x000d__x000a_" sqref="Q118:V118 S71 Q124:V127 S107 I25 D32:I32 R62:V62 Q50:V50 X13:Y13 R60:V60 Q24:R25 D131:I132 D24:I24 Q32:V32 U24:V25 S24:T24 T51 T54:V54 T57:V58 Q58:S58 Q104:V104 Q110:V110 Y9:Y11 Q60:Q62 Q131:V132 Q121:V121 Q55:V55 Q39:V42 Q65:V70 Q44:V47 Q73:V77 R61 Q52:V53 Q48 U59:V59 Q78 R56:U56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  <rowBreaks count="1" manualBreakCount="1">
    <brk id="104" max="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AG161"/>
  <sheetViews>
    <sheetView view="pageBreakPreview" zoomScaleNormal="100" zoomScaleSheetLayoutView="100" workbookViewId="0">
      <pane xSplit="4" ySplit="7" topLeftCell="M95" activePane="bottomRight" state="frozen"/>
      <selection activeCell="AP43" sqref="AP43"/>
      <selection pane="topRight" activeCell="AP43" sqref="AP43"/>
      <selection pane="bottomLeft" activeCell="AP43" sqref="AP43"/>
      <selection pane="bottomRight" activeCell="D108" sqref="D108:O108"/>
    </sheetView>
  </sheetViews>
  <sheetFormatPr defaultColWidth="9" defaultRowHeight="14.25" outlineLevelCol="2"/>
  <cols>
    <col min="1" max="2" width="9" style="105" hidden="1" customWidth="1" outlineLevel="1"/>
    <col min="3" max="3" width="53.5" style="105" customWidth="1" collapsed="1"/>
    <col min="4" max="15" width="14.5" style="72" bestFit="1" customWidth="1"/>
    <col min="16" max="16" width="18.25" style="127" bestFit="1" customWidth="1"/>
    <col min="17" max="23" width="13.75" style="72" hidden="1" customWidth="1" outlineLevel="1"/>
    <col min="24" max="28" width="13.7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3.87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388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387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1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0</v>
      </c>
      <c r="AG9" s="124">
        <f t="shared" ref="AG9:AG27" si="3">P9-AF9</f>
        <v>0</v>
      </c>
    </row>
    <row r="10" spans="1:33">
      <c r="A10" s="105" t="s">
        <v>482</v>
      </c>
      <c r="B10" s="105" t="s">
        <v>387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17">
        <f>SUM(D10:O10)</f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0</v>
      </c>
      <c r="AD10" s="72">
        <f t="shared" si="1"/>
        <v>0</v>
      </c>
      <c r="AE10" s="192" t="e">
        <f t="shared" si="2"/>
        <v>#DIV/0!</v>
      </c>
      <c r="AF10" s="129">
        <v>0</v>
      </c>
      <c r="AG10" s="124">
        <f t="shared" si="3"/>
        <v>0</v>
      </c>
    </row>
    <row r="11" spans="1:33">
      <c r="A11" s="105" t="s">
        <v>484</v>
      </c>
      <c r="B11" s="105" t="s">
        <v>387</v>
      </c>
      <c r="C11" s="105" t="s">
        <v>485</v>
      </c>
      <c r="D11" s="210">
        <f t="shared" si="4"/>
        <v>0</v>
      </c>
      <c r="E11" s="210">
        <f t="shared" si="4"/>
        <v>0</v>
      </c>
      <c r="F11" s="210">
        <f t="shared" si="4"/>
        <v>0</v>
      </c>
      <c r="G11" s="210">
        <f t="shared" si="4"/>
        <v>0</v>
      </c>
      <c r="H11" s="210">
        <f t="shared" si="4"/>
        <v>0</v>
      </c>
      <c r="I11" s="210">
        <f t="shared" si="4"/>
        <v>0</v>
      </c>
      <c r="J11" s="210">
        <f t="shared" si="4"/>
        <v>0</v>
      </c>
      <c r="K11" s="210">
        <f t="shared" si="4"/>
        <v>0</v>
      </c>
      <c r="L11" s="210">
        <f t="shared" si="4"/>
        <v>0</v>
      </c>
      <c r="M11" s="210">
        <f t="shared" si="4"/>
        <v>0</v>
      </c>
      <c r="N11" s="210">
        <f t="shared" si="4"/>
        <v>0</v>
      </c>
      <c r="O11" s="210">
        <f t="shared" si="4"/>
        <v>0</v>
      </c>
      <c r="P11" s="117">
        <f>SUM(D11:O11)</f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127">
        <f>SUM(Q11:AB11)</f>
        <v>0</v>
      </c>
      <c r="AD11" s="72">
        <f t="shared" si="1"/>
        <v>0</v>
      </c>
      <c r="AE11" s="192" t="e">
        <f t="shared" si="2"/>
        <v>#DIV/0!</v>
      </c>
      <c r="AF11" s="129">
        <v>368734.66000000003</v>
      </c>
      <c r="AG11" s="124">
        <f t="shared" si="3"/>
        <v>-368734.66000000003</v>
      </c>
    </row>
    <row r="12" spans="1:33">
      <c r="A12" s="105" t="s">
        <v>486</v>
      </c>
      <c r="B12" s="105" t="s">
        <v>387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1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387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1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0</v>
      </c>
      <c r="E14" s="127">
        <f t="shared" si="5"/>
        <v>0</v>
      </c>
      <c r="F14" s="127">
        <f t="shared" si="5"/>
        <v>0</v>
      </c>
      <c r="G14" s="127">
        <f t="shared" si="5"/>
        <v>0</v>
      </c>
      <c r="H14" s="127">
        <f t="shared" si="5"/>
        <v>0</v>
      </c>
      <c r="I14" s="127">
        <f t="shared" si="5"/>
        <v>0</v>
      </c>
      <c r="J14" s="127">
        <f t="shared" si="5"/>
        <v>0</v>
      </c>
      <c r="K14" s="127">
        <f t="shared" si="5"/>
        <v>0</v>
      </c>
      <c r="L14" s="127">
        <f t="shared" si="5"/>
        <v>0</v>
      </c>
      <c r="M14" s="127">
        <f t="shared" si="5"/>
        <v>0</v>
      </c>
      <c r="N14" s="127">
        <f t="shared" si="5"/>
        <v>0</v>
      </c>
      <c r="O14" s="127">
        <f t="shared" si="5"/>
        <v>0</v>
      </c>
      <c r="P14" s="117">
        <f t="shared" si="5"/>
        <v>0</v>
      </c>
      <c r="Q14" s="127">
        <f t="shared" si="5"/>
        <v>0</v>
      </c>
      <c r="R14" s="127">
        <f t="shared" si="5"/>
        <v>0</v>
      </c>
      <c r="S14" s="127">
        <f t="shared" si="5"/>
        <v>0</v>
      </c>
      <c r="T14" s="127">
        <f t="shared" si="5"/>
        <v>0</v>
      </c>
      <c r="U14" s="127">
        <f t="shared" si="5"/>
        <v>0</v>
      </c>
      <c r="V14" s="127">
        <f t="shared" si="5"/>
        <v>0</v>
      </c>
      <c r="W14" s="127">
        <f t="shared" si="5"/>
        <v>0</v>
      </c>
      <c r="X14" s="127">
        <f t="shared" si="5"/>
        <v>0</v>
      </c>
      <c r="Y14" s="127">
        <f t="shared" si="5"/>
        <v>0</v>
      </c>
      <c r="Z14" s="127">
        <f t="shared" si="5"/>
        <v>0</v>
      </c>
      <c r="AA14" s="127">
        <f t="shared" si="5"/>
        <v>0</v>
      </c>
      <c r="AB14" s="127">
        <f t="shared" si="5"/>
        <v>0</v>
      </c>
      <c r="AC14" s="127">
        <f t="shared" si="5"/>
        <v>0</v>
      </c>
      <c r="AD14" s="72">
        <f t="shared" si="1"/>
        <v>0</v>
      </c>
      <c r="AE14" s="192" t="e">
        <f t="shared" si="2"/>
        <v>#DIV/0!</v>
      </c>
      <c r="AF14" s="129">
        <v>368734.66000000003</v>
      </c>
      <c r="AG14" s="124">
        <f t="shared" si="3"/>
        <v>-368734.66000000003</v>
      </c>
    </row>
    <row r="15" spans="1:33">
      <c r="C15" s="105" t="s">
        <v>154</v>
      </c>
      <c r="P15" s="117"/>
      <c r="AF15" s="129"/>
      <c r="AG15" s="124">
        <f t="shared" si="3"/>
        <v>0</v>
      </c>
    </row>
    <row r="16" spans="1:33">
      <c r="C16" s="105" t="s">
        <v>491</v>
      </c>
      <c r="P16" s="117"/>
      <c r="AF16" s="129"/>
      <c r="AG16" s="124">
        <f t="shared" si="3"/>
        <v>0</v>
      </c>
    </row>
    <row r="17" spans="1:33">
      <c r="A17" s="105" t="s">
        <v>492</v>
      </c>
      <c r="B17" s="105" t="s">
        <v>387</v>
      </c>
      <c r="C17" s="105" t="s">
        <v>481</v>
      </c>
      <c r="P17" s="11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6603.77</v>
      </c>
      <c r="AG17" s="124">
        <f t="shared" si="3"/>
        <v>-6603.77</v>
      </c>
    </row>
    <row r="18" spans="1:33">
      <c r="A18" s="105" t="s">
        <v>493</v>
      </c>
      <c r="B18" s="105" t="s">
        <v>387</v>
      </c>
      <c r="C18" s="105" t="s">
        <v>483</v>
      </c>
      <c r="P18" s="11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6603.77</v>
      </c>
      <c r="AG18" s="124">
        <f t="shared" si="3"/>
        <v>-6603.77</v>
      </c>
    </row>
    <row r="19" spans="1:33">
      <c r="A19" s="105" t="s">
        <v>494</v>
      </c>
      <c r="B19" s="105" t="s">
        <v>387</v>
      </c>
      <c r="C19" s="105" t="s">
        <v>485</v>
      </c>
      <c r="P19" s="117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42069.630000000005</v>
      </c>
      <c r="AG19" s="124">
        <f t="shared" si="3"/>
        <v>-42069.630000000005</v>
      </c>
    </row>
    <row r="20" spans="1:33">
      <c r="A20" s="105" t="s">
        <v>543</v>
      </c>
      <c r="B20" s="105" t="s">
        <v>387</v>
      </c>
      <c r="C20" s="105" t="s">
        <v>487</v>
      </c>
      <c r="P20" s="11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</row>
    <row r="21" spans="1:33">
      <c r="A21" s="105" t="s">
        <v>497</v>
      </c>
      <c r="B21" s="105" t="s">
        <v>387</v>
      </c>
      <c r="C21" s="105" t="s">
        <v>489</v>
      </c>
      <c r="P21" s="11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7">
        <f t="shared" si="8"/>
        <v>0</v>
      </c>
      <c r="K22" s="127">
        <f t="shared" si="8"/>
        <v>0</v>
      </c>
      <c r="L22" s="127">
        <f t="shared" si="8"/>
        <v>0</v>
      </c>
      <c r="M22" s="127">
        <f t="shared" si="8"/>
        <v>0</v>
      </c>
      <c r="N22" s="127">
        <f t="shared" si="8"/>
        <v>0</v>
      </c>
      <c r="O22" s="127">
        <f t="shared" si="8"/>
        <v>0</v>
      </c>
      <c r="P22" s="117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55277.170000000006</v>
      </c>
      <c r="AG22" s="124">
        <f t="shared" si="3"/>
        <v>-55277.170000000006</v>
      </c>
    </row>
    <row r="23" spans="1:33">
      <c r="C23" s="105" t="s">
        <v>154</v>
      </c>
      <c r="P23" s="117"/>
      <c r="AF23" s="129"/>
      <c r="AG23" s="124">
        <f t="shared" si="3"/>
        <v>0</v>
      </c>
    </row>
    <row r="24" spans="1:33">
      <c r="A24" s="105" t="s">
        <v>406</v>
      </c>
      <c r="B24" s="105" t="s">
        <v>387</v>
      </c>
      <c r="C24" s="105" t="s">
        <v>408</v>
      </c>
      <c r="J24" s="123"/>
      <c r="K24" s="123"/>
      <c r="L24" s="123"/>
      <c r="M24" s="123"/>
      <c r="N24" s="123"/>
      <c r="O24" s="123"/>
      <c r="P24" s="11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387</v>
      </c>
      <c r="C25" s="105" t="s">
        <v>499</v>
      </c>
      <c r="P25" s="11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</row>
    <row r="26" spans="1:33">
      <c r="A26" s="105" t="s">
        <v>169</v>
      </c>
      <c r="B26" s="105" t="s">
        <v>387</v>
      </c>
      <c r="C26" s="105" t="s">
        <v>170</v>
      </c>
      <c r="P26" s="117">
        <f>SUM(D26:O26)</f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0</v>
      </c>
      <c r="AD26" s="72">
        <f>P26-AC26</f>
        <v>0</v>
      </c>
      <c r="AE26" s="192" t="e">
        <f>AD26/AC26</f>
        <v>#DIV/0!</v>
      </c>
      <c r="AF26" s="129">
        <v>0</v>
      </c>
      <c r="AG26" s="124">
        <f t="shared" si="3"/>
        <v>0</v>
      </c>
    </row>
    <row r="27" spans="1:33">
      <c r="C27" s="109" t="s">
        <v>500</v>
      </c>
      <c r="D27" s="127">
        <f t="shared" ref="D27:P27" si="10">SUM(D24:D26)+D14+D22</f>
        <v>0</v>
      </c>
      <c r="E27" s="127">
        <f t="shared" si="10"/>
        <v>0</v>
      </c>
      <c r="F27" s="127">
        <f t="shared" si="10"/>
        <v>0</v>
      </c>
      <c r="G27" s="127">
        <f t="shared" si="10"/>
        <v>0</v>
      </c>
      <c r="H27" s="127">
        <f t="shared" si="10"/>
        <v>0</v>
      </c>
      <c r="I27" s="127">
        <f t="shared" si="10"/>
        <v>0</v>
      </c>
      <c r="J27" s="127">
        <f t="shared" si="10"/>
        <v>0</v>
      </c>
      <c r="K27" s="127">
        <f t="shared" si="10"/>
        <v>0</v>
      </c>
      <c r="L27" s="127">
        <f t="shared" si="10"/>
        <v>0</v>
      </c>
      <c r="M27" s="127">
        <f t="shared" si="10"/>
        <v>0</v>
      </c>
      <c r="N27" s="127">
        <f t="shared" si="10"/>
        <v>0</v>
      </c>
      <c r="O27" s="127">
        <f t="shared" si="10"/>
        <v>0</v>
      </c>
      <c r="P27" s="117">
        <f t="shared" si="10"/>
        <v>0</v>
      </c>
      <c r="Q27" s="127">
        <f t="shared" ref="Q27:V27" si="11">SUM(Q24:Q26)+Q14+Q22</f>
        <v>0</v>
      </c>
      <c r="R27" s="127">
        <f t="shared" si="11"/>
        <v>0</v>
      </c>
      <c r="S27" s="127">
        <f t="shared" si="11"/>
        <v>0</v>
      </c>
      <c r="T27" s="127">
        <f t="shared" si="11"/>
        <v>0</v>
      </c>
      <c r="U27" s="127">
        <f t="shared" si="11"/>
        <v>0</v>
      </c>
      <c r="V27" s="127">
        <f t="shared" si="11"/>
        <v>0</v>
      </c>
      <c r="W27" s="127">
        <f t="shared" ref="W27:AC27" si="12">SUM(W24:W26)+W14+W22</f>
        <v>0</v>
      </c>
      <c r="X27" s="127">
        <f t="shared" si="12"/>
        <v>0</v>
      </c>
      <c r="Y27" s="127">
        <f t="shared" si="12"/>
        <v>0</v>
      </c>
      <c r="Z27" s="127">
        <f t="shared" si="12"/>
        <v>0</v>
      </c>
      <c r="AA27" s="127">
        <f t="shared" si="12"/>
        <v>0</v>
      </c>
      <c r="AB27" s="127">
        <f t="shared" si="12"/>
        <v>0</v>
      </c>
      <c r="AC27" s="127">
        <f t="shared" si="12"/>
        <v>0</v>
      </c>
      <c r="AD27" s="72">
        <f>P27-AC27</f>
        <v>0</v>
      </c>
      <c r="AE27" s="192" t="e">
        <f>AD27/AC27</f>
        <v>#DIV/0!</v>
      </c>
      <c r="AF27" s="129">
        <v>424011.83</v>
      </c>
      <c r="AG27" s="124">
        <f t="shared" si="3"/>
        <v>-424011.83</v>
      </c>
    </row>
    <row r="28" spans="1:33">
      <c r="C28" s="105" t="s">
        <v>154</v>
      </c>
      <c r="P28" s="117"/>
      <c r="AF28" s="129"/>
    </row>
    <row r="29" spans="1:33">
      <c r="C29" s="105" t="s">
        <v>414</v>
      </c>
      <c r="P29" s="117"/>
      <c r="AF29" s="129"/>
    </row>
    <row r="30" spans="1:33">
      <c r="A30" s="105" t="s">
        <v>415</v>
      </c>
      <c r="B30" s="105" t="s">
        <v>387</v>
      </c>
      <c r="C30" s="105" t="s">
        <v>416</v>
      </c>
      <c r="P30" s="117">
        <f>SUM(D30:O30)</f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127">
        <f>SUM(Q30:AB30)</f>
        <v>0</v>
      </c>
      <c r="AD30" s="72">
        <f t="shared" ref="AD30:AD33" si="13">P30-AC30</f>
        <v>0</v>
      </c>
      <c r="AE30" s="192" t="e">
        <f t="shared" ref="AE30:AE33" si="14">AD30/AC30</f>
        <v>#DIV/0!</v>
      </c>
      <c r="AF30" s="129">
        <v>83607.149999999994</v>
      </c>
      <c r="AG30" s="124">
        <f t="shared" ref="AG30:AG80" si="15">AF30-P30</f>
        <v>83607.149999999994</v>
      </c>
    </row>
    <row r="31" spans="1:33">
      <c r="A31" s="105" t="s">
        <v>417</v>
      </c>
      <c r="B31" s="105" t="s">
        <v>387</v>
      </c>
      <c r="C31" s="105" t="s">
        <v>418</v>
      </c>
      <c r="P31" s="117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3"/>
        <v>0</v>
      </c>
      <c r="AE31" s="192" t="e">
        <f t="shared" si="14"/>
        <v>#DIV/0!</v>
      </c>
      <c r="AF31" s="129">
        <v>7274.02</v>
      </c>
      <c r="AG31" s="124">
        <f t="shared" si="15"/>
        <v>7274.02</v>
      </c>
    </row>
    <row r="32" spans="1:33">
      <c r="A32" s="105" t="s">
        <v>421</v>
      </c>
      <c r="B32" s="105" t="s">
        <v>387</v>
      </c>
      <c r="C32" s="105" t="s">
        <v>422</v>
      </c>
      <c r="P32" s="11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3"/>
        <v>0</v>
      </c>
      <c r="AE32" s="192" t="e">
        <f t="shared" si="14"/>
        <v>#DIV/0!</v>
      </c>
      <c r="AF32" s="129">
        <v>0</v>
      </c>
      <c r="AG32" s="124">
        <f t="shared" si="15"/>
        <v>0</v>
      </c>
    </row>
    <row r="33" spans="1:33">
      <c r="C33" s="109" t="s">
        <v>501</v>
      </c>
      <c r="D33" s="127">
        <f t="shared" ref="D33:AC33" si="16">SUM(D30:D32)</f>
        <v>0</v>
      </c>
      <c r="E33" s="127">
        <f t="shared" si="16"/>
        <v>0</v>
      </c>
      <c r="F33" s="127">
        <f t="shared" si="16"/>
        <v>0</v>
      </c>
      <c r="G33" s="127">
        <f t="shared" si="16"/>
        <v>0</v>
      </c>
      <c r="H33" s="127">
        <f t="shared" si="16"/>
        <v>0</v>
      </c>
      <c r="I33" s="127">
        <f t="shared" si="16"/>
        <v>0</v>
      </c>
      <c r="J33" s="127">
        <f t="shared" si="16"/>
        <v>0</v>
      </c>
      <c r="K33" s="127">
        <f t="shared" si="16"/>
        <v>0</v>
      </c>
      <c r="L33" s="127">
        <f t="shared" si="16"/>
        <v>0</v>
      </c>
      <c r="M33" s="127">
        <f t="shared" si="16"/>
        <v>0</v>
      </c>
      <c r="N33" s="127">
        <f t="shared" si="16"/>
        <v>0</v>
      </c>
      <c r="O33" s="127">
        <f t="shared" si="16"/>
        <v>0</v>
      </c>
      <c r="P33" s="117">
        <f t="shared" si="16"/>
        <v>0</v>
      </c>
      <c r="Q33" s="127">
        <f t="shared" si="16"/>
        <v>0</v>
      </c>
      <c r="R33" s="127">
        <f t="shared" si="16"/>
        <v>0</v>
      </c>
      <c r="S33" s="127">
        <f t="shared" si="16"/>
        <v>0</v>
      </c>
      <c r="T33" s="127">
        <f t="shared" si="16"/>
        <v>0</v>
      </c>
      <c r="U33" s="127">
        <f t="shared" si="16"/>
        <v>0</v>
      </c>
      <c r="V33" s="127">
        <f t="shared" si="16"/>
        <v>0</v>
      </c>
      <c r="W33" s="127">
        <f t="shared" si="16"/>
        <v>0</v>
      </c>
      <c r="X33" s="127">
        <f t="shared" si="16"/>
        <v>0</v>
      </c>
      <c r="Y33" s="127">
        <f t="shared" si="16"/>
        <v>0</v>
      </c>
      <c r="Z33" s="127">
        <f t="shared" si="16"/>
        <v>0</v>
      </c>
      <c r="AA33" s="127">
        <f t="shared" si="16"/>
        <v>0</v>
      </c>
      <c r="AB33" s="127">
        <f t="shared" si="16"/>
        <v>0</v>
      </c>
      <c r="AC33" s="127">
        <f t="shared" si="16"/>
        <v>0</v>
      </c>
      <c r="AD33" s="72">
        <f t="shared" si="13"/>
        <v>0</v>
      </c>
      <c r="AE33" s="192" t="e">
        <f t="shared" si="14"/>
        <v>#DIV/0!</v>
      </c>
      <c r="AF33" s="129">
        <v>90881.17</v>
      </c>
      <c r="AG33" s="124">
        <f t="shared" si="15"/>
        <v>90881.17</v>
      </c>
    </row>
    <row r="34" spans="1:33">
      <c r="C34" s="105" t="s">
        <v>154</v>
      </c>
      <c r="P34" s="117"/>
      <c r="AF34" s="129"/>
      <c r="AG34" s="124">
        <f t="shared" si="15"/>
        <v>0</v>
      </c>
    </row>
    <row r="35" spans="1:33" s="109" customFormat="1">
      <c r="C35" s="109" t="s">
        <v>289</v>
      </c>
      <c r="D35" s="127">
        <f t="shared" ref="D35:AB35" si="17">D134</f>
        <v>0</v>
      </c>
      <c r="E35" s="127">
        <f t="shared" si="17"/>
        <v>0</v>
      </c>
      <c r="F35" s="127">
        <f t="shared" si="17"/>
        <v>0</v>
      </c>
      <c r="G35" s="127">
        <f t="shared" si="17"/>
        <v>0</v>
      </c>
      <c r="H35" s="127">
        <f t="shared" si="17"/>
        <v>0</v>
      </c>
      <c r="I35" s="127">
        <f t="shared" si="17"/>
        <v>0</v>
      </c>
      <c r="J35" s="127">
        <f t="shared" si="17"/>
        <v>0</v>
      </c>
      <c r="K35" s="127">
        <f t="shared" si="17"/>
        <v>0</v>
      </c>
      <c r="L35" s="127">
        <f t="shared" si="17"/>
        <v>0</v>
      </c>
      <c r="M35" s="127">
        <f t="shared" si="17"/>
        <v>0</v>
      </c>
      <c r="N35" s="127">
        <f t="shared" si="17"/>
        <v>0</v>
      </c>
      <c r="O35" s="127">
        <f t="shared" si="17"/>
        <v>0</v>
      </c>
      <c r="P35" s="117">
        <f t="shared" si="17"/>
        <v>0</v>
      </c>
      <c r="Q35" s="127">
        <f t="shared" si="17"/>
        <v>0</v>
      </c>
      <c r="R35" s="127">
        <f t="shared" si="17"/>
        <v>0</v>
      </c>
      <c r="S35" s="127">
        <f t="shared" si="17"/>
        <v>0</v>
      </c>
      <c r="T35" s="127">
        <f t="shared" si="17"/>
        <v>0</v>
      </c>
      <c r="U35" s="127">
        <f t="shared" si="17"/>
        <v>0</v>
      </c>
      <c r="V35" s="127">
        <f t="shared" si="17"/>
        <v>0</v>
      </c>
      <c r="W35" s="127">
        <f t="shared" si="17"/>
        <v>0</v>
      </c>
      <c r="X35" s="127">
        <f t="shared" si="17"/>
        <v>0</v>
      </c>
      <c r="Y35" s="127">
        <f t="shared" si="17"/>
        <v>0</v>
      </c>
      <c r="Z35" s="127">
        <f t="shared" si="17"/>
        <v>0</v>
      </c>
      <c r="AA35" s="127">
        <f t="shared" si="17"/>
        <v>0</v>
      </c>
      <c r="AB35" s="127">
        <f t="shared" si="17"/>
        <v>0</v>
      </c>
      <c r="AC35" s="127">
        <f>SUM(Q35:AB35)</f>
        <v>0</v>
      </c>
      <c r="AD35" s="127">
        <f t="shared" ref="AD35" si="18">P35-AC35</f>
        <v>0</v>
      </c>
      <c r="AE35" s="132" t="e">
        <f t="shared" ref="AE35" si="19">AD35/AC35</f>
        <v>#DIV/0!</v>
      </c>
      <c r="AF35" s="129">
        <v>5844.43</v>
      </c>
      <c r="AG35" s="124">
        <f t="shared" si="15"/>
        <v>5844.43</v>
      </c>
    </row>
    <row r="36" spans="1:33">
      <c r="C36" s="105" t="s">
        <v>154</v>
      </c>
      <c r="P36" s="117"/>
      <c r="AF36" s="129"/>
      <c r="AG36" s="124">
        <f t="shared" si="15"/>
        <v>0</v>
      </c>
    </row>
    <row r="37" spans="1:33">
      <c r="C37" s="109" t="s">
        <v>502</v>
      </c>
      <c r="P37" s="117"/>
      <c r="AF37" s="129"/>
      <c r="AG37" s="124">
        <f t="shared" si="15"/>
        <v>0</v>
      </c>
    </row>
    <row r="38" spans="1:33">
      <c r="A38" s="105" t="s">
        <v>424</v>
      </c>
      <c r="B38" s="105" t="s">
        <v>387</v>
      </c>
      <c r="C38" s="105" t="s">
        <v>425</v>
      </c>
      <c r="J38" s="231"/>
      <c r="K38" s="231"/>
      <c r="L38" s="231"/>
      <c r="M38" s="231"/>
      <c r="N38" s="231"/>
      <c r="O38" s="231"/>
      <c r="P38" s="200">
        <f t="shared" ref="P38:P78" si="20">SUM(D38:O38)</f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ref="AC38:AC79" si="21">SUM(Q38:AB38)</f>
        <v>0</v>
      </c>
      <c r="AD38" s="72">
        <f t="shared" ref="AD38:AD82" si="22">P38-AC38</f>
        <v>0</v>
      </c>
      <c r="AE38" s="192" t="e">
        <f t="shared" ref="AE38:AE82" si="23">AD38/AC38</f>
        <v>#DIV/0!</v>
      </c>
      <c r="AF38" s="129">
        <v>0</v>
      </c>
      <c r="AG38" s="124">
        <f t="shared" si="15"/>
        <v>0</v>
      </c>
    </row>
    <row r="39" spans="1:33">
      <c r="A39" s="105" t="s">
        <v>273</v>
      </c>
      <c r="C39" s="105" t="s">
        <v>426</v>
      </c>
      <c r="J39" s="231"/>
      <c r="K39" s="231"/>
      <c r="L39" s="231"/>
      <c r="M39" s="231"/>
      <c r="N39" s="231"/>
      <c r="O39" s="231"/>
      <c r="P39" s="200">
        <f t="shared" si="20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1"/>
        <v>0</v>
      </c>
      <c r="AD39" s="72">
        <f t="shared" si="22"/>
        <v>0</v>
      </c>
      <c r="AE39" s="192" t="e">
        <f t="shared" si="23"/>
        <v>#DIV/0!</v>
      </c>
      <c r="AF39" s="129">
        <v>0</v>
      </c>
      <c r="AG39" s="124">
        <f t="shared" si="15"/>
        <v>0</v>
      </c>
    </row>
    <row r="40" spans="1:33">
      <c r="A40" s="105" t="s">
        <v>273</v>
      </c>
      <c r="C40" s="105" t="s">
        <v>427</v>
      </c>
      <c r="J40" s="231"/>
      <c r="K40" s="231"/>
      <c r="L40" s="231"/>
      <c r="M40" s="231"/>
      <c r="N40" s="231"/>
      <c r="O40" s="231"/>
      <c r="P40" s="200">
        <f t="shared" si="20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1"/>
        <v>0</v>
      </c>
      <c r="AD40" s="72">
        <f t="shared" si="22"/>
        <v>0</v>
      </c>
      <c r="AE40" s="192" t="e">
        <f t="shared" si="23"/>
        <v>#DIV/0!</v>
      </c>
      <c r="AF40" s="129">
        <v>0</v>
      </c>
      <c r="AG40" s="124">
        <f t="shared" si="15"/>
        <v>0</v>
      </c>
    </row>
    <row r="41" spans="1:33">
      <c r="A41" s="105" t="s">
        <v>273</v>
      </c>
      <c r="C41" s="105" t="s">
        <v>428</v>
      </c>
      <c r="J41" s="231"/>
      <c r="K41" s="231"/>
      <c r="L41" s="231"/>
      <c r="M41" s="231"/>
      <c r="N41" s="231"/>
      <c r="O41" s="231"/>
      <c r="P41" s="200">
        <f t="shared" si="20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1"/>
        <v>0</v>
      </c>
      <c r="AD41" s="72">
        <f t="shared" si="22"/>
        <v>0</v>
      </c>
      <c r="AE41" s="192" t="e">
        <f t="shared" si="23"/>
        <v>#DIV/0!</v>
      </c>
      <c r="AF41" s="129">
        <v>0</v>
      </c>
      <c r="AG41" s="124">
        <f t="shared" si="15"/>
        <v>0</v>
      </c>
    </row>
    <row r="42" spans="1:33">
      <c r="A42" s="105" t="s">
        <v>429</v>
      </c>
      <c r="B42" s="105" t="s">
        <v>387</v>
      </c>
      <c r="C42" s="105" t="s">
        <v>143</v>
      </c>
      <c r="J42" s="231"/>
      <c r="K42" s="231"/>
      <c r="L42" s="231"/>
      <c r="M42" s="231"/>
      <c r="N42" s="231"/>
      <c r="O42" s="231"/>
      <c r="P42" s="200">
        <f t="shared" si="20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1"/>
        <v>0</v>
      </c>
      <c r="AD42" s="72">
        <f t="shared" si="22"/>
        <v>0</v>
      </c>
      <c r="AE42" s="192" t="e">
        <f t="shared" si="23"/>
        <v>#DIV/0!</v>
      </c>
      <c r="AF42" s="129">
        <v>0</v>
      </c>
      <c r="AG42" s="124">
        <f t="shared" si="15"/>
        <v>0</v>
      </c>
    </row>
    <row r="43" spans="1:33">
      <c r="A43" s="105" t="s">
        <v>180</v>
      </c>
      <c r="B43" s="105" t="s">
        <v>387</v>
      </c>
      <c r="C43" s="105" t="s">
        <v>144</v>
      </c>
      <c r="D43" s="174">
        <f t="shared" ref="D43:O43" si="24">+D138+D139+D140</f>
        <v>0</v>
      </c>
      <c r="E43" s="174">
        <f t="shared" si="24"/>
        <v>0</v>
      </c>
      <c r="F43" s="174">
        <f t="shared" si="24"/>
        <v>0</v>
      </c>
      <c r="G43" s="174">
        <f t="shared" si="24"/>
        <v>0</v>
      </c>
      <c r="H43" s="174">
        <f t="shared" si="24"/>
        <v>0</v>
      </c>
      <c r="I43" s="174">
        <f t="shared" si="24"/>
        <v>0</v>
      </c>
      <c r="J43" s="174">
        <f t="shared" si="24"/>
        <v>0</v>
      </c>
      <c r="K43" s="174">
        <f t="shared" si="24"/>
        <v>0</v>
      </c>
      <c r="L43" s="174">
        <f t="shared" si="24"/>
        <v>0</v>
      </c>
      <c r="M43" s="174">
        <f t="shared" si="24"/>
        <v>0</v>
      </c>
      <c r="N43" s="174">
        <f t="shared" si="24"/>
        <v>0</v>
      </c>
      <c r="O43" s="174">
        <f t="shared" si="24"/>
        <v>0</v>
      </c>
      <c r="P43" s="200">
        <f t="shared" si="20"/>
        <v>0</v>
      </c>
      <c r="Q43" s="72">
        <v>0</v>
      </c>
      <c r="R43" s="72">
        <v>0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127">
        <f t="shared" si="21"/>
        <v>0</v>
      </c>
      <c r="AD43" s="72">
        <f t="shared" si="22"/>
        <v>0</v>
      </c>
      <c r="AE43" s="192" t="e">
        <f t="shared" si="23"/>
        <v>#DIV/0!</v>
      </c>
      <c r="AF43" s="129">
        <v>442.67999999999995</v>
      </c>
      <c r="AG43" s="124">
        <f t="shared" si="15"/>
        <v>442.67999999999995</v>
      </c>
    </row>
    <row r="44" spans="1:33">
      <c r="A44" s="105" t="s">
        <v>181</v>
      </c>
      <c r="B44" s="105" t="s">
        <v>387</v>
      </c>
      <c r="C44" s="105" t="s">
        <v>182</v>
      </c>
      <c r="J44" s="231"/>
      <c r="K44" s="231"/>
      <c r="L44" s="231"/>
      <c r="M44" s="231"/>
      <c r="N44" s="231"/>
      <c r="O44" s="231"/>
      <c r="P44" s="200">
        <f t="shared" si="20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1"/>
        <v>0</v>
      </c>
      <c r="AD44" s="72">
        <f t="shared" si="22"/>
        <v>0</v>
      </c>
      <c r="AE44" s="192" t="e">
        <f t="shared" si="23"/>
        <v>#DIV/0!</v>
      </c>
      <c r="AF44" s="129">
        <v>0</v>
      </c>
      <c r="AG44" s="124">
        <f t="shared" si="15"/>
        <v>0</v>
      </c>
    </row>
    <row r="45" spans="1:33">
      <c r="A45" s="105" t="s">
        <v>430</v>
      </c>
      <c r="B45" s="105" t="s">
        <v>387</v>
      </c>
      <c r="C45" s="105" t="s">
        <v>431</v>
      </c>
      <c r="J45" s="231"/>
      <c r="K45" s="231"/>
      <c r="L45" s="231"/>
      <c r="M45" s="231"/>
      <c r="N45" s="231"/>
      <c r="O45" s="231"/>
      <c r="P45" s="200">
        <f t="shared" si="20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1"/>
        <v>0</v>
      </c>
      <c r="AD45" s="72">
        <f t="shared" si="22"/>
        <v>0</v>
      </c>
      <c r="AE45" s="192" t="e">
        <f t="shared" si="23"/>
        <v>#DIV/0!</v>
      </c>
      <c r="AF45" s="129">
        <v>0</v>
      </c>
      <c r="AG45" s="124">
        <f t="shared" si="15"/>
        <v>0</v>
      </c>
    </row>
    <row r="46" spans="1:33">
      <c r="A46" s="105" t="s">
        <v>183</v>
      </c>
      <c r="B46" s="105" t="s">
        <v>387</v>
      </c>
      <c r="C46" s="105" t="s">
        <v>184</v>
      </c>
      <c r="J46" s="231"/>
      <c r="K46" s="231"/>
      <c r="L46" s="231"/>
      <c r="M46" s="231"/>
      <c r="N46" s="231"/>
      <c r="O46" s="231"/>
      <c r="P46" s="200">
        <f t="shared" si="20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1"/>
        <v>0</v>
      </c>
      <c r="AD46" s="72">
        <f t="shared" si="22"/>
        <v>0</v>
      </c>
      <c r="AE46" s="192" t="e">
        <f t="shared" si="23"/>
        <v>#DIV/0!</v>
      </c>
      <c r="AF46" s="129">
        <v>0</v>
      </c>
      <c r="AG46" s="124">
        <f t="shared" si="15"/>
        <v>0</v>
      </c>
    </row>
    <row r="47" spans="1:33">
      <c r="A47" s="105" t="s">
        <v>273</v>
      </c>
      <c r="C47" s="105" t="s">
        <v>432</v>
      </c>
      <c r="J47" s="231"/>
      <c r="K47" s="231"/>
      <c r="L47" s="231"/>
      <c r="M47" s="231"/>
      <c r="N47" s="231"/>
      <c r="O47" s="231"/>
      <c r="P47" s="200">
        <f t="shared" si="20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1"/>
        <v>0</v>
      </c>
      <c r="AD47" s="72">
        <f t="shared" si="22"/>
        <v>0</v>
      </c>
      <c r="AE47" s="192" t="e">
        <f t="shared" si="23"/>
        <v>#DIV/0!</v>
      </c>
      <c r="AF47" s="129">
        <v>0</v>
      </c>
      <c r="AG47" s="124">
        <f t="shared" si="15"/>
        <v>0</v>
      </c>
    </row>
    <row r="48" spans="1:33">
      <c r="A48" s="105" t="s">
        <v>185</v>
      </c>
      <c r="B48" s="105" t="s">
        <v>387</v>
      </c>
      <c r="C48" s="105" t="s">
        <v>186</v>
      </c>
      <c r="J48" s="231"/>
      <c r="K48" s="231"/>
      <c r="L48" s="231"/>
      <c r="M48" s="231"/>
      <c r="N48" s="231"/>
      <c r="O48" s="231"/>
      <c r="P48" s="200">
        <f t="shared" si="20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1"/>
        <v>0</v>
      </c>
      <c r="AD48" s="72">
        <f t="shared" si="22"/>
        <v>0</v>
      </c>
      <c r="AE48" s="192" t="e">
        <f t="shared" si="23"/>
        <v>#DIV/0!</v>
      </c>
      <c r="AF48" s="129">
        <v>0</v>
      </c>
      <c r="AG48" s="124">
        <f t="shared" si="15"/>
        <v>0</v>
      </c>
    </row>
    <row r="49" spans="1:33">
      <c r="A49" s="105" t="s">
        <v>187</v>
      </c>
      <c r="B49" s="105" t="s">
        <v>387</v>
      </c>
      <c r="C49" s="105" t="s">
        <v>188</v>
      </c>
      <c r="J49" s="231"/>
      <c r="K49" s="231"/>
      <c r="L49" s="231"/>
      <c r="M49" s="231"/>
      <c r="N49" s="231"/>
      <c r="O49" s="231"/>
      <c r="P49" s="200">
        <f t="shared" si="20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127">
        <f t="shared" si="21"/>
        <v>0</v>
      </c>
      <c r="AD49" s="72">
        <f t="shared" si="22"/>
        <v>0</v>
      </c>
      <c r="AE49" s="192" t="e">
        <f t="shared" si="23"/>
        <v>#DIV/0!</v>
      </c>
      <c r="AF49" s="129">
        <v>0</v>
      </c>
      <c r="AG49" s="124">
        <f t="shared" si="15"/>
        <v>0</v>
      </c>
    </row>
    <row r="50" spans="1:33">
      <c r="A50" s="105" t="s">
        <v>195</v>
      </c>
      <c r="B50" s="105" t="s">
        <v>387</v>
      </c>
      <c r="C50" s="105" t="s">
        <v>196</v>
      </c>
      <c r="J50" s="141"/>
      <c r="K50" s="141"/>
      <c r="L50" s="141"/>
      <c r="M50" s="141"/>
      <c r="N50" s="141"/>
      <c r="O50" s="141"/>
      <c r="P50" s="200">
        <f t="shared" si="20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1"/>
        <v>0</v>
      </c>
      <c r="AD50" s="72">
        <f t="shared" si="22"/>
        <v>0</v>
      </c>
      <c r="AE50" s="192" t="e">
        <f t="shared" si="23"/>
        <v>#DIV/0!</v>
      </c>
      <c r="AF50" s="129">
        <v>0</v>
      </c>
      <c r="AG50" s="124">
        <f t="shared" si="15"/>
        <v>0</v>
      </c>
    </row>
    <row r="51" spans="1:33">
      <c r="A51" s="105" t="s">
        <v>197</v>
      </c>
      <c r="B51" s="105" t="s">
        <v>387</v>
      </c>
      <c r="C51" s="105" t="s">
        <v>305</v>
      </c>
      <c r="J51" s="231"/>
      <c r="K51" s="231"/>
      <c r="L51" s="231"/>
      <c r="M51" s="231"/>
      <c r="N51" s="231"/>
      <c r="O51" s="231"/>
      <c r="P51" s="200">
        <f t="shared" si="20"/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21"/>
        <v>0</v>
      </c>
      <c r="AD51" s="72">
        <f t="shared" si="22"/>
        <v>0</v>
      </c>
      <c r="AE51" s="192" t="e">
        <f t="shared" si="23"/>
        <v>#DIV/0!</v>
      </c>
      <c r="AF51" s="129">
        <v>0</v>
      </c>
      <c r="AG51" s="124">
        <f t="shared" si="15"/>
        <v>0</v>
      </c>
    </row>
    <row r="52" spans="1:33">
      <c r="A52" s="105" t="s">
        <v>434</v>
      </c>
      <c r="B52" s="105" t="s">
        <v>387</v>
      </c>
      <c r="C52" s="105" t="s">
        <v>435</v>
      </c>
      <c r="J52" s="231"/>
      <c r="K52" s="231"/>
      <c r="L52" s="231"/>
      <c r="M52" s="231"/>
      <c r="N52" s="231"/>
      <c r="O52" s="231"/>
      <c r="P52" s="200">
        <f t="shared" si="20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1"/>
        <v>0</v>
      </c>
      <c r="AD52" s="72">
        <f t="shared" si="22"/>
        <v>0</v>
      </c>
      <c r="AE52" s="192" t="e">
        <f t="shared" si="23"/>
        <v>#DIV/0!</v>
      </c>
      <c r="AF52" s="129">
        <v>0</v>
      </c>
      <c r="AG52" s="124">
        <f t="shared" si="15"/>
        <v>0</v>
      </c>
    </row>
    <row r="53" spans="1:33">
      <c r="A53" s="105" t="s">
        <v>436</v>
      </c>
      <c r="B53" s="105" t="s">
        <v>387</v>
      </c>
      <c r="C53" s="105" t="s">
        <v>437</v>
      </c>
      <c r="J53" s="231"/>
      <c r="K53" s="231"/>
      <c r="L53" s="231"/>
      <c r="M53" s="231"/>
      <c r="N53" s="231"/>
      <c r="O53" s="231"/>
      <c r="P53" s="200">
        <f t="shared" si="20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1"/>
        <v>0</v>
      </c>
      <c r="AD53" s="72">
        <f t="shared" si="22"/>
        <v>0</v>
      </c>
      <c r="AE53" s="192" t="e">
        <f t="shared" si="23"/>
        <v>#DIV/0!</v>
      </c>
      <c r="AF53" s="129">
        <v>0</v>
      </c>
      <c r="AG53" s="124">
        <f t="shared" si="15"/>
        <v>0</v>
      </c>
    </row>
    <row r="54" spans="1:33">
      <c r="A54" s="105" t="s">
        <v>199</v>
      </c>
      <c r="B54" s="105" t="s">
        <v>387</v>
      </c>
      <c r="C54" s="105" t="s">
        <v>200</v>
      </c>
      <c r="J54" s="231"/>
      <c r="K54" s="231"/>
      <c r="L54" s="231"/>
      <c r="M54" s="231"/>
      <c r="N54" s="231"/>
      <c r="O54" s="231"/>
      <c r="P54" s="200">
        <f t="shared" si="20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1"/>
        <v>0</v>
      </c>
      <c r="AD54" s="72">
        <f t="shared" si="22"/>
        <v>0</v>
      </c>
      <c r="AE54" s="192" t="e">
        <f t="shared" si="23"/>
        <v>#DIV/0!</v>
      </c>
      <c r="AF54" s="129">
        <v>0</v>
      </c>
      <c r="AG54" s="124">
        <f t="shared" si="15"/>
        <v>0</v>
      </c>
    </row>
    <row r="55" spans="1:33">
      <c r="A55" s="105" t="s">
        <v>438</v>
      </c>
      <c r="B55" s="105" t="s">
        <v>387</v>
      </c>
      <c r="C55" s="105" t="s">
        <v>439</v>
      </c>
      <c r="J55" s="231"/>
      <c r="K55" s="231"/>
      <c r="L55" s="231"/>
      <c r="M55" s="231"/>
      <c r="N55" s="231"/>
      <c r="O55" s="231"/>
      <c r="P55" s="200">
        <f t="shared" si="20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1"/>
        <v>0</v>
      </c>
      <c r="AD55" s="72">
        <f t="shared" si="22"/>
        <v>0</v>
      </c>
      <c r="AE55" s="192" t="e">
        <f t="shared" si="23"/>
        <v>#DIV/0!</v>
      </c>
      <c r="AF55" s="129">
        <v>0</v>
      </c>
      <c r="AG55" s="124">
        <f t="shared" si="15"/>
        <v>0</v>
      </c>
    </row>
    <row r="56" spans="1:33">
      <c r="A56" s="105" t="s">
        <v>201</v>
      </c>
      <c r="B56" s="105" t="s">
        <v>387</v>
      </c>
      <c r="C56" s="105" t="s">
        <v>202</v>
      </c>
      <c r="J56" s="231"/>
      <c r="K56" s="231"/>
      <c r="L56" s="231"/>
      <c r="M56" s="231"/>
      <c r="N56" s="231"/>
      <c r="O56" s="231"/>
      <c r="P56" s="200">
        <f t="shared" si="20"/>
        <v>0</v>
      </c>
      <c r="Q56" s="72"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21"/>
        <v>0</v>
      </c>
      <c r="AD56" s="72">
        <f t="shared" si="22"/>
        <v>0</v>
      </c>
      <c r="AE56" s="192" t="e">
        <f t="shared" si="23"/>
        <v>#DIV/0!</v>
      </c>
      <c r="AF56" s="129">
        <v>0</v>
      </c>
      <c r="AG56" s="124">
        <f t="shared" si="15"/>
        <v>0</v>
      </c>
    </row>
    <row r="57" spans="1:33">
      <c r="A57" s="105" t="s">
        <v>440</v>
      </c>
      <c r="B57" s="105" t="s">
        <v>387</v>
      </c>
      <c r="C57" s="105" t="s">
        <v>441</v>
      </c>
      <c r="J57" s="231"/>
      <c r="K57" s="231"/>
      <c r="L57" s="231"/>
      <c r="M57" s="231"/>
      <c r="N57" s="231"/>
      <c r="O57" s="231"/>
      <c r="P57" s="200">
        <f t="shared" si="20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1"/>
        <v>0</v>
      </c>
      <c r="AD57" s="72">
        <f t="shared" si="22"/>
        <v>0</v>
      </c>
      <c r="AE57" s="192" t="e">
        <f t="shared" si="23"/>
        <v>#DIV/0!</v>
      </c>
      <c r="AF57" s="129">
        <v>0</v>
      </c>
      <c r="AG57" s="124">
        <f t="shared" si="15"/>
        <v>0</v>
      </c>
    </row>
    <row r="58" spans="1:33">
      <c r="A58" s="105" t="s">
        <v>442</v>
      </c>
      <c r="B58" s="105" t="s">
        <v>387</v>
      </c>
      <c r="C58" s="105" t="s">
        <v>443</v>
      </c>
      <c r="J58" s="231"/>
      <c r="K58" s="231"/>
      <c r="L58" s="231"/>
      <c r="M58" s="231"/>
      <c r="N58" s="231"/>
      <c r="O58" s="231"/>
      <c r="P58" s="200">
        <f t="shared" si="20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1"/>
        <v>0</v>
      </c>
      <c r="AD58" s="72">
        <f t="shared" si="22"/>
        <v>0</v>
      </c>
      <c r="AE58" s="192" t="e">
        <f t="shared" si="23"/>
        <v>#DIV/0!</v>
      </c>
      <c r="AF58" s="129">
        <v>0</v>
      </c>
      <c r="AG58" s="124">
        <f t="shared" si="15"/>
        <v>0</v>
      </c>
    </row>
    <row r="59" spans="1:33">
      <c r="A59" s="105" t="s">
        <v>203</v>
      </c>
      <c r="B59" s="105" t="s">
        <v>387</v>
      </c>
      <c r="C59" s="105" t="s">
        <v>204</v>
      </c>
      <c r="J59" s="141"/>
      <c r="K59" s="141"/>
      <c r="L59" s="141"/>
      <c r="M59" s="141"/>
      <c r="N59" s="141"/>
      <c r="O59" s="141"/>
      <c r="P59" s="200">
        <f t="shared" si="20"/>
        <v>0</v>
      </c>
      <c r="Q59" s="72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1"/>
        <v>0</v>
      </c>
      <c r="AD59" s="72">
        <f t="shared" si="22"/>
        <v>0</v>
      </c>
      <c r="AE59" s="192" t="e">
        <f t="shared" si="23"/>
        <v>#DIV/0!</v>
      </c>
      <c r="AF59" s="129">
        <v>-81.55</v>
      </c>
      <c r="AG59" s="124">
        <f t="shared" si="15"/>
        <v>-81.55</v>
      </c>
    </row>
    <row r="60" spans="1:33">
      <c r="A60" s="105" t="s">
        <v>444</v>
      </c>
      <c r="B60" s="105" t="s">
        <v>387</v>
      </c>
      <c r="C60" s="105" t="s">
        <v>445</v>
      </c>
      <c r="J60" s="231"/>
      <c r="K60" s="231"/>
      <c r="L60" s="231"/>
      <c r="M60" s="231"/>
      <c r="N60" s="231"/>
      <c r="O60" s="231"/>
      <c r="P60" s="200">
        <f t="shared" si="20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1"/>
        <v>0</v>
      </c>
      <c r="AD60" s="72">
        <f t="shared" si="22"/>
        <v>0</v>
      </c>
      <c r="AE60" s="192" t="e">
        <f t="shared" si="23"/>
        <v>#DIV/0!</v>
      </c>
      <c r="AF60" s="129">
        <v>0</v>
      </c>
      <c r="AG60" s="124">
        <f t="shared" si="15"/>
        <v>0</v>
      </c>
    </row>
    <row r="61" spans="1:33">
      <c r="A61" s="105" t="s">
        <v>446</v>
      </c>
      <c r="B61" s="105" t="s">
        <v>387</v>
      </c>
      <c r="C61" s="105" t="s">
        <v>447</v>
      </c>
      <c r="J61" s="231"/>
      <c r="K61" s="231"/>
      <c r="L61" s="231"/>
      <c r="M61" s="231"/>
      <c r="N61" s="231"/>
      <c r="O61" s="231"/>
      <c r="P61" s="200">
        <f t="shared" si="20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1"/>
        <v>0</v>
      </c>
      <c r="AD61" s="72">
        <f t="shared" si="22"/>
        <v>0</v>
      </c>
      <c r="AE61" s="192" t="e">
        <f t="shared" si="23"/>
        <v>#DIV/0!</v>
      </c>
      <c r="AF61" s="129">
        <v>0</v>
      </c>
      <c r="AG61" s="124">
        <f t="shared" si="15"/>
        <v>0</v>
      </c>
    </row>
    <row r="62" spans="1:33">
      <c r="A62" s="105" t="s">
        <v>273</v>
      </c>
      <c r="C62" s="105" t="s">
        <v>448</v>
      </c>
      <c r="J62" s="231"/>
      <c r="K62" s="231"/>
      <c r="L62" s="231"/>
      <c r="M62" s="231"/>
      <c r="N62" s="231"/>
      <c r="O62" s="231"/>
      <c r="P62" s="200">
        <f t="shared" si="20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1"/>
        <v>0</v>
      </c>
      <c r="AD62" s="72">
        <f t="shared" si="22"/>
        <v>0</v>
      </c>
      <c r="AE62" s="192" t="e">
        <f t="shared" si="23"/>
        <v>#DIV/0!</v>
      </c>
      <c r="AF62" s="129">
        <v>0</v>
      </c>
      <c r="AG62" s="124">
        <f t="shared" si="15"/>
        <v>0</v>
      </c>
    </row>
    <row r="63" spans="1:33">
      <c r="A63" s="105" t="s">
        <v>207</v>
      </c>
      <c r="B63" s="105" t="s">
        <v>387</v>
      </c>
      <c r="C63" s="105" t="s">
        <v>208</v>
      </c>
      <c r="J63" s="231"/>
      <c r="K63" s="231"/>
      <c r="L63" s="231"/>
      <c r="M63" s="231"/>
      <c r="N63" s="231"/>
      <c r="O63" s="231"/>
      <c r="P63" s="200">
        <f t="shared" si="20"/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21"/>
        <v>0</v>
      </c>
      <c r="AD63" s="72">
        <f t="shared" si="22"/>
        <v>0</v>
      </c>
      <c r="AE63" s="192" t="e">
        <f t="shared" si="23"/>
        <v>#DIV/0!</v>
      </c>
      <c r="AF63" s="129">
        <v>0</v>
      </c>
      <c r="AG63" s="124">
        <f t="shared" si="15"/>
        <v>0</v>
      </c>
    </row>
    <row r="64" spans="1:33">
      <c r="A64" s="105" t="s">
        <v>449</v>
      </c>
      <c r="B64" s="105" t="s">
        <v>387</v>
      </c>
      <c r="C64" s="105" t="s">
        <v>450</v>
      </c>
      <c r="J64" s="231"/>
      <c r="K64" s="231"/>
      <c r="L64" s="231"/>
      <c r="M64" s="231"/>
      <c r="N64" s="231"/>
      <c r="O64" s="231"/>
      <c r="P64" s="200">
        <f t="shared" si="20"/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21"/>
        <v>0</v>
      </c>
      <c r="AD64" s="72">
        <f t="shared" si="22"/>
        <v>0</v>
      </c>
      <c r="AE64" s="192" t="e">
        <f t="shared" si="23"/>
        <v>#DIV/0!</v>
      </c>
      <c r="AF64" s="129">
        <v>0</v>
      </c>
      <c r="AG64" s="124">
        <f t="shared" si="15"/>
        <v>0</v>
      </c>
    </row>
    <row r="65" spans="1:33">
      <c r="A65" s="105" t="s">
        <v>273</v>
      </c>
      <c r="C65" s="105" t="s">
        <v>451</v>
      </c>
      <c r="J65" s="231"/>
      <c r="K65" s="231"/>
      <c r="L65" s="231"/>
      <c r="M65" s="231"/>
      <c r="N65" s="231"/>
      <c r="O65" s="231"/>
      <c r="P65" s="200">
        <f t="shared" si="20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1"/>
        <v>0</v>
      </c>
      <c r="AD65" s="72">
        <f t="shared" si="22"/>
        <v>0</v>
      </c>
      <c r="AE65" s="192" t="e">
        <f t="shared" si="23"/>
        <v>#DIV/0!</v>
      </c>
      <c r="AF65" s="129">
        <v>0</v>
      </c>
      <c r="AG65" s="124">
        <f t="shared" si="15"/>
        <v>0</v>
      </c>
    </row>
    <row r="66" spans="1:33">
      <c r="A66" s="105" t="s">
        <v>452</v>
      </c>
      <c r="B66" s="105" t="s">
        <v>387</v>
      </c>
      <c r="C66" s="105" t="s">
        <v>453</v>
      </c>
      <c r="J66" s="231"/>
      <c r="K66" s="231"/>
      <c r="L66" s="231"/>
      <c r="M66" s="231"/>
      <c r="N66" s="231"/>
      <c r="O66" s="231"/>
      <c r="P66" s="200">
        <f t="shared" si="20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1"/>
        <v>0</v>
      </c>
      <c r="AD66" s="72">
        <f t="shared" si="22"/>
        <v>0</v>
      </c>
      <c r="AE66" s="192" t="e">
        <f t="shared" si="23"/>
        <v>#DIV/0!</v>
      </c>
      <c r="AF66" s="129">
        <v>0</v>
      </c>
      <c r="AG66" s="124">
        <f t="shared" si="15"/>
        <v>0</v>
      </c>
    </row>
    <row r="67" spans="1:33">
      <c r="A67" s="105" t="s">
        <v>454</v>
      </c>
      <c r="B67" s="105" t="s">
        <v>387</v>
      </c>
      <c r="C67" s="105" t="s">
        <v>455</v>
      </c>
      <c r="D67" s="136"/>
      <c r="E67" s="136"/>
      <c r="F67" s="136"/>
      <c r="G67" s="136"/>
      <c r="H67" s="136"/>
      <c r="I67" s="136"/>
      <c r="J67" s="231"/>
      <c r="K67" s="231"/>
      <c r="L67" s="231"/>
      <c r="M67" s="231"/>
      <c r="N67" s="231"/>
      <c r="O67" s="231"/>
      <c r="P67" s="200">
        <f t="shared" si="20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1"/>
        <v>0</v>
      </c>
      <c r="AD67" s="136">
        <f t="shared" si="22"/>
        <v>0</v>
      </c>
      <c r="AE67" s="196" t="e">
        <f t="shared" si="23"/>
        <v>#DIV/0!</v>
      </c>
      <c r="AF67" s="133">
        <v>0</v>
      </c>
      <c r="AG67" s="124">
        <f t="shared" si="15"/>
        <v>0</v>
      </c>
    </row>
    <row r="68" spans="1:33">
      <c r="A68" s="105" t="s">
        <v>456</v>
      </c>
      <c r="B68" s="105" t="s">
        <v>387</v>
      </c>
      <c r="C68" s="105" t="s">
        <v>457</v>
      </c>
      <c r="D68" s="136"/>
      <c r="E68" s="136"/>
      <c r="F68" s="136"/>
      <c r="G68" s="136"/>
      <c r="H68" s="136"/>
      <c r="I68" s="136"/>
      <c r="J68" s="231"/>
      <c r="K68" s="231"/>
      <c r="L68" s="231"/>
      <c r="M68" s="231"/>
      <c r="N68" s="231"/>
      <c r="O68" s="231"/>
      <c r="P68" s="200">
        <f t="shared" si="20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1"/>
        <v>0</v>
      </c>
      <c r="AD68" s="136">
        <f t="shared" si="22"/>
        <v>0</v>
      </c>
      <c r="AE68" s="196" t="e">
        <f t="shared" si="23"/>
        <v>#DIV/0!</v>
      </c>
      <c r="AF68" s="133">
        <v>0</v>
      </c>
      <c r="AG68" s="124">
        <f t="shared" si="15"/>
        <v>0</v>
      </c>
    </row>
    <row r="69" spans="1:33">
      <c r="A69" s="105" t="s">
        <v>273</v>
      </c>
      <c r="C69" s="105" t="s">
        <v>458</v>
      </c>
      <c r="D69" s="136"/>
      <c r="E69" s="136"/>
      <c r="F69" s="136"/>
      <c r="G69" s="136"/>
      <c r="H69" s="136"/>
      <c r="I69" s="136"/>
      <c r="J69" s="231"/>
      <c r="K69" s="231"/>
      <c r="L69" s="231"/>
      <c r="M69" s="231"/>
      <c r="N69" s="231"/>
      <c r="O69" s="231"/>
      <c r="P69" s="200">
        <f t="shared" si="20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1"/>
        <v>0</v>
      </c>
      <c r="AD69" s="136">
        <f t="shared" si="22"/>
        <v>0</v>
      </c>
      <c r="AE69" s="196" t="e">
        <f t="shared" si="23"/>
        <v>#DIV/0!</v>
      </c>
      <c r="AF69" s="133">
        <v>0</v>
      </c>
      <c r="AG69" s="124">
        <f t="shared" si="15"/>
        <v>0</v>
      </c>
    </row>
    <row r="70" spans="1:33">
      <c r="A70" s="105" t="s">
        <v>209</v>
      </c>
      <c r="B70" s="105" t="s">
        <v>387</v>
      </c>
      <c r="C70" s="105" t="s">
        <v>210</v>
      </c>
      <c r="D70" s="136"/>
      <c r="E70" s="136"/>
      <c r="F70" s="136"/>
      <c r="G70" s="136"/>
      <c r="H70" s="136"/>
      <c r="I70" s="136"/>
      <c r="J70" s="231"/>
      <c r="K70" s="231"/>
      <c r="L70" s="231"/>
      <c r="M70" s="231"/>
      <c r="N70" s="231"/>
      <c r="O70" s="231"/>
      <c r="P70" s="200">
        <f t="shared" si="20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1"/>
        <v>0</v>
      </c>
      <c r="AD70" s="136">
        <f t="shared" si="22"/>
        <v>0</v>
      </c>
      <c r="AE70" s="196" t="e">
        <f t="shared" si="23"/>
        <v>#DIV/0!</v>
      </c>
      <c r="AF70" s="133">
        <v>0</v>
      </c>
      <c r="AG70" s="124">
        <f t="shared" si="15"/>
        <v>0</v>
      </c>
    </row>
    <row r="71" spans="1:33">
      <c r="A71" s="105" t="s">
        <v>211</v>
      </c>
      <c r="B71" s="105" t="s">
        <v>387</v>
      </c>
      <c r="C71" s="105" t="s">
        <v>212</v>
      </c>
      <c r="D71" s="136"/>
      <c r="E71" s="136"/>
      <c r="F71" s="136"/>
      <c r="G71" s="136"/>
      <c r="H71" s="136"/>
      <c r="I71" s="136"/>
      <c r="J71" s="231"/>
      <c r="K71" s="231"/>
      <c r="L71" s="231"/>
      <c r="M71" s="231"/>
      <c r="N71" s="231"/>
      <c r="O71" s="231"/>
      <c r="P71" s="200">
        <f t="shared" si="20"/>
        <v>0</v>
      </c>
      <c r="Q71" s="136">
        <v>0</v>
      </c>
      <c r="R71" s="136">
        <v>0</v>
      </c>
      <c r="S71" s="136">
        <v>0</v>
      </c>
      <c r="T71" s="136">
        <v>0</v>
      </c>
      <c r="U71" s="136">
        <v>0</v>
      </c>
      <c r="V71" s="136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137">
        <f t="shared" si="21"/>
        <v>0</v>
      </c>
      <c r="AD71" s="136">
        <f t="shared" si="22"/>
        <v>0</v>
      </c>
      <c r="AE71" s="196" t="e">
        <f t="shared" si="23"/>
        <v>#DIV/0!</v>
      </c>
      <c r="AF71" s="133">
        <v>0</v>
      </c>
      <c r="AG71" s="124">
        <f t="shared" si="15"/>
        <v>0</v>
      </c>
    </row>
    <row r="72" spans="1:33">
      <c r="A72" s="105" t="s">
        <v>213</v>
      </c>
      <c r="B72" s="105" t="s">
        <v>387</v>
      </c>
      <c r="C72" s="105" t="s">
        <v>214</v>
      </c>
      <c r="D72" s="222">
        <f>Laundry!E136</f>
        <v>0</v>
      </c>
      <c r="E72" s="222">
        <f>Laundry!F136</f>
        <v>0</v>
      </c>
      <c r="F72" s="222">
        <f>Laundry!G136</f>
        <v>0</v>
      </c>
      <c r="G72" s="222">
        <f>Laundry!H136</f>
        <v>0</v>
      </c>
      <c r="H72" s="222">
        <f>Laundry!I136</f>
        <v>0</v>
      </c>
      <c r="I72" s="222">
        <f>Laundry!J136</f>
        <v>0</v>
      </c>
      <c r="J72" s="222">
        <f>Laundry!K136</f>
        <v>0</v>
      </c>
      <c r="K72" s="222">
        <f>Laundry!L136</f>
        <v>0</v>
      </c>
      <c r="L72" s="222">
        <f>Laundry!M136</f>
        <v>0</v>
      </c>
      <c r="M72" s="222">
        <f>Laundry!N136</f>
        <v>0</v>
      </c>
      <c r="N72" s="222">
        <f>Laundry!O136</f>
        <v>0</v>
      </c>
      <c r="O72" s="222">
        <f>Laundry!P136</f>
        <v>0</v>
      </c>
      <c r="P72" s="200">
        <f t="shared" si="20"/>
        <v>0</v>
      </c>
      <c r="Q72" s="136">
        <v>0</v>
      </c>
      <c r="R72" s="136">
        <v>0</v>
      </c>
      <c r="S72" s="136">
        <v>0</v>
      </c>
      <c r="T72" s="136">
        <v>0</v>
      </c>
      <c r="U72" s="136">
        <v>0</v>
      </c>
      <c r="V72" s="136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137">
        <f t="shared" si="21"/>
        <v>0</v>
      </c>
      <c r="AD72" s="136">
        <f t="shared" si="22"/>
        <v>0</v>
      </c>
      <c r="AE72" s="196" t="e">
        <f t="shared" si="23"/>
        <v>#DIV/0!</v>
      </c>
      <c r="AF72" s="133">
        <v>0</v>
      </c>
      <c r="AG72" s="124">
        <f t="shared" si="15"/>
        <v>0</v>
      </c>
    </row>
    <row r="73" spans="1:33">
      <c r="A73" s="105" t="s">
        <v>306</v>
      </c>
      <c r="B73" s="105" t="s">
        <v>387</v>
      </c>
      <c r="C73" s="105" t="s">
        <v>206</v>
      </c>
      <c r="D73" s="136"/>
      <c r="E73" s="136"/>
      <c r="F73" s="136"/>
      <c r="G73" s="136"/>
      <c r="H73" s="136"/>
      <c r="I73" s="136"/>
      <c r="J73" s="231"/>
      <c r="K73" s="231"/>
      <c r="L73" s="231"/>
      <c r="M73" s="231"/>
      <c r="N73" s="231"/>
      <c r="O73" s="231"/>
      <c r="P73" s="200">
        <f t="shared" si="20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1"/>
        <v>0</v>
      </c>
      <c r="AD73" s="136">
        <f t="shared" si="22"/>
        <v>0</v>
      </c>
      <c r="AE73" s="196" t="e">
        <f t="shared" si="23"/>
        <v>#DIV/0!</v>
      </c>
      <c r="AF73" s="133">
        <v>0</v>
      </c>
      <c r="AG73" s="124">
        <f t="shared" si="15"/>
        <v>0</v>
      </c>
    </row>
    <row r="74" spans="1:33">
      <c r="A74" s="105" t="s">
        <v>215</v>
      </c>
      <c r="B74" s="105" t="s">
        <v>387</v>
      </c>
      <c r="C74" s="105" t="s">
        <v>216</v>
      </c>
      <c r="D74" s="136"/>
      <c r="E74" s="136"/>
      <c r="F74" s="136"/>
      <c r="G74" s="136"/>
      <c r="H74" s="136"/>
      <c r="I74" s="136"/>
      <c r="J74" s="231"/>
      <c r="K74" s="231"/>
      <c r="L74" s="231"/>
      <c r="M74" s="231"/>
      <c r="N74" s="231"/>
      <c r="O74" s="231"/>
      <c r="P74" s="200">
        <f t="shared" si="20"/>
        <v>0</v>
      </c>
      <c r="Q74" s="136"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72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137">
        <f t="shared" si="21"/>
        <v>0</v>
      </c>
      <c r="AD74" s="136">
        <f t="shared" si="22"/>
        <v>0</v>
      </c>
      <c r="AE74" s="196" t="e">
        <f t="shared" si="23"/>
        <v>#DIV/0!</v>
      </c>
      <c r="AF74" s="133">
        <v>0</v>
      </c>
      <c r="AG74" s="124">
        <f t="shared" si="15"/>
        <v>0</v>
      </c>
    </row>
    <row r="75" spans="1:33">
      <c r="A75" s="105" t="s">
        <v>217</v>
      </c>
      <c r="B75" s="105" t="s">
        <v>387</v>
      </c>
      <c r="C75" s="105" t="s">
        <v>218</v>
      </c>
      <c r="D75" s="136"/>
      <c r="E75" s="136"/>
      <c r="F75" s="136"/>
      <c r="G75" s="136"/>
      <c r="H75" s="136"/>
      <c r="I75" s="136"/>
      <c r="J75" s="231"/>
      <c r="K75" s="231"/>
      <c r="L75" s="231"/>
      <c r="M75" s="231"/>
      <c r="N75" s="231"/>
      <c r="O75" s="231"/>
      <c r="P75" s="200">
        <f t="shared" si="20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21"/>
        <v>0</v>
      </c>
      <c r="AD75" s="136">
        <f t="shared" si="22"/>
        <v>0</v>
      </c>
      <c r="AE75" s="196" t="e">
        <f t="shared" si="23"/>
        <v>#DIV/0!</v>
      </c>
      <c r="AF75" s="133">
        <v>0</v>
      </c>
      <c r="AG75" s="124">
        <f t="shared" si="15"/>
        <v>0</v>
      </c>
    </row>
    <row r="76" spans="1:33">
      <c r="A76" s="105" t="s">
        <v>219</v>
      </c>
      <c r="B76" s="105" t="s">
        <v>387</v>
      </c>
      <c r="C76" s="105" t="s">
        <v>220</v>
      </c>
      <c r="D76" s="136"/>
      <c r="E76" s="136"/>
      <c r="F76" s="136"/>
      <c r="G76" s="136"/>
      <c r="H76" s="136"/>
      <c r="I76" s="136"/>
      <c r="J76" s="231"/>
      <c r="K76" s="231"/>
      <c r="L76" s="231"/>
      <c r="M76" s="231"/>
      <c r="N76" s="231"/>
      <c r="O76" s="231"/>
      <c r="P76" s="200">
        <f t="shared" si="20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1"/>
        <v>0</v>
      </c>
      <c r="AD76" s="136">
        <f t="shared" si="22"/>
        <v>0</v>
      </c>
      <c r="AE76" s="196" t="e">
        <f t="shared" si="23"/>
        <v>#DIV/0!</v>
      </c>
      <c r="AF76" s="133">
        <v>0</v>
      </c>
      <c r="AG76" s="124">
        <f t="shared" si="15"/>
        <v>0</v>
      </c>
    </row>
    <row r="77" spans="1:33">
      <c r="A77" s="105" t="s">
        <v>273</v>
      </c>
      <c r="C77" s="105" t="s">
        <v>459</v>
      </c>
      <c r="D77" s="136"/>
      <c r="E77" s="136"/>
      <c r="F77" s="136"/>
      <c r="G77" s="136"/>
      <c r="H77" s="136"/>
      <c r="I77" s="136"/>
      <c r="J77" s="231"/>
      <c r="K77" s="231"/>
      <c r="L77" s="231"/>
      <c r="M77" s="231"/>
      <c r="N77" s="231"/>
      <c r="O77" s="231"/>
      <c r="P77" s="200">
        <f t="shared" si="20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1"/>
        <v>0</v>
      </c>
      <c r="AD77" s="136">
        <f t="shared" si="22"/>
        <v>0</v>
      </c>
      <c r="AE77" s="196" t="e">
        <f t="shared" si="23"/>
        <v>#DIV/0!</v>
      </c>
      <c r="AF77" s="133">
        <v>0</v>
      </c>
      <c r="AG77" s="124">
        <f t="shared" si="15"/>
        <v>0</v>
      </c>
    </row>
    <row r="78" spans="1:33">
      <c r="A78" s="105" t="s">
        <v>221</v>
      </c>
      <c r="B78" s="105" t="s">
        <v>387</v>
      </c>
      <c r="C78" s="105" t="s">
        <v>222</v>
      </c>
      <c r="D78" s="136"/>
      <c r="E78" s="136"/>
      <c r="F78" s="136"/>
      <c r="G78" s="136"/>
      <c r="H78" s="136"/>
      <c r="I78" s="136"/>
      <c r="J78" s="231"/>
      <c r="K78" s="231"/>
      <c r="L78" s="231"/>
      <c r="M78" s="231"/>
      <c r="N78" s="231"/>
      <c r="O78" s="231"/>
      <c r="P78" s="200">
        <f t="shared" si="20"/>
        <v>0</v>
      </c>
      <c r="Q78" s="136">
        <v>0</v>
      </c>
      <c r="R78" s="136">
        <v>0</v>
      </c>
      <c r="S78" s="136">
        <v>0</v>
      </c>
      <c r="T78" s="136">
        <v>0</v>
      </c>
      <c r="U78" s="136">
        <v>0</v>
      </c>
      <c r="V78" s="136">
        <v>0</v>
      </c>
      <c r="W78" s="72">
        <v>0</v>
      </c>
      <c r="X78" s="72">
        <v>0</v>
      </c>
      <c r="Y78" s="72">
        <v>0</v>
      </c>
      <c r="Z78" s="72">
        <v>0</v>
      </c>
      <c r="AA78" s="72">
        <v>0</v>
      </c>
      <c r="AB78" s="72">
        <v>0</v>
      </c>
      <c r="AC78" s="137">
        <f t="shared" si="21"/>
        <v>0</v>
      </c>
      <c r="AD78" s="136">
        <f t="shared" si="22"/>
        <v>0</v>
      </c>
      <c r="AE78" s="196" t="e">
        <f t="shared" si="23"/>
        <v>#DIV/0!</v>
      </c>
      <c r="AF78" s="133">
        <v>9373.44</v>
      </c>
      <c r="AG78" s="124">
        <f t="shared" si="15"/>
        <v>9373.44</v>
      </c>
    </row>
    <row r="79" spans="1:33">
      <c r="A79" s="105" t="s">
        <v>505</v>
      </c>
      <c r="B79" s="105" t="s">
        <v>387</v>
      </c>
      <c r="C79" s="105" t="s">
        <v>506</v>
      </c>
      <c r="D79" s="223">
        <f>SUM('F&amp;B Admin:Main Kichen'!D163)</f>
        <v>0</v>
      </c>
      <c r="E79" s="223">
        <f>SUM('F&amp;B Admin:Main Kichen'!E163)</f>
        <v>0</v>
      </c>
      <c r="F79" s="223">
        <f>SUM('F&amp;B Admin:Main Kichen'!F163)</f>
        <v>0</v>
      </c>
      <c r="G79" s="223">
        <f>SUM('F&amp;B Admin:Main Kichen'!G163)</f>
        <v>0</v>
      </c>
      <c r="H79" s="223">
        <f>SUM('F&amp;B Admin:Main Kichen'!H163)</f>
        <v>0</v>
      </c>
      <c r="I79" s="223">
        <f>SUM('F&amp;B Admin:Main Kichen'!I163)</f>
        <v>0</v>
      </c>
      <c r="J79" s="223">
        <f>SUM('F&amp;B Admin:Main Kichen'!J163)</f>
        <v>0</v>
      </c>
      <c r="K79" s="223">
        <f>SUM('F&amp;B Admin:Main Kichen'!K163)</f>
        <v>0</v>
      </c>
      <c r="L79" s="223">
        <f>SUM('F&amp;B Admin:Main Kichen'!L163)</f>
        <v>0</v>
      </c>
      <c r="M79" s="223">
        <f>SUM('F&amp;B Admin:Main Kichen'!M163)</f>
        <v>0</v>
      </c>
      <c r="N79" s="223">
        <f>SUM('F&amp;B Admin:Main Kichen'!N163)</f>
        <v>0</v>
      </c>
      <c r="O79" s="223">
        <f>SUM('F&amp;B Admin:Main Kichen'!O163)</f>
        <v>0</v>
      </c>
      <c r="P79" s="135">
        <f>SUM(D79:O79)</f>
        <v>0</v>
      </c>
      <c r="Q79" s="136">
        <v>0</v>
      </c>
      <c r="R79" s="136">
        <v>0</v>
      </c>
      <c r="S79" s="136">
        <v>0</v>
      </c>
      <c r="T79" s="136">
        <v>0</v>
      </c>
      <c r="U79" s="136">
        <v>0</v>
      </c>
      <c r="V79" s="136">
        <v>0</v>
      </c>
      <c r="W79" s="72">
        <v>0</v>
      </c>
      <c r="X79" s="72">
        <v>0</v>
      </c>
      <c r="Y79" s="72">
        <v>0</v>
      </c>
      <c r="Z79" s="72">
        <v>0</v>
      </c>
      <c r="AA79" s="72">
        <v>0</v>
      </c>
      <c r="AB79" s="72">
        <v>0</v>
      </c>
      <c r="AC79" s="137">
        <f t="shared" si="21"/>
        <v>0</v>
      </c>
      <c r="AD79" s="136">
        <f t="shared" si="22"/>
        <v>0</v>
      </c>
      <c r="AE79" s="196" t="e">
        <f t="shared" si="23"/>
        <v>#DIV/0!</v>
      </c>
      <c r="AF79" s="133">
        <v>42171.93</v>
      </c>
      <c r="AG79" s="124">
        <f t="shared" si="15"/>
        <v>42171.93</v>
      </c>
    </row>
    <row r="80" spans="1:33">
      <c r="C80" s="109" t="s">
        <v>507</v>
      </c>
      <c r="D80" s="137">
        <f t="shared" ref="D80:O80" si="25">SUM(D38:D79)</f>
        <v>0</v>
      </c>
      <c r="E80" s="137">
        <f t="shared" si="25"/>
        <v>0</v>
      </c>
      <c r="F80" s="137">
        <f t="shared" si="25"/>
        <v>0</v>
      </c>
      <c r="G80" s="137">
        <f t="shared" si="25"/>
        <v>0</v>
      </c>
      <c r="H80" s="137">
        <f t="shared" si="25"/>
        <v>0</v>
      </c>
      <c r="I80" s="137">
        <f t="shared" si="25"/>
        <v>0</v>
      </c>
      <c r="J80" s="137">
        <f t="shared" si="25"/>
        <v>0</v>
      </c>
      <c r="K80" s="137">
        <f t="shared" si="25"/>
        <v>0</v>
      </c>
      <c r="L80" s="137">
        <f t="shared" si="25"/>
        <v>0</v>
      </c>
      <c r="M80" s="137">
        <f t="shared" si="25"/>
        <v>0</v>
      </c>
      <c r="N80" s="137">
        <f t="shared" si="25"/>
        <v>0</v>
      </c>
      <c r="O80" s="137">
        <f t="shared" si="25"/>
        <v>0</v>
      </c>
      <c r="P80" s="135">
        <f>SUM(P38:P79)</f>
        <v>0</v>
      </c>
      <c r="Q80" s="137">
        <f t="shared" ref="Q80:AC80" si="26">SUM(Q38:Q79)</f>
        <v>0</v>
      </c>
      <c r="R80" s="137">
        <f t="shared" si="26"/>
        <v>0</v>
      </c>
      <c r="S80" s="137">
        <f t="shared" si="26"/>
        <v>0</v>
      </c>
      <c r="T80" s="137">
        <f t="shared" si="26"/>
        <v>0</v>
      </c>
      <c r="U80" s="137">
        <f t="shared" si="26"/>
        <v>0</v>
      </c>
      <c r="V80" s="137">
        <f t="shared" si="26"/>
        <v>0</v>
      </c>
      <c r="W80" s="137">
        <f t="shared" si="26"/>
        <v>0</v>
      </c>
      <c r="X80" s="137">
        <f t="shared" si="26"/>
        <v>0</v>
      </c>
      <c r="Y80" s="137">
        <f t="shared" si="26"/>
        <v>0</v>
      </c>
      <c r="Z80" s="137">
        <f t="shared" si="26"/>
        <v>0</v>
      </c>
      <c r="AA80" s="137">
        <f t="shared" si="26"/>
        <v>0</v>
      </c>
      <c r="AB80" s="137">
        <f t="shared" si="26"/>
        <v>0</v>
      </c>
      <c r="AC80" s="137">
        <f t="shared" si="26"/>
        <v>0</v>
      </c>
      <c r="AD80" s="136">
        <f t="shared" si="22"/>
        <v>0</v>
      </c>
      <c r="AE80" s="196" t="e">
        <f t="shared" si="23"/>
        <v>#DIV/0!</v>
      </c>
      <c r="AF80" s="133">
        <v>51906.5</v>
      </c>
      <c r="AG80" s="124">
        <f t="shared" si="15"/>
        <v>51906.5</v>
      </c>
    </row>
    <row r="81" spans="1:33">
      <c r="C81" s="109" t="s">
        <v>508</v>
      </c>
      <c r="D81" s="137">
        <f t="shared" ref="D81:AC81" si="27">D27-D33-D35-D80</f>
        <v>0</v>
      </c>
      <c r="E81" s="137">
        <f t="shared" si="27"/>
        <v>0</v>
      </c>
      <c r="F81" s="137">
        <f t="shared" si="27"/>
        <v>0</v>
      </c>
      <c r="G81" s="137">
        <f t="shared" si="27"/>
        <v>0</v>
      </c>
      <c r="H81" s="137">
        <f t="shared" si="27"/>
        <v>0</v>
      </c>
      <c r="I81" s="137">
        <f t="shared" si="27"/>
        <v>0</v>
      </c>
      <c r="J81" s="137">
        <f t="shared" si="27"/>
        <v>0</v>
      </c>
      <c r="K81" s="137">
        <f t="shared" si="27"/>
        <v>0</v>
      </c>
      <c r="L81" s="137">
        <f t="shared" si="27"/>
        <v>0</v>
      </c>
      <c r="M81" s="137">
        <f t="shared" si="27"/>
        <v>0</v>
      </c>
      <c r="N81" s="137">
        <f t="shared" si="27"/>
        <v>0</v>
      </c>
      <c r="O81" s="137">
        <f t="shared" si="27"/>
        <v>0</v>
      </c>
      <c r="P81" s="135">
        <f t="shared" si="27"/>
        <v>0</v>
      </c>
      <c r="Q81" s="137">
        <f t="shared" si="27"/>
        <v>0</v>
      </c>
      <c r="R81" s="137">
        <f t="shared" si="27"/>
        <v>0</v>
      </c>
      <c r="S81" s="137">
        <f t="shared" si="27"/>
        <v>0</v>
      </c>
      <c r="T81" s="137">
        <f t="shared" si="27"/>
        <v>0</v>
      </c>
      <c r="U81" s="137">
        <f t="shared" si="27"/>
        <v>0</v>
      </c>
      <c r="V81" s="137">
        <f t="shared" si="27"/>
        <v>0</v>
      </c>
      <c r="W81" s="137">
        <f t="shared" si="27"/>
        <v>0</v>
      </c>
      <c r="X81" s="137">
        <f t="shared" si="27"/>
        <v>0</v>
      </c>
      <c r="Y81" s="137">
        <f t="shared" si="27"/>
        <v>0</v>
      </c>
      <c r="Z81" s="137">
        <f t="shared" si="27"/>
        <v>0</v>
      </c>
      <c r="AA81" s="137">
        <f t="shared" si="27"/>
        <v>0</v>
      </c>
      <c r="AB81" s="137">
        <f t="shared" si="27"/>
        <v>0</v>
      </c>
      <c r="AC81" s="137">
        <f t="shared" si="27"/>
        <v>0</v>
      </c>
      <c r="AD81" s="136">
        <f t="shared" si="22"/>
        <v>0</v>
      </c>
      <c r="AE81" s="196" t="e">
        <f t="shared" si="23"/>
        <v>#DIV/0!</v>
      </c>
      <c r="AF81" s="133">
        <v>275379.73000000004</v>
      </c>
      <c r="AG81" s="124">
        <f>P81-AF81</f>
        <v>-275379.73000000004</v>
      </c>
    </row>
    <row r="82" spans="1:33">
      <c r="C82" s="109" t="s">
        <v>509</v>
      </c>
      <c r="D82" s="213" t="e">
        <f t="shared" ref="D82:AC82" si="28">D81/D27</f>
        <v>#DIV/0!</v>
      </c>
      <c r="E82" s="213" t="e">
        <f t="shared" si="28"/>
        <v>#DIV/0!</v>
      </c>
      <c r="F82" s="213" t="e">
        <f t="shared" si="28"/>
        <v>#DIV/0!</v>
      </c>
      <c r="G82" s="213" t="e">
        <f t="shared" si="28"/>
        <v>#DIV/0!</v>
      </c>
      <c r="H82" s="213" t="e">
        <f t="shared" si="28"/>
        <v>#DIV/0!</v>
      </c>
      <c r="I82" s="213" t="e">
        <f t="shared" si="28"/>
        <v>#DIV/0!</v>
      </c>
      <c r="J82" s="213" t="e">
        <f t="shared" si="28"/>
        <v>#DIV/0!</v>
      </c>
      <c r="K82" s="213" t="e">
        <f t="shared" si="28"/>
        <v>#DIV/0!</v>
      </c>
      <c r="L82" s="213" t="e">
        <f t="shared" si="28"/>
        <v>#DIV/0!</v>
      </c>
      <c r="M82" s="213" t="e">
        <f t="shared" si="28"/>
        <v>#DIV/0!</v>
      </c>
      <c r="N82" s="213" t="e">
        <f t="shared" si="28"/>
        <v>#DIV/0!</v>
      </c>
      <c r="O82" s="213" t="e">
        <f t="shared" si="28"/>
        <v>#DIV/0!</v>
      </c>
      <c r="P82" s="213" t="e">
        <f t="shared" si="28"/>
        <v>#DIV/0!</v>
      </c>
      <c r="Q82" s="213" t="e">
        <f t="shared" si="28"/>
        <v>#DIV/0!</v>
      </c>
      <c r="R82" s="213" t="e">
        <f t="shared" si="28"/>
        <v>#DIV/0!</v>
      </c>
      <c r="S82" s="213" t="e">
        <f t="shared" si="28"/>
        <v>#DIV/0!</v>
      </c>
      <c r="T82" s="213" t="e">
        <f t="shared" si="28"/>
        <v>#DIV/0!</v>
      </c>
      <c r="U82" s="213" t="e">
        <f t="shared" si="28"/>
        <v>#DIV/0!</v>
      </c>
      <c r="V82" s="213" t="e">
        <f t="shared" si="28"/>
        <v>#DIV/0!</v>
      </c>
      <c r="W82" s="213" t="e">
        <f t="shared" si="28"/>
        <v>#DIV/0!</v>
      </c>
      <c r="X82" s="213" t="e">
        <f t="shared" si="28"/>
        <v>#DIV/0!</v>
      </c>
      <c r="Y82" s="213" t="e">
        <f t="shared" si="28"/>
        <v>#DIV/0!</v>
      </c>
      <c r="Z82" s="213" t="e">
        <f t="shared" si="28"/>
        <v>#DIV/0!</v>
      </c>
      <c r="AA82" s="213" t="e">
        <f t="shared" si="28"/>
        <v>#DIV/0!</v>
      </c>
      <c r="AB82" s="213" t="e">
        <f t="shared" si="28"/>
        <v>#DIV/0!</v>
      </c>
      <c r="AC82" s="213" t="e">
        <f t="shared" si="28"/>
        <v>#DIV/0!</v>
      </c>
      <c r="AD82" s="136" t="e">
        <f t="shared" si="22"/>
        <v>#DIV/0!</v>
      </c>
      <c r="AE82" s="105" t="e">
        <f t="shared" si="23"/>
        <v>#DIV/0!</v>
      </c>
      <c r="AF82" s="133">
        <v>0.64946237467006529</v>
      </c>
      <c r="AG82" s="124" t="e">
        <f>P82-AF82</f>
        <v>#DIV/0!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387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72">
        <f t="shared" ref="AD85:AD90" si="29">P85-AC85</f>
        <v>0</v>
      </c>
      <c r="AE85" s="192" t="e">
        <f t="shared" ref="AE85:AE90" si="30">AD85/AC85</f>
        <v>#DIV/0!</v>
      </c>
      <c r="AF85" s="133">
        <v>0</v>
      </c>
      <c r="AG85" s="124">
        <f t="shared" ref="AG85:AG98" si="31">P85-AF85</f>
        <v>0</v>
      </c>
    </row>
    <row r="86" spans="1:33">
      <c r="A86" s="105" t="s">
        <v>511</v>
      </c>
      <c r="B86" s="105" t="s">
        <v>387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0</v>
      </c>
      <c r="S86" s="136">
        <v>0</v>
      </c>
      <c r="T86" s="136">
        <v>0</v>
      </c>
      <c r="U86" s="136">
        <v>0</v>
      </c>
      <c r="V86" s="136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0</v>
      </c>
      <c r="AD86" s="72">
        <f t="shared" si="29"/>
        <v>0</v>
      </c>
      <c r="AE86" s="192" t="e">
        <f t="shared" si="30"/>
        <v>#DIV/0!</v>
      </c>
      <c r="AF86" s="133">
        <v>0</v>
      </c>
      <c r="AG86" s="124">
        <f t="shared" si="31"/>
        <v>0</v>
      </c>
    </row>
    <row r="87" spans="1:33">
      <c r="A87" s="105" t="s">
        <v>512</v>
      </c>
      <c r="B87" s="105" t="s">
        <v>387</v>
      </c>
      <c r="C87" s="105" t="s">
        <v>485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>
        <f>SUM(D87:O87)</f>
        <v>0</v>
      </c>
      <c r="Q87" s="136">
        <v>0</v>
      </c>
      <c r="R87" s="136">
        <v>0</v>
      </c>
      <c r="S87" s="136">
        <v>0</v>
      </c>
      <c r="T87" s="136">
        <v>0</v>
      </c>
      <c r="U87" s="136">
        <v>0</v>
      </c>
      <c r="V87" s="136">
        <v>0</v>
      </c>
      <c r="W87" s="72">
        <v>0</v>
      </c>
      <c r="X87" s="72">
        <v>0</v>
      </c>
      <c r="Y87" s="72">
        <v>0</v>
      </c>
      <c r="Z87" s="72">
        <v>0</v>
      </c>
      <c r="AA87" s="72">
        <v>0</v>
      </c>
      <c r="AB87" s="72">
        <v>0</v>
      </c>
      <c r="AC87" s="137">
        <f>SUM(Q87:AB87)</f>
        <v>0</v>
      </c>
      <c r="AD87" s="72">
        <f t="shared" si="29"/>
        <v>0</v>
      </c>
      <c r="AE87" s="192" t="e">
        <f t="shared" si="30"/>
        <v>#DIV/0!</v>
      </c>
      <c r="AF87" s="133">
        <v>1178</v>
      </c>
      <c r="AG87" s="124">
        <f t="shared" si="31"/>
        <v>-1178</v>
      </c>
    </row>
    <row r="88" spans="1:33">
      <c r="A88" s="105" t="s">
        <v>513</v>
      </c>
      <c r="B88" s="105" t="s">
        <v>387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29"/>
        <v>0</v>
      </c>
      <c r="AE88" s="192" t="e">
        <f t="shared" si="30"/>
        <v>#DIV/0!</v>
      </c>
      <c r="AF88" s="133">
        <v>100</v>
      </c>
      <c r="AG88" s="124">
        <f t="shared" si="31"/>
        <v>-100</v>
      </c>
    </row>
    <row r="89" spans="1:33">
      <c r="A89" s="105" t="s">
        <v>514</v>
      </c>
      <c r="B89" s="105" t="s">
        <v>387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72">
        <f t="shared" si="29"/>
        <v>0</v>
      </c>
      <c r="AE89" s="192" t="e">
        <f t="shared" si="30"/>
        <v>#DIV/0!</v>
      </c>
      <c r="AF89" s="133">
        <v>0</v>
      </c>
      <c r="AG89" s="124">
        <f t="shared" si="31"/>
        <v>0</v>
      </c>
    </row>
    <row r="90" spans="1:33">
      <c r="C90" s="109" t="s">
        <v>462</v>
      </c>
      <c r="D90" s="137">
        <f t="shared" ref="D90:AC90" si="32">SUM(D85:D89)</f>
        <v>0</v>
      </c>
      <c r="E90" s="137">
        <f t="shared" si="32"/>
        <v>0</v>
      </c>
      <c r="F90" s="137">
        <f t="shared" si="32"/>
        <v>0</v>
      </c>
      <c r="G90" s="137">
        <f t="shared" si="32"/>
        <v>0</v>
      </c>
      <c r="H90" s="137">
        <f t="shared" si="32"/>
        <v>0</v>
      </c>
      <c r="I90" s="137">
        <f t="shared" si="32"/>
        <v>0</v>
      </c>
      <c r="J90" s="137">
        <f t="shared" si="32"/>
        <v>0</v>
      </c>
      <c r="K90" s="137">
        <f t="shared" si="32"/>
        <v>0</v>
      </c>
      <c r="L90" s="137">
        <f t="shared" si="32"/>
        <v>0</v>
      </c>
      <c r="M90" s="137">
        <f t="shared" si="32"/>
        <v>0</v>
      </c>
      <c r="N90" s="137">
        <f t="shared" si="32"/>
        <v>0</v>
      </c>
      <c r="O90" s="137">
        <f t="shared" si="32"/>
        <v>0</v>
      </c>
      <c r="P90" s="137">
        <f t="shared" si="32"/>
        <v>0</v>
      </c>
      <c r="Q90" s="137">
        <f t="shared" si="32"/>
        <v>0</v>
      </c>
      <c r="R90" s="137">
        <f t="shared" si="32"/>
        <v>0</v>
      </c>
      <c r="S90" s="137">
        <f t="shared" si="32"/>
        <v>0</v>
      </c>
      <c r="T90" s="137">
        <f t="shared" si="32"/>
        <v>0</v>
      </c>
      <c r="U90" s="137">
        <f t="shared" si="32"/>
        <v>0</v>
      </c>
      <c r="V90" s="137">
        <f t="shared" si="32"/>
        <v>0</v>
      </c>
      <c r="W90" s="137">
        <f t="shared" si="32"/>
        <v>0</v>
      </c>
      <c r="X90" s="137">
        <f t="shared" si="32"/>
        <v>0</v>
      </c>
      <c r="Y90" s="137">
        <f t="shared" si="32"/>
        <v>0</v>
      </c>
      <c r="Z90" s="137">
        <f t="shared" si="32"/>
        <v>0</v>
      </c>
      <c r="AA90" s="137">
        <f t="shared" si="32"/>
        <v>0</v>
      </c>
      <c r="AB90" s="137">
        <f t="shared" si="32"/>
        <v>0</v>
      </c>
      <c r="AC90" s="137">
        <f t="shared" si="32"/>
        <v>0</v>
      </c>
      <c r="AD90" s="72">
        <f t="shared" si="29"/>
        <v>0</v>
      </c>
      <c r="AE90" s="192" t="e">
        <f t="shared" si="30"/>
        <v>#DIV/0!</v>
      </c>
      <c r="AF90" s="133">
        <v>1278</v>
      </c>
      <c r="AG90" s="124">
        <f t="shared" si="31"/>
        <v>-1278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1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1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3">P9/P85</f>
        <v>#DIV/0!</v>
      </c>
      <c r="Q93" s="136" t="e">
        <f t="shared" si="33"/>
        <v>#DIV/0!</v>
      </c>
      <c r="R93" s="136" t="e">
        <f t="shared" si="33"/>
        <v>#DIV/0!</v>
      </c>
      <c r="S93" s="136" t="e">
        <f t="shared" si="33"/>
        <v>#DIV/0!</v>
      </c>
      <c r="T93" s="136" t="e">
        <f t="shared" si="33"/>
        <v>#DIV/0!</v>
      </c>
      <c r="U93" s="136" t="e">
        <f t="shared" si="33"/>
        <v>#DIV/0!</v>
      </c>
      <c r="V93" s="136" t="e">
        <f t="shared" si="33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4">AC9/AC85</f>
        <v>#DIV/0!</v>
      </c>
      <c r="AD93" s="72" t="e">
        <f t="shared" ref="AD93:AD98" si="35">P93-AC93</f>
        <v>#DIV/0!</v>
      </c>
      <c r="AE93" s="192" t="e">
        <f t="shared" ref="AE93:AE98" si="36">AD93/AC93</f>
        <v>#DIV/0!</v>
      </c>
      <c r="AF93" s="133" t="e">
        <v>#DIV/0!</v>
      </c>
      <c r="AG93" s="124" t="e">
        <f t="shared" si="31"/>
        <v>#DIV/0!</v>
      </c>
    </row>
    <row r="94" spans="1:33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3"/>
        <v>#DIV/0!</v>
      </c>
      <c r="Q94" s="136" t="e">
        <f t="shared" si="33"/>
        <v>#DIV/0!</v>
      </c>
      <c r="R94" s="136" t="e">
        <f t="shared" si="33"/>
        <v>#DIV/0!</v>
      </c>
      <c r="S94" s="136" t="e">
        <f t="shared" si="33"/>
        <v>#DIV/0!</v>
      </c>
      <c r="T94" s="136" t="e">
        <f t="shared" si="33"/>
        <v>#DIV/0!</v>
      </c>
      <c r="U94" s="136" t="e">
        <f t="shared" si="33"/>
        <v>#DIV/0!</v>
      </c>
      <c r="V94" s="136" t="e">
        <f t="shared" si="33"/>
        <v>#DIV/0!</v>
      </c>
      <c r="W94" s="72" t="e">
        <v>#DIV/0!</v>
      </c>
      <c r="X94" s="72" t="e">
        <v>#DIV/0!</v>
      </c>
      <c r="Y94" s="72">
        <v>0</v>
      </c>
      <c r="Z94" s="72">
        <v>0</v>
      </c>
      <c r="AA94" s="72">
        <v>0</v>
      </c>
      <c r="AB94" s="72">
        <v>0</v>
      </c>
      <c r="AC94" s="137" t="e">
        <f t="shared" si="34"/>
        <v>#DIV/0!</v>
      </c>
      <c r="AD94" s="72" t="e">
        <f t="shared" si="35"/>
        <v>#DIV/0!</v>
      </c>
      <c r="AE94" s="192" t="e">
        <f t="shared" si="36"/>
        <v>#DIV/0!</v>
      </c>
      <c r="AF94" s="133" t="e">
        <v>#DIV/0!</v>
      </c>
      <c r="AG94" s="124" t="e">
        <f t="shared" si="31"/>
        <v>#DIV/0!</v>
      </c>
    </row>
    <row r="95" spans="1:33">
      <c r="C95" s="105" t="s">
        <v>485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 t="e">
        <f t="shared" si="33"/>
        <v>#DIV/0!</v>
      </c>
      <c r="Q95" s="136" t="e">
        <f t="shared" si="33"/>
        <v>#DIV/0!</v>
      </c>
      <c r="R95" s="136" t="e">
        <f t="shared" si="33"/>
        <v>#DIV/0!</v>
      </c>
      <c r="S95" s="136" t="e">
        <f t="shared" si="33"/>
        <v>#DIV/0!</v>
      </c>
      <c r="T95" s="136" t="e">
        <f t="shared" si="33"/>
        <v>#DIV/0!</v>
      </c>
      <c r="U95" s="136" t="e">
        <f t="shared" si="33"/>
        <v>#DIV/0!</v>
      </c>
      <c r="V95" s="136" t="e">
        <f t="shared" si="33"/>
        <v>#DIV/0!</v>
      </c>
      <c r="W95" s="72" t="e">
        <v>#DIV/0!</v>
      </c>
      <c r="X95" s="72" t="e">
        <v>#DIV/0!</v>
      </c>
      <c r="Y95" s="72">
        <v>0</v>
      </c>
      <c r="Z95" s="72">
        <v>0</v>
      </c>
      <c r="AA95" s="72">
        <v>0</v>
      </c>
      <c r="AB95" s="72">
        <v>0</v>
      </c>
      <c r="AC95" s="137" t="e">
        <f t="shared" si="34"/>
        <v>#DIV/0!</v>
      </c>
      <c r="AD95" s="72" t="e">
        <f t="shared" si="35"/>
        <v>#DIV/0!</v>
      </c>
      <c r="AE95" s="192" t="e">
        <f t="shared" si="36"/>
        <v>#DIV/0!</v>
      </c>
      <c r="AF95" s="133">
        <v>313.01753820033957</v>
      </c>
      <c r="AG95" s="124" t="e">
        <f t="shared" si="31"/>
        <v>#DIV/0!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3"/>
        <v>#DIV/0!</v>
      </c>
      <c r="Q96" s="136" t="e">
        <f t="shared" si="33"/>
        <v>#DIV/0!</v>
      </c>
      <c r="R96" s="136" t="e">
        <f t="shared" si="33"/>
        <v>#DIV/0!</v>
      </c>
      <c r="S96" s="136" t="e">
        <f t="shared" si="33"/>
        <v>#DIV/0!</v>
      </c>
      <c r="T96" s="136" t="e">
        <f t="shared" si="33"/>
        <v>#DIV/0!</v>
      </c>
      <c r="U96" s="136" t="e">
        <f t="shared" si="33"/>
        <v>#DIV/0!</v>
      </c>
      <c r="V96" s="136" t="e">
        <f t="shared" si="33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4"/>
        <v>#DIV/0!</v>
      </c>
      <c r="AD96" s="72" t="e">
        <f t="shared" si="35"/>
        <v>#DIV/0!</v>
      </c>
      <c r="AE96" s="192" t="e">
        <f t="shared" si="36"/>
        <v>#DIV/0!</v>
      </c>
      <c r="AF96" s="133">
        <v>0</v>
      </c>
      <c r="AG96" s="124" t="e">
        <f t="shared" si="31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3"/>
        <v>#DIV/0!</v>
      </c>
      <c r="Q97" s="136" t="e">
        <f t="shared" si="33"/>
        <v>#DIV/0!</v>
      </c>
      <c r="R97" s="136" t="e">
        <f t="shared" si="33"/>
        <v>#DIV/0!</v>
      </c>
      <c r="S97" s="136" t="e">
        <f t="shared" si="33"/>
        <v>#DIV/0!</v>
      </c>
      <c r="T97" s="136" t="e">
        <f t="shared" si="33"/>
        <v>#DIV/0!</v>
      </c>
      <c r="U97" s="136" t="e">
        <f t="shared" si="33"/>
        <v>#DIV/0!</v>
      </c>
      <c r="V97" s="136" t="e">
        <f t="shared" si="33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4"/>
        <v>#DIV/0!</v>
      </c>
      <c r="AD97" s="72" t="e">
        <f t="shared" si="35"/>
        <v>#DIV/0!</v>
      </c>
      <c r="AE97" s="192" t="e">
        <f t="shared" si="36"/>
        <v>#DIV/0!</v>
      </c>
      <c r="AF97" s="133" t="e">
        <v>#DIV/0!</v>
      </c>
      <c r="AG97" s="124" t="e">
        <f t="shared" si="31"/>
        <v>#DIV/0!</v>
      </c>
    </row>
    <row r="98" spans="1:33">
      <c r="C98" s="109" t="s">
        <v>463</v>
      </c>
      <c r="D98" s="136" t="e">
        <f t="shared" ref="D98:O98" si="37">D14/D90</f>
        <v>#DIV/0!</v>
      </c>
      <c r="E98" s="136" t="e">
        <f t="shared" si="37"/>
        <v>#DIV/0!</v>
      </c>
      <c r="F98" s="136" t="e">
        <f t="shared" si="37"/>
        <v>#DIV/0!</v>
      </c>
      <c r="G98" s="136" t="e">
        <f t="shared" si="37"/>
        <v>#DIV/0!</v>
      </c>
      <c r="H98" s="136" t="e">
        <f t="shared" si="37"/>
        <v>#DIV/0!</v>
      </c>
      <c r="I98" s="136" t="e">
        <f t="shared" si="37"/>
        <v>#DIV/0!</v>
      </c>
      <c r="J98" s="136" t="e">
        <f t="shared" si="37"/>
        <v>#DIV/0!</v>
      </c>
      <c r="K98" s="136" t="e">
        <f t="shared" si="37"/>
        <v>#DIV/0!</v>
      </c>
      <c r="L98" s="136" t="e">
        <f t="shared" si="37"/>
        <v>#DIV/0!</v>
      </c>
      <c r="M98" s="136" t="e">
        <f t="shared" si="37"/>
        <v>#DIV/0!</v>
      </c>
      <c r="N98" s="136" t="e">
        <f t="shared" si="37"/>
        <v>#DIV/0!</v>
      </c>
      <c r="O98" s="136" t="e">
        <f t="shared" si="37"/>
        <v>#DIV/0!</v>
      </c>
      <c r="P98" s="137" t="e">
        <f t="shared" si="33"/>
        <v>#DIV/0!</v>
      </c>
      <c r="Q98" s="136" t="e">
        <f t="shared" si="33"/>
        <v>#DIV/0!</v>
      </c>
      <c r="R98" s="136" t="e">
        <f t="shared" si="33"/>
        <v>#DIV/0!</v>
      </c>
      <c r="S98" s="136" t="e">
        <f t="shared" si="33"/>
        <v>#DIV/0!</v>
      </c>
      <c r="T98" s="136" t="e">
        <f t="shared" si="33"/>
        <v>#DIV/0!</v>
      </c>
      <c r="U98" s="136" t="e">
        <f t="shared" si="33"/>
        <v>#DIV/0!</v>
      </c>
      <c r="V98" s="136" t="e">
        <f t="shared" si="33"/>
        <v>#DIV/0!</v>
      </c>
      <c r="W98" s="136" t="e">
        <f t="shared" si="33"/>
        <v>#DIV/0!</v>
      </c>
      <c r="X98" s="136" t="e">
        <f t="shared" si="33"/>
        <v>#DIV/0!</v>
      </c>
      <c r="Y98" s="136" t="e">
        <f t="shared" si="33"/>
        <v>#DIV/0!</v>
      </c>
      <c r="Z98" s="136" t="e">
        <f t="shared" si="33"/>
        <v>#DIV/0!</v>
      </c>
      <c r="AA98" s="136" t="e">
        <f t="shared" si="33"/>
        <v>#DIV/0!</v>
      </c>
      <c r="AB98" s="136" t="e">
        <f t="shared" si="33"/>
        <v>#DIV/0!</v>
      </c>
      <c r="AC98" s="137" t="e">
        <f t="shared" si="34"/>
        <v>#DIV/0!</v>
      </c>
      <c r="AD98" s="72" t="e">
        <f t="shared" si="35"/>
        <v>#DIV/0!</v>
      </c>
      <c r="AE98" s="192" t="e">
        <f t="shared" si="36"/>
        <v>#DIV/0!</v>
      </c>
      <c r="AF98" s="133">
        <v>288.52477308294215</v>
      </c>
      <c r="AG98" s="124" t="e">
        <f t="shared" si="31"/>
        <v>#DIV/0!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387</v>
      </c>
      <c r="C102" s="105" t="s">
        <v>250</v>
      </c>
      <c r="D102" s="136"/>
      <c r="E102" s="136">
        <f>D102</f>
        <v>0</v>
      </c>
      <c r="F102" s="136">
        <f t="shared" ref="F102:O102" si="38">E102</f>
        <v>0</v>
      </c>
      <c r="G102" s="136">
        <f t="shared" si="38"/>
        <v>0</v>
      </c>
      <c r="H102" s="136">
        <f t="shared" si="38"/>
        <v>0</v>
      </c>
      <c r="I102" s="136">
        <f t="shared" si="38"/>
        <v>0</v>
      </c>
      <c r="J102" s="136">
        <f t="shared" si="38"/>
        <v>0</v>
      </c>
      <c r="K102" s="136">
        <f t="shared" si="38"/>
        <v>0</v>
      </c>
      <c r="L102" s="136">
        <f t="shared" si="38"/>
        <v>0</v>
      </c>
      <c r="M102" s="136">
        <f t="shared" si="38"/>
        <v>0</v>
      </c>
      <c r="N102" s="136">
        <f t="shared" si="38"/>
        <v>0</v>
      </c>
      <c r="O102" s="136">
        <f t="shared" si="38"/>
        <v>0</v>
      </c>
      <c r="P102" s="137">
        <f>SUM(D102:O102)</f>
        <v>0</v>
      </c>
      <c r="Q102" s="136">
        <v>0</v>
      </c>
      <c r="R102" s="136">
        <v>0</v>
      </c>
      <c r="S102" s="136">
        <v>0</v>
      </c>
      <c r="T102" s="136">
        <v>0</v>
      </c>
      <c r="U102" s="136">
        <v>0</v>
      </c>
      <c r="V102" s="136">
        <v>0</v>
      </c>
      <c r="W102" s="72">
        <v>0</v>
      </c>
      <c r="X102" s="72">
        <v>0</v>
      </c>
      <c r="Y102" s="72">
        <v>0</v>
      </c>
      <c r="Z102" s="72">
        <v>0</v>
      </c>
      <c r="AA102" s="72">
        <v>0</v>
      </c>
      <c r="AB102" s="72">
        <v>0</v>
      </c>
      <c r="AC102" s="137">
        <f>SUM(Q102:AB102)</f>
        <v>0</v>
      </c>
      <c r="AD102" s="72">
        <f t="shared" ref="AD102:AD105" si="39">P102-AC102</f>
        <v>0</v>
      </c>
      <c r="AE102" s="192" t="e">
        <f t="shared" ref="AE102:AE105" si="40">AD102/AC102</f>
        <v>#DIV/0!</v>
      </c>
      <c r="AF102" s="133">
        <v>0</v>
      </c>
      <c r="AG102" s="124">
        <f t="shared" ref="AG102:AG136" si="41">AF102-P102</f>
        <v>0</v>
      </c>
    </row>
    <row r="103" spans="1:33">
      <c r="A103" s="105" t="s">
        <v>251</v>
      </c>
      <c r="B103" s="105" t="s">
        <v>544</v>
      </c>
      <c r="C103" s="105" t="s">
        <v>468</v>
      </c>
      <c r="D103" s="136"/>
      <c r="E103" s="136">
        <f t="shared" ref="E103:O104" si="42">D103</f>
        <v>0</v>
      </c>
      <c r="F103" s="136">
        <f t="shared" si="42"/>
        <v>0</v>
      </c>
      <c r="G103" s="136">
        <f t="shared" si="42"/>
        <v>0</v>
      </c>
      <c r="H103" s="136">
        <f t="shared" si="42"/>
        <v>0</v>
      </c>
      <c r="I103" s="136">
        <f t="shared" si="42"/>
        <v>0</v>
      </c>
      <c r="J103" s="136">
        <f t="shared" si="42"/>
        <v>0</v>
      </c>
      <c r="K103" s="136">
        <f t="shared" si="42"/>
        <v>0</v>
      </c>
      <c r="L103" s="136">
        <f t="shared" si="42"/>
        <v>0</v>
      </c>
      <c r="M103" s="136">
        <f t="shared" si="42"/>
        <v>0</v>
      </c>
      <c r="N103" s="136">
        <f t="shared" si="42"/>
        <v>0</v>
      </c>
      <c r="O103" s="136">
        <f t="shared" si="42"/>
        <v>0</v>
      </c>
      <c r="P103" s="137">
        <f>SUM(D103:O103)</f>
        <v>0</v>
      </c>
      <c r="Q103" s="136">
        <v>0</v>
      </c>
      <c r="R103" s="136">
        <v>0</v>
      </c>
      <c r="S103" s="136">
        <v>0</v>
      </c>
      <c r="T103" s="136">
        <v>0</v>
      </c>
      <c r="U103" s="136">
        <v>0</v>
      </c>
      <c r="V103" s="136">
        <v>0</v>
      </c>
      <c r="W103" s="72">
        <v>0</v>
      </c>
      <c r="X103" s="72">
        <v>0</v>
      </c>
      <c r="Y103" s="72">
        <v>0</v>
      </c>
      <c r="Z103" s="72">
        <v>0</v>
      </c>
      <c r="AA103" s="72">
        <v>0</v>
      </c>
      <c r="AB103" s="72">
        <v>0</v>
      </c>
      <c r="AC103" s="137">
        <f>SUM(Q103:AB103)</f>
        <v>0</v>
      </c>
      <c r="AD103" s="72">
        <f t="shared" si="39"/>
        <v>0</v>
      </c>
      <c r="AE103" s="192" t="e">
        <f t="shared" si="40"/>
        <v>#DIV/0!</v>
      </c>
      <c r="AF103" s="133">
        <v>3567.81</v>
      </c>
      <c r="AG103" s="124">
        <f t="shared" si="41"/>
        <v>3567.81</v>
      </c>
    </row>
    <row r="104" spans="1:33">
      <c r="A104" s="105" t="s">
        <v>251</v>
      </c>
      <c r="B104" s="105" t="s">
        <v>545</v>
      </c>
      <c r="C104" s="105" t="s">
        <v>470</v>
      </c>
      <c r="D104" s="136"/>
      <c r="E104" s="136">
        <f t="shared" si="42"/>
        <v>0</v>
      </c>
      <c r="F104" s="136">
        <f t="shared" si="42"/>
        <v>0</v>
      </c>
      <c r="G104" s="136">
        <f t="shared" si="42"/>
        <v>0</v>
      </c>
      <c r="H104" s="136">
        <f t="shared" si="42"/>
        <v>0</v>
      </c>
      <c r="I104" s="136">
        <f t="shared" si="42"/>
        <v>0</v>
      </c>
      <c r="J104" s="136">
        <f t="shared" si="42"/>
        <v>0</v>
      </c>
      <c r="K104" s="136">
        <f t="shared" si="42"/>
        <v>0</v>
      </c>
      <c r="L104" s="136">
        <f t="shared" si="42"/>
        <v>0</v>
      </c>
      <c r="M104" s="136">
        <f t="shared" si="42"/>
        <v>0</v>
      </c>
      <c r="N104" s="136">
        <f t="shared" si="42"/>
        <v>0</v>
      </c>
      <c r="O104" s="136">
        <f t="shared" si="42"/>
        <v>0</v>
      </c>
      <c r="P104" s="137">
        <f>SUM(D104:O104)</f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0</v>
      </c>
      <c r="Z104" s="72">
        <v>0</v>
      </c>
      <c r="AA104" s="72">
        <v>0</v>
      </c>
      <c r="AB104" s="72">
        <v>0</v>
      </c>
      <c r="AC104" s="137">
        <f>SUM(Q104:AB104)</f>
        <v>0</v>
      </c>
      <c r="AD104" s="72">
        <f t="shared" si="39"/>
        <v>0</v>
      </c>
      <c r="AE104" s="192" t="e">
        <f t="shared" si="40"/>
        <v>#DIV/0!</v>
      </c>
      <c r="AF104" s="133">
        <v>0</v>
      </c>
      <c r="AG104" s="124">
        <f t="shared" si="41"/>
        <v>0</v>
      </c>
    </row>
    <row r="105" spans="1:33">
      <c r="A105" s="105" t="s">
        <v>273</v>
      </c>
      <c r="C105" s="109" t="s">
        <v>520</v>
      </c>
      <c r="D105" s="137">
        <f t="shared" ref="D105:AC105" si="43">SUM(D102:D104)</f>
        <v>0</v>
      </c>
      <c r="E105" s="137">
        <f t="shared" si="43"/>
        <v>0</v>
      </c>
      <c r="F105" s="137">
        <f t="shared" si="43"/>
        <v>0</v>
      </c>
      <c r="G105" s="137">
        <f t="shared" si="43"/>
        <v>0</v>
      </c>
      <c r="H105" s="137">
        <f t="shared" si="43"/>
        <v>0</v>
      </c>
      <c r="I105" s="137">
        <f t="shared" si="43"/>
        <v>0</v>
      </c>
      <c r="J105" s="137">
        <f t="shared" si="43"/>
        <v>0</v>
      </c>
      <c r="K105" s="137">
        <f t="shared" si="43"/>
        <v>0</v>
      </c>
      <c r="L105" s="137">
        <f t="shared" si="43"/>
        <v>0</v>
      </c>
      <c r="M105" s="137">
        <f t="shared" si="43"/>
        <v>0</v>
      </c>
      <c r="N105" s="137">
        <f t="shared" si="43"/>
        <v>0</v>
      </c>
      <c r="O105" s="137">
        <f t="shared" si="43"/>
        <v>0</v>
      </c>
      <c r="P105" s="137">
        <f t="shared" si="43"/>
        <v>0</v>
      </c>
      <c r="Q105" s="137">
        <f t="shared" si="43"/>
        <v>0</v>
      </c>
      <c r="R105" s="137">
        <f t="shared" si="43"/>
        <v>0</v>
      </c>
      <c r="S105" s="137">
        <f t="shared" si="43"/>
        <v>0</v>
      </c>
      <c r="T105" s="137">
        <f t="shared" si="43"/>
        <v>0</v>
      </c>
      <c r="U105" s="137">
        <f t="shared" si="43"/>
        <v>0</v>
      </c>
      <c r="V105" s="137">
        <f t="shared" si="43"/>
        <v>0</v>
      </c>
      <c r="W105" s="137">
        <f t="shared" si="43"/>
        <v>0</v>
      </c>
      <c r="X105" s="137">
        <f t="shared" si="43"/>
        <v>0</v>
      </c>
      <c r="Y105" s="137">
        <f t="shared" si="43"/>
        <v>0</v>
      </c>
      <c r="Z105" s="137">
        <f t="shared" si="43"/>
        <v>0</v>
      </c>
      <c r="AA105" s="137">
        <f t="shared" si="43"/>
        <v>0</v>
      </c>
      <c r="AB105" s="137">
        <f t="shared" si="43"/>
        <v>0</v>
      </c>
      <c r="AC105" s="137">
        <f t="shared" si="43"/>
        <v>0</v>
      </c>
      <c r="AD105" s="72">
        <f t="shared" si="39"/>
        <v>0</v>
      </c>
      <c r="AE105" s="192" t="e">
        <f t="shared" si="40"/>
        <v>#DIV/0!</v>
      </c>
      <c r="AF105" s="133">
        <v>3567.81</v>
      </c>
      <c r="AG105" s="124">
        <f t="shared" si="41"/>
        <v>3567.81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7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1"/>
        <v>0</v>
      </c>
    </row>
    <row r="107" spans="1:33">
      <c r="A107" s="105" t="s">
        <v>119</v>
      </c>
      <c r="B107" s="105" t="s">
        <v>387</v>
      </c>
      <c r="C107" s="105" t="s">
        <v>260</v>
      </c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7">
        <f>SUM(D107:O107)</f>
        <v>0</v>
      </c>
      <c r="Q107" s="136">
        <v>0</v>
      </c>
      <c r="R107" s="136">
        <v>0</v>
      </c>
      <c r="S107" s="136">
        <v>0</v>
      </c>
      <c r="T107" s="136">
        <v>0</v>
      </c>
      <c r="U107" s="136">
        <v>0</v>
      </c>
      <c r="V107" s="136">
        <v>0</v>
      </c>
      <c r="W107" s="72">
        <v>0</v>
      </c>
      <c r="X107" s="72">
        <v>0</v>
      </c>
      <c r="Y107" s="72">
        <v>0</v>
      </c>
      <c r="Z107" s="72">
        <v>0</v>
      </c>
      <c r="AA107" s="72">
        <v>0</v>
      </c>
      <c r="AB107" s="72">
        <v>0</v>
      </c>
      <c r="AC107" s="137">
        <f>SUM(Q107:AB107)</f>
        <v>0</v>
      </c>
      <c r="AD107" s="72">
        <f t="shared" ref="AD107:AD112" si="44">P107-AC107</f>
        <v>0</v>
      </c>
      <c r="AE107" s="192" t="e">
        <f t="shared" ref="AE107:AE112" si="45">AD107/AC107</f>
        <v>#DIV/0!</v>
      </c>
      <c r="AF107" s="133">
        <v>441.36</v>
      </c>
      <c r="AG107" s="124">
        <f t="shared" si="41"/>
        <v>441.36</v>
      </c>
    </row>
    <row r="108" spans="1:33">
      <c r="A108" s="105" t="s">
        <v>120</v>
      </c>
      <c r="B108" s="105" t="s">
        <v>387</v>
      </c>
      <c r="C108" s="105" t="s">
        <v>261</v>
      </c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37">
        <f>SUM(D108:O108)</f>
        <v>0</v>
      </c>
      <c r="Q108" s="136">
        <v>0</v>
      </c>
      <c r="R108" s="136">
        <v>0</v>
      </c>
      <c r="S108" s="136">
        <v>0</v>
      </c>
      <c r="T108" s="136">
        <v>0</v>
      </c>
      <c r="U108" s="136">
        <v>0</v>
      </c>
      <c r="V108" s="136">
        <v>0</v>
      </c>
      <c r="W108" s="72">
        <v>0</v>
      </c>
      <c r="X108" s="72">
        <v>0</v>
      </c>
      <c r="Y108" s="72">
        <v>0</v>
      </c>
      <c r="Z108" s="72">
        <v>0</v>
      </c>
      <c r="AA108" s="72">
        <v>0</v>
      </c>
      <c r="AB108" s="72">
        <v>0</v>
      </c>
      <c r="AC108" s="137">
        <f>SUM(Q108:AB108)</f>
        <v>0</v>
      </c>
      <c r="AD108" s="72">
        <f t="shared" si="44"/>
        <v>0</v>
      </c>
      <c r="AE108" s="192" t="e">
        <f t="shared" si="45"/>
        <v>#DIV/0!</v>
      </c>
      <c r="AF108" s="133">
        <v>0</v>
      </c>
      <c r="AG108" s="124">
        <f t="shared" si="41"/>
        <v>0</v>
      </c>
    </row>
    <row r="109" spans="1:33">
      <c r="A109" s="105" t="s">
        <v>121</v>
      </c>
      <c r="B109" s="105" t="s">
        <v>387</v>
      </c>
      <c r="C109" s="105" t="s">
        <v>262</v>
      </c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7">
        <f>SUM(D109:O109)</f>
        <v>0</v>
      </c>
      <c r="Q109" s="136">
        <v>0</v>
      </c>
      <c r="R109" s="136">
        <v>0</v>
      </c>
      <c r="S109" s="136">
        <v>0</v>
      </c>
      <c r="T109" s="136">
        <v>0</v>
      </c>
      <c r="U109" s="136">
        <v>0</v>
      </c>
      <c r="V109" s="136">
        <v>0</v>
      </c>
      <c r="W109" s="72">
        <v>0</v>
      </c>
      <c r="X109" s="72">
        <v>0</v>
      </c>
      <c r="Y109" s="72">
        <v>0</v>
      </c>
      <c r="Z109" s="72">
        <v>0</v>
      </c>
      <c r="AA109" s="72">
        <v>0</v>
      </c>
      <c r="AB109" s="72">
        <v>0</v>
      </c>
      <c r="AC109" s="137">
        <f>SUM(Q109:AB109)</f>
        <v>0</v>
      </c>
      <c r="AD109" s="72">
        <f t="shared" si="44"/>
        <v>0</v>
      </c>
      <c r="AE109" s="192" t="e">
        <f t="shared" si="45"/>
        <v>#DIV/0!</v>
      </c>
      <c r="AF109" s="133">
        <v>105</v>
      </c>
      <c r="AG109" s="124">
        <f t="shared" si="41"/>
        <v>105</v>
      </c>
    </row>
    <row r="110" spans="1:33">
      <c r="A110" s="105" t="s">
        <v>122</v>
      </c>
      <c r="B110" s="105" t="s">
        <v>387</v>
      </c>
      <c r="C110" s="105" t="s">
        <v>263</v>
      </c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7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4"/>
        <v>0</v>
      </c>
      <c r="AE110" s="192" t="e">
        <f t="shared" si="45"/>
        <v>#DIV/0!</v>
      </c>
      <c r="AF110" s="133">
        <v>0</v>
      </c>
      <c r="AG110" s="124">
        <f t="shared" si="41"/>
        <v>0</v>
      </c>
    </row>
    <row r="111" spans="1:33">
      <c r="A111" s="105" t="s">
        <v>123</v>
      </c>
      <c r="B111" s="105" t="s">
        <v>387</v>
      </c>
      <c r="C111" s="105" t="s">
        <v>264</v>
      </c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7">
        <f>SUM(D111:O111)</f>
        <v>0</v>
      </c>
      <c r="Q111" s="136">
        <v>0</v>
      </c>
      <c r="R111" s="136">
        <v>0</v>
      </c>
      <c r="S111" s="136">
        <v>0</v>
      </c>
      <c r="T111" s="136">
        <v>0</v>
      </c>
      <c r="U111" s="136">
        <v>0</v>
      </c>
      <c r="V111" s="136">
        <v>0</v>
      </c>
      <c r="W111" s="72">
        <v>0</v>
      </c>
      <c r="X111" s="72">
        <v>0</v>
      </c>
      <c r="Y111" s="72">
        <v>0</v>
      </c>
      <c r="Z111" s="72">
        <v>0</v>
      </c>
      <c r="AA111" s="72">
        <v>0</v>
      </c>
      <c r="AB111" s="72">
        <v>0</v>
      </c>
      <c r="AC111" s="137">
        <f>SUM(Q111:AB111)</f>
        <v>0</v>
      </c>
      <c r="AD111" s="72">
        <f t="shared" si="44"/>
        <v>0</v>
      </c>
      <c r="AE111" s="192" t="e">
        <f t="shared" si="45"/>
        <v>#DIV/0!</v>
      </c>
      <c r="AF111" s="133">
        <v>0</v>
      </c>
      <c r="AG111" s="124">
        <f t="shared" si="41"/>
        <v>0</v>
      </c>
    </row>
    <row r="112" spans="1:33">
      <c r="A112" s="105" t="s">
        <v>273</v>
      </c>
      <c r="C112" s="109" t="s">
        <v>521</v>
      </c>
      <c r="D112" s="137">
        <f t="shared" ref="D112:O112" si="46">SUM(D107:D111)</f>
        <v>0</v>
      </c>
      <c r="E112" s="137">
        <f t="shared" si="46"/>
        <v>0</v>
      </c>
      <c r="F112" s="137">
        <f t="shared" si="46"/>
        <v>0</v>
      </c>
      <c r="G112" s="137">
        <f t="shared" si="46"/>
        <v>0</v>
      </c>
      <c r="H112" s="137">
        <f t="shared" si="46"/>
        <v>0</v>
      </c>
      <c r="I112" s="137">
        <f t="shared" si="46"/>
        <v>0</v>
      </c>
      <c r="J112" s="137">
        <f t="shared" si="46"/>
        <v>0</v>
      </c>
      <c r="K112" s="137">
        <f t="shared" si="46"/>
        <v>0</v>
      </c>
      <c r="L112" s="137">
        <f t="shared" si="46"/>
        <v>0</v>
      </c>
      <c r="M112" s="137">
        <f t="shared" si="46"/>
        <v>0</v>
      </c>
      <c r="N112" s="137">
        <f t="shared" si="46"/>
        <v>0</v>
      </c>
      <c r="O112" s="137">
        <f t="shared" si="46"/>
        <v>0</v>
      </c>
      <c r="P112" s="137">
        <f>SUM(P107:P111)</f>
        <v>0</v>
      </c>
      <c r="Q112" s="137">
        <f t="shared" ref="Q112:AC112" si="47">SUM(Q107:Q111)</f>
        <v>0</v>
      </c>
      <c r="R112" s="137">
        <f t="shared" si="47"/>
        <v>0</v>
      </c>
      <c r="S112" s="137">
        <f t="shared" si="47"/>
        <v>0</v>
      </c>
      <c r="T112" s="137">
        <f t="shared" si="47"/>
        <v>0</v>
      </c>
      <c r="U112" s="137">
        <f t="shared" si="47"/>
        <v>0</v>
      </c>
      <c r="V112" s="137">
        <f t="shared" si="47"/>
        <v>0</v>
      </c>
      <c r="W112" s="137">
        <f t="shared" si="47"/>
        <v>0</v>
      </c>
      <c r="X112" s="137">
        <f t="shared" si="47"/>
        <v>0</v>
      </c>
      <c r="Y112" s="137">
        <f t="shared" si="47"/>
        <v>0</v>
      </c>
      <c r="Z112" s="137">
        <f t="shared" si="47"/>
        <v>0</v>
      </c>
      <c r="AA112" s="137">
        <f t="shared" si="47"/>
        <v>0</v>
      </c>
      <c r="AB112" s="137">
        <f t="shared" si="47"/>
        <v>0</v>
      </c>
      <c r="AC112" s="137">
        <f t="shared" si="47"/>
        <v>0</v>
      </c>
      <c r="AD112" s="72">
        <f t="shared" si="44"/>
        <v>0</v>
      </c>
      <c r="AE112" s="192" t="e">
        <f t="shared" si="45"/>
        <v>#DIV/0!</v>
      </c>
      <c r="AF112" s="133">
        <v>546.36</v>
      </c>
      <c r="AG112" s="124">
        <f t="shared" si="41"/>
        <v>546.36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1"/>
        <v>0</v>
      </c>
    </row>
    <row r="114" spans="1:33">
      <c r="A114" s="105" t="s">
        <v>124</v>
      </c>
      <c r="B114" s="105" t="s">
        <v>387</v>
      </c>
      <c r="C114" s="105" t="s">
        <v>266</v>
      </c>
      <c r="D114" s="136"/>
      <c r="E114" s="136">
        <f t="shared" ref="E114:O121" si="48">D114</f>
        <v>0</v>
      </c>
      <c r="F114" s="136">
        <f t="shared" si="48"/>
        <v>0</v>
      </c>
      <c r="G114" s="136">
        <f t="shared" si="48"/>
        <v>0</v>
      </c>
      <c r="H114" s="136">
        <f t="shared" si="48"/>
        <v>0</v>
      </c>
      <c r="I114" s="136">
        <f t="shared" si="48"/>
        <v>0</v>
      </c>
      <c r="J114" s="136">
        <f t="shared" si="48"/>
        <v>0</v>
      </c>
      <c r="K114" s="136">
        <f t="shared" si="48"/>
        <v>0</v>
      </c>
      <c r="L114" s="136">
        <f t="shared" si="48"/>
        <v>0</v>
      </c>
      <c r="M114" s="136">
        <f t="shared" si="48"/>
        <v>0</v>
      </c>
      <c r="N114" s="136">
        <f t="shared" si="48"/>
        <v>0</v>
      </c>
      <c r="O114" s="136">
        <f t="shared" si="48"/>
        <v>0</v>
      </c>
      <c r="P114" s="137">
        <f>SUM(D114:O114)</f>
        <v>0</v>
      </c>
      <c r="Q114" s="136">
        <v>0</v>
      </c>
      <c r="R114" s="136">
        <v>0</v>
      </c>
      <c r="S114" s="136">
        <v>0</v>
      </c>
      <c r="T114" s="136">
        <v>0</v>
      </c>
      <c r="U114" s="136">
        <v>0</v>
      </c>
      <c r="V114" s="136">
        <v>0</v>
      </c>
      <c r="W114" s="72">
        <v>0</v>
      </c>
      <c r="X114" s="72">
        <v>0</v>
      </c>
      <c r="Y114" s="72">
        <v>0</v>
      </c>
      <c r="Z114" s="72">
        <v>0</v>
      </c>
      <c r="AA114" s="72">
        <v>0</v>
      </c>
      <c r="AB114" s="72">
        <v>0</v>
      </c>
      <c r="AC114" s="137">
        <f t="shared" ref="AC114:AC121" si="49">SUM(Q114:AB114)</f>
        <v>0</v>
      </c>
      <c r="AD114" s="72">
        <f t="shared" ref="AD114:AD122" si="50">P114-AC114</f>
        <v>0</v>
      </c>
      <c r="AE114" s="192" t="e">
        <f t="shared" ref="AE114:AE122" si="51">AD114/AC114</f>
        <v>#DIV/0!</v>
      </c>
      <c r="AF114" s="133">
        <v>0</v>
      </c>
      <c r="AG114" s="124">
        <f t="shared" si="41"/>
        <v>0</v>
      </c>
    </row>
    <row r="115" spans="1:33">
      <c r="A115" s="105" t="s">
        <v>125</v>
      </c>
      <c r="B115" s="105" t="s">
        <v>387</v>
      </c>
      <c r="C115" s="105" t="s">
        <v>267</v>
      </c>
      <c r="D115" s="136"/>
      <c r="E115" s="136">
        <f t="shared" si="48"/>
        <v>0</v>
      </c>
      <c r="F115" s="136">
        <f t="shared" si="48"/>
        <v>0</v>
      </c>
      <c r="G115" s="136">
        <f t="shared" si="48"/>
        <v>0</v>
      </c>
      <c r="H115" s="136">
        <f t="shared" si="48"/>
        <v>0</v>
      </c>
      <c r="I115" s="136">
        <f t="shared" si="48"/>
        <v>0</v>
      </c>
      <c r="J115" s="136">
        <f t="shared" si="48"/>
        <v>0</v>
      </c>
      <c r="K115" s="136">
        <f t="shared" si="48"/>
        <v>0</v>
      </c>
      <c r="L115" s="136">
        <f t="shared" si="48"/>
        <v>0</v>
      </c>
      <c r="M115" s="136">
        <f t="shared" si="48"/>
        <v>0</v>
      </c>
      <c r="N115" s="136">
        <f t="shared" si="48"/>
        <v>0</v>
      </c>
      <c r="O115" s="136">
        <f t="shared" si="48"/>
        <v>0</v>
      </c>
      <c r="P115" s="137">
        <f t="shared" ref="P115:P121" si="52">SUM(D115:O115)</f>
        <v>0</v>
      </c>
      <c r="Q115" s="136">
        <v>0</v>
      </c>
      <c r="R115" s="136">
        <v>0</v>
      </c>
      <c r="S115" s="136">
        <v>0</v>
      </c>
      <c r="T115" s="136">
        <v>0</v>
      </c>
      <c r="U115" s="136">
        <v>0</v>
      </c>
      <c r="V115" s="136">
        <v>0</v>
      </c>
      <c r="W115" s="72">
        <v>0</v>
      </c>
      <c r="X115" s="72">
        <v>0</v>
      </c>
      <c r="Y115" s="72">
        <v>0</v>
      </c>
      <c r="Z115" s="72">
        <v>0</v>
      </c>
      <c r="AA115" s="72">
        <v>0</v>
      </c>
      <c r="AB115" s="72">
        <v>0</v>
      </c>
      <c r="AC115" s="137">
        <f t="shared" si="49"/>
        <v>0</v>
      </c>
      <c r="AD115" s="72">
        <f t="shared" si="50"/>
        <v>0</v>
      </c>
      <c r="AE115" s="192" t="e">
        <f t="shared" si="51"/>
        <v>#DIV/0!</v>
      </c>
      <c r="AF115" s="133">
        <v>0</v>
      </c>
      <c r="AG115" s="124">
        <f t="shared" si="41"/>
        <v>0</v>
      </c>
    </row>
    <row r="116" spans="1:33">
      <c r="A116" s="105" t="s">
        <v>126</v>
      </c>
      <c r="B116" s="105" t="s">
        <v>387</v>
      </c>
      <c r="C116" s="105" t="s">
        <v>268</v>
      </c>
      <c r="D116" s="136"/>
      <c r="E116" s="136">
        <f t="shared" si="48"/>
        <v>0</v>
      </c>
      <c r="F116" s="136">
        <f t="shared" si="48"/>
        <v>0</v>
      </c>
      <c r="G116" s="136">
        <f t="shared" si="48"/>
        <v>0</v>
      </c>
      <c r="H116" s="136">
        <f t="shared" si="48"/>
        <v>0</v>
      </c>
      <c r="I116" s="136">
        <f t="shared" si="48"/>
        <v>0</v>
      </c>
      <c r="J116" s="136">
        <f t="shared" si="48"/>
        <v>0</v>
      </c>
      <c r="K116" s="136">
        <f t="shared" si="48"/>
        <v>0</v>
      </c>
      <c r="L116" s="136">
        <f t="shared" si="48"/>
        <v>0</v>
      </c>
      <c r="M116" s="136">
        <f t="shared" si="48"/>
        <v>0</v>
      </c>
      <c r="N116" s="136">
        <f t="shared" si="48"/>
        <v>0</v>
      </c>
      <c r="O116" s="136">
        <f t="shared" si="48"/>
        <v>0</v>
      </c>
      <c r="P116" s="137">
        <f t="shared" si="52"/>
        <v>0</v>
      </c>
      <c r="Q116" s="136">
        <v>0</v>
      </c>
      <c r="R116" s="136">
        <v>0</v>
      </c>
      <c r="S116" s="136">
        <v>0</v>
      </c>
      <c r="T116" s="136">
        <v>0</v>
      </c>
      <c r="U116" s="136">
        <v>0</v>
      </c>
      <c r="V116" s="136">
        <v>0</v>
      </c>
      <c r="W116" s="72">
        <v>0</v>
      </c>
      <c r="X116" s="72">
        <v>0</v>
      </c>
      <c r="Y116" s="72">
        <v>0</v>
      </c>
      <c r="Z116" s="72">
        <v>0</v>
      </c>
      <c r="AA116" s="72">
        <v>0</v>
      </c>
      <c r="AB116" s="72">
        <v>0</v>
      </c>
      <c r="AC116" s="137">
        <f t="shared" si="49"/>
        <v>0</v>
      </c>
      <c r="AD116" s="72">
        <f t="shared" si="50"/>
        <v>0</v>
      </c>
      <c r="AE116" s="192" t="e">
        <f t="shared" si="51"/>
        <v>#DIV/0!</v>
      </c>
      <c r="AF116" s="133">
        <v>0</v>
      </c>
      <c r="AG116" s="124">
        <f t="shared" si="41"/>
        <v>0</v>
      </c>
    </row>
    <row r="117" spans="1:33">
      <c r="A117" s="105" t="s">
        <v>127</v>
      </c>
      <c r="B117" s="105" t="s">
        <v>387</v>
      </c>
      <c r="C117" s="105" t="s">
        <v>269</v>
      </c>
      <c r="D117" s="136"/>
      <c r="E117" s="136">
        <f t="shared" si="48"/>
        <v>0</v>
      </c>
      <c r="F117" s="136">
        <f t="shared" si="48"/>
        <v>0</v>
      </c>
      <c r="G117" s="136">
        <f t="shared" si="48"/>
        <v>0</v>
      </c>
      <c r="H117" s="136">
        <f t="shared" si="48"/>
        <v>0</v>
      </c>
      <c r="I117" s="136">
        <f t="shared" si="48"/>
        <v>0</v>
      </c>
      <c r="J117" s="136">
        <f t="shared" si="48"/>
        <v>0</v>
      </c>
      <c r="K117" s="136">
        <f t="shared" si="48"/>
        <v>0</v>
      </c>
      <c r="L117" s="136">
        <f t="shared" si="48"/>
        <v>0</v>
      </c>
      <c r="M117" s="136">
        <f t="shared" si="48"/>
        <v>0</v>
      </c>
      <c r="N117" s="136">
        <f t="shared" si="48"/>
        <v>0</v>
      </c>
      <c r="O117" s="136">
        <f t="shared" si="48"/>
        <v>0</v>
      </c>
      <c r="P117" s="137">
        <f t="shared" si="52"/>
        <v>0</v>
      </c>
      <c r="Q117" s="136">
        <v>0</v>
      </c>
      <c r="R117" s="136">
        <v>0</v>
      </c>
      <c r="S117" s="136">
        <v>0</v>
      </c>
      <c r="T117" s="136">
        <v>0</v>
      </c>
      <c r="U117" s="136">
        <v>0</v>
      </c>
      <c r="V117" s="136">
        <v>0</v>
      </c>
      <c r="W117" s="72">
        <v>0</v>
      </c>
      <c r="X117" s="72">
        <v>0</v>
      </c>
      <c r="Y117" s="72">
        <v>0</v>
      </c>
      <c r="Z117" s="72">
        <v>0</v>
      </c>
      <c r="AA117" s="72">
        <v>0</v>
      </c>
      <c r="AB117" s="72">
        <v>0</v>
      </c>
      <c r="AC117" s="137">
        <f t="shared" si="49"/>
        <v>0</v>
      </c>
      <c r="AD117" s="72">
        <f t="shared" si="50"/>
        <v>0</v>
      </c>
      <c r="AE117" s="192" t="e">
        <f t="shared" si="51"/>
        <v>#DIV/0!</v>
      </c>
      <c r="AF117" s="133">
        <v>0</v>
      </c>
      <c r="AG117" s="124">
        <f t="shared" si="41"/>
        <v>0</v>
      </c>
    </row>
    <row r="118" spans="1:33">
      <c r="A118" s="105" t="s">
        <v>128</v>
      </c>
      <c r="B118" s="105" t="s">
        <v>387</v>
      </c>
      <c r="C118" s="105" t="s">
        <v>270</v>
      </c>
      <c r="D118" s="136"/>
      <c r="E118" s="136">
        <f t="shared" si="48"/>
        <v>0</v>
      </c>
      <c r="F118" s="136">
        <f t="shared" si="48"/>
        <v>0</v>
      </c>
      <c r="G118" s="136">
        <f t="shared" si="48"/>
        <v>0</v>
      </c>
      <c r="H118" s="136">
        <f t="shared" si="48"/>
        <v>0</v>
      </c>
      <c r="I118" s="136">
        <f t="shared" si="48"/>
        <v>0</v>
      </c>
      <c r="J118" s="136">
        <f t="shared" si="48"/>
        <v>0</v>
      </c>
      <c r="K118" s="136">
        <f t="shared" si="48"/>
        <v>0</v>
      </c>
      <c r="L118" s="136">
        <f t="shared" si="48"/>
        <v>0</v>
      </c>
      <c r="M118" s="136">
        <f t="shared" si="48"/>
        <v>0</v>
      </c>
      <c r="N118" s="136">
        <f t="shared" si="48"/>
        <v>0</v>
      </c>
      <c r="O118" s="136">
        <f t="shared" si="48"/>
        <v>0</v>
      </c>
      <c r="P118" s="137">
        <f t="shared" si="52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9"/>
        <v>0</v>
      </c>
      <c r="AD118" s="72">
        <f t="shared" si="50"/>
        <v>0</v>
      </c>
      <c r="AE118" s="192" t="e">
        <f t="shared" si="51"/>
        <v>#DIV/0!</v>
      </c>
      <c r="AF118" s="133">
        <v>0</v>
      </c>
      <c r="AG118" s="124">
        <f t="shared" si="41"/>
        <v>0</v>
      </c>
    </row>
    <row r="119" spans="1:33">
      <c r="A119" s="105" t="s">
        <v>129</v>
      </c>
      <c r="B119" s="105" t="s">
        <v>387</v>
      </c>
      <c r="C119" s="105" t="s">
        <v>271</v>
      </c>
      <c r="D119" s="136"/>
      <c r="E119" s="136">
        <f t="shared" si="48"/>
        <v>0</v>
      </c>
      <c r="F119" s="136">
        <f t="shared" si="48"/>
        <v>0</v>
      </c>
      <c r="G119" s="136">
        <f t="shared" si="48"/>
        <v>0</v>
      </c>
      <c r="H119" s="136">
        <f t="shared" si="48"/>
        <v>0</v>
      </c>
      <c r="I119" s="136">
        <f t="shared" si="48"/>
        <v>0</v>
      </c>
      <c r="J119" s="136">
        <f t="shared" si="48"/>
        <v>0</v>
      </c>
      <c r="K119" s="136">
        <f t="shared" si="48"/>
        <v>0</v>
      </c>
      <c r="L119" s="136">
        <f t="shared" si="48"/>
        <v>0</v>
      </c>
      <c r="M119" s="136">
        <f t="shared" si="48"/>
        <v>0</v>
      </c>
      <c r="N119" s="136">
        <f t="shared" si="48"/>
        <v>0</v>
      </c>
      <c r="O119" s="136">
        <f t="shared" si="48"/>
        <v>0</v>
      </c>
      <c r="P119" s="137">
        <f t="shared" si="52"/>
        <v>0</v>
      </c>
      <c r="Q119" s="136">
        <v>0</v>
      </c>
      <c r="R119" s="136">
        <v>0</v>
      </c>
      <c r="S119" s="136">
        <v>0</v>
      </c>
      <c r="T119" s="136">
        <v>0</v>
      </c>
      <c r="U119" s="136">
        <v>0</v>
      </c>
      <c r="V119" s="136">
        <v>0</v>
      </c>
      <c r="W119" s="72">
        <v>0</v>
      </c>
      <c r="X119" s="72">
        <v>0</v>
      </c>
      <c r="Y119" s="72">
        <v>0</v>
      </c>
      <c r="Z119" s="72">
        <v>0</v>
      </c>
      <c r="AA119" s="72">
        <v>0</v>
      </c>
      <c r="AB119" s="72">
        <v>0</v>
      </c>
      <c r="AC119" s="137">
        <f t="shared" si="49"/>
        <v>0</v>
      </c>
      <c r="AD119" s="72">
        <f t="shared" si="50"/>
        <v>0</v>
      </c>
      <c r="AE119" s="192" t="e">
        <f t="shared" si="51"/>
        <v>#DIV/0!</v>
      </c>
      <c r="AF119" s="133">
        <v>0</v>
      </c>
      <c r="AG119" s="124">
        <f t="shared" si="41"/>
        <v>0</v>
      </c>
    </row>
    <row r="120" spans="1:33">
      <c r="A120" s="105" t="s">
        <v>130</v>
      </c>
      <c r="B120" s="105" t="s">
        <v>387</v>
      </c>
      <c r="C120" s="105" t="s">
        <v>272</v>
      </c>
      <c r="D120" s="136">
        <f>ROUND((D105+D112)*0.02,0)</f>
        <v>0</v>
      </c>
      <c r="E120" s="136">
        <f t="shared" si="48"/>
        <v>0</v>
      </c>
      <c r="F120" s="136">
        <f t="shared" si="48"/>
        <v>0</v>
      </c>
      <c r="G120" s="136">
        <f t="shared" si="48"/>
        <v>0</v>
      </c>
      <c r="H120" s="136">
        <f t="shared" si="48"/>
        <v>0</v>
      </c>
      <c r="I120" s="136">
        <f t="shared" si="48"/>
        <v>0</v>
      </c>
      <c r="J120" s="136">
        <f t="shared" si="48"/>
        <v>0</v>
      </c>
      <c r="K120" s="136">
        <f t="shared" si="48"/>
        <v>0</v>
      </c>
      <c r="L120" s="136">
        <f t="shared" si="48"/>
        <v>0</v>
      </c>
      <c r="M120" s="136">
        <f t="shared" si="48"/>
        <v>0</v>
      </c>
      <c r="N120" s="136">
        <f t="shared" si="48"/>
        <v>0</v>
      </c>
      <c r="O120" s="136">
        <f t="shared" si="48"/>
        <v>0</v>
      </c>
      <c r="P120" s="137">
        <f t="shared" si="52"/>
        <v>0</v>
      </c>
      <c r="Q120" s="136">
        <v>0</v>
      </c>
      <c r="R120" s="136">
        <v>0</v>
      </c>
      <c r="S120" s="136">
        <v>0</v>
      </c>
      <c r="T120" s="136">
        <v>0</v>
      </c>
      <c r="U120" s="136">
        <v>0</v>
      </c>
      <c r="V120" s="136">
        <v>0</v>
      </c>
      <c r="W120" s="72">
        <v>0</v>
      </c>
      <c r="X120" s="72">
        <v>0</v>
      </c>
      <c r="Y120" s="72">
        <v>0</v>
      </c>
      <c r="Z120" s="72">
        <v>0</v>
      </c>
      <c r="AA120" s="72">
        <v>0</v>
      </c>
      <c r="AB120" s="72">
        <v>0</v>
      </c>
      <c r="AC120" s="137">
        <f t="shared" si="49"/>
        <v>0</v>
      </c>
      <c r="AD120" s="72">
        <f t="shared" si="50"/>
        <v>0</v>
      </c>
      <c r="AE120" s="192" t="e">
        <f t="shared" si="51"/>
        <v>#DIV/0!</v>
      </c>
      <c r="AF120" s="133">
        <v>100.41</v>
      </c>
      <c r="AG120" s="124">
        <f t="shared" si="41"/>
        <v>100.41</v>
      </c>
    </row>
    <row r="121" spans="1:33">
      <c r="A121" s="105" t="s">
        <v>273</v>
      </c>
      <c r="C121" s="105" t="s">
        <v>274</v>
      </c>
      <c r="D121" s="136"/>
      <c r="E121" s="136">
        <f t="shared" si="48"/>
        <v>0</v>
      </c>
      <c r="F121" s="136">
        <f t="shared" si="48"/>
        <v>0</v>
      </c>
      <c r="G121" s="136">
        <f t="shared" si="48"/>
        <v>0</v>
      </c>
      <c r="H121" s="136">
        <f t="shared" si="48"/>
        <v>0</v>
      </c>
      <c r="I121" s="136">
        <f t="shared" si="48"/>
        <v>0</v>
      </c>
      <c r="J121" s="136">
        <f t="shared" si="48"/>
        <v>0</v>
      </c>
      <c r="K121" s="136">
        <f t="shared" si="48"/>
        <v>0</v>
      </c>
      <c r="L121" s="136">
        <f t="shared" si="48"/>
        <v>0</v>
      </c>
      <c r="M121" s="136">
        <f t="shared" si="48"/>
        <v>0</v>
      </c>
      <c r="N121" s="136">
        <f t="shared" si="48"/>
        <v>0</v>
      </c>
      <c r="O121" s="136">
        <f t="shared" si="48"/>
        <v>0</v>
      </c>
      <c r="P121" s="137">
        <f t="shared" si="52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9"/>
        <v>0</v>
      </c>
      <c r="AD121" s="72">
        <f t="shared" si="50"/>
        <v>0</v>
      </c>
      <c r="AE121" s="192" t="e">
        <f t="shared" si="51"/>
        <v>#DIV/0!</v>
      </c>
      <c r="AF121" s="133">
        <v>0</v>
      </c>
      <c r="AG121" s="124">
        <f t="shared" si="41"/>
        <v>0</v>
      </c>
    </row>
    <row r="122" spans="1:33">
      <c r="A122" s="105" t="s">
        <v>273</v>
      </c>
      <c r="C122" s="109" t="s">
        <v>522</v>
      </c>
      <c r="D122" s="137">
        <f t="shared" ref="D122:P122" si="53">SUM(D114:D121)</f>
        <v>0</v>
      </c>
      <c r="E122" s="137">
        <f t="shared" si="53"/>
        <v>0</v>
      </c>
      <c r="F122" s="137">
        <f t="shared" si="53"/>
        <v>0</v>
      </c>
      <c r="G122" s="137">
        <f t="shared" si="53"/>
        <v>0</v>
      </c>
      <c r="H122" s="137">
        <f t="shared" si="53"/>
        <v>0</v>
      </c>
      <c r="I122" s="137">
        <f t="shared" si="53"/>
        <v>0</v>
      </c>
      <c r="J122" s="137">
        <f t="shared" si="53"/>
        <v>0</v>
      </c>
      <c r="K122" s="137">
        <f t="shared" si="53"/>
        <v>0</v>
      </c>
      <c r="L122" s="137">
        <f t="shared" si="53"/>
        <v>0</v>
      </c>
      <c r="M122" s="137">
        <f t="shared" si="53"/>
        <v>0</v>
      </c>
      <c r="N122" s="137">
        <f t="shared" si="53"/>
        <v>0</v>
      </c>
      <c r="O122" s="137">
        <f t="shared" si="53"/>
        <v>0</v>
      </c>
      <c r="P122" s="137">
        <f t="shared" si="53"/>
        <v>0</v>
      </c>
      <c r="Q122" s="137">
        <f t="shared" ref="Q122:AC122" si="54">SUM(Q114:Q121)</f>
        <v>0</v>
      </c>
      <c r="R122" s="137">
        <f t="shared" si="54"/>
        <v>0</v>
      </c>
      <c r="S122" s="137">
        <f t="shared" si="54"/>
        <v>0</v>
      </c>
      <c r="T122" s="137">
        <f t="shared" si="54"/>
        <v>0</v>
      </c>
      <c r="U122" s="137">
        <f t="shared" si="54"/>
        <v>0</v>
      </c>
      <c r="V122" s="137">
        <f t="shared" si="54"/>
        <v>0</v>
      </c>
      <c r="W122" s="137">
        <f t="shared" si="54"/>
        <v>0</v>
      </c>
      <c r="X122" s="137">
        <f t="shared" si="54"/>
        <v>0</v>
      </c>
      <c r="Y122" s="137">
        <f t="shared" si="54"/>
        <v>0</v>
      </c>
      <c r="Z122" s="137">
        <f t="shared" si="54"/>
        <v>0</v>
      </c>
      <c r="AA122" s="137">
        <f t="shared" si="54"/>
        <v>0</v>
      </c>
      <c r="AB122" s="137">
        <f t="shared" si="54"/>
        <v>0</v>
      </c>
      <c r="AC122" s="137">
        <f t="shared" si="54"/>
        <v>0</v>
      </c>
      <c r="AD122" s="72">
        <f t="shared" si="50"/>
        <v>0</v>
      </c>
      <c r="AE122" s="192" t="e">
        <f t="shared" si="51"/>
        <v>#DIV/0!</v>
      </c>
      <c r="AF122" s="133">
        <v>100.41</v>
      </c>
      <c r="AG122" s="124">
        <f t="shared" si="41"/>
        <v>100.41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7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1"/>
        <v>0</v>
      </c>
    </row>
    <row r="124" spans="1:33">
      <c r="A124" s="105" t="s">
        <v>131</v>
      </c>
      <c r="B124" s="105" t="s">
        <v>387</v>
      </c>
      <c r="C124" s="105" t="s">
        <v>276</v>
      </c>
      <c r="D124" s="136"/>
      <c r="E124" s="136"/>
      <c r="F124" s="136"/>
      <c r="G124" s="136"/>
      <c r="H124" s="136"/>
      <c r="I124" s="136"/>
      <c r="J124" s="123"/>
      <c r="K124" s="123"/>
      <c r="L124" s="123"/>
      <c r="M124" s="123"/>
      <c r="N124" s="123"/>
      <c r="O124" s="123"/>
      <c r="P124" s="133"/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5">SUM(Q124:AB124)</f>
        <v>0</v>
      </c>
      <c r="AD124" s="72">
        <f t="shared" ref="AD124:AD134" si="56">P124-AC124</f>
        <v>0</v>
      </c>
      <c r="AE124" s="192" t="e">
        <f t="shared" ref="AE124:AE134" si="57">AD124/AC124</f>
        <v>#DIV/0!</v>
      </c>
      <c r="AF124" s="133">
        <v>0</v>
      </c>
      <c r="AG124" s="124">
        <f t="shared" si="41"/>
        <v>0</v>
      </c>
    </row>
    <row r="125" spans="1:33">
      <c r="A125" s="105" t="s">
        <v>132</v>
      </c>
      <c r="B125" s="105" t="s">
        <v>387</v>
      </c>
      <c r="C125" s="105" t="s">
        <v>277</v>
      </c>
      <c r="D125" s="136"/>
      <c r="E125" s="136"/>
      <c r="F125" s="136"/>
      <c r="G125" s="136"/>
      <c r="H125" s="136"/>
      <c r="I125" s="136"/>
      <c r="J125" s="123"/>
      <c r="K125" s="123"/>
      <c r="L125" s="123"/>
      <c r="M125" s="123"/>
      <c r="N125" s="123"/>
      <c r="O125" s="123"/>
      <c r="P125" s="133">
        <f t="shared" ref="P125:P132" si="58">SUM(D125:O125)</f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5"/>
        <v>0</v>
      </c>
      <c r="AD125" s="72">
        <f t="shared" si="56"/>
        <v>0</v>
      </c>
      <c r="AE125" s="192" t="e">
        <f t="shared" si="57"/>
        <v>#DIV/0!</v>
      </c>
      <c r="AF125" s="133">
        <v>0</v>
      </c>
      <c r="AG125" s="124">
        <f t="shared" si="41"/>
        <v>0</v>
      </c>
    </row>
    <row r="126" spans="1:33">
      <c r="A126" s="105" t="s">
        <v>133</v>
      </c>
      <c r="B126" s="105" t="s">
        <v>387</v>
      </c>
      <c r="C126" s="105" t="s">
        <v>278</v>
      </c>
      <c r="D126" s="136"/>
      <c r="E126" s="136"/>
      <c r="F126" s="136"/>
      <c r="G126" s="136"/>
      <c r="H126" s="136"/>
      <c r="I126" s="136"/>
      <c r="J126" s="123"/>
      <c r="K126" s="123"/>
      <c r="L126" s="123"/>
      <c r="M126" s="123"/>
      <c r="N126" s="123"/>
      <c r="O126" s="123"/>
      <c r="P126" s="133">
        <f t="shared" si="58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5"/>
        <v>0</v>
      </c>
      <c r="AD126" s="72">
        <f t="shared" si="56"/>
        <v>0</v>
      </c>
      <c r="AE126" s="192" t="e">
        <f t="shared" si="57"/>
        <v>#DIV/0!</v>
      </c>
      <c r="AF126" s="133">
        <v>0</v>
      </c>
      <c r="AG126" s="124">
        <f t="shared" si="41"/>
        <v>0</v>
      </c>
    </row>
    <row r="127" spans="1:33">
      <c r="A127" s="105" t="s">
        <v>134</v>
      </c>
      <c r="B127" s="105" t="s">
        <v>387</v>
      </c>
      <c r="C127" s="105" t="s">
        <v>279</v>
      </c>
      <c r="D127" s="136"/>
      <c r="E127" s="136"/>
      <c r="F127" s="136"/>
      <c r="G127" s="136"/>
      <c r="H127" s="136"/>
      <c r="I127" s="136"/>
      <c r="J127" s="123"/>
      <c r="K127" s="123"/>
      <c r="L127" s="123"/>
      <c r="M127" s="123"/>
      <c r="N127" s="123"/>
      <c r="O127" s="123"/>
      <c r="P127" s="133">
        <f t="shared" si="58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5"/>
        <v>0</v>
      </c>
      <c r="AD127" s="72">
        <f t="shared" si="56"/>
        <v>0</v>
      </c>
      <c r="AE127" s="192" t="e">
        <f t="shared" si="57"/>
        <v>#DIV/0!</v>
      </c>
      <c r="AF127" s="133">
        <v>0</v>
      </c>
      <c r="AG127" s="124">
        <f t="shared" si="41"/>
        <v>0</v>
      </c>
    </row>
    <row r="128" spans="1:33">
      <c r="A128" s="105" t="s">
        <v>135</v>
      </c>
      <c r="B128" s="105" t="s">
        <v>387</v>
      </c>
      <c r="C128" s="105" t="s">
        <v>280</v>
      </c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7">
        <f t="shared" si="58"/>
        <v>0</v>
      </c>
      <c r="Q128" s="136">
        <v>0</v>
      </c>
      <c r="R128" s="136">
        <v>0</v>
      </c>
      <c r="S128" s="136">
        <v>0</v>
      </c>
      <c r="T128" s="136">
        <v>0</v>
      </c>
      <c r="U128" s="136">
        <v>0</v>
      </c>
      <c r="V128" s="136">
        <v>0</v>
      </c>
      <c r="W128" s="72">
        <v>0</v>
      </c>
      <c r="X128" s="72">
        <v>0</v>
      </c>
      <c r="Y128" s="72">
        <v>0</v>
      </c>
      <c r="Z128" s="72">
        <v>0</v>
      </c>
      <c r="AA128" s="72">
        <v>0</v>
      </c>
      <c r="AB128" s="72">
        <v>0</v>
      </c>
      <c r="AC128" s="137">
        <f t="shared" si="55"/>
        <v>0</v>
      </c>
      <c r="AD128" s="72">
        <f t="shared" si="56"/>
        <v>0</v>
      </c>
      <c r="AE128" s="192" t="e">
        <f t="shared" si="57"/>
        <v>#DIV/0!</v>
      </c>
      <c r="AF128" s="133">
        <v>20.77</v>
      </c>
      <c r="AG128" s="124">
        <f t="shared" si="41"/>
        <v>20.77</v>
      </c>
    </row>
    <row r="129" spans="1:33">
      <c r="A129" s="105" t="s">
        <v>136</v>
      </c>
      <c r="B129" s="105" t="s">
        <v>387</v>
      </c>
      <c r="C129" s="105" t="s">
        <v>282</v>
      </c>
      <c r="D129" s="164">
        <f>+'Dormitory+&amp;+Shuttle+Bus'!D143</f>
        <v>0</v>
      </c>
      <c r="E129" s="164">
        <f>+'Dormitory+&amp;+Shuttle+Bus'!E143</f>
        <v>0</v>
      </c>
      <c r="F129" s="164">
        <f>+'Dormitory+&amp;+Shuttle+Bus'!F143</f>
        <v>0</v>
      </c>
      <c r="G129" s="164">
        <f>+'Dormitory+&amp;+Shuttle+Bus'!G143</f>
        <v>0</v>
      </c>
      <c r="H129" s="164">
        <f>+'Dormitory+&amp;+Shuttle+Bus'!H143</f>
        <v>0</v>
      </c>
      <c r="I129" s="164">
        <f>+'Dormitory+&amp;+Shuttle+Bus'!I143</f>
        <v>0</v>
      </c>
      <c r="J129" s="164">
        <f>+'Dormitory+&amp;+Shuttle+Bus'!J143</f>
        <v>0</v>
      </c>
      <c r="K129" s="164">
        <f>+'Dormitory+&amp;+Shuttle+Bus'!K143</f>
        <v>0</v>
      </c>
      <c r="L129" s="164">
        <f>+'Dormitory+&amp;+Shuttle+Bus'!L143</f>
        <v>0</v>
      </c>
      <c r="M129" s="164">
        <f>+'Dormitory+&amp;+Shuttle+Bus'!M143</f>
        <v>0</v>
      </c>
      <c r="N129" s="164">
        <f>+'Dormitory+&amp;+Shuttle+Bus'!N143</f>
        <v>0</v>
      </c>
      <c r="O129" s="164">
        <f>+'Dormitory+&amp;+Shuttle+Bus'!O143</f>
        <v>0</v>
      </c>
      <c r="P129" s="137">
        <f t="shared" si="58"/>
        <v>0</v>
      </c>
      <c r="Q129" s="136">
        <v>0</v>
      </c>
      <c r="R129" s="136">
        <v>0</v>
      </c>
      <c r="S129" s="136">
        <v>0</v>
      </c>
      <c r="T129" s="136">
        <v>0</v>
      </c>
      <c r="U129" s="136">
        <v>0</v>
      </c>
      <c r="V129" s="136">
        <v>0</v>
      </c>
      <c r="W129" s="72">
        <v>0</v>
      </c>
      <c r="X129" s="72">
        <v>0</v>
      </c>
      <c r="Y129" s="72">
        <v>0</v>
      </c>
      <c r="Z129" s="72">
        <v>0</v>
      </c>
      <c r="AA129" s="72">
        <v>0</v>
      </c>
      <c r="AB129" s="72">
        <v>0</v>
      </c>
      <c r="AC129" s="137">
        <f t="shared" si="55"/>
        <v>0</v>
      </c>
      <c r="AD129" s="72">
        <f t="shared" si="56"/>
        <v>0</v>
      </c>
      <c r="AE129" s="192" t="e">
        <f t="shared" si="57"/>
        <v>#DIV/0!</v>
      </c>
      <c r="AF129" s="133">
        <v>342.22</v>
      </c>
      <c r="AG129" s="124">
        <f t="shared" si="41"/>
        <v>342.22</v>
      </c>
    </row>
    <row r="130" spans="1:33">
      <c r="A130" s="105" t="s">
        <v>137</v>
      </c>
      <c r="B130" s="105" t="s">
        <v>387</v>
      </c>
      <c r="C130" s="105" t="s">
        <v>283</v>
      </c>
      <c r="D130" s="164">
        <f>'Staff+Canteen'!D278</f>
        <v>0</v>
      </c>
      <c r="E130" s="164">
        <f>'Staff+Canteen'!E278</f>
        <v>0</v>
      </c>
      <c r="F130" s="164">
        <f>'Staff+Canteen'!F278</f>
        <v>0</v>
      </c>
      <c r="G130" s="164">
        <f>'Staff+Canteen'!G278</f>
        <v>0</v>
      </c>
      <c r="H130" s="164">
        <f>'Staff+Canteen'!H278</f>
        <v>0</v>
      </c>
      <c r="I130" s="164">
        <f>'Staff+Canteen'!I278</f>
        <v>0</v>
      </c>
      <c r="J130" s="164">
        <f>'Staff+Canteen'!J278</f>
        <v>0</v>
      </c>
      <c r="K130" s="164">
        <f>'Staff+Canteen'!K278</f>
        <v>0</v>
      </c>
      <c r="L130" s="164">
        <f>'Staff+Canteen'!L278</f>
        <v>0</v>
      </c>
      <c r="M130" s="164">
        <f>'Staff+Canteen'!M278</f>
        <v>0</v>
      </c>
      <c r="N130" s="164">
        <f>'Staff+Canteen'!N278</f>
        <v>0</v>
      </c>
      <c r="O130" s="164">
        <f>'Staff+Canteen'!O278</f>
        <v>0</v>
      </c>
      <c r="P130" s="137">
        <f t="shared" si="58"/>
        <v>0</v>
      </c>
      <c r="Q130" s="136">
        <v>0</v>
      </c>
      <c r="R130" s="136">
        <v>0</v>
      </c>
      <c r="S130" s="136">
        <v>0</v>
      </c>
      <c r="T130" s="136">
        <v>0</v>
      </c>
      <c r="U130" s="136">
        <v>0</v>
      </c>
      <c r="V130" s="136">
        <v>0</v>
      </c>
      <c r="W130" s="72">
        <v>0</v>
      </c>
      <c r="X130" s="72">
        <v>0</v>
      </c>
      <c r="Y130" s="72">
        <v>0</v>
      </c>
      <c r="Z130" s="72">
        <v>0</v>
      </c>
      <c r="AA130" s="72">
        <v>0</v>
      </c>
      <c r="AB130" s="72">
        <v>0</v>
      </c>
      <c r="AC130" s="137">
        <f t="shared" si="55"/>
        <v>0</v>
      </c>
      <c r="AD130" s="72">
        <f t="shared" si="56"/>
        <v>0</v>
      </c>
      <c r="AE130" s="192" t="e">
        <f t="shared" si="57"/>
        <v>#DIV/0!</v>
      </c>
      <c r="AF130" s="133">
        <v>1266.8599999999999</v>
      </c>
      <c r="AG130" s="124">
        <f t="shared" si="41"/>
        <v>1266.8599999999999</v>
      </c>
    </row>
    <row r="131" spans="1:33">
      <c r="A131" s="105" t="s">
        <v>138</v>
      </c>
      <c r="B131" s="105" t="s">
        <v>387</v>
      </c>
      <c r="C131" s="105" t="s">
        <v>472</v>
      </c>
      <c r="D131" s="136"/>
      <c r="E131" s="136"/>
      <c r="F131" s="136"/>
      <c r="G131" s="136"/>
      <c r="H131" s="136"/>
      <c r="I131" s="136"/>
      <c r="J131" s="140"/>
      <c r="K131" s="140"/>
      <c r="L131" s="140"/>
      <c r="M131" s="140"/>
      <c r="N131" s="140"/>
      <c r="O131" s="140"/>
      <c r="P131" s="137">
        <f t="shared" si="58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5"/>
        <v>0</v>
      </c>
      <c r="AD131" s="72">
        <f t="shared" si="56"/>
        <v>0</v>
      </c>
      <c r="AE131" s="192" t="e">
        <f t="shared" si="57"/>
        <v>#DIV/0!</v>
      </c>
      <c r="AF131" s="133">
        <v>0</v>
      </c>
      <c r="AG131" s="124">
        <f t="shared" si="41"/>
        <v>0</v>
      </c>
    </row>
    <row r="132" spans="1:33">
      <c r="A132" s="105" t="s">
        <v>140</v>
      </c>
      <c r="B132" s="105" t="s">
        <v>387</v>
      </c>
      <c r="C132" s="105" t="s">
        <v>473</v>
      </c>
      <c r="D132" s="136"/>
      <c r="E132" s="136"/>
      <c r="F132" s="136"/>
      <c r="G132" s="136"/>
      <c r="H132" s="136"/>
      <c r="I132" s="136"/>
      <c r="J132" s="140"/>
      <c r="K132" s="140"/>
      <c r="L132" s="140"/>
      <c r="M132" s="140"/>
      <c r="N132" s="140"/>
      <c r="O132" s="140"/>
      <c r="P132" s="137">
        <f t="shared" si="58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5"/>
        <v>0</v>
      </c>
      <c r="AD132" s="72">
        <f t="shared" si="56"/>
        <v>0</v>
      </c>
      <c r="AE132" s="192" t="e">
        <f t="shared" si="57"/>
        <v>#DIV/0!</v>
      </c>
      <c r="AF132" s="133">
        <v>0</v>
      </c>
      <c r="AG132" s="124">
        <f t="shared" si="41"/>
        <v>0</v>
      </c>
    </row>
    <row r="133" spans="1:33">
      <c r="A133" s="105" t="s">
        <v>273</v>
      </c>
      <c r="C133" s="109" t="s">
        <v>523</v>
      </c>
      <c r="D133" s="137">
        <f t="shared" ref="D133:AC133" si="59">SUM(D124:D132)</f>
        <v>0</v>
      </c>
      <c r="E133" s="137">
        <f t="shared" si="59"/>
        <v>0</v>
      </c>
      <c r="F133" s="137">
        <f t="shared" si="59"/>
        <v>0</v>
      </c>
      <c r="G133" s="137">
        <f t="shared" si="59"/>
        <v>0</v>
      </c>
      <c r="H133" s="137">
        <f t="shared" si="59"/>
        <v>0</v>
      </c>
      <c r="I133" s="137">
        <f t="shared" si="59"/>
        <v>0</v>
      </c>
      <c r="J133" s="137">
        <f t="shared" si="59"/>
        <v>0</v>
      </c>
      <c r="K133" s="137">
        <f t="shared" si="59"/>
        <v>0</v>
      </c>
      <c r="L133" s="137">
        <f t="shared" si="59"/>
        <v>0</v>
      </c>
      <c r="M133" s="137">
        <f t="shared" si="59"/>
        <v>0</v>
      </c>
      <c r="N133" s="137">
        <f t="shared" si="59"/>
        <v>0</v>
      </c>
      <c r="O133" s="137">
        <f t="shared" si="59"/>
        <v>0</v>
      </c>
      <c r="P133" s="137">
        <f t="shared" si="59"/>
        <v>0</v>
      </c>
      <c r="Q133" s="137">
        <f t="shared" si="59"/>
        <v>0</v>
      </c>
      <c r="R133" s="137">
        <f t="shared" si="59"/>
        <v>0</v>
      </c>
      <c r="S133" s="137">
        <f t="shared" si="59"/>
        <v>0</v>
      </c>
      <c r="T133" s="137">
        <f t="shared" si="59"/>
        <v>0</v>
      </c>
      <c r="U133" s="137">
        <f t="shared" si="59"/>
        <v>0</v>
      </c>
      <c r="V133" s="137">
        <f t="shared" si="59"/>
        <v>0</v>
      </c>
      <c r="W133" s="137">
        <f t="shared" si="59"/>
        <v>0</v>
      </c>
      <c r="X133" s="137">
        <f t="shared" si="59"/>
        <v>0</v>
      </c>
      <c r="Y133" s="137">
        <f t="shared" si="59"/>
        <v>0</v>
      </c>
      <c r="Z133" s="137">
        <f t="shared" si="59"/>
        <v>0</v>
      </c>
      <c r="AA133" s="137">
        <f t="shared" si="59"/>
        <v>0</v>
      </c>
      <c r="AB133" s="137">
        <f t="shared" si="59"/>
        <v>0</v>
      </c>
      <c r="AC133" s="137">
        <f t="shared" si="59"/>
        <v>0</v>
      </c>
      <c r="AD133" s="72">
        <f t="shared" si="56"/>
        <v>0</v>
      </c>
      <c r="AE133" s="192" t="e">
        <f t="shared" si="57"/>
        <v>#DIV/0!</v>
      </c>
      <c r="AF133" s="133">
        <v>1629.85</v>
      </c>
      <c r="AG133" s="124">
        <f t="shared" si="41"/>
        <v>1629.85</v>
      </c>
    </row>
    <row r="134" spans="1:33">
      <c r="A134" s="105" t="s">
        <v>273</v>
      </c>
      <c r="C134" s="109" t="s">
        <v>524</v>
      </c>
      <c r="D134" s="137">
        <f t="shared" ref="D134:AC134" si="60">D105+D112+D122+D133</f>
        <v>0</v>
      </c>
      <c r="E134" s="137">
        <f t="shared" si="60"/>
        <v>0</v>
      </c>
      <c r="F134" s="137">
        <f t="shared" si="60"/>
        <v>0</v>
      </c>
      <c r="G134" s="137">
        <f t="shared" si="60"/>
        <v>0</v>
      </c>
      <c r="H134" s="137">
        <f t="shared" si="60"/>
        <v>0</v>
      </c>
      <c r="I134" s="137">
        <f t="shared" si="60"/>
        <v>0</v>
      </c>
      <c r="J134" s="137">
        <f t="shared" si="60"/>
        <v>0</v>
      </c>
      <c r="K134" s="137">
        <f t="shared" si="60"/>
        <v>0</v>
      </c>
      <c r="L134" s="137">
        <f t="shared" si="60"/>
        <v>0</v>
      </c>
      <c r="M134" s="137">
        <f t="shared" si="60"/>
        <v>0</v>
      </c>
      <c r="N134" s="137">
        <f t="shared" si="60"/>
        <v>0</v>
      </c>
      <c r="O134" s="137">
        <f t="shared" si="60"/>
        <v>0</v>
      </c>
      <c r="P134" s="137">
        <f t="shared" si="60"/>
        <v>0</v>
      </c>
      <c r="Q134" s="137">
        <f t="shared" si="60"/>
        <v>0</v>
      </c>
      <c r="R134" s="137">
        <f t="shared" si="60"/>
        <v>0</v>
      </c>
      <c r="S134" s="137">
        <f t="shared" si="60"/>
        <v>0</v>
      </c>
      <c r="T134" s="137">
        <f t="shared" si="60"/>
        <v>0</v>
      </c>
      <c r="U134" s="137">
        <f t="shared" si="60"/>
        <v>0</v>
      </c>
      <c r="V134" s="137">
        <f t="shared" si="60"/>
        <v>0</v>
      </c>
      <c r="W134" s="137">
        <f t="shared" si="60"/>
        <v>0</v>
      </c>
      <c r="X134" s="137">
        <f t="shared" si="60"/>
        <v>0</v>
      </c>
      <c r="Y134" s="137">
        <f t="shared" si="60"/>
        <v>0</v>
      </c>
      <c r="Z134" s="137">
        <f t="shared" si="60"/>
        <v>0</v>
      </c>
      <c r="AA134" s="137">
        <f t="shared" si="60"/>
        <v>0</v>
      </c>
      <c r="AB134" s="137">
        <f t="shared" si="60"/>
        <v>0</v>
      </c>
      <c r="AC134" s="137">
        <f t="shared" si="60"/>
        <v>0</v>
      </c>
      <c r="AD134" s="72">
        <f t="shared" si="56"/>
        <v>0</v>
      </c>
      <c r="AE134" s="192" t="e">
        <f t="shared" si="57"/>
        <v>#DIV/0!</v>
      </c>
      <c r="AF134" s="133">
        <v>5844.43</v>
      </c>
      <c r="AG134" s="124">
        <f t="shared" si="41"/>
        <v>5844.43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1"/>
        <v>0</v>
      </c>
    </row>
    <row r="136" spans="1:33" s="224" customFormat="1">
      <c r="A136" s="224" t="s">
        <v>141</v>
      </c>
      <c r="B136" s="224" t="s">
        <v>387</v>
      </c>
      <c r="C136" s="224" t="s">
        <v>142</v>
      </c>
      <c r="D136" s="225"/>
      <c r="E136" s="225"/>
      <c r="F136" s="225"/>
      <c r="G136" s="225"/>
      <c r="H136" s="225"/>
      <c r="I136" s="225"/>
      <c r="J136" s="225"/>
      <c r="K136" s="225"/>
      <c r="L136" s="225"/>
      <c r="M136" s="225"/>
      <c r="N136" s="225"/>
      <c r="O136" s="225"/>
      <c r="P136" s="225">
        <f>SUM(D136:O136)/12</f>
        <v>0</v>
      </c>
      <c r="Q136" s="225">
        <v>0</v>
      </c>
      <c r="R136" s="225">
        <v>0</v>
      </c>
      <c r="S136" s="225">
        <v>0</v>
      </c>
      <c r="T136" s="225">
        <v>0</v>
      </c>
      <c r="U136" s="225">
        <v>0</v>
      </c>
      <c r="V136" s="225">
        <v>0</v>
      </c>
      <c r="W136" s="127">
        <v>0</v>
      </c>
      <c r="X136" s="127">
        <v>0</v>
      </c>
      <c r="Y136" s="127">
        <v>0</v>
      </c>
      <c r="Z136" s="127">
        <v>0</v>
      </c>
      <c r="AA136" s="127">
        <v>0</v>
      </c>
      <c r="AB136" s="127">
        <v>0</v>
      </c>
      <c r="AC136" s="225">
        <f>SUM(Q136:AB136)/12</f>
        <v>0</v>
      </c>
      <c r="AD136" s="225">
        <f t="shared" ref="AD136" si="61">P136-AC136</f>
        <v>0</v>
      </c>
      <c r="AE136" s="226" t="e">
        <f t="shared" ref="AE136" si="62">AD136/AC136</f>
        <v>#DIV/0!</v>
      </c>
      <c r="AF136" s="227">
        <v>8.3333333333333329E-2</v>
      </c>
      <c r="AG136" s="228">
        <f t="shared" si="41"/>
        <v>8.3333333333333329E-2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7">
        <f t="shared" ref="P138:P140" si="63">SUM(D138:O138)</f>
        <v>0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7">
        <f t="shared" si="63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7">
        <f t="shared" si="63"/>
        <v>0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0</v>
      </c>
      <c r="E141" s="117">
        <f t="shared" ref="E141:P141" si="64">SUM(E138:E140)</f>
        <v>0</v>
      </c>
      <c r="F141" s="117">
        <f t="shared" si="64"/>
        <v>0</v>
      </c>
      <c r="G141" s="117">
        <f t="shared" si="64"/>
        <v>0</v>
      </c>
      <c r="H141" s="117">
        <f t="shared" si="64"/>
        <v>0</v>
      </c>
      <c r="I141" s="117">
        <f t="shared" si="64"/>
        <v>0</v>
      </c>
      <c r="J141" s="117">
        <f t="shared" si="64"/>
        <v>0</v>
      </c>
      <c r="K141" s="117">
        <f t="shared" si="64"/>
        <v>0</v>
      </c>
      <c r="L141" s="117">
        <f t="shared" si="64"/>
        <v>0</v>
      </c>
      <c r="M141" s="117">
        <f t="shared" si="64"/>
        <v>0</v>
      </c>
      <c r="N141" s="117">
        <f t="shared" si="64"/>
        <v>0</v>
      </c>
      <c r="O141" s="117">
        <f t="shared" si="64"/>
        <v>0</v>
      </c>
      <c r="P141" s="117">
        <f t="shared" si="64"/>
        <v>0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7">
    <dataValidation type="textLength" errorStyle="information" allowBlank="1" showInputMessage="1" showErrorMessage="1" error="XLBVal:6=89900.92_x000d__x000a_" sqref="D120">
      <formula1>0</formula1>
      <formula2>300</formula2>
    </dataValidation>
    <dataValidation type="textLength" errorStyle="information" allowBlank="1" showInputMessage="1" showErrorMessage="1" error="XLBVal:6=-3623.83_x000d__x000a_" sqref="I109">
      <formula1>0</formula1>
      <formula2>300</formula2>
    </dataValidation>
    <dataValidation type="textLength" errorStyle="information" allowBlank="1" showInputMessage="1" showErrorMessage="1" error="XLBVal:6=3623.83_x000d__x000a_" sqref="H109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2=0_x000d__x000a_" sqref="D131:I132 D17:I21 D31:I32 D9:O13 D121:O121 Q9:AB13 D110:I111 D24:I26 D85:I89 D107:I107 D73:I78 W93:AB97 Q24:AB26 Q114:AB121 D102:O104 Q102:AB104 Q85:AB89 Q38:AB79 E114:O120 Q30:AB32 Q17:AB21 Q107:AB111 D109:G109 Q136:AB136 D136:I136 Q124:AB132 D124:I128 D114:D119 D38:I42 D44:I71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AG161"/>
  <sheetViews>
    <sheetView view="pageBreakPreview" zoomScaleNormal="100" zoomScaleSheetLayoutView="100" workbookViewId="0">
      <pane xSplit="4" ySplit="7" topLeftCell="L89" activePane="bottomRight" state="frozen"/>
      <selection activeCell="AP43" sqref="AP43"/>
      <selection pane="topRight" activeCell="AP43" sqref="AP43"/>
      <selection pane="bottomLeft" activeCell="AP43" sqref="AP43"/>
      <selection pane="bottomRight" activeCell="O111" sqref="O111"/>
    </sheetView>
  </sheetViews>
  <sheetFormatPr defaultColWidth="9" defaultRowHeight="14.25" outlineLevelCol="2"/>
  <cols>
    <col min="1" max="2" width="9" style="105" hidden="1" customWidth="1" outlineLevel="1"/>
    <col min="3" max="3" width="55.125" style="105" customWidth="1" collapsed="1"/>
    <col min="4" max="15" width="14.5" style="72" bestFit="1" customWidth="1"/>
    <col min="16" max="16" width="15.75" style="127" bestFit="1" customWidth="1"/>
    <col min="17" max="23" width="13.375" style="72" hidden="1" customWidth="1" outlineLevel="1"/>
    <col min="24" max="28" width="13.37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5.75" style="109" hidden="1" customWidth="1"/>
    <col min="33" max="33" width="15" style="124" hidden="1" customWidth="1"/>
    <col min="34" max="16384" width="9" style="105"/>
  </cols>
  <sheetData>
    <row r="1" spans="1:33" s="100" customFormat="1">
      <c r="A1" s="100" t="s">
        <v>546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392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391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1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0</v>
      </c>
      <c r="AG9" s="124">
        <f t="shared" ref="AG9:AG27" si="3">P9-AF9</f>
        <v>0</v>
      </c>
    </row>
    <row r="10" spans="1:33">
      <c r="A10" s="105" t="s">
        <v>482</v>
      </c>
      <c r="B10" s="105" t="s">
        <v>391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17">
        <f>SUM(D10:O10)</f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0</v>
      </c>
      <c r="AD10" s="72">
        <f t="shared" si="1"/>
        <v>0</v>
      </c>
      <c r="AE10" s="192" t="e">
        <f t="shared" si="2"/>
        <v>#DIV/0!</v>
      </c>
      <c r="AF10" s="129">
        <v>140</v>
      </c>
      <c r="AG10" s="124">
        <f t="shared" si="3"/>
        <v>-140</v>
      </c>
    </row>
    <row r="11" spans="1:33">
      <c r="A11" s="105" t="s">
        <v>484</v>
      </c>
      <c r="B11" s="105" t="s">
        <v>391</v>
      </c>
      <c r="C11" s="105" t="s">
        <v>485</v>
      </c>
      <c r="D11" s="210">
        <f t="shared" si="4"/>
        <v>0</v>
      </c>
      <c r="E11" s="210">
        <f t="shared" si="4"/>
        <v>0</v>
      </c>
      <c r="F11" s="210">
        <f t="shared" si="4"/>
        <v>0</v>
      </c>
      <c r="G11" s="210">
        <f t="shared" si="4"/>
        <v>0</v>
      </c>
      <c r="H11" s="210">
        <f t="shared" si="4"/>
        <v>0</v>
      </c>
      <c r="I11" s="210">
        <f t="shared" si="4"/>
        <v>0</v>
      </c>
      <c r="J11" s="210">
        <f t="shared" si="4"/>
        <v>0</v>
      </c>
      <c r="K11" s="210">
        <f t="shared" si="4"/>
        <v>0</v>
      </c>
      <c r="L11" s="210">
        <f t="shared" si="4"/>
        <v>0</v>
      </c>
      <c r="M11" s="210">
        <f t="shared" si="4"/>
        <v>0</v>
      </c>
      <c r="N11" s="210">
        <f t="shared" si="4"/>
        <v>0</v>
      </c>
      <c r="O11" s="210">
        <f t="shared" si="4"/>
        <v>0</v>
      </c>
      <c r="P11" s="117">
        <f>SUM(D11:O11)</f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127">
        <f>SUM(Q11:AB11)</f>
        <v>0</v>
      </c>
      <c r="AD11" s="72">
        <f t="shared" si="1"/>
        <v>0</v>
      </c>
      <c r="AE11" s="192" t="e">
        <f t="shared" si="2"/>
        <v>#DIV/0!</v>
      </c>
      <c r="AF11" s="129">
        <v>8381.2999999999993</v>
      </c>
      <c r="AG11" s="124">
        <f t="shared" si="3"/>
        <v>-8381.2999999999993</v>
      </c>
    </row>
    <row r="12" spans="1:33">
      <c r="A12" s="105" t="s">
        <v>486</v>
      </c>
      <c r="B12" s="105" t="s">
        <v>391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1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6275</v>
      </c>
      <c r="AG12" s="124">
        <f t="shared" si="3"/>
        <v>-6275</v>
      </c>
    </row>
    <row r="13" spans="1:33">
      <c r="A13" s="105" t="s">
        <v>488</v>
      </c>
      <c r="B13" s="105" t="s">
        <v>391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1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5250.8</v>
      </c>
      <c r="AG13" s="124">
        <f t="shared" si="3"/>
        <v>-5250.8</v>
      </c>
    </row>
    <row r="14" spans="1:33">
      <c r="C14" s="109" t="s">
        <v>490</v>
      </c>
      <c r="D14" s="127">
        <f t="shared" ref="D14:AC14" si="5">SUM(D9:D13)</f>
        <v>0</v>
      </c>
      <c r="E14" s="127">
        <f t="shared" si="5"/>
        <v>0</v>
      </c>
      <c r="F14" s="127">
        <f t="shared" si="5"/>
        <v>0</v>
      </c>
      <c r="G14" s="127">
        <f t="shared" si="5"/>
        <v>0</v>
      </c>
      <c r="H14" s="127">
        <f t="shared" si="5"/>
        <v>0</v>
      </c>
      <c r="I14" s="127">
        <f t="shared" si="5"/>
        <v>0</v>
      </c>
      <c r="J14" s="127">
        <f t="shared" si="5"/>
        <v>0</v>
      </c>
      <c r="K14" s="127">
        <f t="shared" si="5"/>
        <v>0</v>
      </c>
      <c r="L14" s="127">
        <f t="shared" si="5"/>
        <v>0</v>
      </c>
      <c r="M14" s="127">
        <f t="shared" si="5"/>
        <v>0</v>
      </c>
      <c r="N14" s="127">
        <f t="shared" si="5"/>
        <v>0</v>
      </c>
      <c r="O14" s="127">
        <f t="shared" si="5"/>
        <v>0</v>
      </c>
      <c r="P14" s="117">
        <f t="shared" si="5"/>
        <v>0</v>
      </c>
      <c r="Q14" s="127">
        <f t="shared" si="5"/>
        <v>0</v>
      </c>
      <c r="R14" s="127">
        <f t="shared" si="5"/>
        <v>0</v>
      </c>
      <c r="S14" s="127">
        <f t="shared" si="5"/>
        <v>0</v>
      </c>
      <c r="T14" s="127">
        <f t="shared" si="5"/>
        <v>0</v>
      </c>
      <c r="U14" s="127">
        <f t="shared" si="5"/>
        <v>0</v>
      </c>
      <c r="V14" s="127">
        <f t="shared" si="5"/>
        <v>0</v>
      </c>
      <c r="W14" s="127">
        <f t="shared" si="5"/>
        <v>0</v>
      </c>
      <c r="X14" s="127">
        <f t="shared" si="5"/>
        <v>0</v>
      </c>
      <c r="Y14" s="127">
        <f t="shared" si="5"/>
        <v>0</v>
      </c>
      <c r="Z14" s="127">
        <f t="shared" si="5"/>
        <v>0</v>
      </c>
      <c r="AA14" s="127">
        <f t="shared" si="5"/>
        <v>0</v>
      </c>
      <c r="AB14" s="127">
        <f t="shared" si="5"/>
        <v>0</v>
      </c>
      <c r="AC14" s="127">
        <f t="shared" si="5"/>
        <v>0</v>
      </c>
      <c r="AD14" s="72">
        <f t="shared" si="1"/>
        <v>0</v>
      </c>
      <c r="AE14" s="192" t="e">
        <f t="shared" si="2"/>
        <v>#DIV/0!</v>
      </c>
      <c r="AF14" s="129">
        <v>20047.099999999999</v>
      </c>
      <c r="AG14" s="124">
        <f t="shared" si="3"/>
        <v>-20047.099999999999</v>
      </c>
    </row>
    <row r="15" spans="1:33">
      <c r="C15" s="105" t="s">
        <v>154</v>
      </c>
      <c r="P15" s="117"/>
      <c r="AF15" s="129"/>
      <c r="AG15" s="124">
        <f t="shared" si="3"/>
        <v>0</v>
      </c>
    </row>
    <row r="16" spans="1:33">
      <c r="C16" s="105" t="s">
        <v>491</v>
      </c>
      <c r="P16" s="117"/>
      <c r="AF16" s="129"/>
      <c r="AG16" s="124">
        <f t="shared" si="3"/>
        <v>0</v>
      </c>
    </row>
    <row r="17" spans="1:33">
      <c r="A17" s="105" t="s">
        <v>547</v>
      </c>
      <c r="B17" s="105" t="s">
        <v>391</v>
      </c>
      <c r="C17" s="105" t="s">
        <v>481</v>
      </c>
      <c r="P17" s="11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0</v>
      </c>
      <c r="AG17" s="124">
        <f t="shared" si="3"/>
        <v>0</v>
      </c>
    </row>
    <row r="18" spans="1:33">
      <c r="A18" s="105" t="s">
        <v>493</v>
      </c>
      <c r="B18" s="105" t="s">
        <v>391</v>
      </c>
      <c r="C18" s="105" t="s">
        <v>483</v>
      </c>
      <c r="P18" s="11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1600</v>
      </c>
      <c r="AG18" s="124">
        <f t="shared" si="3"/>
        <v>-1600</v>
      </c>
    </row>
    <row r="19" spans="1:33">
      <c r="A19" s="105" t="s">
        <v>494</v>
      </c>
      <c r="B19" s="105" t="s">
        <v>391</v>
      </c>
      <c r="C19" s="105" t="s">
        <v>485</v>
      </c>
      <c r="P19" s="117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32713.02</v>
      </c>
      <c r="AG19" s="124">
        <f t="shared" si="3"/>
        <v>-32713.02</v>
      </c>
    </row>
    <row r="20" spans="1:33">
      <c r="A20" s="105" t="s">
        <v>495</v>
      </c>
      <c r="B20" s="105" t="s">
        <v>391</v>
      </c>
      <c r="C20" s="105" t="s">
        <v>487</v>
      </c>
      <c r="P20" s="11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29074.5</v>
      </c>
      <c r="AG20" s="124">
        <f t="shared" si="3"/>
        <v>-29074.5</v>
      </c>
    </row>
    <row r="21" spans="1:33">
      <c r="A21" s="105" t="s">
        <v>548</v>
      </c>
      <c r="B21" s="105" t="s">
        <v>391</v>
      </c>
      <c r="C21" s="105" t="s">
        <v>489</v>
      </c>
      <c r="P21" s="11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34992.129999999997</v>
      </c>
      <c r="AG21" s="124">
        <f t="shared" si="3"/>
        <v>-34992.129999999997</v>
      </c>
    </row>
    <row r="22" spans="1:33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7">
        <f t="shared" si="8"/>
        <v>0</v>
      </c>
      <c r="K22" s="127">
        <f t="shared" si="8"/>
        <v>0</v>
      </c>
      <c r="L22" s="127">
        <f t="shared" si="8"/>
        <v>0</v>
      </c>
      <c r="M22" s="127">
        <f t="shared" si="8"/>
        <v>0</v>
      </c>
      <c r="N22" s="127">
        <f t="shared" si="8"/>
        <v>0</v>
      </c>
      <c r="O22" s="127">
        <f t="shared" si="8"/>
        <v>0</v>
      </c>
      <c r="P22" s="117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98379.65</v>
      </c>
      <c r="AG22" s="124">
        <f t="shared" si="3"/>
        <v>-98379.65</v>
      </c>
    </row>
    <row r="23" spans="1:33">
      <c r="C23" s="105" t="s">
        <v>154</v>
      </c>
      <c r="P23" s="117"/>
      <c r="AF23" s="129"/>
      <c r="AG23" s="124">
        <f t="shared" si="3"/>
        <v>0</v>
      </c>
    </row>
    <row r="24" spans="1:33">
      <c r="A24" s="105" t="s">
        <v>406</v>
      </c>
      <c r="B24" s="105" t="s">
        <v>391</v>
      </c>
      <c r="C24" s="105" t="s">
        <v>408</v>
      </c>
      <c r="J24" s="123"/>
      <c r="K24" s="123"/>
      <c r="L24" s="123"/>
      <c r="M24" s="123"/>
      <c r="N24" s="123"/>
      <c r="O24" s="123"/>
      <c r="P24" s="11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72">
        <f>P24-AC24</f>
        <v>0</v>
      </c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391</v>
      </c>
      <c r="C25" s="105" t="s">
        <v>499</v>
      </c>
      <c r="P25" s="117">
        <f>SUM(D25:O25)</f>
        <v>0</v>
      </c>
      <c r="Q25" s="72">
        <v>0</v>
      </c>
      <c r="R25" s="72">
        <v>0</v>
      </c>
      <c r="S25" s="72">
        <v>0</v>
      </c>
      <c r="T25" s="72">
        <v>800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800</v>
      </c>
      <c r="AD25" s="72">
        <f>P25-AC25</f>
        <v>-800</v>
      </c>
      <c r="AE25" s="192">
        <f>AD25/AC25</f>
        <v>-1</v>
      </c>
      <c r="AF25" s="129">
        <v>85642.07</v>
      </c>
      <c r="AG25" s="124">
        <f t="shared" si="3"/>
        <v>-85642.07</v>
      </c>
    </row>
    <row r="26" spans="1:33">
      <c r="A26" s="105" t="s">
        <v>169</v>
      </c>
      <c r="B26" s="105" t="s">
        <v>391</v>
      </c>
      <c r="C26" s="105" t="s">
        <v>170</v>
      </c>
      <c r="P26" s="117">
        <f>SUM(D26:O26)</f>
        <v>0</v>
      </c>
      <c r="Q26" s="72">
        <v>0</v>
      </c>
      <c r="R26" s="72">
        <v>0</v>
      </c>
      <c r="S26" s="72">
        <v>0</v>
      </c>
      <c r="T26" s="72">
        <v>80.2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80.2</v>
      </c>
      <c r="AD26" s="72">
        <f>P26-AC26</f>
        <v>-80.2</v>
      </c>
      <c r="AE26" s="192">
        <f>AD26/AC26</f>
        <v>-1</v>
      </c>
      <c r="AF26" s="129">
        <v>19712.539999999997</v>
      </c>
      <c r="AG26" s="124">
        <f t="shared" si="3"/>
        <v>-19712.539999999997</v>
      </c>
    </row>
    <row r="27" spans="1:33">
      <c r="C27" s="109" t="s">
        <v>500</v>
      </c>
      <c r="D27" s="127">
        <f t="shared" ref="D27:P27" si="10">SUM(D24:D26)+D14+D22</f>
        <v>0</v>
      </c>
      <c r="E27" s="127">
        <f t="shared" si="10"/>
        <v>0</v>
      </c>
      <c r="F27" s="127">
        <f t="shared" si="10"/>
        <v>0</v>
      </c>
      <c r="G27" s="127">
        <f t="shared" si="10"/>
        <v>0</v>
      </c>
      <c r="H27" s="127">
        <f t="shared" si="10"/>
        <v>0</v>
      </c>
      <c r="I27" s="127">
        <f t="shared" si="10"/>
        <v>0</v>
      </c>
      <c r="J27" s="127">
        <f t="shared" si="10"/>
        <v>0</v>
      </c>
      <c r="K27" s="127">
        <f t="shared" si="10"/>
        <v>0</v>
      </c>
      <c r="L27" s="127">
        <f t="shared" si="10"/>
        <v>0</v>
      </c>
      <c r="M27" s="127">
        <f t="shared" si="10"/>
        <v>0</v>
      </c>
      <c r="N27" s="127">
        <f t="shared" si="10"/>
        <v>0</v>
      </c>
      <c r="O27" s="127">
        <f t="shared" si="10"/>
        <v>0</v>
      </c>
      <c r="P27" s="117">
        <f t="shared" si="10"/>
        <v>0</v>
      </c>
      <c r="Q27" s="127">
        <f t="shared" ref="Q27:V27" si="11">SUM(Q24:Q26)+Q14+Q22</f>
        <v>0</v>
      </c>
      <c r="R27" s="127">
        <f t="shared" si="11"/>
        <v>0</v>
      </c>
      <c r="S27" s="127">
        <f t="shared" si="11"/>
        <v>0</v>
      </c>
      <c r="T27" s="127">
        <f t="shared" si="11"/>
        <v>880.2</v>
      </c>
      <c r="U27" s="127">
        <f t="shared" si="11"/>
        <v>0</v>
      </c>
      <c r="V27" s="127">
        <f t="shared" si="11"/>
        <v>0</v>
      </c>
      <c r="W27" s="127">
        <f t="shared" ref="W27:AC27" si="12">SUM(W24:W26)+W14+W22</f>
        <v>0</v>
      </c>
      <c r="X27" s="127">
        <f t="shared" si="12"/>
        <v>0</v>
      </c>
      <c r="Y27" s="127">
        <f t="shared" si="12"/>
        <v>0</v>
      </c>
      <c r="Z27" s="127">
        <f t="shared" si="12"/>
        <v>0</v>
      </c>
      <c r="AA27" s="127">
        <f t="shared" si="12"/>
        <v>0</v>
      </c>
      <c r="AB27" s="127">
        <f t="shared" si="12"/>
        <v>0</v>
      </c>
      <c r="AC27" s="127">
        <f t="shared" si="12"/>
        <v>880.2</v>
      </c>
      <c r="AD27" s="72">
        <f>P27-AC27</f>
        <v>-880.2</v>
      </c>
      <c r="AE27" s="192">
        <f>AD27/AC27</f>
        <v>-1</v>
      </c>
      <c r="AF27" s="129">
        <v>223781.36</v>
      </c>
      <c r="AG27" s="124">
        <f t="shared" si="3"/>
        <v>-223781.36</v>
      </c>
    </row>
    <row r="28" spans="1:33">
      <c r="C28" s="105" t="s">
        <v>154</v>
      </c>
      <c r="P28" s="117"/>
      <c r="AF28" s="129"/>
    </row>
    <row r="29" spans="1:33">
      <c r="C29" s="105" t="s">
        <v>414</v>
      </c>
      <c r="P29" s="117"/>
      <c r="AC29" s="211" t="e">
        <f>AC31/AC22</f>
        <v>#DIV/0!</v>
      </c>
      <c r="AF29" s="129">
        <v>0.12825802897245517</v>
      </c>
    </row>
    <row r="30" spans="1:33">
      <c r="A30" s="105" t="s">
        <v>415</v>
      </c>
      <c r="B30" s="105" t="s">
        <v>391</v>
      </c>
      <c r="C30" s="105" t="s">
        <v>416</v>
      </c>
      <c r="P30" s="117">
        <f>SUM(D30:O30)</f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127">
        <f>SUM(Q30:AB30)</f>
        <v>0</v>
      </c>
      <c r="AD30" s="72">
        <f t="shared" ref="AD30:AD33" si="13">P30-AC30</f>
        <v>0</v>
      </c>
      <c r="AE30" s="192" t="e">
        <f t="shared" ref="AE30:AE33" si="14">AD30/AC30</f>
        <v>#DIV/0!</v>
      </c>
      <c r="AF30" s="129">
        <v>1997.9</v>
      </c>
      <c r="AG30" s="124">
        <f t="shared" ref="AG30:AG80" si="15">AF30-P30</f>
        <v>1997.9</v>
      </c>
    </row>
    <row r="31" spans="1:33">
      <c r="A31" s="105" t="s">
        <v>417</v>
      </c>
      <c r="B31" s="105" t="s">
        <v>391</v>
      </c>
      <c r="C31" s="105" t="s">
        <v>418</v>
      </c>
      <c r="P31" s="117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3"/>
        <v>0</v>
      </c>
      <c r="AE31" s="192" t="e">
        <f t="shared" si="14"/>
        <v>#DIV/0!</v>
      </c>
      <c r="AF31" s="129">
        <v>12617.979999999998</v>
      </c>
      <c r="AG31" s="124">
        <f t="shared" si="15"/>
        <v>12617.979999999998</v>
      </c>
    </row>
    <row r="32" spans="1:33">
      <c r="A32" s="105" t="s">
        <v>421</v>
      </c>
      <c r="B32" s="105" t="s">
        <v>391</v>
      </c>
      <c r="C32" s="105" t="s">
        <v>422</v>
      </c>
      <c r="P32" s="11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3"/>
        <v>0</v>
      </c>
      <c r="AE32" s="192" t="e">
        <f t="shared" si="14"/>
        <v>#DIV/0!</v>
      </c>
      <c r="AF32" s="129">
        <v>0</v>
      </c>
      <c r="AG32" s="124">
        <f t="shared" si="15"/>
        <v>0</v>
      </c>
    </row>
    <row r="33" spans="1:33">
      <c r="C33" s="109" t="s">
        <v>501</v>
      </c>
      <c r="D33" s="127">
        <f t="shared" ref="D33:AC33" si="16">SUM(D30:D32)</f>
        <v>0</v>
      </c>
      <c r="E33" s="127">
        <f t="shared" si="16"/>
        <v>0</v>
      </c>
      <c r="F33" s="127">
        <f t="shared" si="16"/>
        <v>0</v>
      </c>
      <c r="G33" s="127">
        <f t="shared" si="16"/>
        <v>0</v>
      </c>
      <c r="H33" s="127">
        <f t="shared" si="16"/>
        <v>0</v>
      </c>
      <c r="I33" s="127">
        <f t="shared" si="16"/>
        <v>0</v>
      </c>
      <c r="J33" s="127">
        <f t="shared" si="16"/>
        <v>0</v>
      </c>
      <c r="K33" s="127">
        <f t="shared" si="16"/>
        <v>0</v>
      </c>
      <c r="L33" s="127">
        <f t="shared" si="16"/>
        <v>0</v>
      </c>
      <c r="M33" s="127">
        <f t="shared" si="16"/>
        <v>0</v>
      </c>
      <c r="N33" s="127">
        <f t="shared" si="16"/>
        <v>0</v>
      </c>
      <c r="O33" s="127">
        <f t="shared" si="16"/>
        <v>0</v>
      </c>
      <c r="P33" s="117">
        <f t="shared" si="16"/>
        <v>0</v>
      </c>
      <c r="Q33" s="127">
        <f t="shared" si="16"/>
        <v>0</v>
      </c>
      <c r="R33" s="127">
        <f t="shared" si="16"/>
        <v>0</v>
      </c>
      <c r="S33" s="127">
        <f t="shared" si="16"/>
        <v>0</v>
      </c>
      <c r="T33" s="127">
        <f t="shared" si="16"/>
        <v>0</v>
      </c>
      <c r="U33" s="127">
        <f t="shared" si="16"/>
        <v>0</v>
      </c>
      <c r="V33" s="127">
        <f t="shared" si="16"/>
        <v>0</v>
      </c>
      <c r="W33" s="127">
        <f t="shared" si="16"/>
        <v>0</v>
      </c>
      <c r="X33" s="127">
        <f t="shared" si="16"/>
        <v>0</v>
      </c>
      <c r="Y33" s="127">
        <f t="shared" si="16"/>
        <v>0</v>
      </c>
      <c r="Z33" s="127">
        <f t="shared" si="16"/>
        <v>0</v>
      </c>
      <c r="AA33" s="127">
        <f t="shared" si="16"/>
        <v>0</v>
      </c>
      <c r="AB33" s="127">
        <f t="shared" si="16"/>
        <v>0</v>
      </c>
      <c r="AC33" s="127">
        <f t="shared" si="16"/>
        <v>0</v>
      </c>
      <c r="AD33" s="72">
        <f t="shared" si="13"/>
        <v>0</v>
      </c>
      <c r="AE33" s="192" t="e">
        <f t="shared" si="14"/>
        <v>#DIV/0!</v>
      </c>
      <c r="AF33" s="129">
        <v>14615.879999999997</v>
      </c>
      <c r="AG33" s="124">
        <f t="shared" si="15"/>
        <v>14615.879999999997</v>
      </c>
    </row>
    <row r="34" spans="1:33">
      <c r="C34" s="105" t="s">
        <v>154</v>
      </c>
      <c r="P34" s="117"/>
      <c r="AF34" s="129"/>
      <c r="AG34" s="124">
        <f t="shared" si="15"/>
        <v>0</v>
      </c>
    </row>
    <row r="35" spans="1:33" s="109" customFormat="1">
      <c r="C35" s="109" t="s">
        <v>289</v>
      </c>
      <c r="D35" s="127">
        <f t="shared" ref="D35:AB35" si="17">D134</f>
        <v>0</v>
      </c>
      <c r="E35" s="127">
        <f t="shared" si="17"/>
        <v>0</v>
      </c>
      <c r="F35" s="127">
        <f t="shared" si="17"/>
        <v>0</v>
      </c>
      <c r="G35" s="127">
        <f t="shared" si="17"/>
        <v>0</v>
      </c>
      <c r="H35" s="127">
        <f t="shared" si="17"/>
        <v>0</v>
      </c>
      <c r="I35" s="127">
        <f t="shared" si="17"/>
        <v>0</v>
      </c>
      <c r="J35" s="127">
        <f t="shared" si="17"/>
        <v>0</v>
      </c>
      <c r="K35" s="127">
        <f t="shared" si="17"/>
        <v>0</v>
      </c>
      <c r="L35" s="127">
        <f t="shared" si="17"/>
        <v>0</v>
      </c>
      <c r="M35" s="127">
        <f t="shared" si="17"/>
        <v>0</v>
      </c>
      <c r="N35" s="127">
        <f t="shared" si="17"/>
        <v>0</v>
      </c>
      <c r="O35" s="127">
        <f t="shared" si="17"/>
        <v>0</v>
      </c>
      <c r="P35" s="117">
        <f t="shared" si="17"/>
        <v>0</v>
      </c>
      <c r="Q35" s="127">
        <f t="shared" si="17"/>
        <v>0</v>
      </c>
      <c r="R35" s="127">
        <f t="shared" si="17"/>
        <v>0</v>
      </c>
      <c r="S35" s="127">
        <f t="shared" si="17"/>
        <v>0</v>
      </c>
      <c r="T35" s="127">
        <f t="shared" si="17"/>
        <v>0</v>
      </c>
      <c r="U35" s="127">
        <f t="shared" si="17"/>
        <v>0</v>
      </c>
      <c r="V35" s="127">
        <f t="shared" si="17"/>
        <v>0</v>
      </c>
      <c r="W35" s="127">
        <f t="shared" si="17"/>
        <v>0</v>
      </c>
      <c r="X35" s="127">
        <f t="shared" si="17"/>
        <v>0</v>
      </c>
      <c r="Y35" s="127">
        <f t="shared" si="17"/>
        <v>0</v>
      </c>
      <c r="Z35" s="127">
        <f t="shared" si="17"/>
        <v>0</v>
      </c>
      <c r="AA35" s="127">
        <f t="shared" si="17"/>
        <v>0</v>
      </c>
      <c r="AB35" s="127">
        <f t="shared" si="17"/>
        <v>0</v>
      </c>
      <c r="AC35" s="127">
        <f>SUM(Q35:AB35)</f>
        <v>0</v>
      </c>
      <c r="AD35" s="127">
        <f>P35-AC35</f>
        <v>0</v>
      </c>
      <c r="AE35" s="132" t="e">
        <f>AD35/AC35</f>
        <v>#DIV/0!</v>
      </c>
      <c r="AF35" s="129">
        <v>64873.929999999993</v>
      </c>
      <c r="AG35" s="129">
        <f t="shared" si="15"/>
        <v>64873.929999999993</v>
      </c>
    </row>
    <row r="36" spans="1:33">
      <c r="C36" s="105" t="s">
        <v>154</v>
      </c>
      <c r="P36" s="117"/>
      <c r="AF36" s="129"/>
      <c r="AG36" s="124">
        <f t="shared" si="15"/>
        <v>0</v>
      </c>
    </row>
    <row r="37" spans="1:33">
      <c r="C37" s="109" t="s">
        <v>502</v>
      </c>
      <c r="P37" s="117"/>
      <c r="AF37" s="129"/>
      <c r="AG37" s="124">
        <f t="shared" si="15"/>
        <v>0</v>
      </c>
    </row>
    <row r="38" spans="1:33">
      <c r="A38" s="105" t="s">
        <v>424</v>
      </c>
      <c r="B38" s="105" t="s">
        <v>391</v>
      </c>
      <c r="C38" s="105" t="s">
        <v>425</v>
      </c>
      <c r="J38" s="231"/>
      <c r="K38" s="231"/>
      <c r="L38" s="231"/>
      <c r="M38" s="231"/>
      <c r="N38" s="231"/>
      <c r="O38" s="231"/>
      <c r="P38" s="200">
        <f t="shared" ref="P38:P78" si="18">SUM(D38:O38)</f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ref="AC38:AC79" si="19">SUM(Q38:AB38)</f>
        <v>0</v>
      </c>
      <c r="AD38" s="72">
        <f t="shared" ref="AD38:AD82" si="20">P38-AC38</f>
        <v>0</v>
      </c>
      <c r="AE38" s="192" t="e">
        <f t="shared" ref="AE38:AE82" si="21">AD38/AC38</f>
        <v>#DIV/0!</v>
      </c>
      <c r="AF38" s="129">
        <v>0</v>
      </c>
      <c r="AG38" s="124">
        <f t="shared" si="15"/>
        <v>0</v>
      </c>
    </row>
    <row r="39" spans="1:33">
      <c r="A39" s="105" t="s">
        <v>273</v>
      </c>
      <c r="C39" s="105" t="s">
        <v>426</v>
      </c>
      <c r="J39" s="231"/>
      <c r="K39" s="231"/>
      <c r="L39" s="231"/>
      <c r="M39" s="231"/>
      <c r="N39" s="231"/>
      <c r="O39" s="231"/>
      <c r="P39" s="200">
        <f t="shared" si="18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19"/>
        <v>0</v>
      </c>
      <c r="AD39" s="72">
        <f t="shared" si="20"/>
        <v>0</v>
      </c>
      <c r="AE39" s="192" t="e">
        <f t="shared" si="21"/>
        <v>#DIV/0!</v>
      </c>
      <c r="AF39" s="129">
        <v>0</v>
      </c>
      <c r="AG39" s="124">
        <f t="shared" si="15"/>
        <v>0</v>
      </c>
    </row>
    <row r="40" spans="1:33">
      <c r="A40" s="105" t="s">
        <v>549</v>
      </c>
      <c r="C40" s="105" t="s">
        <v>427</v>
      </c>
      <c r="J40" s="231"/>
      <c r="K40" s="231"/>
      <c r="L40" s="231"/>
      <c r="M40" s="231"/>
      <c r="N40" s="231"/>
      <c r="O40" s="231"/>
      <c r="P40" s="200">
        <f t="shared" si="18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19"/>
        <v>0</v>
      </c>
      <c r="AD40" s="72">
        <f t="shared" si="20"/>
        <v>0</v>
      </c>
      <c r="AE40" s="192" t="e">
        <f t="shared" si="21"/>
        <v>#DIV/0!</v>
      </c>
      <c r="AF40" s="129">
        <v>0</v>
      </c>
      <c r="AG40" s="124">
        <f t="shared" si="15"/>
        <v>0</v>
      </c>
    </row>
    <row r="41" spans="1:33">
      <c r="A41" s="105" t="s">
        <v>273</v>
      </c>
      <c r="C41" s="105" t="s">
        <v>428</v>
      </c>
      <c r="J41" s="231"/>
      <c r="K41" s="231"/>
      <c r="L41" s="231"/>
      <c r="M41" s="231"/>
      <c r="N41" s="231"/>
      <c r="O41" s="231"/>
      <c r="P41" s="200">
        <f t="shared" si="18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19"/>
        <v>0</v>
      </c>
      <c r="AD41" s="72">
        <f t="shared" si="20"/>
        <v>0</v>
      </c>
      <c r="AE41" s="192" t="e">
        <f t="shared" si="21"/>
        <v>#DIV/0!</v>
      </c>
      <c r="AF41" s="129">
        <v>0</v>
      </c>
      <c r="AG41" s="124">
        <f t="shared" si="15"/>
        <v>0</v>
      </c>
    </row>
    <row r="42" spans="1:33">
      <c r="A42" s="105" t="s">
        <v>550</v>
      </c>
      <c r="B42" s="105" t="s">
        <v>391</v>
      </c>
      <c r="C42" s="105" t="s">
        <v>143</v>
      </c>
      <c r="J42" s="231"/>
      <c r="K42" s="231"/>
      <c r="L42" s="231"/>
      <c r="M42" s="231"/>
      <c r="N42" s="231"/>
      <c r="O42" s="231"/>
      <c r="P42" s="200">
        <f t="shared" si="18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19"/>
        <v>0</v>
      </c>
      <c r="AD42" s="72">
        <f t="shared" si="20"/>
        <v>0</v>
      </c>
      <c r="AE42" s="192" t="e">
        <f t="shared" si="21"/>
        <v>#DIV/0!</v>
      </c>
      <c r="AF42" s="129">
        <v>0</v>
      </c>
      <c r="AG42" s="124">
        <f t="shared" si="15"/>
        <v>0</v>
      </c>
    </row>
    <row r="43" spans="1:33">
      <c r="A43" s="105" t="s">
        <v>180</v>
      </c>
      <c r="B43" s="105" t="s">
        <v>391</v>
      </c>
      <c r="C43" s="105" t="s">
        <v>144</v>
      </c>
      <c r="D43" s="174">
        <f t="shared" ref="D43:O43" si="22">+D138+D139+D140</f>
        <v>0</v>
      </c>
      <c r="E43" s="174">
        <f t="shared" si="22"/>
        <v>0</v>
      </c>
      <c r="F43" s="174">
        <f t="shared" si="22"/>
        <v>0</v>
      </c>
      <c r="G43" s="174">
        <f t="shared" si="22"/>
        <v>0</v>
      </c>
      <c r="H43" s="174">
        <f t="shared" si="22"/>
        <v>0</v>
      </c>
      <c r="I43" s="174">
        <f t="shared" si="22"/>
        <v>0</v>
      </c>
      <c r="J43" s="174">
        <f t="shared" si="22"/>
        <v>0</v>
      </c>
      <c r="K43" s="174">
        <f t="shared" si="22"/>
        <v>0</v>
      </c>
      <c r="L43" s="174">
        <f t="shared" si="22"/>
        <v>0</v>
      </c>
      <c r="M43" s="174">
        <f t="shared" si="22"/>
        <v>0</v>
      </c>
      <c r="N43" s="174">
        <f t="shared" si="22"/>
        <v>0</v>
      </c>
      <c r="O43" s="174">
        <f t="shared" si="22"/>
        <v>0</v>
      </c>
      <c r="P43" s="200">
        <f t="shared" si="18"/>
        <v>0</v>
      </c>
      <c r="Q43" s="72">
        <v>0</v>
      </c>
      <c r="R43" s="72">
        <v>0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127">
        <f t="shared" si="19"/>
        <v>0</v>
      </c>
      <c r="AD43" s="72">
        <f t="shared" si="20"/>
        <v>0</v>
      </c>
      <c r="AE43" s="192" t="e">
        <f t="shared" si="21"/>
        <v>#DIV/0!</v>
      </c>
      <c r="AF43" s="129">
        <v>3971</v>
      </c>
      <c r="AG43" s="124">
        <f t="shared" si="15"/>
        <v>3971</v>
      </c>
    </row>
    <row r="44" spans="1:33">
      <c r="A44" s="105" t="s">
        <v>181</v>
      </c>
      <c r="B44" s="105" t="s">
        <v>391</v>
      </c>
      <c r="C44" s="105" t="s">
        <v>182</v>
      </c>
      <c r="J44" s="231"/>
      <c r="K44" s="231"/>
      <c r="L44" s="231"/>
      <c r="M44" s="231"/>
      <c r="N44" s="231"/>
      <c r="O44" s="231"/>
      <c r="P44" s="200">
        <f t="shared" si="18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19"/>
        <v>0</v>
      </c>
      <c r="AD44" s="72">
        <f t="shared" si="20"/>
        <v>0</v>
      </c>
      <c r="AE44" s="192" t="e">
        <f t="shared" si="21"/>
        <v>#DIV/0!</v>
      </c>
      <c r="AF44" s="129">
        <v>0</v>
      </c>
      <c r="AG44" s="124">
        <f t="shared" si="15"/>
        <v>0</v>
      </c>
    </row>
    <row r="45" spans="1:33">
      <c r="A45" s="105" t="s">
        <v>430</v>
      </c>
      <c r="B45" s="105" t="s">
        <v>391</v>
      </c>
      <c r="C45" s="105" t="s">
        <v>431</v>
      </c>
      <c r="J45" s="231"/>
      <c r="K45" s="231"/>
      <c r="L45" s="231"/>
      <c r="M45" s="231"/>
      <c r="N45" s="231"/>
      <c r="O45" s="231"/>
      <c r="P45" s="200">
        <f t="shared" si="18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19"/>
        <v>0</v>
      </c>
      <c r="AD45" s="72">
        <f t="shared" si="20"/>
        <v>0</v>
      </c>
      <c r="AE45" s="192" t="e">
        <f t="shared" si="21"/>
        <v>#DIV/0!</v>
      </c>
      <c r="AF45" s="129">
        <v>0</v>
      </c>
      <c r="AG45" s="124">
        <f t="shared" si="15"/>
        <v>0</v>
      </c>
    </row>
    <row r="46" spans="1:33">
      <c r="A46" s="105" t="s">
        <v>183</v>
      </c>
      <c r="B46" s="105" t="s">
        <v>391</v>
      </c>
      <c r="C46" s="105" t="s">
        <v>184</v>
      </c>
      <c r="J46" s="231"/>
      <c r="K46" s="231"/>
      <c r="L46" s="231"/>
      <c r="M46" s="231"/>
      <c r="N46" s="231"/>
      <c r="O46" s="231"/>
      <c r="P46" s="200">
        <f t="shared" si="18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19"/>
        <v>0</v>
      </c>
      <c r="AD46" s="72">
        <f t="shared" si="20"/>
        <v>0</v>
      </c>
      <c r="AE46" s="192" t="e">
        <f t="shared" si="21"/>
        <v>#DIV/0!</v>
      </c>
      <c r="AF46" s="129">
        <v>0</v>
      </c>
      <c r="AG46" s="124">
        <f t="shared" si="15"/>
        <v>0</v>
      </c>
    </row>
    <row r="47" spans="1:33">
      <c r="A47" s="105" t="s">
        <v>273</v>
      </c>
      <c r="C47" s="105" t="s">
        <v>432</v>
      </c>
      <c r="J47" s="231"/>
      <c r="K47" s="231"/>
      <c r="L47" s="231"/>
      <c r="M47" s="231"/>
      <c r="N47" s="231"/>
      <c r="O47" s="231"/>
      <c r="P47" s="200">
        <f t="shared" si="18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19"/>
        <v>0</v>
      </c>
      <c r="AD47" s="72">
        <f t="shared" si="20"/>
        <v>0</v>
      </c>
      <c r="AE47" s="192" t="e">
        <f t="shared" si="21"/>
        <v>#DIV/0!</v>
      </c>
      <c r="AF47" s="129">
        <v>0</v>
      </c>
      <c r="AG47" s="124">
        <f t="shared" si="15"/>
        <v>0</v>
      </c>
    </row>
    <row r="48" spans="1:33">
      <c r="A48" s="105" t="s">
        <v>185</v>
      </c>
      <c r="B48" s="105" t="s">
        <v>391</v>
      </c>
      <c r="C48" s="105" t="s">
        <v>186</v>
      </c>
      <c r="J48" s="231"/>
      <c r="K48" s="231"/>
      <c r="L48" s="231"/>
      <c r="M48" s="231"/>
      <c r="N48" s="231"/>
      <c r="O48" s="231"/>
      <c r="P48" s="200">
        <f t="shared" si="18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19"/>
        <v>0</v>
      </c>
      <c r="AD48" s="72">
        <f t="shared" si="20"/>
        <v>0</v>
      </c>
      <c r="AE48" s="192" t="e">
        <f t="shared" si="21"/>
        <v>#DIV/0!</v>
      </c>
      <c r="AF48" s="129">
        <v>0</v>
      </c>
      <c r="AG48" s="124">
        <f t="shared" si="15"/>
        <v>0</v>
      </c>
    </row>
    <row r="49" spans="1:33">
      <c r="A49" s="105" t="s">
        <v>187</v>
      </c>
      <c r="B49" s="105" t="s">
        <v>391</v>
      </c>
      <c r="C49" s="105" t="s">
        <v>188</v>
      </c>
      <c r="J49" s="231"/>
      <c r="K49" s="231"/>
      <c r="L49" s="231"/>
      <c r="M49" s="231"/>
      <c r="N49" s="231"/>
      <c r="O49" s="231"/>
      <c r="P49" s="200">
        <f t="shared" si="18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127">
        <f t="shared" si="19"/>
        <v>0</v>
      </c>
      <c r="AD49" s="72">
        <f t="shared" si="20"/>
        <v>0</v>
      </c>
      <c r="AE49" s="192" t="e">
        <f t="shared" si="21"/>
        <v>#DIV/0!</v>
      </c>
      <c r="AF49" s="129">
        <v>0</v>
      </c>
      <c r="AG49" s="124">
        <f t="shared" si="15"/>
        <v>0</v>
      </c>
    </row>
    <row r="50" spans="1:33">
      <c r="A50" s="105" t="s">
        <v>195</v>
      </c>
      <c r="B50" s="105" t="s">
        <v>391</v>
      </c>
      <c r="C50" s="105" t="s">
        <v>196</v>
      </c>
      <c r="J50" s="141"/>
      <c r="K50" s="141"/>
      <c r="L50" s="141"/>
      <c r="M50" s="141"/>
      <c r="N50" s="141"/>
      <c r="O50" s="141"/>
      <c r="P50" s="200">
        <f t="shared" si="18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19"/>
        <v>0</v>
      </c>
      <c r="AD50" s="72">
        <f t="shared" si="20"/>
        <v>0</v>
      </c>
      <c r="AE50" s="192" t="e">
        <f t="shared" si="21"/>
        <v>#DIV/0!</v>
      </c>
      <c r="AF50" s="129">
        <v>0</v>
      </c>
      <c r="AG50" s="124">
        <f t="shared" si="15"/>
        <v>0</v>
      </c>
    </row>
    <row r="51" spans="1:33">
      <c r="A51" s="105" t="s">
        <v>197</v>
      </c>
      <c r="B51" s="105" t="s">
        <v>391</v>
      </c>
      <c r="C51" s="105" t="s">
        <v>305</v>
      </c>
      <c r="J51" s="231"/>
      <c r="K51" s="231"/>
      <c r="L51" s="231"/>
      <c r="M51" s="231"/>
      <c r="N51" s="231"/>
      <c r="O51" s="231"/>
      <c r="P51" s="200">
        <f t="shared" si="18"/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19"/>
        <v>0</v>
      </c>
      <c r="AD51" s="72">
        <f t="shared" si="20"/>
        <v>0</v>
      </c>
      <c r="AE51" s="192" t="e">
        <f t="shared" si="21"/>
        <v>#DIV/0!</v>
      </c>
      <c r="AF51" s="129">
        <v>0</v>
      </c>
      <c r="AG51" s="124">
        <f t="shared" si="15"/>
        <v>0</v>
      </c>
    </row>
    <row r="52" spans="1:33">
      <c r="A52" s="105" t="s">
        <v>434</v>
      </c>
      <c r="B52" s="105" t="s">
        <v>391</v>
      </c>
      <c r="C52" s="105" t="s">
        <v>435</v>
      </c>
      <c r="J52" s="231"/>
      <c r="K52" s="231"/>
      <c r="L52" s="231"/>
      <c r="M52" s="231"/>
      <c r="N52" s="231"/>
      <c r="O52" s="231"/>
      <c r="P52" s="200">
        <f t="shared" si="18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19"/>
        <v>0</v>
      </c>
      <c r="AD52" s="72">
        <f t="shared" si="20"/>
        <v>0</v>
      </c>
      <c r="AE52" s="192" t="e">
        <f t="shared" si="21"/>
        <v>#DIV/0!</v>
      </c>
      <c r="AF52" s="129">
        <v>0</v>
      </c>
      <c r="AG52" s="124">
        <f t="shared" si="15"/>
        <v>0</v>
      </c>
    </row>
    <row r="53" spans="1:33">
      <c r="A53" s="105" t="s">
        <v>436</v>
      </c>
      <c r="B53" s="105" t="s">
        <v>391</v>
      </c>
      <c r="C53" s="105" t="s">
        <v>437</v>
      </c>
      <c r="J53" s="231"/>
      <c r="K53" s="231"/>
      <c r="L53" s="231"/>
      <c r="M53" s="231"/>
      <c r="N53" s="231"/>
      <c r="O53" s="231"/>
      <c r="P53" s="200">
        <f t="shared" si="18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19"/>
        <v>0</v>
      </c>
      <c r="AD53" s="72">
        <f t="shared" si="20"/>
        <v>0</v>
      </c>
      <c r="AE53" s="192" t="e">
        <f t="shared" si="21"/>
        <v>#DIV/0!</v>
      </c>
      <c r="AF53" s="129">
        <v>0</v>
      </c>
      <c r="AG53" s="124">
        <f t="shared" si="15"/>
        <v>0</v>
      </c>
    </row>
    <row r="54" spans="1:33">
      <c r="A54" s="105" t="s">
        <v>199</v>
      </c>
      <c r="B54" s="105" t="s">
        <v>391</v>
      </c>
      <c r="C54" s="105" t="s">
        <v>200</v>
      </c>
      <c r="J54" s="231"/>
      <c r="K54" s="231"/>
      <c r="L54" s="231"/>
      <c r="M54" s="231"/>
      <c r="N54" s="231"/>
      <c r="O54" s="231"/>
      <c r="P54" s="200">
        <f t="shared" si="18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19"/>
        <v>0</v>
      </c>
      <c r="AD54" s="72">
        <f t="shared" si="20"/>
        <v>0</v>
      </c>
      <c r="AE54" s="192" t="e">
        <f t="shared" si="21"/>
        <v>#DIV/0!</v>
      </c>
      <c r="AF54" s="129">
        <v>0</v>
      </c>
      <c r="AG54" s="124">
        <f t="shared" si="15"/>
        <v>0</v>
      </c>
    </row>
    <row r="55" spans="1:33">
      <c r="A55" s="105" t="s">
        <v>438</v>
      </c>
      <c r="B55" s="105" t="s">
        <v>391</v>
      </c>
      <c r="C55" s="105" t="s">
        <v>439</v>
      </c>
      <c r="J55" s="231"/>
      <c r="K55" s="231"/>
      <c r="L55" s="231"/>
      <c r="M55" s="231"/>
      <c r="N55" s="231"/>
      <c r="O55" s="231"/>
      <c r="P55" s="200">
        <f t="shared" si="18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19"/>
        <v>0</v>
      </c>
      <c r="AD55" s="72">
        <f t="shared" si="20"/>
        <v>0</v>
      </c>
      <c r="AE55" s="192" t="e">
        <f t="shared" si="21"/>
        <v>#DIV/0!</v>
      </c>
      <c r="AF55" s="129">
        <v>0</v>
      </c>
      <c r="AG55" s="124">
        <f t="shared" si="15"/>
        <v>0</v>
      </c>
    </row>
    <row r="56" spans="1:33">
      <c r="A56" s="105" t="s">
        <v>201</v>
      </c>
      <c r="B56" s="105" t="s">
        <v>391</v>
      </c>
      <c r="C56" s="105" t="s">
        <v>202</v>
      </c>
      <c r="J56" s="231"/>
      <c r="K56" s="231"/>
      <c r="L56" s="231"/>
      <c r="M56" s="231"/>
      <c r="N56" s="231"/>
      <c r="O56" s="231"/>
      <c r="P56" s="200">
        <f t="shared" si="18"/>
        <v>0</v>
      </c>
      <c r="Q56" s="72"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19"/>
        <v>0</v>
      </c>
      <c r="AD56" s="72">
        <f t="shared" si="20"/>
        <v>0</v>
      </c>
      <c r="AE56" s="192" t="e">
        <f t="shared" si="21"/>
        <v>#DIV/0!</v>
      </c>
      <c r="AF56" s="129">
        <v>6158</v>
      </c>
      <c r="AG56" s="124">
        <f t="shared" si="15"/>
        <v>6158</v>
      </c>
    </row>
    <row r="57" spans="1:33">
      <c r="A57" s="105" t="s">
        <v>440</v>
      </c>
      <c r="B57" s="105" t="s">
        <v>391</v>
      </c>
      <c r="C57" s="105" t="s">
        <v>441</v>
      </c>
      <c r="J57" s="231"/>
      <c r="K57" s="231"/>
      <c r="L57" s="231"/>
      <c r="M57" s="231"/>
      <c r="N57" s="231"/>
      <c r="O57" s="231"/>
      <c r="P57" s="200">
        <f t="shared" si="18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19"/>
        <v>0</v>
      </c>
      <c r="AD57" s="72">
        <f t="shared" si="20"/>
        <v>0</v>
      </c>
      <c r="AE57" s="192" t="e">
        <f t="shared" si="21"/>
        <v>#DIV/0!</v>
      </c>
      <c r="AF57" s="129">
        <v>0</v>
      </c>
      <c r="AG57" s="124">
        <f t="shared" si="15"/>
        <v>0</v>
      </c>
    </row>
    <row r="58" spans="1:33">
      <c r="A58" s="105" t="s">
        <v>442</v>
      </c>
      <c r="B58" s="105" t="s">
        <v>391</v>
      </c>
      <c r="C58" s="105" t="s">
        <v>443</v>
      </c>
      <c r="J58" s="231"/>
      <c r="K58" s="231"/>
      <c r="L58" s="231"/>
      <c r="M58" s="231"/>
      <c r="N58" s="231"/>
      <c r="O58" s="231"/>
      <c r="P58" s="200">
        <f t="shared" si="18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19"/>
        <v>0</v>
      </c>
      <c r="AD58" s="72">
        <f t="shared" si="20"/>
        <v>0</v>
      </c>
      <c r="AE58" s="192" t="e">
        <f t="shared" si="21"/>
        <v>#DIV/0!</v>
      </c>
      <c r="AF58" s="129">
        <v>0</v>
      </c>
      <c r="AG58" s="124">
        <f t="shared" si="15"/>
        <v>0</v>
      </c>
    </row>
    <row r="59" spans="1:33">
      <c r="A59" s="105" t="s">
        <v>203</v>
      </c>
      <c r="B59" s="105" t="s">
        <v>391</v>
      </c>
      <c r="C59" s="105" t="s">
        <v>204</v>
      </c>
      <c r="J59" s="141"/>
      <c r="K59" s="141"/>
      <c r="L59" s="141"/>
      <c r="M59" s="141"/>
      <c r="N59" s="141"/>
      <c r="O59" s="141"/>
      <c r="P59" s="200">
        <f t="shared" si="18"/>
        <v>0</v>
      </c>
      <c r="Q59" s="72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19"/>
        <v>0</v>
      </c>
      <c r="AD59" s="72">
        <f t="shared" si="20"/>
        <v>0</v>
      </c>
      <c r="AE59" s="192" t="e">
        <f t="shared" si="21"/>
        <v>#DIV/0!</v>
      </c>
      <c r="AF59" s="129">
        <v>7859.8</v>
      </c>
      <c r="AG59" s="124">
        <f t="shared" si="15"/>
        <v>7859.8</v>
      </c>
    </row>
    <row r="60" spans="1:33">
      <c r="A60" s="105" t="s">
        <v>444</v>
      </c>
      <c r="B60" s="105" t="s">
        <v>391</v>
      </c>
      <c r="C60" s="105" t="s">
        <v>445</v>
      </c>
      <c r="J60" s="231"/>
      <c r="K60" s="231"/>
      <c r="L60" s="231"/>
      <c r="M60" s="231"/>
      <c r="N60" s="231"/>
      <c r="O60" s="231"/>
      <c r="P60" s="200">
        <f t="shared" si="18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19"/>
        <v>0</v>
      </c>
      <c r="AD60" s="72">
        <f t="shared" si="20"/>
        <v>0</v>
      </c>
      <c r="AE60" s="192" t="e">
        <f t="shared" si="21"/>
        <v>#DIV/0!</v>
      </c>
      <c r="AF60" s="129">
        <v>70</v>
      </c>
      <c r="AG60" s="124">
        <f t="shared" si="15"/>
        <v>70</v>
      </c>
    </row>
    <row r="61" spans="1:33">
      <c r="A61" s="105" t="s">
        <v>446</v>
      </c>
      <c r="B61" s="105" t="s">
        <v>391</v>
      </c>
      <c r="C61" s="105" t="s">
        <v>447</v>
      </c>
      <c r="J61" s="231"/>
      <c r="K61" s="231"/>
      <c r="L61" s="231"/>
      <c r="M61" s="231"/>
      <c r="N61" s="231"/>
      <c r="O61" s="231"/>
      <c r="P61" s="200">
        <f t="shared" si="18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19"/>
        <v>0</v>
      </c>
      <c r="AD61" s="72">
        <f t="shared" si="20"/>
        <v>0</v>
      </c>
      <c r="AE61" s="192" t="e">
        <f t="shared" si="21"/>
        <v>#DIV/0!</v>
      </c>
      <c r="AF61" s="129">
        <v>0</v>
      </c>
      <c r="AG61" s="124">
        <f t="shared" si="15"/>
        <v>0</v>
      </c>
    </row>
    <row r="62" spans="1:33">
      <c r="A62" s="105" t="s">
        <v>273</v>
      </c>
      <c r="C62" s="105" t="s">
        <v>448</v>
      </c>
      <c r="J62" s="231"/>
      <c r="K62" s="231"/>
      <c r="L62" s="231"/>
      <c r="M62" s="231"/>
      <c r="N62" s="231"/>
      <c r="O62" s="231"/>
      <c r="P62" s="200">
        <f t="shared" si="18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19"/>
        <v>0</v>
      </c>
      <c r="AD62" s="72">
        <f t="shared" si="20"/>
        <v>0</v>
      </c>
      <c r="AE62" s="192" t="e">
        <f t="shared" si="21"/>
        <v>#DIV/0!</v>
      </c>
      <c r="AF62" s="129">
        <v>0</v>
      </c>
      <c r="AG62" s="124">
        <f t="shared" si="15"/>
        <v>0</v>
      </c>
    </row>
    <row r="63" spans="1:33">
      <c r="A63" s="105" t="s">
        <v>207</v>
      </c>
      <c r="B63" s="105" t="s">
        <v>391</v>
      </c>
      <c r="C63" s="105" t="s">
        <v>208</v>
      </c>
      <c r="J63" s="231"/>
      <c r="K63" s="231"/>
      <c r="L63" s="231"/>
      <c r="M63" s="231"/>
      <c r="N63" s="231"/>
      <c r="O63" s="231"/>
      <c r="P63" s="200">
        <f t="shared" si="18"/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19"/>
        <v>0</v>
      </c>
      <c r="AD63" s="72">
        <f t="shared" si="20"/>
        <v>0</v>
      </c>
      <c r="AE63" s="192" t="e">
        <f t="shared" si="21"/>
        <v>#DIV/0!</v>
      </c>
      <c r="AF63" s="129">
        <v>0</v>
      </c>
      <c r="AG63" s="124">
        <f t="shared" si="15"/>
        <v>0</v>
      </c>
    </row>
    <row r="64" spans="1:33">
      <c r="A64" s="105" t="s">
        <v>449</v>
      </c>
      <c r="B64" s="105" t="s">
        <v>391</v>
      </c>
      <c r="C64" s="105" t="s">
        <v>450</v>
      </c>
      <c r="J64" s="231"/>
      <c r="K64" s="231"/>
      <c r="L64" s="231"/>
      <c r="M64" s="231"/>
      <c r="N64" s="231"/>
      <c r="O64" s="231"/>
      <c r="P64" s="200">
        <f t="shared" si="18"/>
        <v>0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19"/>
        <v>571.75</v>
      </c>
      <c r="AD64" s="72">
        <f t="shared" si="20"/>
        <v>-571.75</v>
      </c>
      <c r="AE64" s="192">
        <f t="shared" si="21"/>
        <v>-1</v>
      </c>
      <c r="AF64" s="129">
        <v>2015.1300000000003</v>
      </c>
      <c r="AG64" s="124">
        <f t="shared" si="15"/>
        <v>2015.1300000000003</v>
      </c>
    </row>
    <row r="65" spans="1:33">
      <c r="A65" s="105" t="s">
        <v>273</v>
      </c>
      <c r="C65" s="105" t="s">
        <v>451</v>
      </c>
      <c r="J65" s="231"/>
      <c r="K65" s="231"/>
      <c r="L65" s="231"/>
      <c r="M65" s="231"/>
      <c r="N65" s="231"/>
      <c r="O65" s="231"/>
      <c r="P65" s="200">
        <f t="shared" si="18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19"/>
        <v>0</v>
      </c>
      <c r="AD65" s="72">
        <f t="shared" si="20"/>
        <v>0</v>
      </c>
      <c r="AE65" s="192" t="e">
        <f t="shared" si="21"/>
        <v>#DIV/0!</v>
      </c>
      <c r="AF65" s="129">
        <v>0</v>
      </c>
      <c r="AG65" s="124">
        <f t="shared" si="15"/>
        <v>0</v>
      </c>
    </row>
    <row r="66" spans="1:33">
      <c r="A66" s="105" t="s">
        <v>452</v>
      </c>
      <c r="B66" s="105" t="s">
        <v>391</v>
      </c>
      <c r="C66" s="105" t="s">
        <v>453</v>
      </c>
      <c r="J66" s="231"/>
      <c r="K66" s="231"/>
      <c r="L66" s="231"/>
      <c r="M66" s="231"/>
      <c r="N66" s="231"/>
      <c r="O66" s="231"/>
      <c r="P66" s="200">
        <f t="shared" si="18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19"/>
        <v>0</v>
      </c>
      <c r="AD66" s="72">
        <f t="shared" si="20"/>
        <v>0</v>
      </c>
      <c r="AE66" s="192" t="e">
        <f t="shared" si="21"/>
        <v>#DIV/0!</v>
      </c>
      <c r="AF66" s="129">
        <v>0</v>
      </c>
      <c r="AG66" s="124">
        <f t="shared" si="15"/>
        <v>0</v>
      </c>
    </row>
    <row r="67" spans="1:33">
      <c r="A67" s="105" t="s">
        <v>454</v>
      </c>
      <c r="B67" s="105" t="s">
        <v>391</v>
      </c>
      <c r="C67" s="105" t="s">
        <v>455</v>
      </c>
      <c r="D67" s="136"/>
      <c r="E67" s="136"/>
      <c r="F67" s="136"/>
      <c r="G67" s="136"/>
      <c r="H67" s="136"/>
      <c r="I67" s="136"/>
      <c r="J67" s="231"/>
      <c r="K67" s="231"/>
      <c r="L67" s="231"/>
      <c r="M67" s="231"/>
      <c r="N67" s="231"/>
      <c r="O67" s="231"/>
      <c r="P67" s="200">
        <f t="shared" si="18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19"/>
        <v>0</v>
      </c>
      <c r="AD67" s="72">
        <f t="shared" si="20"/>
        <v>0</v>
      </c>
      <c r="AE67" s="192" t="e">
        <f t="shared" si="21"/>
        <v>#DIV/0!</v>
      </c>
      <c r="AF67" s="133">
        <v>0</v>
      </c>
      <c r="AG67" s="124">
        <f t="shared" si="15"/>
        <v>0</v>
      </c>
    </row>
    <row r="68" spans="1:33">
      <c r="A68" s="105" t="s">
        <v>456</v>
      </c>
      <c r="B68" s="105" t="s">
        <v>391</v>
      </c>
      <c r="C68" s="105" t="s">
        <v>457</v>
      </c>
      <c r="D68" s="136"/>
      <c r="E68" s="136"/>
      <c r="F68" s="136"/>
      <c r="G68" s="136"/>
      <c r="H68" s="136"/>
      <c r="I68" s="136"/>
      <c r="J68" s="231"/>
      <c r="K68" s="231"/>
      <c r="L68" s="231"/>
      <c r="M68" s="231"/>
      <c r="N68" s="231"/>
      <c r="O68" s="231"/>
      <c r="P68" s="200">
        <f t="shared" si="18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19"/>
        <v>0</v>
      </c>
      <c r="AD68" s="72">
        <f t="shared" si="20"/>
        <v>0</v>
      </c>
      <c r="AE68" s="192" t="e">
        <f t="shared" si="21"/>
        <v>#DIV/0!</v>
      </c>
      <c r="AF68" s="133">
        <v>0</v>
      </c>
      <c r="AG68" s="124">
        <f t="shared" si="15"/>
        <v>0</v>
      </c>
    </row>
    <row r="69" spans="1:33">
      <c r="A69" s="105" t="s">
        <v>551</v>
      </c>
      <c r="C69" s="105" t="s">
        <v>458</v>
      </c>
      <c r="D69" s="136"/>
      <c r="E69" s="136"/>
      <c r="F69" s="136"/>
      <c r="G69" s="136"/>
      <c r="H69" s="136"/>
      <c r="I69" s="136"/>
      <c r="J69" s="231"/>
      <c r="K69" s="231"/>
      <c r="L69" s="231"/>
      <c r="M69" s="231"/>
      <c r="N69" s="231"/>
      <c r="O69" s="231"/>
      <c r="P69" s="200">
        <f t="shared" si="18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19"/>
        <v>0</v>
      </c>
      <c r="AD69" s="72">
        <f t="shared" si="20"/>
        <v>0</v>
      </c>
      <c r="AE69" s="192" t="e">
        <f t="shared" si="21"/>
        <v>#DIV/0!</v>
      </c>
      <c r="AF69" s="133">
        <v>0</v>
      </c>
      <c r="AG69" s="124">
        <f t="shared" si="15"/>
        <v>0</v>
      </c>
    </row>
    <row r="70" spans="1:33">
      <c r="A70" s="105" t="s">
        <v>209</v>
      </c>
      <c r="B70" s="105" t="s">
        <v>391</v>
      </c>
      <c r="C70" s="105" t="s">
        <v>210</v>
      </c>
      <c r="D70" s="136"/>
      <c r="E70" s="136"/>
      <c r="F70" s="136"/>
      <c r="G70" s="136"/>
      <c r="H70" s="136"/>
      <c r="I70" s="136"/>
      <c r="J70" s="231"/>
      <c r="K70" s="231"/>
      <c r="L70" s="231"/>
      <c r="M70" s="231"/>
      <c r="N70" s="231"/>
      <c r="O70" s="231"/>
      <c r="P70" s="200">
        <f t="shared" si="18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19"/>
        <v>0</v>
      </c>
      <c r="AD70" s="72">
        <f t="shared" si="20"/>
        <v>0</v>
      </c>
      <c r="AE70" s="192" t="e">
        <f t="shared" si="21"/>
        <v>#DIV/0!</v>
      </c>
      <c r="AF70" s="133">
        <v>0</v>
      </c>
      <c r="AG70" s="124">
        <f t="shared" si="15"/>
        <v>0</v>
      </c>
    </row>
    <row r="71" spans="1:33">
      <c r="A71" s="105" t="s">
        <v>211</v>
      </c>
      <c r="B71" s="105" t="s">
        <v>391</v>
      </c>
      <c r="C71" s="105" t="s">
        <v>212</v>
      </c>
      <c r="D71" s="136"/>
      <c r="E71" s="136"/>
      <c r="F71" s="136"/>
      <c r="G71" s="136"/>
      <c r="H71" s="136"/>
      <c r="I71" s="136"/>
      <c r="J71" s="231"/>
      <c r="K71" s="231"/>
      <c r="L71" s="231"/>
      <c r="M71" s="231"/>
      <c r="N71" s="231"/>
      <c r="O71" s="231"/>
      <c r="P71" s="200">
        <f t="shared" si="18"/>
        <v>0</v>
      </c>
      <c r="Q71" s="136">
        <v>0</v>
      </c>
      <c r="R71" s="136">
        <v>0</v>
      </c>
      <c r="S71" s="136">
        <v>0</v>
      </c>
      <c r="T71" s="136">
        <v>0</v>
      </c>
      <c r="U71" s="136">
        <v>0</v>
      </c>
      <c r="V71" s="136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137">
        <f t="shared" si="19"/>
        <v>0</v>
      </c>
      <c r="AD71" s="72">
        <f t="shared" si="20"/>
        <v>0</v>
      </c>
      <c r="AE71" s="192" t="e">
        <f t="shared" si="21"/>
        <v>#DIV/0!</v>
      </c>
      <c r="AF71" s="133">
        <v>442.17</v>
      </c>
      <c r="AG71" s="124">
        <f t="shared" si="15"/>
        <v>442.17</v>
      </c>
    </row>
    <row r="72" spans="1:33">
      <c r="A72" s="105" t="s">
        <v>213</v>
      </c>
      <c r="B72" s="105" t="s">
        <v>391</v>
      </c>
      <c r="C72" s="105" t="s">
        <v>214</v>
      </c>
      <c r="D72" s="222">
        <f>Laundry!E132</f>
        <v>0</v>
      </c>
      <c r="E72" s="222">
        <f>Laundry!F132</f>
        <v>0</v>
      </c>
      <c r="F72" s="222">
        <f>Laundry!G132</f>
        <v>0</v>
      </c>
      <c r="G72" s="222">
        <f>Laundry!H132</f>
        <v>0</v>
      </c>
      <c r="H72" s="222">
        <f>Laundry!I132</f>
        <v>0</v>
      </c>
      <c r="I72" s="222">
        <f>Laundry!J132</f>
        <v>0</v>
      </c>
      <c r="J72" s="222">
        <f>Laundry!K132</f>
        <v>0</v>
      </c>
      <c r="K72" s="222">
        <f>Laundry!L132</f>
        <v>0</v>
      </c>
      <c r="L72" s="222">
        <f>Laundry!M132</f>
        <v>0</v>
      </c>
      <c r="M72" s="222">
        <f>Laundry!N132</f>
        <v>0</v>
      </c>
      <c r="N72" s="222">
        <f>Laundry!O132</f>
        <v>0</v>
      </c>
      <c r="O72" s="222">
        <f>Laundry!P132</f>
        <v>0</v>
      </c>
      <c r="P72" s="200">
        <f t="shared" si="18"/>
        <v>0</v>
      </c>
      <c r="Q72" s="136">
        <v>0</v>
      </c>
      <c r="R72" s="136">
        <v>0</v>
      </c>
      <c r="S72" s="136">
        <v>0</v>
      </c>
      <c r="T72" s="136">
        <v>0</v>
      </c>
      <c r="U72" s="136">
        <v>0</v>
      </c>
      <c r="V72" s="136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137">
        <f t="shared" si="19"/>
        <v>0</v>
      </c>
      <c r="AD72" s="72">
        <f t="shared" si="20"/>
        <v>0</v>
      </c>
      <c r="AE72" s="192" t="e">
        <f t="shared" si="21"/>
        <v>#DIV/0!</v>
      </c>
      <c r="AF72" s="133">
        <v>504.96999999999991</v>
      </c>
      <c r="AG72" s="124">
        <f t="shared" si="15"/>
        <v>504.96999999999991</v>
      </c>
    </row>
    <row r="73" spans="1:33">
      <c r="A73" s="105" t="s">
        <v>306</v>
      </c>
      <c r="B73" s="105" t="s">
        <v>391</v>
      </c>
      <c r="C73" s="105" t="s">
        <v>206</v>
      </c>
      <c r="D73" s="136"/>
      <c r="E73" s="136"/>
      <c r="F73" s="136"/>
      <c r="G73" s="136"/>
      <c r="H73" s="136"/>
      <c r="I73" s="136"/>
      <c r="J73" s="231"/>
      <c r="K73" s="231"/>
      <c r="L73" s="231"/>
      <c r="M73" s="231"/>
      <c r="N73" s="231"/>
      <c r="O73" s="231"/>
      <c r="P73" s="200">
        <f t="shared" si="18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19"/>
        <v>0</v>
      </c>
      <c r="AD73" s="72">
        <f t="shared" si="20"/>
        <v>0</v>
      </c>
      <c r="AE73" s="192" t="e">
        <f t="shared" si="21"/>
        <v>#DIV/0!</v>
      </c>
      <c r="AF73" s="133">
        <v>0</v>
      </c>
      <c r="AG73" s="124">
        <f t="shared" si="15"/>
        <v>0</v>
      </c>
    </row>
    <row r="74" spans="1:33">
      <c r="A74" s="105" t="s">
        <v>215</v>
      </c>
      <c r="B74" s="105" t="s">
        <v>391</v>
      </c>
      <c r="C74" s="105" t="s">
        <v>216</v>
      </c>
      <c r="D74" s="136"/>
      <c r="E74" s="136"/>
      <c r="F74" s="136"/>
      <c r="G74" s="136"/>
      <c r="H74" s="136"/>
      <c r="I74" s="136"/>
      <c r="J74" s="231"/>
      <c r="K74" s="231"/>
      <c r="L74" s="231"/>
      <c r="M74" s="231"/>
      <c r="N74" s="231"/>
      <c r="O74" s="231"/>
      <c r="P74" s="200">
        <f t="shared" si="18"/>
        <v>0</v>
      </c>
      <c r="Q74" s="136"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72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137">
        <f t="shared" si="19"/>
        <v>0</v>
      </c>
      <c r="AD74" s="72">
        <f t="shared" si="20"/>
        <v>0</v>
      </c>
      <c r="AE74" s="192" t="e">
        <f t="shared" si="21"/>
        <v>#DIV/0!</v>
      </c>
      <c r="AF74" s="133">
        <v>0</v>
      </c>
      <c r="AG74" s="124">
        <f t="shared" si="15"/>
        <v>0</v>
      </c>
    </row>
    <row r="75" spans="1:33">
      <c r="A75" s="105" t="s">
        <v>217</v>
      </c>
      <c r="B75" s="105" t="s">
        <v>391</v>
      </c>
      <c r="C75" s="105" t="s">
        <v>218</v>
      </c>
      <c r="D75" s="136"/>
      <c r="E75" s="136"/>
      <c r="F75" s="136"/>
      <c r="G75" s="136"/>
      <c r="H75" s="136"/>
      <c r="I75" s="136"/>
      <c r="J75" s="231"/>
      <c r="K75" s="231"/>
      <c r="L75" s="231"/>
      <c r="M75" s="231"/>
      <c r="N75" s="231"/>
      <c r="O75" s="231"/>
      <c r="P75" s="200">
        <f t="shared" si="18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19"/>
        <v>0</v>
      </c>
      <c r="AD75" s="72">
        <f t="shared" si="20"/>
        <v>0</v>
      </c>
      <c r="AE75" s="192" t="e">
        <f t="shared" si="21"/>
        <v>#DIV/0!</v>
      </c>
      <c r="AF75" s="133">
        <v>71.400000000000006</v>
      </c>
      <c r="AG75" s="124">
        <f t="shared" si="15"/>
        <v>71.400000000000006</v>
      </c>
    </row>
    <row r="76" spans="1:33">
      <c r="A76" s="105" t="s">
        <v>219</v>
      </c>
      <c r="B76" s="105" t="s">
        <v>391</v>
      </c>
      <c r="C76" s="105" t="s">
        <v>220</v>
      </c>
      <c r="D76" s="136"/>
      <c r="E76" s="136"/>
      <c r="F76" s="136"/>
      <c r="G76" s="136"/>
      <c r="H76" s="136"/>
      <c r="I76" s="136"/>
      <c r="J76" s="231"/>
      <c r="K76" s="231"/>
      <c r="L76" s="231"/>
      <c r="M76" s="231"/>
      <c r="N76" s="231"/>
      <c r="O76" s="231"/>
      <c r="P76" s="200">
        <f t="shared" si="18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19"/>
        <v>0</v>
      </c>
      <c r="AD76" s="72">
        <f t="shared" si="20"/>
        <v>0</v>
      </c>
      <c r="AE76" s="192" t="e">
        <f t="shared" si="21"/>
        <v>#DIV/0!</v>
      </c>
      <c r="AF76" s="133">
        <v>0</v>
      </c>
      <c r="AG76" s="124">
        <f t="shared" si="15"/>
        <v>0</v>
      </c>
    </row>
    <row r="77" spans="1:33">
      <c r="A77" s="105" t="s">
        <v>273</v>
      </c>
      <c r="C77" s="105" t="s">
        <v>459</v>
      </c>
      <c r="D77" s="136"/>
      <c r="E77" s="136"/>
      <c r="F77" s="136"/>
      <c r="G77" s="136"/>
      <c r="H77" s="136"/>
      <c r="I77" s="136"/>
      <c r="J77" s="231"/>
      <c r="K77" s="231"/>
      <c r="L77" s="231"/>
      <c r="M77" s="231"/>
      <c r="N77" s="231"/>
      <c r="O77" s="231"/>
      <c r="P77" s="200">
        <f t="shared" si="18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19"/>
        <v>0</v>
      </c>
      <c r="AD77" s="72">
        <f t="shared" si="20"/>
        <v>0</v>
      </c>
      <c r="AE77" s="192" t="e">
        <f t="shared" si="21"/>
        <v>#DIV/0!</v>
      </c>
      <c r="AF77" s="133">
        <v>0</v>
      </c>
      <c r="AG77" s="124">
        <f t="shared" si="15"/>
        <v>0</v>
      </c>
    </row>
    <row r="78" spans="1:33">
      <c r="A78" s="105" t="s">
        <v>221</v>
      </c>
      <c r="B78" s="105" t="s">
        <v>391</v>
      </c>
      <c r="C78" s="105" t="s">
        <v>222</v>
      </c>
      <c r="D78" s="136"/>
      <c r="E78" s="136"/>
      <c r="F78" s="136"/>
      <c r="G78" s="136"/>
      <c r="H78" s="136"/>
      <c r="I78" s="136"/>
      <c r="J78" s="231"/>
      <c r="K78" s="231"/>
      <c r="L78" s="231"/>
      <c r="M78" s="231"/>
      <c r="N78" s="231"/>
      <c r="O78" s="231"/>
      <c r="P78" s="200">
        <f t="shared" si="18"/>
        <v>0</v>
      </c>
      <c r="Q78" s="136">
        <v>0</v>
      </c>
      <c r="R78" s="136">
        <v>0</v>
      </c>
      <c r="S78" s="136">
        <v>0</v>
      </c>
      <c r="T78" s="136">
        <v>0</v>
      </c>
      <c r="U78" s="136">
        <v>0</v>
      </c>
      <c r="V78" s="136">
        <v>0</v>
      </c>
      <c r="W78" s="72">
        <v>0</v>
      </c>
      <c r="X78" s="72">
        <v>0</v>
      </c>
      <c r="Y78" s="72">
        <v>0</v>
      </c>
      <c r="Z78" s="72">
        <v>0</v>
      </c>
      <c r="AA78" s="72">
        <v>0</v>
      </c>
      <c r="AB78" s="72">
        <v>0</v>
      </c>
      <c r="AC78" s="137">
        <f t="shared" si="19"/>
        <v>0</v>
      </c>
      <c r="AD78" s="72">
        <f t="shared" si="20"/>
        <v>0</v>
      </c>
      <c r="AE78" s="192" t="e">
        <f t="shared" si="21"/>
        <v>#DIV/0!</v>
      </c>
      <c r="AF78" s="133">
        <v>36</v>
      </c>
      <c r="AG78" s="124">
        <f t="shared" si="15"/>
        <v>36</v>
      </c>
    </row>
    <row r="79" spans="1:33">
      <c r="A79" s="105" t="s">
        <v>505</v>
      </c>
      <c r="B79" s="105" t="s">
        <v>391</v>
      </c>
      <c r="C79" s="105" t="s">
        <v>506</v>
      </c>
      <c r="D79" s="223">
        <f>SUM('F&amp;B Admin:Main Kichen'!D165)</f>
        <v>0</v>
      </c>
      <c r="E79" s="223">
        <f>SUM('F&amp;B Admin:Main Kichen'!E165)</f>
        <v>0</v>
      </c>
      <c r="F79" s="223">
        <f>SUM('F&amp;B Admin:Main Kichen'!F165)</f>
        <v>0</v>
      </c>
      <c r="G79" s="223">
        <f>SUM('F&amp;B Admin:Main Kichen'!G165)</f>
        <v>0</v>
      </c>
      <c r="H79" s="223">
        <f>SUM('F&amp;B Admin:Main Kichen'!H165)</f>
        <v>0</v>
      </c>
      <c r="I79" s="223">
        <f>SUM('F&amp;B Admin:Main Kichen'!I165)</f>
        <v>0</v>
      </c>
      <c r="J79" s="223">
        <f>SUM('F&amp;B Admin:Main Kichen'!J165)</f>
        <v>0</v>
      </c>
      <c r="K79" s="223">
        <f>SUM('F&amp;B Admin:Main Kichen'!K165)</f>
        <v>0</v>
      </c>
      <c r="L79" s="223">
        <f>SUM('F&amp;B Admin:Main Kichen'!L165)</f>
        <v>0</v>
      </c>
      <c r="M79" s="223">
        <f>SUM('F&amp;B Admin:Main Kichen'!M165)</f>
        <v>0</v>
      </c>
      <c r="N79" s="223">
        <f>SUM('F&amp;B Admin:Main Kichen'!N165)</f>
        <v>0</v>
      </c>
      <c r="O79" s="223">
        <f>SUM('F&amp;B Admin:Main Kichen'!O165)</f>
        <v>0</v>
      </c>
      <c r="P79" s="135">
        <f>SUM(D79:O79)</f>
        <v>0</v>
      </c>
      <c r="Q79" s="136">
        <v>0</v>
      </c>
      <c r="R79" s="136">
        <v>0</v>
      </c>
      <c r="S79" s="136">
        <v>0</v>
      </c>
      <c r="T79" s="136">
        <v>0</v>
      </c>
      <c r="U79" s="136">
        <v>0</v>
      </c>
      <c r="V79" s="136">
        <v>0</v>
      </c>
      <c r="W79" s="72">
        <v>0</v>
      </c>
      <c r="X79" s="72">
        <v>0</v>
      </c>
      <c r="Y79" s="72">
        <v>0</v>
      </c>
      <c r="Z79" s="72">
        <v>0</v>
      </c>
      <c r="AA79" s="72">
        <v>0</v>
      </c>
      <c r="AB79" s="72">
        <v>0</v>
      </c>
      <c r="AC79" s="137">
        <f t="shared" si="19"/>
        <v>0</v>
      </c>
      <c r="AD79" s="72">
        <f t="shared" si="20"/>
        <v>0</v>
      </c>
      <c r="AE79" s="192" t="e">
        <f t="shared" si="21"/>
        <v>#DIV/0!</v>
      </c>
      <c r="AF79" s="133">
        <v>1833.0199999999995</v>
      </c>
      <c r="AG79" s="124">
        <f t="shared" si="15"/>
        <v>1833.0199999999995</v>
      </c>
    </row>
    <row r="80" spans="1:33">
      <c r="C80" s="109" t="s">
        <v>507</v>
      </c>
      <c r="D80" s="137">
        <f t="shared" ref="D80:O80" si="23">SUM(D38:D79)</f>
        <v>0</v>
      </c>
      <c r="E80" s="137">
        <f t="shared" si="23"/>
        <v>0</v>
      </c>
      <c r="F80" s="137">
        <f t="shared" si="23"/>
        <v>0</v>
      </c>
      <c r="G80" s="137">
        <f t="shared" si="23"/>
        <v>0</v>
      </c>
      <c r="H80" s="137">
        <f t="shared" si="23"/>
        <v>0</v>
      </c>
      <c r="I80" s="137">
        <f t="shared" si="23"/>
        <v>0</v>
      </c>
      <c r="J80" s="137">
        <f t="shared" si="23"/>
        <v>0</v>
      </c>
      <c r="K80" s="137">
        <f t="shared" si="23"/>
        <v>0</v>
      </c>
      <c r="L80" s="137">
        <f t="shared" si="23"/>
        <v>0</v>
      </c>
      <c r="M80" s="137">
        <f t="shared" si="23"/>
        <v>0</v>
      </c>
      <c r="N80" s="137">
        <f t="shared" si="23"/>
        <v>0</v>
      </c>
      <c r="O80" s="137">
        <f t="shared" si="23"/>
        <v>0</v>
      </c>
      <c r="P80" s="135">
        <f>SUM(P38:P79)</f>
        <v>0</v>
      </c>
      <c r="Q80" s="137">
        <f t="shared" ref="Q80:AC80" si="24">SUM(Q38:Q79)</f>
        <v>114.35</v>
      </c>
      <c r="R80" s="137">
        <f t="shared" si="24"/>
        <v>114.35</v>
      </c>
      <c r="S80" s="137">
        <f t="shared" si="24"/>
        <v>114.35</v>
      </c>
      <c r="T80" s="137">
        <f t="shared" si="24"/>
        <v>114.35</v>
      </c>
      <c r="U80" s="137">
        <f t="shared" si="24"/>
        <v>114.35</v>
      </c>
      <c r="V80" s="137">
        <f t="shared" si="24"/>
        <v>0</v>
      </c>
      <c r="W80" s="137">
        <f t="shared" si="24"/>
        <v>0</v>
      </c>
      <c r="X80" s="137">
        <f t="shared" si="24"/>
        <v>0</v>
      </c>
      <c r="Y80" s="137">
        <f t="shared" si="24"/>
        <v>0</v>
      </c>
      <c r="Z80" s="137">
        <f t="shared" si="24"/>
        <v>0</v>
      </c>
      <c r="AA80" s="137">
        <f t="shared" si="24"/>
        <v>0</v>
      </c>
      <c r="AB80" s="137">
        <f t="shared" si="24"/>
        <v>0</v>
      </c>
      <c r="AC80" s="137">
        <f t="shared" si="24"/>
        <v>571.75</v>
      </c>
      <c r="AD80" s="72">
        <f t="shared" si="20"/>
        <v>-571.75</v>
      </c>
      <c r="AE80" s="192">
        <f t="shared" si="21"/>
        <v>-1</v>
      </c>
      <c r="AF80" s="133">
        <v>22961.49</v>
      </c>
      <c r="AG80" s="124">
        <f t="shared" si="15"/>
        <v>22961.49</v>
      </c>
    </row>
    <row r="81" spans="1:33">
      <c r="C81" s="109" t="s">
        <v>508</v>
      </c>
      <c r="D81" s="137">
        <f t="shared" ref="D81:AC81" si="25">D27-D33-D35-D80</f>
        <v>0</v>
      </c>
      <c r="E81" s="137">
        <f t="shared" si="25"/>
        <v>0</v>
      </c>
      <c r="F81" s="137">
        <f t="shared" si="25"/>
        <v>0</v>
      </c>
      <c r="G81" s="137">
        <f t="shared" si="25"/>
        <v>0</v>
      </c>
      <c r="H81" s="137">
        <f t="shared" si="25"/>
        <v>0</v>
      </c>
      <c r="I81" s="137">
        <f t="shared" si="25"/>
        <v>0</v>
      </c>
      <c r="J81" s="137">
        <f t="shared" si="25"/>
        <v>0</v>
      </c>
      <c r="K81" s="137">
        <f t="shared" si="25"/>
        <v>0</v>
      </c>
      <c r="L81" s="137">
        <f t="shared" si="25"/>
        <v>0</v>
      </c>
      <c r="M81" s="137">
        <f t="shared" si="25"/>
        <v>0</v>
      </c>
      <c r="N81" s="137">
        <f t="shared" si="25"/>
        <v>0</v>
      </c>
      <c r="O81" s="137">
        <f t="shared" si="25"/>
        <v>0</v>
      </c>
      <c r="P81" s="135">
        <f t="shared" si="25"/>
        <v>0</v>
      </c>
      <c r="Q81" s="137">
        <f t="shared" si="25"/>
        <v>-114.35</v>
      </c>
      <c r="R81" s="137">
        <f t="shared" si="25"/>
        <v>-114.35</v>
      </c>
      <c r="S81" s="137">
        <f t="shared" si="25"/>
        <v>-114.35</v>
      </c>
      <c r="T81" s="137">
        <f t="shared" si="25"/>
        <v>765.85</v>
      </c>
      <c r="U81" s="137">
        <f t="shared" si="25"/>
        <v>-114.35</v>
      </c>
      <c r="V81" s="137">
        <f t="shared" si="25"/>
        <v>0</v>
      </c>
      <c r="W81" s="137">
        <f t="shared" si="25"/>
        <v>0</v>
      </c>
      <c r="X81" s="137">
        <f t="shared" si="25"/>
        <v>0</v>
      </c>
      <c r="Y81" s="137">
        <f t="shared" si="25"/>
        <v>0</v>
      </c>
      <c r="Z81" s="137">
        <f t="shared" si="25"/>
        <v>0</v>
      </c>
      <c r="AA81" s="137">
        <f t="shared" si="25"/>
        <v>0</v>
      </c>
      <c r="AB81" s="137">
        <f t="shared" si="25"/>
        <v>0</v>
      </c>
      <c r="AC81" s="137">
        <f t="shared" si="25"/>
        <v>308.45000000000005</v>
      </c>
      <c r="AD81" s="72">
        <f t="shared" si="20"/>
        <v>-308.45000000000005</v>
      </c>
      <c r="AE81" s="192">
        <f t="shared" si="21"/>
        <v>-1</v>
      </c>
      <c r="AF81" s="133">
        <v>121330.05999999998</v>
      </c>
      <c r="AG81" s="124">
        <f>P81-AF81</f>
        <v>-121330.05999999998</v>
      </c>
    </row>
    <row r="82" spans="1:33">
      <c r="C82" s="109" t="s">
        <v>509</v>
      </c>
      <c r="D82" s="213" t="e">
        <f t="shared" ref="D82:AC82" si="26">D81/D27</f>
        <v>#DIV/0!</v>
      </c>
      <c r="E82" s="213" t="e">
        <f t="shared" si="26"/>
        <v>#DIV/0!</v>
      </c>
      <c r="F82" s="213" t="e">
        <f t="shared" si="26"/>
        <v>#DIV/0!</v>
      </c>
      <c r="G82" s="213" t="e">
        <f t="shared" si="26"/>
        <v>#DIV/0!</v>
      </c>
      <c r="H82" s="213" t="e">
        <f t="shared" si="26"/>
        <v>#DIV/0!</v>
      </c>
      <c r="I82" s="213" t="e">
        <f t="shared" si="26"/>
        <v>#DIV/0!</v>
      </c>
      <c r="J82" s="213" t="e">
        <f t="shared" si="26"/>
        <v>#DIV/0!</v>
      </c>
      <c r="K82" s="213" t="e">
        <f t="shared" si="26"/>
        <v>#DIV/0!</v>
      </c>
      <c r="L82" s="213" t="e">
        <f t="shared" si="26"/>
        <v>#DIV/0!</v>
      </c>
      <c r="M82" s="213" t="e">
        <f t="shared" si="26"/>
        <v>#DIV/0!</v>
      </c>
      <c r="N82" s="213" t="e">
        <f t="shared" si="26"/>
        <v>#DIV/0!</v>
      </c>
      <c r="O82" s="213" t="e">
        <f t="shared" si="26"/>
        <v>#DIV/0!</v>
      </c>
      <c r="P82" s="213" t="e">
        <f t="shared" si="26"/>
        <v>#DIV/0!</v>
      </c>
      <c r="Q82" s="213" t="e">
        <f t="shared" si="26"/>
        <v>#DIV/0!</v>
      </c>
      <c r="R82" s="213" t="e">
        <f t="shared" si="26"/>
        <v>#DIV/0!</v>
      </c>
      <c r="S82" s="213" t="e">
        <f t="shared" si="26"/>
        <v>#DIV/0!</v>
      </c>
      <c r="T82" s="213">
        <f t="shared" si="26"/>
        <v>0.87008634401272433</v>
      </c>
      <c r="U82" s="213" t="e">
        <f t="shared" si="26"/>
        <v>#DIV/0!</v>
      </c>
      <c r="V82" s="213" t="e">
        <f t="shared" si="26"/>
        <v>#DIV/0!</v>
      </c>
      <c r="W82" s="213" t="e">
        <f t="shared" si="26"/>
        <v>#DIV/0!</v>
      </c>
      <c r="X82" s="213" t="e">
        <f t="shared" si="26"/>
        <v>#DIV/0!</v>
      </c>
      <c r="Y82" s="213" t="e">
        <f t="shared" si="26"/>
        <v>#DIV/0!</v>
      </c>
      <c r="Z82" s="213" t="e">
        <f t="shared" si="26"/>
        <v>#DIV/0!</v>
      </c>
      <c r="AA82" s="213" t="e">
        <f t="shared" si="26"/>
        <v>#DIV/0!</v>
      </c>
      <c r="AB82" s="213" t="e">
        <f t="shared" si="26"/>
        <v>#DIV/0!</v>
      </c>
      <c r="AC82" s="213">
        <f t="shared" si="26"/>
        <v>0.35043172006362194</v>
      </c>
      <c r="AD82" s="72" t="e">
        <f t="shared" si="20"/>
        <v>#DIV/0!</v>
      </c>
      <c r="AE82" s="192" t="e">
        <f t="shared" si="21"/>
        <v>#DIV/0!</v>
      </c>
      <c r="AF82" s="133">
        <v>0.54218126120960208</v>
      </c>
      <c r="AG82" s="124" t="e">
        <f>P82-AF82</f>
        <v>#DIV/0!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391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72">
        <f t="shared" ref="AD85:AD90" si="27">P85-AC85</f>
        <v>0</v>
      </c>
      <c r="AE85" s="192" t="e">
        <f t="shared" ref="AE85:AE90" si="28">AD85/AC85</f>
        <v>#DIV/0!</v>
      </c>
      <c r="AF85" s="133">
        <v>0</v>
      </c>
      <c r="AG85" s="124">
        <f t="shared" ref="AG85:AG98" si="29">P85-AF85</f>
        <v>0</v>
      </c>
    </row>
    <row r="86" spans="1:33">
      <c r="A86" s="105" t="s">
        <v>511</v>
      </c>
      <c r="B86" s="105" t="s">
        <v>391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0</v>
      </c>
      <c r="S86" s="136">
        <v>0</v>
      </c>
      <c r="T86" s="136">
        <v>0</v>
      </c>
      <c r="U86" s="136">
        <v>0</v>
      </c>
      <c r="V86" s="136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0</v>
      </c>
      <c r="AD86" s="72">
        <f t="shared" si="27"/>
        <v>0</v>
      </c>
      <c r="AE86" s="192" t="e">
        <f t="shared" si="28"/>
        <v>#DIV/0!</v>
      </c>
      <c r="AF86" s="133">
        <v>9</v>
      </c>
      <c r="AG86" s="124">
        <f t="shared" si="29"/>
        <v>-9</v>
      </c>
    </row>
    <row r="87" spans="1:33">
      <c r="A87" s="105" t="s">
        <v>512</v>
      </c>
      <c r="B87" s="105" t="s">
        <v>391</v>
      </c>
      <c r="C87" s="105" t="s">
        <v>485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>
        <f>SUM(D87:O87)</f>
        <v>0</v>
      </c>
      <c r="Q87" s="136">
        <v>0</v>
      </c>
      <c r="R87" s="136">
        <v>0</v>
      </c>
      <c r="S87" s="136">
        <v>0</v>
      </c>
      <c r="T87" s="136">
        <v>32</v>
      </c>
      <c r="U87" s="136">
        <v>-30</v>
      </c>
      <c r="V87" s="136">
        <v>0</v>
      </c>
      <c r="W87" s="72">
        <v>0</v>
      </c>
      <c r="X87" s="72">
        <v>0</v>
      </c>
      <c r="Y87" s="72">
        <v>0</v>
      </c>
      <c r="Z87" s="72">
        <v>0</v>
      </c>
      <c r="AA87" s="72">
        <v>0</v>
      </c>
      <c r="AB87" s="72">
        <v>0</v>
      </c>
      <c r="AC87" s="137">
        <f>SUM(Q87:AB87)</f>
        <v>2</v>
      </c>
      <c r="AD87" s="72">
        <f t="shared" si="27"/>
        <v>-2</v>
      </c>
      <c r="AE87" s="192">
        <f t="shared" si="28"/>
        <v>-1</v>
      </c>
      <c r="AF87" s="133">
        <v>332</v>
      </c>
      <c r="AG87" s="124">
        <f t="shared" si="29"/>
        <v>-332</v>
      </c>
    </row>
    <row r="88" spans="1:33">
      <c r="A88" s="105" t="s">
        <v>513</v>
      </c>
      <c r="B88" s="105" t="s">
        <v>391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27"/>
        <v>0</v>
      </c>
      <c r="AE88" s="192" t="e">
        <f t="shared" si="28"/>
        <v>#DIV/0!</v>
      </c>
      <c r="AF88" s="133">
        <v>171</v>
      </c>
      <c r="AG88" s="124">
        <f t="shared" si="29"/>
        <v>-171</v>
      </c>
    </row>
    <row r="89" spans="1:33">
      <c r="A89" s="105" t="s">
        <v>514</v>
      </c>
      <c r="B89" s="105" t="s">
        <v>391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72">
        <f t="shared" si="27"/>
        <v>0</v>
      </c>
      <c r="AE89" s="192" t="e">
        <f t="shared" si="28"/>
        <v>#DIV/0!</v>
      </c>
      <c r="AF89" s="133">
        <v>151</v>
      </c>
      <c r="AG89" s="124">
        <f t="shared" si="29"/>
        <v>-151</v>
      </c>
    </row>
    <row r="90" spans="1:33">
      <c r="C90" s="109" t="s">
        <v>462</v>
      </c>
      <c r="D90" s="137">
        <f t="shared" ref="D90:AC90" si="30">SUM(D85:D89)</f>
        <v>0</v>
      </c>
      <c r="E90" s="137">
        <f t="shared" si="30"/>
        <v>0</v>
      </c>
      <c r="F90" s="137">
        <f t="shared" si="30"/>
        <v>0</v>
      </c>
      <c r="G90" s="137">
        <f t="shared" si="30"/>
        <v>0</v>
      </c>
      <c r="H90" s="137">
        <f t="shared" si="30"/>
        <v>0</v>
      </c>
      <c r="I90" s="137">
        <f t="shared" si="30"/>
        <v>0</v>
      </c>
      <c r="J90" s="137">
        <f t="shared" si="30"/>
        <v>0</v>
      </c>
      <c r="K90" s="137">
        <f t="shared" si="30"/>
        <v>0</v>
      </c>
      <c r="L90" s="137">
        <f t="shared" si="30"/>
        <v>0</v>
      </c>
      <c r="M90" s="137">
        <f t="shared" si="30"/>
        <v>0</v>
      </c>
      <c r="N90" s="137">
        <f t="shared" si="30"/>
        <v>0</v>
      </c>
      <c r="O90" s="137">
        <f t="shared" si="30"/>
        <v>0</v>
      </c>
      <c r="P90" s="137">
        <f t="shared" si="30"/>
        <v>0</v>
      </c>
      <c r="Q90" s="137">
        <f t="shared" si="30"/>
        <v>0</v>
      </c>
      <c r="R90" s="137">
        <f t="shared" si="30"/>
        <v>0</v>
      </c>
      <c r="S90" s="137">
        <f t="shared" si="30"/>
        <v>0</v>
      </c>
      <c r="T90" s="137">
        <f t="shared" si="30"/>
        <v>32</v>
      </c>
      <c r="U90" s="137">
        <f t="shared" si="30"/>
        <v>-30</v>
      </c>
      <c r="V90" s="137">
        <f t="shared" si="30"/>
        <v>0</v>
      </c>
      <c r="W90" s="137">
        <f t="shared" si="30"/>
        <v>0</v>
      </c>
      <c r="X90" s="137">
        <f t="shared" si="30"/>
        <v>0</v>
      </c>
      <c r="Y90" s="137">
        <f t="shared" si="30"/>
        <v>0</v>
      </c>
      <c r="Z90" s="137">
        <f t="shared" si="30"/>
        <v>0</v>
      </c>
      <c r="AA90" s="137">
        <f t="shared" si="30"/>
        <v>0</v>
      </c>
      <c r="AB90" s="137">
        <f t="shared" si="30"/>
        <v>0</v>
      </c>
      <c r="AC90" s="137">
        <f t="shared" si="30"/>
        <v>2</v>
      </c>
      <c r="AD90" s="72">
        <f t="shared" si="27"/>
        <v>-2</v>
      </c>
      <c r="AE90" s="192">
        <f t="shared" si="28"/>
        <v>-1</v>
      </c>
      <c r="AF90" s="133">
        <v>663</v>
      </c>
      <c r="AG90" s="124">
        <f t="shared" si="29"/>
        <v>-663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29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29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1">P9/P85</f>
        <v>#DIV/0!</v>
      </c>
      <c r="Q93" s="136" t="e">
        <f t="shared" si="31"/>
        <v>#DIV/0!</v>
      </c>
      <c r="R93" s="136" t="e">
        <f t="shared" si="31"/>
        <v>#DIV/0!</v>
      </c>
      <c r="S93" s="136" t="e">
        <f t="shared" si="31"/>
        <v>#DIV/0!</v>
      </c>
      <c r="T93" s="136" t="e">
        <f t="shared" si="31"/>
        <v>#DIV/0!</v>
      </c>
      <c r="U93" s="136" t="e">
        <f t="shared" si="31"/>
        <v>#DIV/0!</v>
      </c>
      <c r="V93" s="136" t="e">
        <f t="shared" si="31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2">AC9/AC85</f>
        <v>#DIV/0!</v>
      </c>
      <c r="AD93" s="72" t="e">
        <f t="shared" ref="AD93:AD98" si="33">P93-AC93</f>
        <v>#DIV/0!</v>
      </c>
      <c r="AE93" s="192" t="e">
        <f t="shared" ref="AE93:AE98" si="34">AD93/AC93</f>
        <v>#DIV/0!</v>
      </c>
      <c r="AF93" s="133" t="e">
        <v>#DIV/0!</v>
      </c>
      <c r="AG93" s="124" t="e">
        <f t="shared" si="29"/>
        <v>#DIV/0!</v>
      </c>
    </row>
    <row r="94" spans="1:33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1"/>
        <v>#DIV/0!</v>
      </c>
      <c r="Q94" s="136" t="e">
        <f t="shared" si="31"/>
        <v>#DIV/0!</v>
      </c>
      <c r="R94" s="136" t="e">
        <f t="shared" si="31"/>
        <v>#DIV/0!</v>
      </c>
      <c r="S94" s="136" t="e">
        <f t="shared" si="31"/>
        <v>#DIV/0!</v>
      </c>
      <c r="T94" s="136" t="e">
        <f t="shared" si="31"/>
        <v>#DIV/0!</v>
      </c>
      <c r="U94" s="136" t="e">
        <f t="shared" si="31"/>
        <v>#DIV/0!</v>
      </c>
      <c r="V94" s="136" t="e">
        <f t="shared" si="31"/>
        <v>#DIV/0!</v>
      </c>
      <c r="W94" s="72" t="e">
        <v>#DIV/0!</v>
      </c>
      <c r="X94" s="72" t="e">
        <v>#DIV/0!</v>
      </c>
      <c r="Y94" s="72">
        <v>0</v>
      </c>
      <c r="Z94" s="72">
        <v>0</v>
      </c>
      <c r="AA94" s="72">
        <v>0</v>
      </c>
      <c r="AB94" s="72">
        <v>0</v>
      </c>
      <c r="AC94" s="137" t="e">
        <f t="shared" si="32"/>
        <v>#DIV/0!</v>
      </c>
      <c r="AD94" s="72" t="e">
        <f t="shared" si="33"/>
        <v>#DIV/0!</v>
      </c>
      <c r="AE94" s="192" t="e">
        <f t="shared" si="34"/>
        <v>#DIV/0!</v>
      </c>
      <c r="AF94" s="133">
        <v>15.555555555555555</v>
      </c>
      <c r="AG94" s="124" t="e">
        <f t="shared" si="29"/>
        <v>#DIV/0!</v>
      </c>
    </row>
    <row r="95" spans="1:33">
      <c r="C95" s="105" t="s">
        <v>485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 t="e">
        <f t="shared" si="31"/>
        <v>#DIV/0!</v>
      </c>
      <c r="Q95" s="136" t="e">
        <f t="shared" si="31"/>
        <v>#DIV/0!</v>
      </c>
      <c r="R95" s="136" t="e">
        <f t="shared" si="31"/>
        <v>#DIV/0!</v>
      </c>
      <c r="S95" s="136" t="e">
        <f t="shared" si="31"/>
        <v>#DIV/0!</v>
      </c>
      <c r="T95" s="136">
        <f t="shared" si="31"/>
        <v>0</v>
      </c>
      <c r="U95" s="136">
        <f t="shared" si="31"/>
        <v>0</v>
      </c>
      <c r="V95" s="136" t="e">
        <f t="shared" si="31"/>
        <v>#DIV/0!</v>
      </c>
      <c r="W95" s="72" t="e">
        <v>#DIV/0!</v>
      </c>
      <c r="X95" s="72" t="e">
        <v>#DIV/0!</v>
      </c>
      <c r="Y95" s="72">
        <v>0</v>
      </c>
      <c r="Z95" s="72">
        <v>0</v>
      </c>
      <c r="AA95" s="72">
        <v>0</v>
      </c>
      <c r="AB95" s="72">
        <v>0</v>
      </c>
      <c r="AC95" s="137">
        <f t="shared" si="32"/>
        <v>0</v>
      </c>
      <c r="AD95" s="72" t="e">
        <f t="shared" si="33"/>
        <v>#DIV/0!</v>
      </c>
      <c r="AE95" s="192" t="e">
        <f t="shared" si="34"/>
        <v>#DIV/0!</v>
      </c>
      <c r="AF95" s="133">
        <v>25.244879518072288</v>
      </c>
      <c r="AG95" s="124" t="e">
        <f t="shared" si="29"/>
        <v>#DIV/0!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1"/>
        <v>#DIV/0!</v>
      </c>
      <c r="Q96" s="136" t="e">
        <f t="shared" si="31"/>
        <v>#DIV/0!</v>
      </c>
      <c r="R96" s="136" t="e">
        <f t="shared" si="31"/>
        <v>#DIV/0!</v>
      </c>
      <c r="S96" s="136" t="e">
        <f t="shared" si="31"/>
        <v>#DIV/0!</v>
      </c>
      <c r="T96" s="136" t="e">
        <f t="shared" si="31"/>
        <v>#DIV/0!</v>
      </c>
      <c r="U96" s="136" t="e">
        <f t="shared" si="31"/>
        <v>#DIV/0!</v>
      </c>
      <c r="V96" s="136" t="e">
        <f t="shared" si="31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2"/>
        <v>#DIV/0!</v>
      </c>
      <c r="AD96" s="72" t="e">
        <f t="shared" si="33"/>
        <v>#DIV/0!</v>
      </c>
      <c r="AE96" s="192" t="e">
        <f t="shared" si="34"/>
        <v>#DIV/0!</v>
      </c>
      <c r="AF96" s="133">
        <v>36.695906432748536</v>
      </c>
      <c r="AG96" s="124" t="e">
        <f t="shared" si="29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1"/>
        <v>#DIV/0!</v>
      </c>
      <c r="Q97" s="136" t="e">
        <f t="shared" si="31"/>
        <v>#DIV/0!</v>
      </c>
      <c r="R97" s="136" t="e">
        <f t="shared" si="31"/>
        <v>#DIV/0!</v>
      </c>
      <c r="S97" s="136" t="e">
        <f t="shared" si="31"/>
        <v>#DIV/0!</v>
      </c>
      <c r="T97" s="136" t="e">
        <f t="shared" si="31"/>
        <v>#DIV/0!</v>
      </c>
      <c r="U97" s="136" t="e">
        <f t="shared" si="31"/>
        <v>#DIV/0!</v>
      </c>
      <c r="V97" s="136" t="e">
        <f t="shared" si="31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2"/>
        <v>#DIV/0!</v>
      </c>
      <c r="AD97" s="72" t="e">
        <f t="shared" si="33"/>
        <v>#DIV/0!</v>
      </c>
      <c r="AE97" s="192" t="e">
        <f t="shared" si="34"/>
        <v>#DIV/0!</v>
      </c>
      <c r="AF97" s="133">
        <v>34.773509933774832</v>
      </c>
      <c r="AG97" s="124" t="e">
        <f t="shared" si="29"/>
        <v>#DIV/0!</v>
      </c>
    </row>
    <row r="98" spans="1:33">
      <c r="C98" s="109" t="s">
        <v>463</v>
      </c>
      <c r="D98" s="136" t="e">
        <f t="shared" ref="D98:O98" si="35">D14/D90</f>
        <v>#DIV/0!</v>
      </c>
      <c r="E98" s="136" t="e">
        <f t="shared" si="35"/>
        <v>#DIV/0!</v>
      </c>
      <c r="F98" s="136" t="e">
        <f t="shared" si="35"/>
        <v>#DIV/0!</v>
      </c>
      <c r="G98" s="136" t="e">
        <f t="shared" si="35"/>
        <v>#DIV/0!</v>
      </c>
      <c r="H98" s="136" t="e">
        <f t="shared" si="35"/>
        <v>#DIV/0!</v>
      </c>
      <c r="I98" s="136" t="e">
        <f t="shared" si="35"/>
        <v>#DIV/0!</v>
      </c>
      <c r="J98" s="136" t="e">
        <f t="shared" si="35"/>
        <v>#DIV/0!</v>
      </c>
      <c r="K98" s="136" t="e">
        <f t="shared" si="35"/>
        <v>#DIV/0!</v>
      </c>
      <c r="L98" s="136" t="e">
        <f t="shared" si="35"/>
        <v>#DIV/0!</v>
      </c>
      <c r="M98" s="136" t="e">
        <f t="shared" si="35"/>
        <v>#DIV/0!</v>
      </c>
      <c r="N98" s="136" t="e">
        <f t="shared" si="35"/>
        <v>#DIV/0!</v>
      </c>
      <c r="O98" s="136" t="e">
        <f t="shared" si="35"/>
        <v>#DIV/0!</v>
      </c>
      <c r="P98" s="137" t="e">
        <f t="shared" si="31"/>
        <v>#DIV/0!</v>
      </c>
      <c r="Q98" s="136" t="e">
        <f t="shared" si="31"/>
        <v>#DIV/0!</v>
      </c>
      <c r="R98" s="136" t="e">
        <f t="shared" si="31"/>
        <v>#DIV/0!</v>
      </c>
      <c r="S98" s="136" t="e">
        <f t="shared" si="31"/>
        <v>#DIV/0!</v>
      </c>
      <c r="T98" s="136">
        <f t="shared" si="31"/>
        <v>0</v>
      </c>
      <c r="U98" s="136">
        <f t="shared" si="31"/>
        <v>0</v>
      </c>
      <c r="V98" s="136" t="e">
        <f t="shared" si="31"/>
        <v>#DIV/0!</v>
      </c>
      <c r="W98" s="136" t="e">
        <f t="shared" si="31"/>
        <v>#DIV/0!</v>
      </c>
      <c r="X98" s="136" t="e">
        <f t="shared" si="31"/>
        <v>#DIV/0!</v>
      </c>
      <c r="Y98" s="136" t="e">
        <f t="shared" si="31"/>
        <v>#DIV/0!</v>
      </c>
      <c r="Z98" s="136" t="e">
        <f t="shared" si="31"/>
        <v>#DIV/0!</v>
      </c>
      <c r="AA98" s="136" t="e">
        <f t="shared" si="31"/>
        <v>#DIV/0!</v>
      </c>
      <c r="AB98" s="136" t="e">
        <f t="shared" si="31"/>
        <v>#DIV/0!</v>
      </c>
      <c r="AC98" s="137">
        <f t="shared" si="32"/>
        <v>0</v>
      </c>
      <c r="AD98" s="72" t="e">
        <f t="shared" si="33"/>
        <v>#DIV/0!</v>
      </c>
      <c r="AE98" s="192" t="e">
        <f t="shared" si="34"/>
        <v>#DIV/0!</v>
      </c>
      <c r="AF98" s="133">
        <v>30.236953242835593</v>
      </c>
      <c r="AG98" s="124" t="e">
        <f t="shared" si="29"/>
        <v>#DIV/0!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391</v>
      </c>
      <c r="C102" s="105" t="s">
        <v>250</v>
      </c>
      <c r="D102" s="136"/>
      <c r="E102" s="136">
        <f>D102</f>
        <v>0</v>
      </c>
      <c r="F102" s="136">
        <f t="shared" ref="F102:O102" si="36">E102</f>
        <v>0</v>
      </c>
      <c r="G102" s="136">
        <f t="shared" si="36"/>
        <v>0</v>
      </c>
      <c r="H102" s="136">
        <f t="shared" si="36"/>
        <v>0</v>
      </c>
      <c r="I102" s="136">
        <f t="shared" si="36"/>
        <v>0</v>
      </c>
      <c r="J102" s="136">
        <f t="shared" si="36"/>
        <v>0</v>
      </c>
      <c r="K102" s="136">
        <f t="shared" si="36"/>
        <v>0</v>
      </c>
      <c r="L102" s="136">
        <f t="shared" si="36"/>
        <v>0</v>
      </c>
      <c r="M102" s="136">
        <f t="shared" si="36"/>
        <v>0</v>
      </c>
      <c r="N102" s="136">
        <f t="shared" si="36"/>
        <v>0</v>
      </c>
      <c r="O102" s="136">
        <f t="shared" si="36"/>
        <v>0</v>
      </c>
      <c r="P102" s="137">
        <f>SUM(D102:O102)</f>
        <v>0</v>
      </c>
      <c r="Q102" s="136">
        <v>0</v>
      </c>
      <c r="R102" s="136">
        <v>0</v>
      </c>
      <c r="S102" s="136">
        <v>0</v>
      </c>
      <c r="T102" s="136">
        <v>0</v>
      </c>
      <c r="U102" s="136">
        <v>0</v>
      </c>
      <c r="V102" s="136">
        <v>0</v>
      </c>
      <c r="W102" s="72">
        <v>0</v>
      </c>
      <c r="X102" s="72">
        <v>0</v>
      </c>
      <c r="Y102" s="72">
        <v>0</v>
      </c>
      <c r="Z102" s="72">
        <v>0</v>
      </c>
      <c r="AA102" s="72">
        <v>0</v>
      </c>
      <c r="AB102" s="72">
        <v>0</v>
      </c>
      <c r="AC102" s="137">
        <f>SUM(Q102:AB102)</f>
        <v>0</v>
      </c>
      <c r="AD102" s="72">
        <f t="shared" ref="AD102:AD105" si="37">P102-AC102</f>
        <v>0</v>
      </c>
      <c r="AE102" s="192" t="e">
        <f t="shared" ref="AE102:AE105" si="38">AD102/AC102</f>
        <v>#DIV/0!</v>
      </c>
      <c r="AF102" s="133">
        <v>0</v>
      </c>
      <c r="AG102" s="124">
        <f t="shared" ref="AG102:AG136" si="39">AF102-P102</f>
        <v>0</v>
      </c>
    </row>
    <row r="103" spans="1:33">
      <c r="A103" s="105" t="s">
        <v>251</v>
      </c>
      <c r="B103" s="105" t="s">
        <v>391</v>
      </c>
      <c r="C103" s="105" t="s">
        <v>468</v>
      </c>
      <c r="D103" s="136"/>
      <c r="E103" s="136">
        <f t="shared" ref="E103:O104" si="40">D103</f>
        <v>0</v>
      </c>
      <c r="F103" s="136">
        <f t="shared" si="40"/>
        <v>0</v>
      </c>
      <c r="G103" s="136">
        <f t="shared" si="40"/>
        <v>0</v>
      </c>
      <c r="H103" s="136">
        <f t="shared" si="40"/>
        <v>0</v>
      </c>
      <c r="I103" s="136">
        <f t="shared" si="40"/>
        <v>0</v>
      </c>
      <c r="J103" s="136">
        <f t="shared" si="40"/>
        <v>0</v>
      </c>
      <c r="K103" s="136">
        <f t="shared" si="40"/>
        <v>0</v>
      </c>
      <c r="L103" s="136">
        <f t="shared" si="40"/>
        <v>0</v>
      </c>
      <c r="M103" s="136">
        <f t="shared" si="40"/>
        <v>0</v>
      </c>
      <c r="N103" s="136">
        <f t="shared" si="40"/>
        <v>0</v>
      </c>
      <c r="O103" s="136">
        <f t="shared" si="40"/>
        <v>0</v>
      </c>
      <c r="P103" s="135">
        <f>SUM(D103:O103)</f>
        <v>0</v>
      </c>
      <c r="Q103" s="136">
        <v>0</v>
      </c>
      <c r="R103" s="136">
        <v>0</v>
      </c>
      <c r="S103" s="136">
        <v>0</v>
      </c>
      <c r="T103" s="136">
        <v>0</v>
      </c>
      <c r="U103" s="136">
        <v>0</v>
      </c>
      <c r="V103" s="136">
        <v>0</v>
      </c>
      <c r="W103" s="72">
        <v>0</v>
      </c>
      <c r="X103" s="72">
        <v>0</v>
      </c>
      <c r="Y103" s="72">
        <v>0</v>
      </c>
      <c r="Z103" s="72">
        <v>0</v>
      </c>
      <c r="AA103" s="72">
        <v>0</v>
      </c>
      <c r="AB103" s="72">
        <v>0</v>
      </c>
      <c r="AC103" s="137">
        <f>SUM(Q103:AB103)</f>
        <v>0</v>
      </c>
      <c r="AD103" s="72">
        <f t="shared" si="37"/>
        <v>0</v>
      </c>
      <c r="AE103" s="192" t="e">
        <f t="shared" si="38"/>
        <v>#DIV/0!</v>
      </c>
      <c r="AF103" s="133">
        <v>22705.579999999998</v>
      </c>
      <c r="AG103" s="124">
        <f t="shared" si="39"/>
        <v>22705.579999999998</v>
      </c>
    </row>
    <row r="104" spans="1:33">
      <c r="A104" s="105" t="s">
        <v>273</v>
      </c>
      <c r="C104" s="105" t="s">
        <v>470</v>
      </c>
      <c r="D104" s="136"/>
      <c r="E104" s="136">
        <f t="shared" si="40"/>
        <v>0</v>
      </c>
      <c r="F104" s="136">
        <f t="shared" si="40"/>
        <v>0</v>
      </c>
      <c r="G104" s="136">
        <f t="shared" si="40"/>
        <v>0</v>
      </c>
      <c r="H104" s="136">
        <f t="shared" si="40"/>
        <v>0</v>
      </c>
      <c r="I104" s="136">
        <f t="shared" si="40"/>
        <v>0</v>
      </c>
      <c r="J104" s="136">
        <f t="shared" si="40"/>
        <v>0</v>
      </c>
      <c r="K104" s="136">
        <f t="shared" si="40"/>
        <v>0</v>
      </c>
      <c r="L104" s="136">
        <f t="shared" si="40"/>
        <v>0</v>
      </c>
      <c r="M104" s="136">
        <f t="shared" si="40"/>
        <v>0</v>
      </c>
      <c r="N104" s="136">
        <f t="shared" si="40"/>
        <v>0</v>
      </c>
      <c r="O104" s="136">
        <f t="shared" si="40"/>
        <v>0</v>
      </c>
      <c r="P104" s="135">
        <f>SUM(D104:O104)</f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0</v>
      </c>
      <c r="Z104" s="72">
        <v>0</v>
      </c>
      <c r="AA104" s="72">
        <v>0</v>
      </c>
      <c r="AB104" s="72">
        <v>0</v>
      </c>
      <c r="AC104" s="137">
        <f>SUM(Q104:AB104)</f>
        <v>0</v>
      </c>
      <c r="AD104" s="72">
        <f t="shared" si="37"/>
        <v>0</v>
      </c>
      <c r="AE104" s="192" t="e">
        <f t="shared" si="38"/>
        <v>#DIV/0!</v>
      </c>
      <c r="AF104" s="133">
        <v>0</v>
      </c>
      <c r="AG104" s="124">
        <f t="shared" si="39"/>
        <v>0</v>
      </c>
    </row>
    <row r="105" spans="1:33">
      <c r="A105" s="105" t="s">
        <v>273</v>
      </c>
      <c r="C105" s="109" t="s">
        <v>520</v>
      </c>
      <c r="D105" s="137">
        <f t="shared" ref="D105:AC105" si="41">SUM(D102:D104)</f>
        <v>0</v>
      </c>
      <c r="E105" s="137">
        <f t="shared" si="41"/>
        <v>0</v>
      </c>
      <c r="F105" s="137">
        <f t="shared" si="41"/>
        <v>0</v>
      </c>
      <c r="G105" s="137">
        <f t="shared" si="41"/>
        <v>0</v>
      </c>
      <c r="H105" s="137">
        <f t="shared" si="41"/>
        <v>0</v>
      </c>
      <c r="I105" s="137">
        <f t="shared" si="41"/>
        <v>0</v>
      </c>
      <c r="J105" s="137">
        <f t="shared" si="41"/>
        <v>0</v>
      </c>
      <c r="K105" s="137">
        <f t="shared" si="41"/>
        <v>0</v>
      </c>
      <c r="L105" s="137">
        <f t="shared" si="41"/>
        <v>0</v>
      </c>
      <c r="M105" s="137">
        <f t="shared" si="41"/>
        <v>0</v>
      </c>
      <c r="N105" s="137">
        <f t="shared" si="41"/>
        <v>0</v>
      </c>
      <c r="O105" s="137">
        <f t="shared" si="41"/>
        <v>0</v>
      </c>
      <c r="P105" s="135">
        <f t="shared" si="41"/>
        <v>0</v>
      </c>
      <c r="Q105" s="137">
        <f t="shared" si="41"/>
        <v>0</v>
      </c>
      <c r="R105" s="137">
        <f t="shared" si="41"/>
        <v>0</v>
      </c>
      <c r="S105" s="137">
        <f t="shared" si="41"/>
        <v>0</v>
      </c>
      <c r="T105" s="137">
        <f t="shared" si="41"/>
        <v>0</v>
      </c>
      <c r="U105" s="137">
        <f t="shared" si="41"/>
        <v>0</v>
      </c>
      <c r="V105" s="137">
        <f t="shared" si="41"/>
        <v>0</v>
      </c>
      <c r="W105" s="137">
        <f t="shared" si="41"/>
        <v>0</v>
      </c>
      <c r="X105" s="137">
        <f t="shared" si="41"/>
        <v>0</v>
      </c>
      <c r="Y105" s="137">
        <f t="shared" si="41"/>
        <v>0</v>
      </c>
      <c r="Z105" s="137">
        <f t="shared" si="41"/>
        <v>0</v>
      </c>
      <c r="AA105" s="137">
        <f t="shared" si="41"/>
        <v>0</v>
      </c>
      <c r="AB105" s="137">
        <f t="shared" si="41"/>
        <v>0</v>
      </c>
      <c r="AC105" s="137">
        <f t="shared" si="41"/>
        <v>0</v>
      </c>
      <c r="AD105" s="72">
        <f t="shared" si="37"/>
        <v>0</v>
      </c>
      <c r="AE105" s="192" t="e">
        <f t="shared" si="38"/>
        <v>#DIV/0!</v>
      </c>
      <c r="AF105" s="133">
        <v>22705.579999999998</v>
      </c>
      <c r="AG105" s="124">
        <f t="shared" si="39"/>
        <v>22705.579999999998</v>
      </c>
    </row>
    <row r="106" spans="1:33">
      <c r="A106" s="105" t="s">
        <v>549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39"/>
        <v>0</v>
      </c>
    </row>
    <row r="107" spans="1:33">
      <c r="A107" s="105" t="s">
        <v>119</v>
      </c>
      <c r="B107" s="105" t="s">
        <v>391</v>
      </c>
      <c r="C107" s="105" t="s">
        <v>260</v>
      </c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5">
        <f>SUM(D107:O107)</f>
        <v>0</v>
      </c>
      <c r="Q107" s="136">
        <v>0</v>
      </c>
      <c r="R107" s="136">
        <v>0</v>
      </c>
      <c r="S107" s="136">
        <v>0</v>
      </c>
      <c r="T107" s="136">
        <v>0</v>
      </c>
      <c r="U107" s="136">
        <v>0</v>
      </c>
      <c r="V107" s="136">
        <v>0</v>
      </c>
      <c r="W107" s="72">
        <v>0</v>
      </c>
      <c r="X107" s="72">
        <v>0</v>
      </c>
      <c r="Y107" s="72">
        <v>0</v>
      </c>
      <c r="Z107" s="72">
        <v>0</v>
      </c>
      <c r="AA107" s="72">
        <v>0</v>
      </c>
      <c r="AB107" s="72">
        <v>0</v>
      </c>
      <c r="AC107" s="137">
        <f>SUM(Q107:AB107)</f>
        <v>0</v>
      </c>
      <c r="AD107" s="72">
        <f t="shared" ref="AD107:AD112" si="42">P107-AC107</f>
        <v>0</v>
      </c>
      <c r="AE107" s="192" t="e">
        <f t="shared" ref="AE107:AE112" si="43">AD107/AC107</f>
        <v>#DIV/0!</v>
      </c>
      <c r="AF107" s="133">
        <v>2031.14</v>
      </c>
      <c r="AG107" s="124">
        <f t="shared" si="39"/>
        <v>2031.14</v>
      </c>
    </row>
    <row r="108" spans="1:33">
      <c r="A108" s="105" t="s">
        <v>120</v>
      </c>
      <c r="B108" s="105" t="s">
        <v>391</v>
      </c>
      <c r="C108" s="105" t="s">
        <v>261</v>
      </c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35">
        <f>SUM(D108:O108)</f>
        <v>0</v>
      </c>
      <c r="Q108" s="136">
        <v>0</v>
      </c>
      <c r="R108" s="136">
        <v>0</v>
      </c>
      <c r="S108" s="136">
        <v>0</v>
      </c>
      <c r="T108" s="136">
        <v>0</v>
      </c>
      <c r="U108" s="136">
        <v>0</v>
      </c>
      <c r="V108" s="136">
        <v>0</v>
      </c>
      <c r="W108" s="72">
        <v>0</v>
      </c>
      <c r="X108" s="72">
        <v>0</v>
      </c>
      <c r="Y108" s="72">
        <v>0</v>
      </c>
      <c r="Z108" s="72">
        <v>0</v>
      </c>
      <c r="AA108" s="72">
        <v>0</v>
      </c>
      <c r="AB108" s="72">
        <v>0</v>
      </c>
      <c r="AC108" s="137">
        <f>SUM(Q108:AB108)</f>
        <v>0</v>
      </c>
      <c r="AD108" s="72">
        <f t="shared" si="42"/>
        <v>0</v>
      </c>
      <c r="AE108" s="192" t="e">
        <f t="shared" si="43"/>
        <v>#DIV/0!</v>
      </c>
      <c r="AF108" s="133">
        <v>11863.78</v>
      </c>
      <c r="AG108" s="124">
        <f t="shared" si="39"/>
        <v>11863.78</v>
      </c>
    </row>
    <row r="109" spans="1:33">
      <c r="A109" s="105" t="s">
        <v>121</v>
      </c>
      <c r="B109" s="105" t="s">
        <v>391</v>
      </c>
      <c r="C109" s="105" t="s">
        <v>262</v>
      </c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5">
        <f>SUM(D109:O109)</f>
        <v>0</v>
      </c>
      <c r="Q109" s="136">
        <v>0</v>
      </c>
      <c r="R109" s="136">
        <v>0</v>
      </c>
      <c r="S109" s="136">
        <v>0</v>
      </c>
      <c r="T109" s="136">
        <v>0</v>
      </c>
      <c r="U109" s="136">
        <v>0</v>
      </c>
      <c r="V109" s="136">
        <v>0</v>
      </c>
      <c r="W109" s="72">
        <v>0</v>
      </c>
      <c r="X109" s="72">
        <v>0</v>
      </c>
      <c r="Y109" s="72">
        <v>0</v>
      </c>
      <c r="Z109" s="72">
        <v>0</v>
      </c>
      <c r="AA109" s="72">
        <v>0</v>
      </c>
      <c r="AB109" s="72">
        <v>0</v>
      </c>
      <c r="AC109" s="137">
        <f>SUM(Q109:AB109)</f>
        <v>0</v>
      </c>
      <c r="AD109" s="72">
        <f t="shared" si="42"/>
        <v>0</v>
      </c>
      <c r="AE109" s="192" t="e">
        <f t="shared" si="43"/>
        <v>#DIV/0!</v>
      </c>
      <c r="AF109" s="133">
        <v>1135</v>
      </c>
      <c r="AG109" s="124">
        <f t="shared" si="39"/>
        <v>1135</v>
      </c>
    </row>
    <row r="110" spans="1:33">
      <c r="A110" s="105" t="s">
        <v>122</v>
      </c>
      <c r="B110" s="105" t="s">
        <v>391</v>
      </c>
      <c r="C110" s="105" t="s">
        <v>263</v>
      </c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2"/>
        <v>0</v>
      </c>
      <c r="AE110" s="192" t="e">
        <f t="shared" si="43"/>
        <v>#DIV/0!</v>
      </c>
      <c r="AF110" s="133">
        <v>0</v>
      </c>
      <c r="AG110" s="124">
        <f t="shared" si="39"/>
        <v>0</v>
      </c>
    </row>
    <row r="111" spans="1:33">
      <c r="A111" s="105" t="s">
        <v>123</v>
      </c>
      <c r="B111" s="105" t="s">
        <v>391</v>
      </c>
      <c r="C111" s="105" t="s">
        <v>264</v>
      </c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5">
        <f>SUM(D111:O111)</f>
        <v>0</v>
      </c>
      <c r="Q111" s="136">
        <v>0</v>
      </c>
      <c r="R111" s="136">
        <v>0</v>
      </c>
      <c r="S111" s="136">
        <v>0</v>
      </c>
      <c r="T111" s="136">
        <v>0</v>
      </c>
      <c r="U111" s="136">
        <v>0</v>
      </c>
      <c r="V111" s="136">
        <v>0</v>
      </c>
      <c r="W111" s="72">
        <v>0</v>
      </c>
      <c r="X111" s="72">
        <v>0</v>
      </c>
      <c r="Y111" s="72">
        <v>0</v>
      </c>
      <c r="Z111" s="72">
        <v>0</v>
      </c>
      <c r="AA111" s="72">
        <v>0</v>
      </c>
      <c r="AB111" s="72">
        <v>0</v>
      </c>
      <c r="AC111" s="137">
        <f>SUM(Q111:AB111)</f>
        <v>0</v>
      </c>
      <c r="AD111" s="72">
        <f t="shared" si="42"/>
        <v>0</v>
      </c>
      <c r="AE111" s="192" t="e">
        <f t="shared" si="43"/>
        <v>#DIV/0!</v>
      </c>
      <c r="AF111" s="133">
        <v>288.35000000000002</v>
      </c>
      <c r="AG111" s="124">
        <f t="shared" si="39"/>
        <v>288.35000000000002</v>
      </c>
    </row>
    <row r="112" spans="1:33">
      <c r="A112" s="105" t="s">
        <v>273</v>
      </c>
      <c r="C112" s="109" t="s">
        <v>521</v>
      </c>
      <c r="D112" s="137">
        <f t="shared" ref="D112:O112" si="44">SUM(D107:D111)</f>
        <v>0</v>
      </c>
      <c r="E112" s="137">
        <f t="shared" si="44"/>
        <v>0</v>
      </c>
      <c r="F112" s="137">
        <f t="shared" si="44"/>
        <v>0</v>
      </c>
      <c r="G112" s="137">
        <f t="shared" si="44"/>
        <v>0</v>
      </c>
      <c r="H112" s="137">
        <f t="shared" si="44"/>
        <v>0</v>
      </c>
      <c r="I112" s="137">
        <f t="shared" si="44"/>
        <v>0</v>
      </c>
      <c r="J112" s="137">
        <f t="shared" si="44"/>
        <v>0</v>
      </c>
      <c r="K112" s="137">
        <f t="shared" si="44"/>
        <v>0</v>
      </c>
      <c r="L112" s="137">
        <f t="shared" si="44"/>
        <v>0</v>
      </c>
      <c r="M112" s="137">
        <f t="shared" si="44"/>
        <v>0</v>
      </c>
      <c r="N112" s="137">
        <f t="shared" si="44"/>
        <v>0</v>
      </c>
      <c r="O112" s="137">
        <f t="shared" si="44"/>
        <v>0</v>
      </c>
      <c r="P112" s="135">
        <f>SUM(P107:P111)</f>
        <v>0</v>
      </c>
      <c r="Q112" s="137">
        <f t="shared" ref="Q112:AC112" si="45">SUM(Q107:Q111)</f>
        <v>0</v>
      </c>
      <c r="R112" s="137">
        <f t="shared" si="45"/>
        <v>0</v>
      </c>
      <c r="S112" s="137">
        <f t="shared" si="45"/>
        <v>0</v>
      </c>
      <c r="T112" s="137">
        <f t="shared" si="45"/>
        <v>0</v>
      </c>
      <c r="U112" s="137">
        <f t="shared" si="45"/>
        <v>0</v>
      </c>
      <c r="V112" s="137">
        <f t="shared" si="45"/>
        <v>0</v>
      </c>
      <c r="W112" s="137">
        <f t="shared" si="45"/>
        <v>0</v>
      </c>
      <c r="X112" s="137">
        <f t="shared" si="45"/>
        <v>0</v>
      </c>
      <c r="Y112" s="137">
        <f t="shared" si="45"/>
        <v>0</v>
      </c>
      <c r="Z112" s="137">
        <f t="shared" si="45"/>
        <v>0</v>
      </c>
      <c r="AA112" s="137">
        <f t="shared" si="45"/>
        <v>0</v>
      </c>
      <c r="AB112" s="137">
        <f t="shared" si="45"/>
        <v>0</v>
      </c>
      <c r="AC112" s="137">
        <f t="shared" si="45"/>
        <v>0</v>
      </c>
      <c r="AD112" s="72">
        <f t="shared" si="42"/>
        <v>0</v>
      </c>
      <c r="AE112" s="192" t="e">
        <f t="shared" si="43"/>
        <v>#DIV/0!</v>
      </c>
      <c r="AF112" s="133">
        <v>15318.27</v>
      </c>
      <c r="AG112" s="124">
        <f t="shared" si="39"/>
        <v>15318.27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39"/>
        <v>0</v>
      </c>
    </row>
    <row r="114" spans="1:33">
      <c r="A114" s="105" t="s">
        <v>124</v>
      </c>
      <c r="B114" s="105" t="s">
        <v>391</v>
      </c>
      <c r="C114" s="105" t="s">
        <v>266</v>
      </c>
      <c r="D114" s="136"/>
      <c r="E114" s="136">
        <f t="shared" ref="E114:O121" si="46">D114</f>
        <v>0</v>
      </c>
      <c r="F114" s="136">
        <f t="shared" si="46"/>
        <v>0</v>
      </c>
      <c r="G114" s="136">
        <f t="shared" si="46"/>
        <v>0</v>
      </c>
      <c r="H114" s="136">
        <f t="shared" si="46"/>
        <v>0</v>
      </c>
      <c r="I114" s="136">
        <f t="shared" si="46"/>
        <v>0</v>
      </c>
      <c r="J114" s="136">
        <f t="shared" si="46"/>
        <v>0</v>
      </c>
      <c r="K114" s="136">
        <f t="shared" si="46"/>
        <v>0</v>
      </c>
      <c r="L114" s="136">
        <f t="shared" si="46"/>
        <v>0</v>
      </c>
      <c r="M114" s="136">
        <f t="shared" si="46"/>
        <v>0</v>
      </c>
      <c r="N114" s="136">
        <f t="shared" si="46"/>
        <v>0</v>
      </c>
      <c r="O114" s="136">
        <f t="shared" si="46"/>
        <v>0</v>
      </c>
      <c r="P114" s="135">
        <f>SUM(D114:O114)</f>
        <v>0</v>
      </c>
      <c r="Q114" s="136">
        <v>0</v>
      </c>
      <c r="R114" s="136">
        <v>0</v>
      </c>
      <c r="S114" s="136">
        <v>0</v>
      </c>
      <c r="T114" s="136">
        <v>0</v>
      </c>
      <c r="U114" s="136">
        <v>0</v>
      </c>
      <c r="V114" s="136">
        <v>0</v>
      </c>
      <c r="W114" s="72">
        <v>0</v>
      </c>
      <c r="X114" s="72">
        <v>0</v>
      </c>
      <c r="Y114" s="72">
        <v>0</v>
      </c>
      <c r="Z114" s="72">
        <v>0</v>
      </c>
      <c r="AA114" s="72">
        <v>0</v>
      </c>
      <c r="AB114" s="72">
        <v>0</v>
      </c>
      <c r="AC114" s="137">
        <f t="shared" ref="AC114:AC121" si="47">SUM(Q114:AB114)</f>
        <v>0</v>
      </c>
      <c r="AD114" s="72">
        <f t="shared" ref="AD114:AD122" si="48">P114-AC114</f>
        <v>0</v>
      </c>
      <c r="AE114" s="192" t="e">
        <f t="shared" ref="AE114:AE122" si="49">AD114/AC114</f>
        <v>#DIV/0!</v>
      </c>
      <c r="AF114" s="133">
        <v>0</v>
      </c>
      <c r="AG114" s="124">
        <f t="shared" si="39"/>
        <v>0</v>
      </c>
    </row>
    <row r="115" spans="1:33">
      <c r="A115" s="105" t="s">
        <v>125</v>
      </c>
      <c r="B115" s="105" t="s">
        <v>391</v>
      </c>
      <c r="C115" s="105" t="s">
        <v>267</v>
      </c>
      <c r="D115" s="136"/>
      <c r="E115" s="136">
        <f t="shared" si="46"/>
        <v>0</v>
      </c>
      <c r="F115" s="136">
        <f t="shared" si="46"/>
        <v>0</v>
      </c>
      <c r="G115" s="136">
        <f t="shared" si="46"/>
        <v>0</v>
      </c>
      <c r="H115" s="136">
        <f t="shared" si="46"/>
        <v>0</v>
      </c>
      <c r="I115" s="136">
        <f t="shared" si="46"/>
        <v>0</v>
      </c>
      <c r="J115" s="136">
        <f t="shared" si="46"/>
        <v>0</v>
      </c>
      <c r="K115" s="136">
        <f t="shared" si="46"/>
        <v>0</v>
      </c>
      <c r="L115" s="136">
        <f t="shared" si="46"/>
        <v>0</v>
      </c>
      <c r="M115" s="136">
        <f t="shared" si="46"/>
        <v>0</v>
      </c>
      <c r="N115" s="136">
        <f t="shared" si="46"/>
        <v>0</v>
      </c>
      <c r="O115" s="136">
        <f t="shared" si="46"/>
        <v>0</v>
      </c>
      <c r="P115" s="135">
        <f t="shared" ref="P115:P121" si="50">SUM(D115:O115)</f>
        <v>0</v>
      </c>
      <c r="Q115" s="136">
        <v>0</v>
      </c>
      <c r="R115" s="136">
        <v>0</v>
      </c>
      <c r="S115" s="136">
        <v>0</v>
      </c>
      <c r="T115" s="136">
        <v>0</v>
      </c>
      <c r="U115" s="136">
        <v>0</v>
      </c>
      <c r="V115" s="136">
        <v>0</v>
      </c>
      <c r="W115" s="72">
        <v>0</v>
      </c>
      <c r="X115" s="72">
        <v>0</v>
      </c>
      <c r="Y115" s="72">
        <v>0</v>
      </c>
      <c r="Z115" s="72">
        <v>0</v>
      </c>
      <c r="AA115" s="72">
        <v>0</v>
      </c>
      <c r="AB115" s="72">
        <v>0</v>
      </c>
      <c r="AC115" s="137">
        <f t="shared" si="47"/>
        <v>0</v>
      </c>
      <c r="AD115" s="72">
        <f t="shared" si="48"/>
        <v>0</v>
      </c>
      <c r="AE115" s="192" t="e">
        <f t="shared" si="49"/>
        <v>#DIV/0!</v>
      </c>
      <c r="AF115" s="133">
        <v>0</v>
      </c>
      <c r="AG115" s="124">
        <f t="shared" si="39"/>
        <v>0</v>
      </c>
    </row>
    <row r="116" spans="1:33">
      <c r="A116" s="105" t="s">
        <v>126</v>
      </c>
      <c r="B116" s="105" t="s">
        <v>391</v>
      </c>
      <c r="C116" s="105" t="s">
        <v>268</v>
      </c>
      <c r="D116" s="136"/>
      <c r="E116" s="136">
        <f t="shared" si="46"/>
        <v>0</v>
      </c>
      <c r="F116" s="136">
        <f t="shared" si="46"/>
        <v>0</v>
      </c>
      <c r="G116" s="136">
        <f t="shared" si="46"/>
        <v>0</v>
      </c>
      <c r="H116" s="136">
        <f t="shared" si="46"/>
        <v>0</v>
      </c>
      <c r="I116" s="136">
        <f t="shared" si="46"/>
        <v>0</v>
      </c>
      <c r="J116" s="136">
        <f t="shared" si="46"/>
        <v>0</v>
      </c>
      <c r="K116" s="136">
        <f t="shared" si="46"/>
        <v>0</v>
      </c>
      <c r="L116" s="136">
        <f t="shared" si="46"/>
        <v>0</v>
      </c>
      <c r="M116" s="136">
        <f t="shared" si="46"/>
        <v>0</v>
      </c>
      <c r="N116" s="136">
        <f t="shared" si="46"/>
        <v>0</v>
      </c>
      <c r="O116" s="136">
        <f t="shared" si="46"/>
        <v>0</v>
      </c>
      <c r="P116" s="135">
        <f t="shared" si="50"/>
        <v>0</v>
      </c>
      <c r="Q116" s="136">
        <v>0</v>
      </c>
      <c r="R116" s="136">
        <v>0</v>
      </c>
      <c r="S116" s="136">
        <v>0</v>
      </c>
      <c r="T116" s="136">
        <v>0</v>
      </c>
      <c r="U116" s="136">
        <v>0</v>
      </c>
      <c r="V116" s="136">
        <v>0</v>
      </c>
      <c r="W116" s="72">
        <v>0</v>
      </c>
      <c r="X116" s="72">
        <v>0</v>
      </c>
      <c r="Y116" s="72">
        <v>0</v>
      </c>
      <c r="Z116" s="72">
        <v>0</v>
      </c>
      <c r="AA116" s="72">
        <v>0</v>
      </c>
      <c r="AB116" s="72">
        <v>0</v>
      </c>
      <c r="AC116" s="137">
        <f t="shared" si="47"/>
        <v>0</v>
      </c>
      <c r="AD116" s="72">
        <f t="shared" si="48"/>
        <v>0</v>
      </c>
      <c r="AE116" s="192" t="e">
        <f t="shared" si="49"/>
        <v>#DIV/0!</v>
      </c>
      <c r="AF116" s="133">
        <v>0</v>
      </c>
      <c r="AG116" s="124">
        <f t="shared" si="39"/>
        <v>0</v>
      </c>
    </row>
    <row r="117" spans="1:33">
      <c r="A117" s="105" t="s">
        <v>127</v>
      </c>
      <c r="B117" s="105" t="s">
        <v>391</v>
      </c>
      <c r="C117" s="105" t="s">
        <v>269</v>
      </c>
      <c r="D117" s="136"/>
      <c r="E117" s="136">
        <f t="shared" si="46"/>
        <v>0</v>
      </c>
      <c r="F117" s="136">
        <f t="shared" si="46"/>
        <v>0</v>
      </c>
      <c r="G117" s="136">
        <f t="shared" si="46"/>
        <v>0</v>
      </c>
      <c r="H117" s="136">
        <f t="shared" si="46"/>
        <v>0</v>
      </c>
      <c r="I117" s="136">
        <f t="shared" si="46"/>
        <v>0</v>
      </c>
      <c r="J117" s="136">
        <f t="shared" si="46"/>
        <v>0</v>
      </c>
      <c r="K117" s="136">
        <f t="shared" si="46"/>
        <v>0</v>
      </c>
      <c r="L117" s="136">
        <f t="shared" si="46"/>
        <v>0</v>
      </c>
      <c r="M117" s="136">
        <f t="shared" si="46"/>
        <v>0</v>
      </c>
      <c r="N117" s="136">
        <f t="shared" si="46"/>
        <v>0</v>
      </c>
      <c r="O117" s="136">
        <f t="shared" si="46"/>
        <v>0</v>
      </c>
      <c r="P117" s="135">
        <f t="shared" si="50"/>
        <v>0</v>
      </c>
      <c r="Q117" s="136">
        <v>0</v>
      </c>
      <c r="R117" s="136">
        <v>0</v>
      </c>
      <c r="S117" s="136">
        <v>0</v>
      </c>
      <c r="T117" s="136">
        <v>0</v>
      </c>
      <c r="U117" s="136">
        <v>0</v>
      </c>
      <c r="V117" s="136">
        <v>0</v>
      </c>
      <c r="W117" s="72">
        <v>0</v>
      </c>
      <c r="X117" s="72">
        <v>0</v>
      </c>
      <c r="Y117" s="72">
        <v>0</v>
      </c>
      <c r="Z117" s="72">
        <v>0</v>
      </c>
      <c r="AA117" s="72">
        <v>0</v>
      </c>
      <c r="AB117" s="72">
        <v>0</v>
      </c>
      <c r="AC117" s="137">
        <f t="shared" si="47"/>
        <v>0</v>
      </c>
      <c r="AD117" s="72">
        <f t="shared" si="48"/>
        <v>0</v>
      </c>
      <c r="AE117" s="192" t="e">
        <f t="shared" si="49"/>
        <v>#DIV/0!</v>
      </c>
      <c r="AF117" s="133">
        <v>0</v>
      </c>
      <c r="AG117" s="124">
        <f t="shared" si="39"/>
        <v>0</v>
      </c>
    </row>
    <row r="118" spans="1:33">
      <c r="A118" s="105" t="s">
        <v>128</v>
      </c>
      <c r="B118" s="105" t="s">
        <v>391</v>
      </c>
      <c r="C118" s="105" t="s">
        <v>270</v>
      </c>
      <c r="D118" s="136"/>
      <c r="E118" s="136">
        <f t="shared" si="46"/>
        <v>0</v>
      </c>
      <c r="F118" s="136">
        <f t="shared" si="46"/>
        <v>0</v>
      </c>
      <c r="G118" s="136">
        <f t="shared" si="46"/>
        <v>0</v>
      </c>
      <c r="H118" s="136">
        <f t="shared" si="46"/>
        <v>0</v>
      </c>
      <c r="I118" s="136">
        <f t="shared" si="46"/>
        <v>0</v>
      </c>
      <c r="J118" s="136">
        <f t="shared" si="46"/>
        <v>0</v>
      </c>
      <c r="K118" s="136">
        <f t="shared" si="46"/>
        <v>0</v>
      </c>
      <c r="L118" s="136">
        <f t="shared" si="46"/>
        <v>0</v>
      </c>
      <c r="M118" s="136">
        <f t="shared" si="46"/>
        <v>0</v>
      </c>
      <c r="N118" s="136">
        <f t="shared" si="46"/>
        <v>0</v>
      </c>
      <c r="O118" s="136">
        <f t="shared" si="46"/>
        <v>0</v>
      </c>
      <c r="P118" s="135">
        <f t="shared" si="50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7"/>
        <v>0</v>
      </c>
      <c r="AD118" s="72">
        <f t="shared" si="48"/>
        <v>0</v>
      </c>
      <c r="AE118" s="192" t="e">
        <f t="shared" si="49"/>
        <v>#DIV/0!</v>
      </c>
      <c r="AF118" s="133">
        <v>0</v>
      </c>
      <c r="AG118" s="124">
        <f t="shared" si="39"/>
        <v>0</v>
      </c>
    </row>
    <row r="119" spans="1:33">
      <c r="A119" s="105" t="s">
        <v>129</v>
      </c>
      <c r="B119" s="105" t="s">
        <v>391</v>
      </c>
      <c r="C119" s="105" t="s">
        <v>271</v>
      </c>
      <c r="D119" s="136"/>
      <c r="E119" s="136">
        <f t="shared" si="46"/>
        <v>0</v>
      </c>
      <c r="F119" s="136">
        <f t="shared" si="46"/>
        <v>0</v>
      </c>
      <c r="G119" s="136">
        <f t="shared" si="46"/>
        <v>0</v>
      </c>
      <c r="H119" s="136">
        <f t="shared" si="46"/>
        <v>0</v>
      </c>
      <c r="I119" s="136">
        <f t="shared" si="46"/>
        <v>0</v>
      </c>
      <c r="J119" s="136">
        <f t="shared" si="46"/>
        <v>0</v>
      </c>
      <c r="K119" s="136">
        <f t="shared" si="46"/>
        <v>0</v>
      </c>
      <c r="L119" s="136">
        <f t="shared" si="46"/>
        <v>0</v>
      </c>
      <c r="M119" s="136">
        <f t="shared" si="46"/>
        <v>0</v>
      </c>
      <c r="N119" s="136">
        <f t="shared" si="46"/>
        <v>0</v>
      </c>
      <c r="O119" s="136">
        <f t="shared" si="46"/>
        <v>0</v>
      </c>
      <c r="P119" s="135">
        <f t="shared" si="50"/>
        <v>0</v>
      </c>
      <c r="Q119" s="136">
        <v>0</v>
      </c>
      <c r="R119" s="136">
        <v>0</v>
      </c>
      <c r="S119" s="136">
        <v>0</v>
      </c>
      <c r="T119" s="136">
        <v>0</v>
      </c>
      <c r="U119" s="136">
        <v>0</v>
      </c>
      <c r="V119" s="136">
        <v>0</v>
      </c>
      <c r="W119" s="72">
        <v>0</v>
      </c>
      <c r="X119" s="72">
        <v>0</v>
      </c>
      <c r="Y119" s="72">
        <v>0</v>
      </c>
      <c r="Z119" s="72">
        <v>0</v>
      </c>
      <c r="AA119" s="72">
        <v>0</v>
      </c>
      <c r="AB119" s="72">
        <v>0</v>
      </c>
      <c r="AC119" s="137">
        <f t="shared" si="47"/>
        <v>0</v>
      </c>
      <c r="AD119" s="72">
        <f t="shared" si="48"/>
        <v>0</v>
      </c>
      <c r="AE119" s="192" t="e">
        <f t="shared" si="49"/>
        <v>#DIV/0!</v>
      </c>
      <c r="AF119" s="133">
        <v>0</v>
      </c>
      <c r="AG119" s="124">
        <f t="shared" si="39"/>
        <v>0</v>
      </c>
    </row>
    <row r="120" spans="1:33">
      <c r="A120" s="105" t="s">
        <v>130</v>
      </c>
      <c r="B120" s="105" t="s">
        <v>391</v>
      </c>
      <c r="C120" s="105" t="s">
        <v>272</v>
      </c>
      <c r="D120" s="136">
        <f>ROUND((D105+D112)*0.02,0)</f>
        <v>0</v>
      </c>
      <c r="E120" s="136">
        <f t="shared" si="46"/>
        <v>0</v>
      </c>
      <c r="F120" s="136">
        <f t="shared" si="46"/>
        <v>0</v>
      </c>
      <c r="G120" s="136">
        <f t="shared" si="46"/>
        <v>0</v>
      </c>
      <c r="H120" s="136">
        <f t="shared" si="46"/>
        <v>0</v>
      </c>
      <c r="I120" s="136">
        <f t="shared" si="46"/>
        <v>0</v>
      </c>
      <c r="J120" s="136">
        <f t="shared" si="46"/>
        <v>0</v>
      </c>
      <c r="K120" s="136">
        <f t="shared" si="46"/>
        <v>0</v>
      </c>
      <c r="L120" s="136">
        <f t="shared" si="46"/>
        <v>0</v>
      </c>
      <c r="M120" s="136">
        <f t="shared" si="46"/>
        <v>0</v>
      </c>
      <c r="N120" s="136">
        <f t="shared" si="46"/>
        <v>0</v>
      </c>
      <c r="O120" s="136">
        <f t="shared" si="46"/>
        <v>0</v>
      </c>
      <c r="P120" s="135">
        <f t="shared" si="50"/>
        <v>0</v>
      </c>
      <c r="Q120" s="136">
        <v>0</v>
      </c>
      <c r="R120" s="136">
        <v>0</v>
      </c>
      <c r="S120" s="136">
        <v>0</v>
      </c>
      <c r="T120" s="136">
        <v>0</v>
      </c>
      <c r="U120" s="136">
        <v>0</v>
      </c>
      <c r="V120" s="136">
        <v>0</v>
      </c>
      <c r="W120" s="72">
        <v>0</v>
      </c>
      <c r="X120" s="72">
        <v>0</v>
      </c>
      <c r="Y120" s="72">
        <v>0</v>
      </c>
      <c r="Z120" s="72">
        <v>0</v>
      </c>
      <c r="AA120" s="72">
        <v>0</v>
      </c>
      <c r="AB120" s="72">
        <v>0</v>
      </c>
      <c r="AC120" s="137">
        <f t="shared" si="47"/>
        <v>0</v>
      </c>
      <c r="AD120" s="72">
        <f t="shared" si="48"/>
        <v>0</v>
      </c>
      <c r="AE120" s="192" t="e">
        <f t="shared" si="49"/>
        <v>#DIV/0!</v>
      </c>
      <c r="AF120" s="133">
        <v>530.64</v>
      </c>
      <c r="AG120" s="124">
        <f t="shared" si="39"/>
        <v>530.64</v>
      </c>
    </row>
    <row r="121" spans="1:33">
      <c r="A121" s="105" t="s">
        <v>273</v>
      </c>
      <c r="C121" s="105" t="s">
        <v>274</v>
      </c>
      <c r="D121" s="136"/>
      <c r="E121" s="136">
        <f t="shared" si="46"/>
        <v>0</v>
      </c>
      <c r="F121" s="136">
        <f t="shared" si="46"/>
        <v>0</v>
      </c>
      <c r="G121" s="136">
        <f t="shared" si="46"/>
        <v>0</v>
      </c>
      <c r="H121" s="136">
        <f t="shared" si="46"/>
        <v>0</v>
      </c>
      <c r="I121" s="136">
        <f t="shared" si="46"/>
        <v>0</v>
      </c>
      <c r="J121" s="136">
        <f t="shared" si="46"/>
        <v>0</v>
      </c>
      <c r="K121" s="136">
        <f t="shared" si="46"/>
        <v>0</v>
      </c>
      <c r="L121" s="136">
        <f t="shared" si="46"/>
        <v>0</v>
      </c>
      <c r="M121" s="136">
        <f t="shared" si="46"/>
        <v>0</v>
      </c>
      <c r="N121" s="136">
        <f t="shared" si="46"/>
        <v>0</v>
      </c>
      <c r="O121" s="136">
        <f t="shared" si="46"/>
        <v>0</v>
      </c>
      <c r="P121" s="135">
        <f t="shared" si="50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7"/>
        <v>0</v>
      </c>
      <c r="AD121" s="72">
        <f t="shared" si="48"/>
        <v>0</v>
      </c>
      <c r="AE121" s="192" t="e">
        <f t="shared" si="49"/>
        <v>#DIV/0!</v>
      </c>
      <c r="AF121" s="133">
        <v>0</v>
      </c>
      <c r="AG121" s="124">
        <f t="shared" si="39"/>
        <v>0</v>
      </c>
    </row>
    <row r="122" spans="1:33">
      <c r="A122" s="105" t="s">
        <v>273</v>
      </c>
      <c r="C122" s="109" t="s">
        <v>522</v>
      </c>
      <c r="D122" s="137">
        <f t="shared" ref="D122:P122" si="51">SUM(D114:D121)</f>
        <v>0</v>
      </c>
      <c r="E122" s="137">
        <f t="shared" si="51"/>
        <v>0</v>
      </c>
      <c r="F122" s="137">
        <f t="shared" si="51"/>
        <v>0</v>
      </c>
      <c r="G122" s="137">
        <f t="shared" si="51"/>
        <v>0</v>
      </c>
      <c r="H122" s="137">
        <f t="shared" si="51"/>
        <v>0</v>
      </c>
      <c r="I122" s="137">
        <f t="shared" si="51"/>
        <v>0</v>
      </c>
      <c r="J122" s="137">
        <f t="shared" si="51"/>
        <v>0</v>
      </c>
      <c r="K122" s="137">
        <f t="shared" si="51"/>
        <v>0</v>
      </c>
      <c r="L122" s="137">
        <f t="shared" si="51"/>
        <v>0</v>
      </c>
      <c r="M122" s="137">
        <f t="shared" si="51"/>
        <v>0</v>
      </c>
      <c r="N122" s="137">
        <f t="shared" si="51"/>
        <v>0</v>
      </c>
      <c r="O122" s="137">
        <f t="shared" si="51"/>
        <v>0</v>
      </c>
      <c r="P122" s="135">
        <f t="shared" si="51"/>
        <v>0</v>
      </c>
      <c r="Q122" s="137">
        <f t="shared" ref="Q122:AC122" si="52">SUM(Q114:Q121)</f>
        <v>0</v>
      </c>
      <c r="R122" s="137">
        <f t="shared" si="52"/>
        <v>0</v>
      </c>
      <c r="S122" s="137">
        <f t="shared" si="52"/>
        <v>0</v>
      </c>
      <c r="T122" s="137">
        <f t="shared" si="52"/>
        <v>0</v>
      </c>
      <c r="U122" s="137">
        <f t="shared" si="52"/>
        <v>0</v>
      </c>
      <c r="V122" s="137">
        <f t="shared" si="52"/>
        <v>0</v>
      </c>
      <c r="W122" s="137">
        <f t="shared" si="52"/>
        <v>0</v>
      </c>
      <c r="X122" s="137">
        <f t="shared" si="52"/>
        <v>0</v>
      </c>
      <c r="Y122" s="137">
        <f t="shared" si="52"/>
        <v>0</v>
      </c>
      <c r="Z122" s="137">
        <f t="shared" si="52"/>
        <v>0</v>
      </c>
      <c r="AA122" s="137">
        <f t="shared" si="52"/>
        <v>0</v>
      </c>
      <c r="AB122" s="137">
        <f t="shared" si="52"/>
        <v>0</v>
      </c>
      <c r="AC122" s="137">
        <f t="shared" si="52"/>
        <v>0</v>
      </c>
      <c r="AD122" s="72">
        <f t="shared" si="48"/>
        <v>0</v>
      </c>
      <c r="AE122" s="192" t="e">
        <f t="shared" si="49"/>
        <v>#DIV/0!</v>
      </c>
      <c r="AF122" s="133">
        <v>530.64</v>
      </c>
      <c r="AG122" s="124">
        <f t="shared" si="39"/>
        <v>530.64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39"/>
        <v>0</v>
      </c>
    </row>
    <row r="124" spans="1:33">
      <c r="A124" s="105" t="s">
        <v>131</v>
      </c>
      <c r="B124" s="105" t="s">
        <v>391</v>
      </c>
      <c r="C124" s="105" t="s">
        <v>276</v>
      </c>
      <c r="D124" s="136"/>
      <c r="E124" s="136"/>
      <c r="F124" s="136"/>
      <c r="G124" s="136"/>
      <c r="H124" s="136"/>
      <c r="I124" s="136"/>
      <c r="J124" s="123"/>
      <c r="K124" s="123"/>
      <c r="L124" s="123"/>
      <c r="M124" s="123"/>
      <c r="N124" s="123"/>
      <c r="O124" s="123"/>
      <c r="P124" s="200">
        <f t="shared" ref="P124:P132" si="53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4">SUM(Q124:AB124)</f>
        <v>0</v>
      </c>
      <c r="AD124" s="72">
        <f t="shared" ref="AD124:AD134" si="55">P124-AC124</f>
        <v>0</v>
      </c>
      <c r="AE124" s="192" t="e">
        <f t="shared" ref="AE124:AE134" si="56">AD124/AC124</f>
        <v>#DIV/0!</v>
      </c>
      <c r="AF124" s="133">
        <v>0</v>
      </c>
      <c r="AG124" s="124">
        <f t="shared" si="39"/>
        <v>0</v>
      </c>
    </row>
    <row r="125" spans="1:33">
      <c r="A125" s="105" t="s">
        <v>132</v>
      </c>
      <c r="B125" s="105" t="s">
        <v>391</v>
      </c>
      <c r="C125" s="105" t="s">
        <v>277</v>
      </c>
      <c r="D125" s="136"/>
      <c r="E125" s="136"/>
      <c r="F125" s="136"/>
      <c r="G125" s="136"/>
      <c r="H125" s="136"/>
      <c r="I125" s="136"/>
      <c r="J125" s="123"/>
      <c r="K125" s="123"/>
      <c r="L125" s="123"/>
      <c r="M125" s="123"/>
      <c r="N125" s="123"/>
      <c r="O125" s="123"/>
      <c r="P125" s="200">
        <f t="shared" si="53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4"/>
        <v>0</v>
      </c>
      <c r="AD125" s="72">
        <f t="shared" si="55"/>
        <v>0</v>
      </c>
      <c r="AE125" s="192" t="e">
        <f t="shared" si="56"/>
        <v>#DIV/0!</v>
      </c>
      <c r="AF125" s="133">
        <v>0</v>
      </c>
      <c r="AG125" s="124">
        <f t="shared" si="39"/>
        <v>0</v>
      </c>
    </row>
    <row r="126" spans="1:33">
      <c r="A126" s="105" t="s">
        <v>133</v>
      </c>
      <c r="B126" s="105" t="s">
        <v>391</v>
      </c>
      <c r="C126" s="105" t="s">
        <v>278</v>
      </c>
      <c r="D126" s="136"/>
      <c r="E126" s="136"/>
      <c r="F126" s="136"/>
      <c r="G126" s="136"/>
      <c r="H126" s="136"/>
      <c r="I126" s="136"/>
      <c r="J126" s="123"/>
      <c r="K126" s="123"/>
      <c r="L126" s="123"/>
      <c r="M126" s="123"/>
      <c r="N126" s="123"/>
      <c r="O126" s="123"/>
      <c r="P126" s="200">
        <f t="shared" si="53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4"/>
        <v>0</v>
      </c>
      <c r="AD126" s="72">
        <f t="shared" si="55"/>
        <v>0</v>
      </c>
      <c r="AE126" s="192" t="e">
        <f t="shared" si="56"/>
        <v>#DIV/0!</v>
      </c>
      <c r="AF126" s="133">
        <v>0</v>
      </c>
      <c r="AG126" s="124">
        <f t="shared" si="39"/>
        <v>0</v>
      </c>
    </row>
    <row r="127" spans="1:33">
      <c r="A127" s="105" t="s">
        <v>134</v>
      </c>
      <c r="B127" s="105" t="s">
        <v>391</v>
      </c>
      <c r="C127" s="105" t="s">
        <v>279</v>
      </c>
      <c r="D127" s="136"/>
      <c r="E127" s="136"/>
      <c r="F127" s="136"/>
      <c r="G127" s="136"/>
      <c r="H127" s="136"/>
      <c r="I127" s="136"/>
      <c r="J127" s="123"/>
      <c r="K127" s="123"/>
      <c r="L127" s="123"/>
      <c r="M127" s="123"/>
      <c r="N127" s="123"/>
      <c r="O127" s="123"/>
      <c r="P127" s="200">
        <f t="shared" si="53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4"/>
        <v>0</v>
      </c>
      <c r="AD127" s="72">
        <f t="shared" si="55"/>
        <v>0</v>
      </c>
      <c r="AE127" s="192" t="e">
        <f t="shared" si="56"/>
        <v>#DIV/0!</v>
      </c>
      <c r="AF127" s="133">
        <v>0</v>
      </c>
      <c r="AG127" s="124">
        <f t="shared" si="39"/>
        <v>0</v>
      </c>
    </row>
    <row r="128" spans="1:33">
      <c r="A128" s="105" t="s">
        <v>135</v>
      </c>
      <c r="B128" s="105" t="s">
        <v>391</v>
      </c>
      <c r="C128" s="105" t="s">
        <v>280</v>
      </c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200">
        <f t="shared" si="53"/>
        <v>0</v>
      </c>
      <c r="Q128" s="136">
        <v>0</v>
      </c>
      <c r="R128" s="136">
        <v>0</v>
      </c>
      <c r="S128" s="136">
        <v>0</v>
      </c>
      <c r="T128" s="136">
        <v>0</v>
      </c>
      <c r="U128" s="136">
        <v>0</v>
      </c>
      <c r="V128" s="136">
        <v>0</v>
      </c>
      <c r="W128" s="72">
        <v>0</v>
      </c>
      <c r="X128" s="72">
        <v>0</v>
      </c>
      <c r="Y128" s="72">
        <v>0</v>
      </c>
      <c r="Z128" s="72">
        <v>0</v>
      </c>
      <c r="AA128" s="72">
        <v>0</v>
      </c>
      <c r="AB128" s="72">
        <v>0</v>
      </c>
      <c r="AC128" s="137">
        <f t="shared" si="54"/>
        <v>0</v>
      </c>
      <c r="AD128" s="72">
        <f t="shared" si="55"/>
        <v>0</v>
      </c>
      <c r="AE128" s="192" t="e">
        <f t="shared" si="56"/>
        <v>#DIV/0!</v>
      </c>
      <c r="AF128" s="133">
        <v>375.6</v>
      </c>
      <c r="AG128" s="124">
        <f t="shared" si="39"/>
        <v>375.6</v>
      </c>
    </row>
    <row r="129" spans="1:33">
      <c r="A129" s="105" t="s">
        <v>136</v>
      </c>
      <c r="B129" s="105" t="s">
        <v>391</v>
      </c>
      <c r="C129" s="105" t="s">
        <v>282</v>
      </c>
      <c r="D129" s="164">
        <f>'Dormitory+&amp;+Shuttle+Bus'!D139</f>
        <v>0</v>
      </c>
      <c r="E129" s="164">
        <f>'Dormitory+&amp;+Shuttle+Bus'!E139</f>
        <v>0</v>
      </c>
      <c r="F129" s="164">
        <f>'Dormitory+&amp;+Shuttle+Bus'!F139</f>
        <v>0</v>
      </c>
      <c r="G129" s="164">
        <f>'Dormitory+&amp;+Shuttle+Bus'!G139</f>
        <v>0</v>
      </c>
      <c r="H129" s="164">
        <f>'Dormitory+&amp;+Shuttle+Bus'!H139</f>
        <v>0</v>
      </c>
      <c r="I129" s="164">
        <f>'Dormitory+&amp;+Shuttle+Bus'!I139</f>
        <v>0</v>
      </c>
      <c r="J129" s="164">
        <f>'Dormitory+&amp;+Shuttle+Bus'!J139</f>
        <v>0</v>
      </c>
      <c r="K129" s="164">
        <f>'Dormitory+&amp;+Shuttle+Bus'!K139</f>
        <v>0</v>
      </c>
      <c r="L129" s="164">
        <f>'Dormitory+&amp;+Shuttle+Bus'!L139</f>
        <v>0</v>
      </c>
      <c r="M129" s="164">
        <f>'Dormitory+&amp;+Shuttle+Bus'!M139</f>
        <v>0</v>
      </c>
      <c r="N129" s="164">
        <f>'Dormitory+&amp;+Shuttle+Bus'!N139</f>
        <v>0</v>
      </c>
      <c r="O129" s="164">
        <f>'Dormitory+&amp;+Shuttle+Bus'!O139</f>
        <v>0</v>
      </c>
      <c r="P129" s="200">
        <f t="shared" si="53"/>
        <v>0</v>
      </c>
      <c r="Q129" s="136">
        <v>0</v>
      </c>
      <c r="R129" s="136">
        <v>0</v>
      </c>
      <c r="S129" s="136">
        <v>0</v>
      </c>
      <c r="T129" s="136">
        <v>0</v>
      </c>
      <c r="U129" s="136">
        <v>0</v>
      </c>
      <c r="V129" s="136">
        <v>0</v>
      </c>
      <c r="W129" s="72">
        <v>0</v>
      </c>
      <c r="X129" s="72">
        <v>0</v>
      </c>
      <c r="Y129" s="72">
        <v>0</v>
      </c>
      <c r="Z129" s="72">
        <v>0</v>
      </c>
      <c r="AA129" s="72">
        <v>0</v>
      </c>
      <c r="AB129" s="72">
        <v>0</v>
      </c>
      <c r="AC129" s="137">
        <f t="shared" si="54"/>
        <v>0</v>
      </c>
      <c r="AD129" s="72">
        <f t="shared" si="55"/>
        <v>0</v>
      </c>
      <c r="AE129" s="192" t="e">
        <f t="shared" si="56"/>
        <v>#DIV/0!</v>
      </c>
      <c r="AF129" s="133">
        <v>5846.26</v>
      </c>
      <c r="AG129" s="124">
        <f t="shared" si="39"/>
        <v>5846.26</v>
      </c>
    </row>
    <row r="130" spans="1:33">
      <c r="A130" s="105" t="s">
        <v>137</v>
      </c>
      <c r="B130" s="105" t="s">
        <v>391</v>
      </c>
      <c r="C130" s="105" t="s">
        <v>283</v>
      </c>
      <c r="D130" s="164">
        <f>'Staff+Canteen'!D286</f>
        <v>0</v>
      </c>
      <c r="E130" s="164">
        <f>'Staff+Canteen'!E286</f>
        <v>0</v>
      </c>
      <c r="F130" s="164">
        <f>'Staff+Canteen'!F286</f>
        <v>0</v>
      </c>
      <c r="G130" s="164">
        <f>'Staff+Canteen'!G286</f>
        <v>0</v>
      </c>
      <c r="H130" s="164">
        <f>'Staff+Canteen'!H286</f>
        <v>0</v>
      </c>
      <c r="I130" s="164">
        <f>'Staff+Canteen'!I286</f>
        <v>0</v>
      </c>
      <c r="J130" s="164">
        <f>'Staff+Canteen'!J286</f>
        <v>0</v>
      </c>
      <c r="K130" s="164">
        <f>'Staff+Canteen'!K286</f>
        <v>0</v>
      </c>
      <c r="L130" s="164">
        <f>'Staff+Canteen'!L286</f>
        <v>0</v>
      </c>
      <c r="M130" s="164">
        <f>'Staff+Canteen'!M286</f>
        <v>0</v>
      </c>
      <c r="N130" s="164">
        <f>'Staff+Canteen'!N286</f>
        <v>0</v>
      </c>
      <c r="O130" s="164">
        <f>'Staff+Canteen'!O286</f>
        <v>0</v>
      </c>
      <c r="P130" s="200">
        <f t="shared" si="53"/>
        <v>0</v>
      </c>
      <c r="Q130" s="136">
        <v>0</v>
      </c>
      <c r="R130" s="136">
        <v>0</v>
      </c>
      <c r="S130" s="136">
        <v>0</v>
      </c>
      <c r="T130" s="136">
        <v>0</v>
      </c>
      <c r="U130" s="136">
        <v>0</v>
      </c>
      <c r="V130" s="136">
        <v>0</v>
      </c>
      <c r="W130" s="72">
        <v>0</v>
      </c>
      <c r="X130" s="72">
        <v>0</v>
      </c>
      <c r="Y130" s="72">
        <v>0</v>
      </c>
      <c r="Z130" s="72">
        <v>0</v>
      </c>
      <c r="AA130" s="72">
        <v>0</v>
      </c>
      <c r="AB130" s="72">
        <v>0</v>
      </c>
      <c r="AC130" s="137">
        <f t="shared" si="54"/>
        <v>0</v>
      </c>
      <c r="AD130" s="72">
        <f t="shared" si="55"/>
        <v>0</v>
      </c>
      <c r="AE130" s="192" t="e">
        <f t="shared" si="56"/>
        <v>#DIV/0!</v>
      </c>
      <c r="AF130" s="133">
        <v>20097.580000000002</v>
      </c>
      <c r="AG130" s="124">
        <f t="shared" si="39"/>
        <v>20097.580000000002</v>
      </c>
    </row>
    <row r="131" spans="1:33">
      <c r="A131" s="105" t="s">
        <v>138</v>
      </c>
      <c r="B131" s="105" t="s">
        <v>391</v>
      </c>
      <c r="C131" s="105" t="s">
        <v>472</v>
      </c>
      <c r="D131" s="136"/>
      <c r="E131" s="136"/>
      <c r="F131" s="136"/>
      <c r="G131" s="136"/>
      <c r="H131" s="136"/>
      <c r="I131" s="136"/>
      <c r="J131" s="140"/>
      <c r="K131" s="140"/>
      <c r="L131" s="140"/>
      <c r="M131" s="140"/>
      <c r="N131" s="140"/>
      <c r="O131" s="140"/>
      <c r="P131" s="200">
        <f t="shared" si="53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4"/>
        <v>0</v>
      </c>
      <c r="AD131" s="72">
        <f t="shared" si="55"/>
        <v>0</v>
      </c>
      <c r="AE131" s="192" t="e">
        <f t="shared" si="56"/>
        <v>#DIV/0!</v>
      </c>
      <c r="AF131" s="133">
        <v>0</v>
      </c>
      <c r="AG131" s="124">
        <f t="shared" si="39"/>
        <v>0</v>
      </c>
    </row>
    <row r="132" spans="1:33">
      <c r="A132" s="105" t="s">
        <v>140</v>
      </c>
      <c r="B132" s="105" t="s">
        <v>391</v>
      </c>
      <c r="C132" s="105" t="s">
        <v>552</v>
      </c>
      <c r="D132" s="136"/>
      <c r="E132" s="136"/>
      <c r="F132" s="136"/>
      <c r="G132" s="136"/>
      <c r="H132" s="136"/>
      <c r="I132" s="136"/>
      <c r="J132" s="140"/>
      <c r="K132" s="140"/>
      <c r="L132" s="140"/>
      <c r="M132" s="140"/>
      <c r="N132" s="140"/>
      <c r="O132" s="140"/>
      <c r="P132" s="200">
        <f t="shared" si="53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4"/>
        <v>0</v>
      </c>
      <c r="AD132" s="72">
        <f t="shared" si="55"/>
        <v>0</v>
      </c>
      <c r="AE132" s="192" t="e">
        <f t="shared" si="56"/>
        <v>#DIV/0!</v>
      </c>
      <c r="AF132" s="133">
        <v>0</v>
      </c>
      <c r="AG132" s="124">
        <f t="shared" si="39"/>
        <v>0</v>
      </c>
    </row>
    <row r="133" spans="1:33">
      <c r="A133" s="105" t="s">
        <v>553</v>
      </c>
      <c r="C133" s="109" t="s">
        <v>523</v>
      </c>
      <c r="D133" s="137">
        <f t="shared" ref="D133:AC133" si="57">SUM(D124:D132)</f>
        <v>0</v>
      </c>
      <c r="E133" s="137">
        <f t="shared" si="57"/>
        <v>0</v>
      </c>
      <c r="F133" s="137">
        <f t="shared" si="57"/>
        <v>0</v>
      </c>
      <c r="G133" s="137">
        <f t="shared" si="57"/>
        <v>0</v>
      </c>
      <c r="H133" s="137">
        <f t="shared" si="57"/>
        <v>0</v>
      </c>
      <c r="I133" s="137">
        <f t="shared" si="57"/>
        <v>0</v>
      </c>
      <c r="J133" s="137">
        <f t="shared" si="57"/>
        <v>0</v>
      </c>
      <c r="K133" s="137">
        <f t="shared" si="57"/>
        <v>0</v>
      </c>
      <c r="L133" s="137">
        <f t="shared" si="57"/>
        <v>0</v>
      </c>
      <c r="M133" s="137">
        <f t="shared" si="57"/>
        <v>0</v>
      </c>
      <c r="N133" s="137">
        <f t="shared" si="57"/>
        <v>0</v>
      </c>
      <c r="O133" s="137">
        <f t="shared" si="57"/>
        <v>0</v>
      </c>
      <c r="P133" s="135">
        <f t="shared" si="57"/>
        <v>0</v>
      </c>
      <c r="Q133" s="137">
        <f t="shared" si="57"/>
        <v>0</v>
      </c>
      <c r="R133" s="137">
        <f t="shared" si="57"/>
        <v>0</v>
      </c>
      <c r="S133" s="137">
        <f t="shared" si="57"/>
        <v>0</v>
      </c>
      <c r="T133" s="137">
        <f t="shared" si="57"/>
        <v>0</v>
      </c>
      <c r="U133" s="137">
        <f t="shared" si="57"/>
        <v>0</v>
      </c>
      <c r="V133" s="137">
        <f t="shared" si="57"/>
        <v>0</v>
      </c>
      <c r="W133" s="137">
        <f t="shared" si="57"/>
        <v>0</v>
      </c>
      <c r="X133" s="137">
        <f t="shared" si="57"/>
        <v>0</v>
      </c>
      <c r="Y133" s="137">
        <f t="shared" si="57"/>
        <v>0</v>
      </c>
      <c r="Z133" s="137">
        <f t="shared" si="57"/>
        <v>0</v>
      </c>
      <c r="AA133" s="137">
        <f t="shared" si="57"/>
        <v>0</v>
      </c>
      <c r="AB133" s="137">
        <f t="shared" si="57"/>
        <v>0</v>
      </c>
      <c r="AC133" s="137">
        <f t="shared" si="57"/>
        <v>0</v>
      </c>
      <c r="AD133" s="72">
        <f t="shared" si="55"/>
        <v>0</v>
      </c>
      <c r="AE133" s="192" t="e">
        <f t="shared" si="56"/>
        <v>#DIV/0!</v>
      </c>
      <c r="AF133" s="133">
        <v>26319.440000000002</v>
      </c>
      <c r="AG133" s="124">
        <f t="shared" si="39"/>
        <v>26319.440000000002</v>
      </c>
    </row>
    <row r="134" spans="1:33">
      <c r="A134" s="105" t="s">
        <v>549</v>
      </c>
      <c r="C134" s="109" t="s">
        <v>524</v>
      </c>
      <c r="D134" s="137">
        <f t="shared" ref="D134:AC134" si="58">D105+D112+D122+D133</f>
        <v>0</v>
      </c>
      <c r="E134" s="137">
        <f t="shared" si="58"/>
        <v>0</v>
      </c>
      <c r="F134" s="137">
        <f t="shared" si="58"/>
        <v>0</v>
      </c>
      <c r="G134" s="137">
        <f t="shared" si="58"/>
        <v>0</v>
      </c>
      <c r="H134" s="137">
        <f t="shared" si="58"/>
        <v>0</v>
      </c>
      <c r="I134" s="137">
        <f t="shared" si="58"/>
        <v>0</v>
      </c>
      <c r="J134" s="137">
        <f t="shared" si="58"/>
        <v>0</v>
      </c>
      <c r="K134" s="137">
        <f t="shared" si="58"/>
        <v>0</v>
      </c>
      <c r="L134" s="137">
        <f t="shared" si="58"/>
        <v>0</v>
      </c>
      <c r="M134" s="137">
        <f t="shared" si="58"/>
        <v>0</v>
      </c>
      <c r="N134" s="137">
        <f t="shared" si="58"/>
        <v>0</v>
      </c>
      <c r="O134" s="137">
        <f t="shared" si="58"/>
        <v>0</v>
      </c>
      <c r="P134" s="135">
        <f t="shared" si="58"/>
        <v>0</v>
      </c>
      <c r="Q134" s="137">
        <f t="shared" si="58"/>
        <v>0</v>
      </c>
      <c r="R134" s="137">
        <f t="shared" si="58"/>
        <v>0</v>
      </c>
      <c r="S134" s="137">
        <f t="shared" si="58"/>
        <v>0</v>
      </c>
      <c r="T134" s="137">
        <f t="shared" si="58"/>
        <v>0</v>
      </c>
      <c r="U134" s="137">
        <f t="shared" si="58"/>
        <v>0</v>
      </c>
      <c r="V134" s="137">
        <f t="shared" si="58"/>
        <v>0</v>
      </c>
      <c r="W134" s="137">
        <f t="shared" si="58"/>
        <v>0</v>
      </c>
      <c r="X134" s="137">
        <f t="shared" si="58"/>
        <v>0</v>
      </c>
      <c r="Y134" s="137">
        <f t="shared" si="58"/>
        <v>0</v>
      </c>
      <c r="Z134" s="137">
        <f t="shared" si="58"/>
        <v>0</v>
      </c>
      <c r="AA134" s="137">
        <f t="shared" si="58"/>
        <v>0</v>
      </c>
      <c r="AB134" s="137">
        <f t="shared" si="58"/>
        <v>0</v>
      </c>
      <c r="AC134" s="137">
        <f t="shared" si="58"/>
        <v>0</v>
      </c>
      <c r="AD134" s="72">
        <f t="shared" si="55"/>
        <v>0</v>
      </c>
      <c r="AE134" s="192" t="e">
        <f t="shared" si="56"/>
        <v>#DIV/0!</v>
      </c>
      <c r="AF134" s="133">
        <v>64873.93</v>
      </c>
      <c r="AG134" s="124">
        <f t="shared" si="39"/>
        <v>64873.93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39"/>
        <v>0</v>
      </c>
    </row>
    <row r="136" spans="1:33" s="224" customFormat="1">
      <c r="A136" s="224" t="s">
        <v>141</v>
      </c>
      <c r="B136" s="224" t="s">
        <v>391</v>
      </c>
      <c r="C136" s="224" t="s">
        <v>142</v>
      </c>
      <c r="D136" s="225"/>
      <c r="E136" s="225"/>
      <c r="F136" s="225"/>
      <c r="G136" s="225"/>
      <c r="H136" s="225"/>
      <c r="I136" s="225"/>
      <c r="J136" s="225"/>
      <c r="K136" s="225"/>
      <c r="L136" s="225"/>
      <c r="M136" s="225"/>
      <c r="N136" s="225"/>
      <c r="O136" s="225"/>
      <c r="P136" s="225">
        <f>SUM(D136:O136)/12</f>
        <v>0</v>
      </c>
      <c r="Q136" s="225">
        <v>0</v>
      </c>
      <c r="R136" s="225">
        <v>0</v>
      </c>
      <c r="S136" s="225">
        <v>0</v>
      </c>
      <c r="T136" s="225">
        <v>0</v>
      </c>
      <c r="U136" s="225">
        <v>0</v>
      </c>
      <c r="V136" s="225">
        <v>0</v>
      </c>
      <c r="W136" s="127">
        <v>0</v>
      </c>
      <c r="X136" s="127">
        <v>0</v>
      </c>
      <c r="Y136" s="127">
        <v>0</v>
      </c>
      <c r="Z136" s="127">
        <v>0</v>
      </c>
      <c r="AA136" s="127">
        <v>0</v>
      </c>
      <c r="AB136" s="127">
        <v>0</v>
      </c>
      <c r="AC136" s="225">
        <f>SUM(Q136:AB136)/12</f>
        <v>0</v>
      </c>
      <c r="AD136" s="225">
        <f>P136-AC136</f>
        <v>0</v>
      </c>
      <c r="AE136" s="226" t="e">
        <f>AD136/AC136</f>
        <v>#DIV/0!</v>
      </c>
      <c r="AF136" s="227">
        <v>1.25</v>
      </c>
      <c r="AG136" s="228">
        <f t="shared" si="39"/>
        <v>1.25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200">
        <f t="shared" ref="P138:P140" si="59">SUM(D138:O138)</f>
        <v>0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200">
        <f t="shared" si="59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200">
        <f t="shared" si="59"/>
        <v>0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554</v>
      </c>
      <c r="D141" s="117">
        <f>SUM(D138:D140)</f>
        <v>0</v>
      </c>
      <c r="E141" s="117">
        <f t="shared" ref="E141:P141" si="60">SUM(E138:E140)</f>
        <v>0</v>
      </c>
      <c r="F141" s="117">
        <f t="shared" si="60"/>
        <v>0</v>
      </c>
      <c r="G141" s="117">
        <f t="shared" si="60"/>
        <v>0</v>
      </c>
      <c r="H141" s="117">
        <f t="shared" si="60"/>
        <v>0</v>
      </c>
      <c r="I141" s="117">
        <f t="shared" si="60"/>
        <v>0</v>
      </c>
      <c r="J141" s="117">
        <f t="shared" si="60"/>
        <v>0</v>
      </c>
      <c r="K141" s="117">
        <f t="shared" si="60"/>
        <v>0</v>
      </c>
      <c r="L141" s="117">
        <f t="shared" si="60"/>
        <v>0</v>
      </c>
      <c r="M141" s="117">
        <f t="shared" si="60"/>
        <v>0</v>
      </c>
      <c r="N141" s="117">
        <f t="shared" si="60"/>
        <v>0</v>
      </c>
      <c r="O141" s="117">
        <f t="shared" si="60"/>
        <v>0</v>
      </c>
      <c r="P141" s="117">
        <f t="shared" si="60"/>
        <v>0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7">
    <dataValidation type="textLength" errorStyle="information" allowBlank="1" showInputMessage="1" showErrorMessage="1" error="XLBVal:6=-30_x000d__x000a_" sqref="U87">
      <formula1>0</formula1>
      <formula2>300</formula2>
    </dataValidation>
    <dataValidation type="textLength" errorStyle="information" allowBlank="1" showInputMessage="1" showErrorMessage="1" error="XLBVal:6=32_x000d__x000a_" sqref="T87">
      <formula1>0</formula1>
      <formula2>300</formula2>
    </dataValidation>
    <dataValidation type="textLength" errorStyle="information" allowBlank="1" showInputMessage="1" showErrorMessage="1" error="XLBVal:6=80.2_x000d__x000a_" sqref="T26">
      <formula1>0</formula1>
      <formula2>300</formula2>
    </dataValidation>
    <dataValidation type="textLength" errorStyle="information" allowBlank="1" showInputMessage="1" showErrorMessage="1" error="XLBVal:6=800_x000d__x000a_" sqref="T25">
      <formula1>0</formula1>
      <formula2>300</formula2>
    </dataValidation>
    <dataValidation type="textLength" errorStyle="information" allowBlank="1" showInputMessage="1" showErrorMessage="1" error="XLBVal:6=0_x000d__x000a_" sqref="T11 S49 S71 S78">
      <formula1>0</formula1>
      <formula2>300</formula2>
    </dataValidation>
    <dataValidation type="textLength" errorStyle="information" allowBlank="1" showInputMessage="1" showErrorMessage="1" error="XLBVal:6=89900.92_x000d__x000a_" sqref="D120">
      <formula1>0</formula1>
      <formula2>300</formula2>
    </dataValidation>
    <dataValidation type="textLength" errorStyle="information" allowBlank="1" showInputMessage="1" showErrorMessage="1" error="XLBVal:6=-47.52_x000d__x000a_" sqref="I111">
      <formula1>0</formula1>
      <formula2>300</formula2>
    </dataValidation>
    <dataValidation type="textLength" errorStyle="information" allowBlank="1" showInputMessage="1" showErrorMessage="1" error="XLBVal:6=16.5_x000d__x000a_" sqref="H111">
      <formula1>0</formula1>
      <formula2>300</formula2>
    </dataValidation>
    <dataValidation type="textLength" errorStyle="information" allowBlank="1" showInputMessage="1" showErrorMessage="1" error="XLBVal:6=500_x000d__x000a_" sqref="H26">
      <formula1>0</formula1>
      <formula2>300</formula2>
    </dataValidation>
    <dataValidation type="textLength" errorStyle="information" allowBlank="1" showInputMessage="1" showErrorMessage="1" error="XLBVal:6=5000_x000d__x000a_" sqref="H25">
      <formula1>0</formula1>
      <formula2>300</formula2>
    </dataValidation>
    <dataValidation type="textLength" errorStyle="information" allowBlank="1" showInputMessage="1" showErrorMessage="1" error="XLBVal:6=31.02_x000d__x000a_" sqref="G111">
      <formula1>0</formula1>
      <formula2>300</formula2>
    </dataValidation>
    <dataValidation type="textLength" errorStyle="information" allowBlank="1" showInputMessage="1" showErrorMessage="1" error="XLBVal:6=940_x000d__x000a_" sqref="G26">
      <formula1>0</formula1>
      <formula2>300</formula2>
    </dataValidation>
    <dataValidation type="textLength" errorStyle="information" allowBlank="1" showInputMessage="1" showErrorMessage="1" error="XLBVal:6=9400_x000d__x000a_" sqref="G25">
      <formula1>0</formula1>
      <formula2>300</formula2>
    </dataValidation>
    <dataValidation type="textLength" errorStyle="information" allowBlank="1" showInputMessage="1" showErrorMessage="1" error="XLBVal:6=109.39_x000d__x000a_" sqref="D64">
      <formula1>0</formula1>
      <formula2>300</formula2>
    </dataValidation>
    <dataValidation type="textLength" errorStyle="information" allowBlank="1" showInputMessage="1" showErrorMessage="1" error="XLBVal:6=1200_x000d__x000a_" sqref="D59:E59">
      <formula1>0</formula1>
      <formula2>300</formula2>
    </dataValidation>
    <dataValidation type="textLength" errorStyle="information" allowBlank="1" showInputMessage="1" showErrorMessage="1" error="XLBVal:6=80_x000d__x000a_" sqref="F26">
      <formula1>0</formula1>
      <formula2>300</formula2>
    </dataValidation>
    <dataValidation type="textLength" errorStyle="information" allowBlank="1" showInputMessage="1" showErrorMessage="1" error="XLBVal:6=220_x000d__x000a_" sqref="E26">
      <formula1>0</formula1>
      <formula2>300</formula2>
    </dataValidation>
    <dataValidation type="textLength" errorStyle="information" allowBlank="1" showInputMessage="1" showErrorMessage="1" error="XLBVal:6=1141.5_x000d__x000a_" sqref="D26">
      <formula1>0</formula1>
      <formula2>300</formula2>
    </dataValidation>
    <dataValidation type="textLength" errorStyle="information" allowBlank="1" showInputMessage="1" showErrorMessage="1" error="XLBVal:6=5986.79_x000d__x000a_" sqref="F25">
      <formula1>0</formula1>
      <formula2>300</formula2>
    </dataValidation>
    <dataValidation type="textLength" errorStyle="information" allowBlank="1" showInputMessage="1" showErrorMessage="1" error="XLBVal:6=1870_x000d__x000a_" sqref="E25">
      <formula1>0</formula1>
      <formula2>300</formula2>
    </dataValidation>
    <dataValidation type="textLength" errorStyle="information" allowBlank="1" showInputMessage="1" showErrorMessage="1" error="XLBVal:6=11415.3_x000d__x000a_" sqref="D25">
      <formula1>0</formula1>
      <formula2>300</formula2>
    </dataValidation>
    <dataValidation type="textLength" errorStyle="information" allowBlank="1" showInputMessage="1" showErrorMessage="1" error="XLBVal:6=121.6_x000d__x000a_" sqref="E64:I64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4_x000d__x000a_" sqref="D89 D87">
      <formula1>0</formula1>
      <formula2>300</formula2>
    </dataValidation>
    <dataValidation type="textLength" errorStyle="information" allowBlank="1" showInputMessage="1" showErrorMessage="1" error="XLBVal:2=0_x000d__x000a_" sqref="I25:I26 G109:I110 D24:I24 D131:I132 Q136:AB136 D60:I63 E114:O120 D85:I86 F59:I59 D73:I78 D65:I71 D109:F111 D107:I107 D9:O13 D121:O121 D102:O104 D114:D119 Q61:U63 Q24:V24 S50:S60 Q107:AB111 D136:I136 Q124:AB132 D124:I128 Q114:AB121 Q102:AB104 E89:I89 S79 D88:I88 E87:I87 S65:S70 U25:V26 Q30:AB32 D31:I32 T12:T13 Q17:AB21 D17:I21 D44:I58 W24:AB26 W38:AB79 W93:AB97 D38:I42 Q9:S13 U9:AB13 T9:T10 Q38:R60 T38:V60 S38:S48 Q65:R71 T65:V71 Q73:R79 T73:V79 S73:S77 Q85:S89 V85:AB89 T85:U86 T88:U89 V61:V64 Q72:V72 Q25:S26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AG161"/>
  <sheetViews>
    <sheetView view="pageBreakPreview" zoomScale="95" zoomScaleNormal="100" zoomScaleSheetLayoutView="95" workbookViewId="0">
      <pane xSplit="4" ySplit="7" topLeftCell="K62" activePane="bottomRight" state="frozen"/>
      <selection activeCell="AP43" sqref="AP43"/>
      <selection pane="topRight" activeCell="AP43" sqref="AP43"/>
      <selection pane="bottomLeft" activeCell="AP43" sqref="AP43"/>
      <selection pane="bottomRight" activeCell="O118" sqref="O118"/>
    </sheetView>
  </sheetViews>
  <sheetFormatPr defaultColWidth="9" defaultRowHeight="14.25" outlineLevelCol="2"/>
  <cols>
    <col min="1" max="2" width="9" style="105" hidden="1" customWidth="1" outlineLevel="1"/>
    <col min="3" max="3" width="52.5" style="105" customWidth="1" collapsed="1"/>
    <col min="4" max="15" width="14.5" style="72" bestFit="1" customWidth="1"/>
    <col min="16" max="16" width="15.75" style="127" bestFit="1" customWidth="1"/>
    <col min="17" max="23" width="15.75" style="72" hidden="1" customWidth="1" outlineLevel="1"/>
    <col min="24" max="25" width="15.75" style="72" hidden="1" customWidth="1" outlineLevel="2"/>
    <col min="26" max="28" width="14.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3.87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6" t="s">
        <v>555</v>
      </c>
      <c r="D3" s="2" t="s">
        <v>556</v>
      </c>
      <c r="E3" s="2" t="s">
        <v>0</v>
      </c>
      <c r="F3" s="2" t="s">
        <v>557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558</v>
      </c>
      <c r="N3" s="2" t="s">
        <v>151</v>
      </c>
      <c r="O3" s="2" t="s">
        <v>151</v>
      </c>
      <c r="P3" s="107"/>
      <c r="Q3" s="108" t="s">
        <v>559</v>
      </c>
      <c r="R3" s="108" t="s">
        <v>0</v>
      </c>
      <c r="S3" s="108" t="s">
        <v>560</v>
      </c>
      <c r="T3" s="108" t="s">
        <v>559</v>
      </c>
      <c r="U3" s="108" t="s">
        <v>561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393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17">
        <f>SUM(D9:O9)</f>
        <v>0</v>
      </c>
      <c r="Q9" s="72">
        <v>600</v>
      </c>
      <c r="R9" s="72">
        <v>-600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7022.7</v>
      </c>
      <c r="AG9" s="124">
        <f t="shared" ref="AG9:AG27" si="3">P9-AF9</f>
        <v>-7022.7</v>
      </c>
    </row>
    <row r="10" spans="1:33">
      <c r="A10" s="105" t="s">
        <v>482</v>
      </c>
      <c r="B10" s="105" t="s">
        <v>393</v>
      </c>
      <c r="C10" s="105" t="s">
        <v>483</v>
      </c>
      <c r="D10" s="210">
        <f t="shared" ref="D10:O13" si="4">ROUND(D86*D94,0)</f>
        <v>12000</v>
      </c>
      <c r="E10" s="210">
        <f t="shared" si="4"/>
        <v>20250</v>
      </c>
      <c r="F10" s="210">
        <f t="shared" si="4"/>
        <v>8050</v>
      </c>
      <c r="G10" s="210">
        <f t="shared" si="4"/>
        <v>5700</v>
      </c>
      <c r="H10" s="210">
        <f t="shared" si="4"/>
        <v>7700</v>
      </c>
      <c r="I10" s="210">
        <f t="shared" si="4"/>
        <v>6000</v>
      </c>
      <c r="J10" s="210">
        <f t="shared" si="4"/>
        <v>11700</v>
      </c>
      <c r="K10" s="210">
        <f t="shared" si="4"/>
        <v>11700</v>
      </c>
      <c r="L10" s="210">
        <f t="shared" si="4"/>
        <v>5400</v>
      </c>
      <c r="M10" s="210">
        <f t="shared" si="4"/>
        <v>8400</v>
      </c>
      <c r="N10" s="210">
        <f t="shared" si="4"/>
        <v>7000</v>
      </c>
      <c r="O10" s="210">
        <f t="shared" si="4"/>
        <v>10800</v>
      </c>
      <c r="P10" s="117">
        <f>SUM(D10:O10)</f>
        <v>114700</v>
      </c>
      <c r="Q10" s="72">
        <v>8489</v>
      </c>
      <c r="R10" s="72">
        <v>7702</v>
      </c>
      <c r="S10" s="72">
        <v>7335.4</v>
      </c>
      <c r="T10" s="72">
        <v>6858.2</v>
      </c>
      <c r="U10" s="72">
        <v>2162.3000000000002</v>
      </c>
      <c r="V10" s="72">
        <v>2105</v>
      </c>
      <c r="W10" s="72">
        <v>6633.9</v>
      </c>
      <c r="X10" s="72">
        <v>4897.1000000000004</v>
      </c>
      <c r="Y10" s="72">
        <v>7200</v>
      </c>
      <c r="Z10" s="72">
        <v>9600</v>
      </c>
      <c r="AA10" s="72">
        <v>8000</v>
      </c>
      <c r="AB10" s="72">
        <v>13500</v>
      </c>
      <c r="AC10" s="127">
        <f>SUM(Q10:AB10)</f>
        <v>84482.9</v>
      </c>
      <c r="AD10" s="72">
        <f t="shared" si="1"/>
        <v>30217.100000000006</v>
      </c>
      <c r="AE10" s="192">
        <f t="shared" si="2"/>
        <v>0.35767119736656777</v>
      </c>
      <c r="AF10" s="129">
        <v>35952.800000000003</v>
      </c>
      <c r="AG10" s="124">
        <f t="shared" si="3"/>
        <v>78747.199999999997</v>
      </c>
    </row>
    <row r="11" spans="1:33">
      <c r="A11" s="105" t="s">
        <v>484</v>
      </c>
      <c r="B11" s="105" t="s">
        <v>393</v>
      </c>
      <c r="C11" s="105" t="s">
        <v>485</v>
      </c>
      <c r="D11" s="210">
        <f t="shared" si="4"/>
        <v>126000</v>
      </c>
      <c r="E11" s="210">
        <f t="shared" si="4"/>
        <v>142500</v>
      </c>
      <c r="F11" s="210">
        <f t="shared" si="4"/>
        <v>106167</v>
      </c>
      <c r="G11" s="210">
        <f t="shared" si="4"/>
        <v>96000</v>
      </c>
      <c r="H11" s="210">
        <f t="shared" si="4"/>
        <v>110500</v>
      </c>
      <c r="I11" s="210">
        <f t="shared" si="4"/>
        <v>88000</v>
      </c>
      <c r="J11" s="210">
        <f t="shared" si="4"/>
        <v>117000</v>
      </c>
      <c r="K11" s="210">
        <f t="shared" si="4"/>
        <v>117000</v>
      </c>
      <c r="L11" s="210">
        <f t="shared" si="4"/>
        <v>104000</v>
      </c>
      <c r="M11" s="210">
        <f t="shared" si="4"/>
        <v>102000</v>
      </c>
      <c r="N11" s="210">
        <f t="shared" si="4"/>
        <v>90200</v>
      </c>
      <c r="O11" s="210">
        <f t="shared" si="4"/>
        <v>117000</v>
      </c>
      <c r="P11" s="117">
        <f>SUM(D11:O11)</f>
        <v>1316367</v>
      </c>
      <c r="Q11" s="72">
        <v>95740.74</v>
      </c>
      <c r="R11" s="72">
        <v>140471.26999999999</v>
      </c>
      <c r="S11" s="72">
        <v>120941.67</v>
      </c>
      <c r="T11" s="72">
        <v>100309.64</v>
      </c>
      <c r="U11" s="72">
        <v>84260.98</v>
      </c>
      <c r="V11" s="72">
        <v>48896.86</v>
      </c>
      <c r="W11" s="72">
        <v>75487.039999999994</v>
      </c>
      <c r="X11" s="72">
        <v>123072.22</v>
      </c>
      <c r="Y11" s="72">
        <v>110500</v>
      </c>
      <c r="Z11" s="72">
        <v>102000</v>
      </c>
      <c r="AA11" s="72">
        <v>90200</v>
      </c>
      <c r="AB11" s="72">
        <v>106600</v>
      </c>
      <c r="AC11" s="127">
        <f>SUM(Q11:AB11)</f>
        <v>1198480.42</v>
      </c>
      <c r="AD11" s="72">
        <f t="shared" si="1"/>
        <v>117886.58000000007</v>
      </c>
      <c r="AE11" s="192">
        <f t="shared" si="2"/>
        <v>9.8363375848893791E-2</v>
      </c>
      <c r="AF11" s="129">
        <v>148484.04</v>
      </c>
      <c r="AG11" s="124">
        <f t="shared" si="3"/>
        <v>1167882.96</v>
      </c>
    </row>
    <row r="12" spans="1:33">
      <c r="A12" s="105" t="s">
        <v>486</v>
      </c>
      <c r="B12" s="105" t="s">
        <v>393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1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49307.7</v>
      </c>
      <c r="AG12" s="124">
        <f t="shared" si="3"/>
        <v>-49307.7</v>
      </c>
    </row>
    <row r="13" spans="1:33">
      <c r="A13" s="105" t="s">
        <v>488</v>
      </c>
      <c r="B13" s="105" t="s">
        <v>393</v>
      </c>
      <c r="C13" s="105" t="s">
        <v>489</v>
      </c>
      <c r="D13" s="210">
        <f t="shared" si="4"/>
        <v>9600</v>
      </c>
      <c r="E13" s="210">
        <f t="shared" si="4"/>
        <v>14040</v>
      </c>
      <c r="F13" s="210">
        <f t="shared" si="4"/>
        <v>5400</v>
      </c>
      <c r="G13" s="210">
        <f t="shared" si="4"/>
        <v>9000</v>
      </c>
      <c r="H13" s="210">
        <f t="shared" si="4"/>
        <v>14934</v>
      </c>
      <c r="I13" s="210">
        <f t="shared" si="4"/>
        <v>12292</v>
      </c>
      <c r="J13" s="210">
        <f t="shared" si="4"/>
        <v>14444</v>
      </c>
      <c r="K13" s="210">
        <f t="shared" si="4"/>
        <v>12750</v>
      </c>
      <c r="L13" s="210">
        <f t="shared" si="4"/>
        <v>8400</v>
      </c>
      <c r="M13" s="210">
        <f t="shared" si="4"/>
        <v>10400</v>
      </c>
      <c r="N13" s="210">
        <f t="shared" si="4"/>
        <v>7150</v>
      </c>
      <c r="O13" s="210">
        <f t="shared" si="4"/>
        <v>9600</v>
      </c>
      <c r="P13" s="117">
        <f>SUM(D13:O13)</f>
        <v>128010</v>
      </c>
      <c r="Q13" s="72">
        <v>9819.1</v>
      </c>
      <c r="R13" s="72">
        <v>18356.099999999999</v>
      </c>
      <c r="S13" s="72">
        <v>15294.3</v>
      </c>
      <c r="T13" s="72">
        <v>12544.1</v>
      </c>
      <c r="U13" s="72">
        <v>11194.4</v>
      </c>
      <c r="V13" s="72">
        <v>9107.7999999999993</v>
      </c>
      <c r="W13" s="72">
        <v>9956.9</v>
      </c>
      <c r="X13" s="72">
        <v>13116.3</v>
      </c>
      <c r="Y13" s="72">
        <v>8400</v>
      </c>
      <c r="Z13" s="72">
        <v>10400</v>
      </c>
      <c r="AA13" s="72">
        <v>7150</v>
      </c>
      <c r="AB13" s="72">
        <v>9600</v>
      </c>
      <c r="AC13" s="127">
        <f>SUM(Q13:AB13)</f>
        <v>134939</v>
      </c>
      <c r="AD13" s="72">
        <f t="shared" si="1"/>
        <v>-6929</v>
      </c>
      <c r="AE13" s="192">
        <f t="shared" si="2"/>
        <v>-5.1349128124559988E-2</v>
      </c>
      <c r="AF13" s="129">
        <v>-27.55</v>
      </c>
      <c r="AG13" s="124">
        <f t="shared" si="3"/>
        <v>128037.55</v>
      </c>
    </row>
    <row r="14" spans="1:33">
      <c r="C14" s="109" t="s">
        <v>490</v>
      </c>
      <c r="D14" s="127">
        <f t="shared" ref="D14:AC14" si="5">SUM(D9:D13)</f>
        <v>147600</v>
      </c>
      <c r="E14" s="127">
        <f t="shared" si="5"/>
        <v>176790</v>
      </c>
      <c r="F14" s="127">
        <f t="shared" si="5"/>
        <v>119617</v>
      </c>
      <c r="G14" s="127">
        <f t="shared" si="5"/>
        <v>110700</v>
      </c>
      <c r="H14" s="127">
        <f t="shared" si="5"/>
        <v>133134</v>
      </c>
      <c r="I14" s="127">
        <f t="shared" si="5"/>
        <v>106292</v>
      </c>
      <c r="J14" s="127">
        <f t="shared" si="5"/>
        <v>143144</v>
      </c>
      <c r="K14" s="127">
        <f t="shared" si="5"/>
        <v>141450</v>
      </c>
      <c r="L14" s="127">
        <f t="shared" si="5"/>
        <v>117800</v>
      </c>
      <c r="M14" s="127">
        <f t="shared" si="5"/>
        <v>120800</v>
      </c>
      <c r="N14" s="127">
        <f t="shared" si="5"/>
        <v>104350</v>
      </c>
      <c r="O14" s="127">
        <f t="shared" si="5"/>
        <v>137400</v>
      </c>
      <c r="P14" s="117">
        <f t="shared" si="5"/>
        <v>1559077</v>
      </c>
      <c r="Q14" s="127">
        <f t="shared" si="5"/>
        <v>114648.84000000001</v>
      </c>
      <c r="R14" s="127">
        <f t="shared" si="5"/>
        <v>165929.37</v>
      </c>
      <c r="S14" s="127">
        <f t="shared" si="5"/>
        <v>143571.37</v>
      </c>
      <c r="T14" s="127">
        <f t="shared" si="5"/>
        <v>119711.94</v>
      </c>
      <c r="U14" s="127">
        <f t="shared" si="5"/>
        <v>97617.68</v>
      </c>
      <c r="V14" s="127">
        <f t="shared" si="5"/>
        <v>60109.66</v>
      </c>
      <c r="W14" s="127">
        <f t="shared" si="5"/>
        <v>92077.839999999982</v>
      </c>
      <c r="X14" s="127">
        <f t="shared" si="5"/>
        <v>141085.62</v>
      </c>
      <c r="Y14" s="127">
        <f t="shared" si="5"/>
        <v>126100</v>
      </c>
      <c r="Z14" s="127">
        <f t="shared" si="5"/>
        <v>122000</v>
      </c>
      <c r="AA14" s="127">
        <f t="shared" si="5"/>
        <v>105350</v>
      </c>
      <c r="AB14" s="127">
        <f t="shared" si="5"/>
        <v>129700</v>
      </c>
      <c r="AC14" s="127">
        <f t="shared" si="5"/>
        <v>1417902.3199999998</v>
      </c>
      <c r="AD14" s="72">
        <f t="shared" si="1"/>
        <v>141174.68000000017</v>
      </c>
      <c r="AE14" s="192">
        <f t="shared" si="2"/>
        <v>9.9565871364114975E-2</v>
      </c>
      <c r="AF14" s="129">
        <v>240739.69</v>
      </c>
      <c r="AG14" s="124">
        <f t="shared" si="3"/>
        <v>1318337.31</v>
      </c>
    </row>
    <row r="15" spans="1:33">
      <c r="C15" s="105" t="s">
        <v>154</v>
      </c>
      <c r="P15" s="117"/>
      <c r="AF15" s="129"/>
      <c r="AG15" s="124">
        <f t="shared" si="3"/>
        <v>0</v>
      </c>
    </row>
    <row r="16" spans="1:33">
      <c r="C16" s="105" t="s">
        <v>491</v>
      </c>
      <c r="P16" s="117"/>
      <c r="AF16" s="129"/>
      <c r="AG16" s="124">
        <f t="shared" si="3"/>
        <v>0</v>
      </c>
    </row>
    <row r="17" spans="1:33">
      <c r="A17" s="105" t="s">
        <v>562</v>
      </c>
      <c r="B17" s="105" t="s">
        <v>393</v>
      </c>
      <c r="C17" s="105" t="s">
        <v>481</v>
      </c>
      <c r="P17" s="11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2739.86</v>
      </c>
      <c r="AG17" s="124">
        <f t="shared" si="3"/>
        <v>-2739.86</v>
      </c>
    </row>
    <row r="18" spans="1:33">
      <c r="A18" s="105" t="s">
        <v>493</v>
      </c>
      <c r="B18" s="105" t="s">
        <v>393</v>
      </c>
      <c r="C18" s="105" t="s">
        <v>483</v>
      </c>
      <c r="D18" s="111">
        <v>10250</v>
      </c>
      <c r="E18" s="111">
        <v>9687</v>
      </c>
      <c r="F18" s="111">
        <v>2257</v>
      </c>
      <c r="G18" s="111">
        <v>2089</v>
      </c>
      <c r="H18" s="111">
        <v>2512</v>
      </c>
      <c r="I18" s="111">
        <v>2006</v>
      </c>
      <c r="J18" s="111">
        <v>2701</v>
      </c>
      <c r="K18" s="111">
        <v>2669</v>
      </c>
      <c r="L18" s="111">
        <v>2223</v>
      </c>
      <c r="M18" s="111">
        <v>2279</v>
      </c>
      <c r="N18" s="111">
        <v>1969</v>
      </c>
      <c r="O18" s="111">
        <v>2592</v>
      </c>
      <c r="P18" s="117">
        <f>SUM(D18:O18)</f>
        <v>43234</v>
      </c>
      <c r="Q18" s="72">
        <v>4864</v>
      </c>
      <c r="R18" s="72">
        <v>6602</v>
      </c>
      <c r="S18" s="72">
        <v>5848</v>
      </c>
      <c r="T18" s="72">
        <v>3798.5</v>
      </c>
      <c r="U18" s="72">
        <v>9856</v>
      </c>
      <c r="V18" s="72">
        <v>4228.7</v>
      </c>
      <c r="W18" s="72">
        <v>3085.8</v>
      </c>
      <c r="X18" s="72">
        <v>2497</v>
      </c>
      <c r="Y18" s="72">
        <v>2379</v>
      </c>
      <c r="Z18" s="72">
        <v>2302</v>
      </c>
      <c r="AA18" s="72">
        <v>1988</v>
      </c>
      <c r="AB18" s="72">
        <v>2447</v>
      </c>
      <c r="AC18" s="127">
        <f>SUM(Q18:AB18)</f>
        <v>49896</v>
      </c>
      <c r="AD18" s="72">
        <f t="shared" si="6"/>
        <v>-6662</v>
      </c>
      <c r="AE18" s="192">
        <f t="shared" si="7"/>
        <v>-0.13351771685105018</v>
      </c>
      <c r="AF18" s="129">
        <v>67524.73000000001</v>
      </c>
      <c r="AG18" s="124">
        <f t="shared" si="3"/>
        <v>-24290.73000000001</v>
      </c>
    </row>
    <row r="19" spans="1:33">
      <c r="A19" s="105" t="s">
        <v>563</v>
      </c>
      <c r="B19" s="105" t="s">
        <v>393</v>
      </c>
      <c r="C19" s="105" t="s">
        <v>485</v>
      </c>
      <c r="D19" s="111">
        <v>41000</v>
      </c>
      <c r="E19" s="111">
        <v>48436</v>
      </c>
      <c r="F19" s="111">
        <v>25578</v>
      </c>
      <c r="G19" s="111">
        <v>23672</v>
      </c>
      <c r="H19" s="111">
        <v>28469</v>
      </c>
      <c r="I19" s="111">
        <v>22729</v>
      </c>
      <c r="J19" s="111">
        <v>30609</v>
      </c>
      <c r="K19" s="111">
        <v>30247</v>
      </c>
      <c r="L19" s="111">
        <v>25190</v>
      </c>
      <c r="M19" s="111">
        <v>25831</v>
      </c>
      <c r="N19" s="111">
        <v>22314</v>
      </c>
      <c r="O19" s="111">
        <v>29381</v>
      </c>
      <c r="P19" s="117">
        <f>SUM(D19:O19)</f>
        <v>353456</v>
      </c>
      <c r="Q19" s="72">
        <v>72228</v>
      </c>
      <c r="R19" s="72">
        <v>50324</v>
      </c>
      <c r="S19" s="72">
        <v>65095.3</v>
      </c>
      <c r="T19" s="72">
        <v>68755.199999999997</v>
      </c>
      <c r="U19" s="72">
        <v>56684.5</v>
      </c>
      <c r="V19" s="72">
        <v>31744.1</v>
      </c>
      <c r="W19" s="72">
        <v>37274.199999999997</v>
      </c>
      <c r="X19" s="72">
        <v>40286.1</v>
      </c>
      <c r="Y19" s="72">
        <v>26965</v>
      </c>
      <c r="Z19" s="72">
        <v>26088</v>
      </c>
      <c r="AA19" s="72">
        <v>22528</v>
      </c>
      <c r="AB19" s="72">
        <v>27735</v>
      </c>
      <c r="AC19" s="127">
        <f>SUM(Q19:AB19)</f>
        <v>525707.39999999991</v>
      </c>
      <c r="AD19" s="72">
        <f t="shared" si="6"/>
        <v>-172251.39999999991</v>
      </c>
      <c r="AE19" s="192">
        <f t="shared" si="7"/>
        <v>-0.3276564111519068</v>
      </c>
      <c r="AF19" s="129">
        <v>78288.06</v>
      </c>
      <c r="AG19" s="124">
        <f t="shared" si="3"/>
        <v>275167.94</v>
      </c>
    </row>
    <row r="20" spans="1:33">
      <c r="A20" s="105" t="s">
        <v>564</v>
      </c>
      <c r="B20" s="105" t="s">
        <v>393</v>
      </c>
      <c r="C20" s="105" t="s">
        <v>487</v>
      </c>
      <c r="D20" s="111">
        <v>0</v>
      </c>
      <c r="E20" s="111">
        <v>0</v>
      </c>
      <c r="F20" s="111">
        <v>0</v>
      </c>
      <c r="G20" s="111">
        <v>0</v>
      </c>
      <c r="H20" s="111">
        <v>0</v>
      </c>
      <c r="I20" s="111">
        <v>0</v>
      </c>
      <c r="J20" s="111">
        <v>0</v>
      </c>
      <c r="K20" s="111"/>
      <c r="L20" s="111">
        <v>0</v>
      </c>
      <c r="M20" s="111"/>
      <c r="N20" s="111"/>
      <c r="O20" s="111"/>
      <c r="P20" s="11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27501.119999999999</v>
      </c>
      <c r="AG20" s="124">
        <f t="shared" si="3"/>
        <v>-27501.119999999999</v>
      </c>
    </row>
    <row r="21" spans="1:33">
      <c r="A21" s="105" t="s">
        <v>497</v>
      </c>
      <c r="B21" s="105" t="s">
        <v>393</v>
      </c>
      <c r="C21" s="105" t="s">
        <v>489</v>
      </c>
      <c r="D21" s="111">
        <v>6150</v>
      </c>
      <c r="E21" s="111">
        <v>7265</v>
      </c>
      <c r="F21" s="111">
        <v>3009</v>
      </c>
      <c r="G21" s="111">
        <v>2785</v>
      </c>
      <c r="H21" s="111">
        <v>3349</v>
      </c>
      <c r="I21" s="111">
        <v>2674</v>
      </c>
      <c r="J21" s="111">
        <v>3601</v>
      </c>
      <c r="K21" s="111">
        <v>3558</v>
      </c>
      <c r="L21" s="111">
        <v>2964</v>
      </c>
      <c r="M21" s="111">
        <v>3039</v>
      </c>
      <c r="N21" s="111">
        <v>2625</v>
      </c>
      <c r="O21" s="111">
        <v>3457</v>
      </c>
      <c r="P21" s="117">
        <f>SUM(D21:O21)</f>
        <v>44476</v>
      </c>
      <c r="Q21" s="72">
        <v>18750</v>
      </c>
      <c r="R21" s="72">
        <v>21182</v>
      </c>
      <c r="S21" s="72">
        <v>31213.200000000001</v>
      </c>
      <c r="T21" s="72">
        <v>25257.8</v>
      </c>
      <c r="U21" s="72">
        <v>30760.2</v>
      </c>
      <c r="V21" s="72">
        <v>19574.2</v>
      </c>
      <c r="W21" s="72">
        <v>13665.8</v>
      </c>
      <c r="X21" s="72">
        <v>18449.5</v>
      </c>
      <c r="Y21" s="72">
        <v>3172</v>
      </c>
      <c r="Z21" s="72">
        <v>3069</v>
      </c>
      <c r="AA21" s="72">
        <v>2650</v>
      </c>
      <c r="AB21" s="72">
        <v>3263</v>
      </c>
      <c r="AC21" s="127">
        <f>SUM(Q21:AB21)</f>
        <v>191006.69999999998</v>
      </c>
      <c r="AD21" s="72">
        <f t="shared" si="6"/>
        <v>-146530.69999999998</v>
      </c>
      <c r="AE21" s="192">
        <f t="shared" si="7"/>
        <v>-0.76714952930970481</v>
      </c>
      <c r="AF21" s="129">
        <v>0</v>
      </c>
      <c r="AG21" s="124">
        <f t="shared" si="3"/>
        <v>44476</v>
      </c>
    </row>
    <row r="22" spans="1:33">
      <c r="C22" s="109" t="s">
        <v>498</v>
      </c>
      <c r="D22" s="127">
        <f t="shared" ref="D22:O22" si="8">SUM(D17:D21)</f>
        <v>57400</v>
      </c>
      <c r="E22" s="127">
        <f t="shared" si="8"/>
        <v>65388</v>
      </c>
      <c r="F22" s="127">
        <f t="shared" si="8"/>
        <v>30844</v>
      </c>
      <c r="G22" s="127">
        <f t="shared" si="8"/>
        <v>28546</v>
      </c>
      <c r="H22" s="127">
        <f t="shared" si="8"/>
        <v>34330</v>
      </c>
      <c r="I22" s="127">
        <f t="shared" si="8"/>
        <v>27409</v>
      </c>
      <c r="J22" s="127">
        <f t="shared" si="8"/>
        <v>36911</v>
      </c>
      <c r="K22" s="127">
        <f t="shared" si="8"/>
        <v>36474</v>
      </c>
      <c r="L22" s="127">
        <f t="shared" si="8"/>
        <v>30377</v>
      </c>
      <c r="M22" s="127">
        <f t="shared" si="8"/>
        <v>31149</v>
      </c>
      <c r="N22" s="127">
        <f t="shared" si="8"/>
        <v>26908</v>
      </c>
      <c r="O22" s="127">
        <f t="shared" si="8"/>
        <v>35430</v>
      </c>
      <c r="P22" s="117">
        <f>SUM(P17:P21)</f>
        <v>441166</v>
      </c>
      <c r="Q22" s="127">
        <f t="shared" ref="Q22:AC22" si="9">SUM(Q17:Q21)</f>
        <v>95842</v>
      </c>
      <c r="R22" s="127">
        <f t="shared" si="9"/>
        <v>78108</v>
      </c>
      <c r="S22" s="127">
        <f t="shared" si="9"/>
        <v>102156.5</v>
      </c>
      <c r="T22" s="127">
        <f t="shared" si="9"/>
        <v>97811.5</v>
      </c>
      <c r="U22" s="127">
        <f t="shared" si="9"/>
        <v>97300.7</v>
      </c>
      <c r="V22" s="127">
        <f t="shared" si="9"/>
        <v>55547</v>
      </c>
      <c r="W22" s="127">
        <f t="shared" si="9"/>
        <v>54025.8</v>
      </c>
      <c r="X22" s="127">
        <f t="shared" si="9"/>
        <v>61232.6</v>
      </c>
      <c r="Y22" s="127">
        <f t="shared" si="9"/>
        <v>32516</v>
      </c>
      <c r="Z22" s="127">
        <f t="shared" si="9"/>
        <v>31459</v>
      </c>
      <c r="AA22" s="127">
        <f t="shared" si="9"/>
        <v>27166</v>
      </c>
      <c r="AB22" s="127">
        <f t="shared" si="9"/>
        <v>33445</v>
      </c>
      <c r="AC22" s="127">
        <f t="shared" si="9"/>
        <v>766610.09999999986</v>
      </c>
      <c r="AD22" s="72">
        <f t="shared" si="6"/>
        <v>-325444.09999999986</v>
      </c>
      <c r="AE22" s="192">
        <f t="shared" si="7"/>
        <v>-0.42452362680846484</v>
      </c>
      <c r="AF22" s="129">
        <v>176053.77000000002</v>
      </c>
      <c r="AG22" s="124">
        <f t="shared" si="3"/>
        <v>265112.23</v>
      </c>
    </row>
    <row r="23" spans="1:33">
      <c r="C23" s="105" t="s">
        <v>154</v>
      </c>
      <c r="P23" s="117"/>
      <c r="AF23" s="129"/>
      <c r="AG23" s="124">
        <f t="shared" si="3"/>
        <v>0</v>
      </c>
    </row>
    <row r="24" spans="1:33">
      <c r="A24" s="105" t="s">
        <v>406</v>
      </c>
      <c r="B24" s="105" t="s">
        <v>393</v>
      </c>
      <c r="C24" s="105" t="s">
        <v>408</v>
      </c>
      <c r="J24" s="123"/>
      <c r="K24" s="123"/>
      <c r="L24" s="123"/>
      <c r="M24" s="123"/>
      <c r="N24" s="123"/>
      <c r="O24" s="123"/>
      <c r="P24" s="11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393</v>
      </c>
      <c r="C25" s="105" t="s">
        <v>499</v>
      </c>
      <c r="P25" s="11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</row>
    <row r="26" spans="1:33">
      <c r="A26" s="105" t="s">
        <v>169</v>
      </c>
      <c r="B26" s="105" t="s">
        <v>393</v>
      </c>
      <c r="C26" s="105" t="s">
        <v>170</v>
      </c>
      <c r="P26" s="117">
        <f>SUM(D26:O26)</f>
        <v>0</v>
      </c>
      <c r="Q26" s="72">
        <v>15624.9</v>
      </c>
      <c r="R26" s="72">
        <v>25323.4</v>
      </c>
      <c r="S26" s="72">
        <v>20157.2</v>
      </c>
      <c r="T26" s="72">
        <v>14523.7</v>
      </c>
      <c r="U26" s="72">
        <v>16512.5</v>
      </c>
      <c r="V26" s="72">
        <v>9977.7000000000007</v>
      </c>
      <c r="W26" s="72">
        <v>10225.6</v>
      </c>
      <c r="X26" s="72">
        <v>17538.2</v>
      </c>
      <c r="Y26" s="72">
        <v>5176</v>
      </c>
      <c r="Z26" s="72">
        <v>0</v>
      </c>
      <c r="AA26" s="72">
        <v>0</v>
      </c>
      <c r="AB26" s="72">
        <v>0</v>
      </c>
      <c r="AC26" s="127">
        <f>SUM(Q26:AB26)</f>
        <v>135059.20000000001</v>
      </c>
      <c r="AD26" s="72">
        <f>P26-AC26</f>
        <v>-135059.20000000001</v>
      </c>
      <c r="AE26" s="192">
        <f>AD26/AC26</f>
        <v>-1</v>
      </c>
      <c r="AF26" s="129">
        <v>34926.539999999994</v>
      </c>
      <c r="AG26" s="124">
        <f t="shared" si="3"/>
        <v>-34926.539999999994</v>
      </c>
    </row>
    <row r="27" spans="1:33">
      <c r="C27" s="109" t="s">
        <v>500</v>
      </c>
      <c r="D27" s="127">
        <f t="shared" ref="D27:P27" si="10">SUM(D24:D26)+D14+D22</f>
        <v>205000</v>
      </c>
      <c r="E27" s="127">
        <f t="shared" si="10"/>
        <v>242178</v>
      </c>
      <c r="F27" s="127">
        <f t="shared" si="10"/>
        <v>150461</v>
      </c>
      <c r="G27" s="127">
        <f t="shared" si="10"/>
        <v>139246</v>
      </c>
      <c r="H27" s="127">
        <f t="shared" si="10"/>
        <v>167464</v>
      </c>
      <c r="I27" s="127">
        <f t="shared" si="10"/>
        <v>133701</v>
      </c>
      <c r="J27" s="127">
        <f t="shared" si="10"/>
        <v>180055</v>
      </c>
      <c r="K27" s="127">
        <f t="shared" si="10"/>
        <v>177924</v>
      </c>
      <c r="L27" s="127">
        <f t="shared" si="10"/>
        <v>148177</v>
      </c>
      <c r="M27" s="127">
        <f t="shared" si="10"/>
        <v>151949</v>
      </c>
      <c r="N27" s="127">
        <f t="shared" si="10"/>
        <v>131258</v>
      </c>
      <c r="O27" s="127">
        <f t="shared" si="10"/>
        <v>172830</v>
      </c>
      <c r="P27" s="117">
        <f t="shared" si="10"/>
        <v>2000243</v>
      </c>
      <c r="Q27" s="127">
        <f t="shared" ref="Q27:V27" si="11">SUM(Q24:Q26)+Q14+Q22</f>
        <v>226115.74</v>
      </c>
      <c r="R27" s="127">
        <f t="shared" si="11"/>
        <v>269360.77</v>
      </c>
      <c r="S27" s="127">
        <f t="shared" si="11"/>
        <v>265885.07</v>
      </c>
      <c r="T27" s="127">
        <f t="shared" si="11"/>
        <v>232047.14</v>
      </c>
      <c r="U27" s="127">
        <f t="shared" si="11"/>
        <v>211430.88</v>
      </c>
      <c r="V27" s="127">
        <f t="shared" si="11"/>
        <v>125634.36</v>
      </c>
      <c r="W27" s="127">
        <f t="shared" ref="W27:AC27" si="12">SUM(W24:W26)+W14+W22</f>
        <v>156329.24</v>
      </c>
      <c r="X27" s="127">
        <f t="shared" si="12"/>
        <v>219856.42</v>
      </c>
      <c r="Y27" s="127">
        <f t="shared" si="12"/>
        <v>163792</v>
      </c>
      <c r="Z27" s="127">
        <f t="shared" si="12"/>
        <v>153459</v>
      </c>
      <c r="AA27" s="127">
        <f t="shared" si="12"/>
        <v>132516</v>
      </c>
      <c r="AB27" s="127">
        <f t="shared" si="12"/>
        <v>163145</v>
      </c>
      <c r="AC27" s="127">
        <f t="shared" si="12"/>
        <v>2319571.6199999996</v>
      </c>
      <c r="AD27" s="72">
        <f>P27-AC27</f>
        <v>-319328.61999999965</v>
      </c>
      <c r="AE27" s="192">
        <f>AD27/AC27</f>
        <v>-0.13766706630080242</v>
      </c>
      <c r="AF27" s="129">
        <v>451720</v>
      </c>
      <c r="AG27" s="124">
        <f t="shared" si="3"/>
        <v>1548523</v>
      </c>
    </row>
    <row r="28" spans="1:33">
      <c r="C28" s="105" t="s">
        <v>154</v>
      </c>
      <c r="D28" s="132">
        <f t="shared" ref="D28:O28" si="13">D30/D14</f>
        <v>0.3</v>
      </c>
      <c r="E28" s="132">
        <f t="shared" si="13"/>
        <v>0.3</v>
      </c>
      <c r="F28" s="132">
        <f t="shared" si="13"/>
        <v>0.2999991639984283</v>
      </c>
      <c r="G28" s="132">
        <f t="shared" si="13"/>
        <v>0.3</v>
      </c>
      <c r="H28" s="132">
        <f t="shared" si="13"/>
        <v>0.29999849775414245</v>
      </c>
      <c r="I28" s="132">
        <f t="shared" si="13"/>
        <v>0.3000037632183043</v>
      </c>
      <c r="J28" s="132">
        <f t="shared" si="13"/>
        <v>0.29999860280556645</v>
      </c>
      <c r="K28" s="132">
        <f t="shared" si="13"/>
        <v>0.3</v>
      </c>
      <c r="L28" s="132">
        <f t="shared" si="13"/>
        <v>0.3</v>
      </c>
      <c r="M28" s="132">
        <f t="shared" si="13"/>
        <v>0.3</v>
      </c>
      <c r="N28" s="132">
        <f t="shared" si="13"/>
        <v>0.3</v>
      </c>
      <c r="O28" s="132">
        <f t="shared" si="13"/>
        <v>0.3</v>
      </c>
      <c r="P28" s="132">
        <f>P30/P14</f>
        <v>0.29999993585948609</v>
      </c>
      <c r="AC28" s="211">
        <f>AC30/AC14</f>
        <v>0.21848825947333245</v>
      </c>
      <c r="AF28" s="129"/>
    </row>
    <row r="29" spans="1:33">
      <c r="C29" s="105" t="s">
        <v>414</v>
      </c>
      <c r="D29" s="211">
        <f t="shared" ref="D29:O29" si="14">D31/D22</f>
        <v>0.2</v>
      </c>
      <c r="E29" s="211">
        <f t="shared" si="14"/>
        <v>0.20000611733039703</v>
      </c>
      <c r="F29" s="211">
        <f t="shared" si="14"/>
        <v>0.20000648424328882</v>
      </c>
      <c r="G29" s="211">
        <f t="shared" si="14"/>
        <v>0.19999299376445037</v>
      </c>
      <c r="H29" s="211">
        <f t="shared" si="14"/>
        <v>0.2</v>
      </c>
      <c r="I29" s="211">
        <f t="shared" si="14"/>
        <v>0.2000072968732898</v>
      </c>
      <c r="J29" s="211">
        <f t="shared" si="14"/>
        <v>0.19999458156105226</v>
      </c>
      <c r="K29" s="211">
        <f t="shared" si="14"/>
        <v>0.20000548335800844</v>
      </c>
      <c r="L29" s="211">
        <f t="shared" si="14"/>
        <v>0.19998683214273957</v>
      </c>
      <c r="M29" s="211">
        <f t="shared" si="14"/>
        <v>0.20000642075187006</v>
      </c>
      <c r="N29" s="211">
        <f t="shared" si="14"/>
        <v>0.20001486546751895</v>
      </c>
      <c r="O29" s="211">
        <f t="shared" si="14"/>
        <v>0.2</v>
      </c>
      <c r="P29" s="211">
        <f>P31/P22</f>
        <v>0.2000018133763708</v>
      </c>
      <c r="AC29" s="211">
        <f>AC31/AC22</f>
        <v>0.17811098497136943</v>
      </c>
      <c r="AF29" s="129">
        <v>0.14601936669689036</v>
      </c>
    </row>
    <row r="30" spans="1:33">
      <c r="A30" s="105" t="s">
        <v>415</v>
      </c>
      <c r="B30" s="105" t="s">
        <v>393</v>
      </c>
      <c r="C30" s="105" t="s">
        <v>416</v>
      </c>
      <c r="D30" s="72">
        <f t="shared" ref="D30:O30" si="15">ROUND(D14*0.3,0)</f>
        <v>44280</v>
      </c>
      <c r="E30" s="72">
        <f t="shared" si="15"/>
        <v>53037</v>
      </c>
      <c r="F30" s="72">
        <f t="shared" si="15"/>
        <v>35885</v>
      </c>
      <c r="G30" s="72">
        <f t="shared" si="15"/>
        <v>33210</v>
      </c>
      <c r="H30" s="72">
        <f t="shared" si="15"/>
        <v>39940</v>
      </c>
      <c r="I30" s="72">
        <f t="shared" si="15"/>
        <v>31888</v>
      </c>
      <c r="J30" s="72">
        <f t="shared" si="15"/>
        <v>42943</v>
      </c>
      <c r="K30" s="72">
        <f t="shared" si="15"/>
        <v>42435</v>
      </c>
      <c r="L30" s="72">
        <f t="shared" si="15"/>
        <v>35340</v>
      </c>
      <c r="M30" s="72">
        <f t="shared" si="15"/>
        <v>36240</v>
      </c>
      <c r="N30" s="72">
        <f t="shared" si="15"/>
        <v>31305</v>
      </c>
      <c r="O30" s="72">
        <f t="shared" si="15"/>
        <v>41220</v>
      </c>
      <c r="P30" s="117">
        <f>SUM(D30:O30)</f>
        <v>467723</v>
      </c>
      <c r="Q30" s="72">
        <v>36071.599999999999</v>
      </c>
      <c r="R30" s="72">
        <v>46001.37</v>
      </c>
      <c r="S30" s="72">
        <v>42525.39</v>
      </c>
      <c r="T30" s="72">
        <v>16495.32</v>
      </c>
      <c r="U30" s="72">
        <v>18582.560000000001</v>
      </c>
      <c r="V30" s="72">
        <v>8654.07</v>
      </c>
      <c r="W30" s="72">
        <v>17099.36</v>
      </c>
      <c r="X30" s="72">
        <v>27735.34</v>
      </c>
      <c r="Y30" s="72">
        <v>25220</v>
      </c>
      <c r="Z30" s="72">
        <v>24400</v>
      </c>
      <c r="AA30" s="72">
        <v>21070</v>
      </c>
      <c r="AB30" s="72">
        <v>25940</v>
      </c>
      <c r="AC30" s="127">
        <f>SUM(Q30:AB30)</f>
        <v>309795.01</v>
      </c>
      <c r="AD30" s="72">
        <f t="shared" ref="AD30:AD33" si="16">P30-AC30</f>
        <v>157927.99</v>
      </c>
      <c r="AE30" s="192">
        <f t="shared" ref="AE30:AE33" si="17">AD30/AC30</f>
        <v>0.50978222664077122</v>
      </c>
      <c r="AF30" s="129">
        <v>51244.090000000004</v>
      </c>
      <c r="AG30" s="124">
        <f t="shared" ref="AG30:AG80" si="18">AF30-P30</f>
        <v>-416478.91</v>
      </c>
    </row>
    <row r="31" spans="1:33">
      <c r="A31" s="105" t="s">
        <v>417</v>
      </c>
      <c r="B31" s="105" t="s">
        <v>393</v>
      </c>
      <c r="C31" s="105" t="s">
        <v>418</v>
      </c>
      <c r="D31" s="72">
        <f>ROUND(D22*0.2,0)</f>
        <v>11480</v>
      </c>
      <c r="E31" s="72">
        <f t="shared" ref="E31:O31" si="19">ROUND(E22*0.2,0)</f>
        <v>13078</v>
      </c>
      <c r="F31" s="72">
        <f t="shared" si="19"/>
        <v>6169</v>
      </c>
      <c r="G31" s="72">
        <f t="shared" si="19"/>
        <v>5709</v>
      </c>
      <c r="H31" s="72">
        <f t="shared" si="19"/>
        <v>6866</v>
      </c>
      <c r="I31" s="72">
        <f t="shared" si="19"/>
        <v>5482</v>
      </c>
      <c r="J31" s="72">
        <f t="shared" si="19"/>
        <v>7382</v>
      </c>
      <c r="K31" s="72">
        <f t="shared" si="19"/>
        <v>7295</v>
      </c>
      <c r="L31" s="72">
        <f t="shared" si="19"/>
        <v>6075</v>
      </c>
      <c r="M31" s="72">
        <f t="shared" si="19"/>
        <v>6230</v>
      </c>
      <c r="N31" s="72">
        <f t="shared" si="19"/>
        <v>5382</v>
      </c>
      <c r="O31" s="72">
        <f t="shared" si="19"/>
        <v>7086</v>
      </c>
      <c r="P31" s="117">
        <f>SUM(D31:O31)</f>
        <v>88234</v>
      </c>
      <c r="Q31" s="72">
        <v>16915.78</v>
      </c>
      <c r="R31" s="72">
        <v>12541.73</v>
      </c>
      <c r="S31" s="72">
        <v>16971.61</v>
      </c>
      <c r="T31" s="72">
        <v>15504.85</v>
      </c>
      <c r="U31" s="72">
        <v>16406.2</v>
      </c>
      <c r="V31" s="72">
        <v>9076.74</v>
      </c>
      <c r="W31" s="72">
        <v>10302.49</v>
      </c>
      <c r="X31" s="72">
        <v>13905.28</v>
      </c>
      <c r="Y31" s="72">
        <v>6503</v>
      </c>
      <c r="Z31" s="72">
        <v>6292</v>
      </c>
      <c r="AA31" s="72">
        <v>5433</v>
      </c>
      <c r="AB31" s="72">
        <v>6689</v>
      </c>
      <c r="AC31" s="127">
        <f>SUM(Q31:AB31)</f>
        <v>136541.68</v>
      </c>
      <c r="AD31" s="72">
        <f t="shared" si="16"/>
        <v>-48307.679999999993</v>
      </c>
      <c r="AE31" s="192">
        <f t="shared" si="17"/>
        <v>-0.35379438717906497</v>
      </c>
      <c r="AF31" s="129">
        <v>25707.26</v>
      </c>
      <c r="AG31" s="124">
        <f t="shared" si="18"/>
        <v>-62526.740000000005</v>
      </c>
    </row>
    <row r="32" spans="1:33">
      <c r="A32" s="105" t="s">
        <v>421</v>
      </c>
      <c r="B32" s="105" t="s">
        <v>393</v>
      </c>
      <c r="C32" s="105" t="s">
        <v>422</v>
      </c>
      <c r="P32" s="11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6"/>
        <v>0</v>
      </c>
      <c r="AE32" s="192" t="e">
        <f t="shared" si="17"/>
        <v>#DIV/0!</v>
      </c>
      <c r="AF32" s="129">
        <v>0</v>
      </c>
      <c r="AG32" s="124">
        <f t="shared" si="18"/>
        <v>0</v>
      </c>
    </row>
    <row r="33" spans="1:33">
      <c r="C33" s="109" t="s">
        <v>501</v>
      </c>
      <c r="D33" s="127">
        <f t="shared" ref="D33:AC33" si="20">SUM(D30:D32)</f>
        <v>55760</v>
      </c>
      <c r="E33" s="127">
        <f t="shared" si="20"/>
        <v>66115</v>
      </c>
      <c r="F33" s="127">
        <f t="shared" si="20"/>
        <v>42054</v>
      </c>
      <c r="G33" s="127">
        <f t="shared" si="20"/>
        <v>38919</v>
      </c>
      <c r="H33" s="127">
        <f t="shared" si="20"/>
        <v>46806</v>
      </c>
      <c r="I33" s="127">
        <f t="shared" si="20"/>
        <v>37370</v>
      </c>
      <c r="J33" s="127">
        <f t="shared" si="20"/>
        <v>50325</v>
      </c>
      <c r="K33" s="127">
        <f t="shared" si="20"/>
        <v>49730</v>
      </c>
      <c r="L33" s="127">
        <f t="shared" si="20"/>
        <v>41415</v>
      </c>
      <c r="M33" s="127">
        <f t="shared" si="20"/>
        <v>42470</v>
      </c>
      <c r="N33" s="127">
        <f t="shared" si="20"/>
        <v>36687</v>
      </c>
      <c r="O33" s="127">
        <f t="shared" si="20"/>
        <v>48306</v>
      </c>
      <c r="P33" s="117">
        <f t="shared" si="20"/>
        <v>555957</v>
      </c>
      <c r="Q33" s="127">
        <f t="shared" si="20"/>
        <v>52987.38</v>
      </c>
      <c r="R33" s="127">
        <f t="shared" si="20"/>
        <v>58543.100000000006</v>
      </c>
      <c r="S33" s="127">
        <f t="shared" si="20"/>
        <v>59497</v>
      </c>
      <c r="T33" s="127">
        <f t="shared" si="20"/>
        <v>32000.17</v>
      </c>
      <c r="U33" s="127">
        <f t="shared" si="20"/>
        <v>34988.76</v>
      </c>
      <c r="V33" s="127">
        <f t="shared" si="20"/>
        <v>17730.809999999998</v>
      </c>
      <c r="W33" s="127">
        <f t="shared" si="20"/>
        <v>27401.85</v>
      </c>
      <c r="X33" s="127">
        <f t="shared" si="20"/>
        <v>41640.620000000003</v>
      </c>
      <c r="Y33" s="127">
        <f t="shared" si="20"/>
        <v>31723</v>
      </c>
      <c r="Z33" s="127">
        <f t="shared" si="20"/>
        <v>30692</v>
      </c>
      <c r="AA33" s="127">
        <f t="shared" si="20"/>
        <v>26503</v>
      </c>
      <c r="AB33" s="127">
        <f t="shared" si="20"/>
        <v>32629</v>
      </c>
      <c r="AC33" s="127">
        <f t="shared" si="20"/>
        <v>446336.69</v>
      </c>
      <c r="AD33" s="72">
        <f t="shared" si="16"/>
        <v>109620.31</v>
      </c>
      <c r="AE33" s="192">
        <f t="shared" si="17"/>
        <v>0.24560004242537176</v>
      </c>
      <c r="AF33" s="129">
        <v>76951.350000000006</v>
      </c>
      <c r="AG33" s="124">
        <f t="shared" si="18"/>
        <v>-479005.65</v>
      </c>
    </row>
    <row r="34" spans="1:33">
      <c r="C34" s="105" t="s">
        <v>154</v>
      </c>
      <c r="P34" s="117"/>
      <c r="AF34" s="129"/>
      <c r="AG34" s="124">
        <f t="shared" si="18"/>
        <v>0</v>
      </c>
    </row>
    <row r="35" spans="1:33" s="109" customFormat="1">
      <c r="C35" s="109" t="s">
        <v>289</v>
      </c>
      <c r="D35" s="127">
        <f t="shared" ref="D35:AB35" si="21">D134</f>
        <v>35278.28</v>
      </c>
      <c r="E35" s="127">
        <f t="shared" si="21"/>
        <v>27658.429999999997</v>
      </c>
      <c r="F35" s="127">
        <f t="shared" si="21"/>
        <v>28318.869999999995</v>
      </c>
      <c r="G35" s="127">
        <f t="shared" si="21"/>
        <v>30081.829999999998</v>
      </c>
      <c r="H35" s="127">
        <f t="shared" si="21"/>
        <v>35058.99</v>
      </c>
      <c r="I35" s="127">
        <f t="shared" si="21"/>
        <v>31928.86</v>
      </c>
      <c r="J35" s="127">
        <f t="shared" si="21"/>
        <v>32162.5</v>
      </c>
      <c r="K35" s="127">
        <f t="shared" si="21"/>
        <v>32022.550000000003</v>
      </c>
      <c r="L35" s="127">
        <f t="shared" si="21"/>
        <v>32049.550000000003</v>
      </c>
      <c r="M35" s="127">
        <f t="shared" si="21"/>
        <v>38950.82</v>
      </c>
      <c r="N35" s="127">
        <f t="shared" si="21"/>
        <v>32167.989999999998</v>
      </c>
      <c r="O35" s="127">
        <f t="shared" si="21"/>
        <v>32027.040000000001</v>
      </c>
      <c r="P35" s="117">
        <f t="shared" si="21"/>
        <v>387705.71</v>
      </c>
      <c r="Q35" s="127">
        <f t="shared" si="21"/>
        <v>33899.799999999996</v>
      </c>
      <c r="R35" s="127">
        <f t="shared" si="21"/>
        <v>36623.230000000003</v>
      </c>
      <c r="S35" s="127">
        <f t="shared" si="21"/>
        <v>33789.699999999997</v>
      </c>
      <c r="T35" s="127">
        <f t="shared" si="21"/>
        <v>34476.35</v>
      </c>
      <c r="U35" s="127">
        <f t="shared" si="21"/>
        <v>33148.83</v>
      </c>
      <c r="V35" s="127">
        <f t="shared" si="21"/>
        <v>32400.219999999998</v>
      </c>
      <c r="W35" s="127">
        <f t="shared" si="21"/>
        <v>30414.370000000003</v>
      </c>
      <c r="X35" s="127">
        <f t="shared" si="21"/>
        <v>26021.59</v>
      </c>
      <c r="Y35" s="127">
        <f t="shared" si="21"/>
        <v>41123.33</v>
      </c>
      <c r="Z35" s="127">
        <f t="shared" si="21"/>
        <v>47037.33</v>
      </c>
      <c r="AA35" s="127">
        <f t="shared" si="21"/>
        <v>38457.33</v>
      </c>
      <c r="AB35" s="127">
        <f t="shared" si="21"/>
        <v>38557.33</v>
      </c>
      <c r="AC35" s="127">
        <f>SUM(Q35:AB35)</f>
        <v>425949.41000000003</v>
      </c>
      <c r="AD35" s="127">
        <f t="shared" ref="AD35" si="22">P35-AC35</f>
        <v>-38243.700000000012</v>
      </c>
      <c r="AE35" s="132">
        <f t="shared" ref="AE35" si="23">AD35/AC35</f>
        <v>-8.9784606110852483E-2</v>
      </c>
      <c r="AF35" s="129">
        <v>243025.09999999998</v>
      </c>
      <c r="AG35" s="129">
        <f t="shared" si="18"/>
        <v>-144680.61000000004</v>
      </c>
    </row>
    <row r="36" spans="1:33">
      <c r="C36" s="105" t="s">
        <v>154</v>
      </c>
      <c r="P36" s="117"/>
      <c r="AF36" s="129"/>
      <c r="AG36" s="124">
        <f t="shared" si="18"/>
        <v>0</v>
      </c>
    </row>
    <row r="37" spans="1:33">
      <c r="C37" s="109" t="s">
        <v>502</v>
      </c>
      <c r="P37" s="117"/>
      <c r="AF37" s="129"/>
      <c r="AG37" s="124">
        <f t="shared" si="18"/>
        <v>0</v>
      </c>
    </row>
    <row r="38" spans="1:33">
      <c r="A38" s="105" t="s">
        <v>424</v>
      </c>
      <c r="B38" s="105" t="s">
        <v>393</v>
      </c>
      <c r="C38" s="105" t="s">
        <v>425</v>
      </c>
      <c r="D38" s="72">
        <v>500</v>
      </c>
      <c r="E38" s="72">
        <v>500</v>
      </c>
      <c r="F38" s="72">
        <v>500</v>
      </c>
      <c r="G38" s="72">
        <v>500</v>
      </c>
      <c r="H38" s="72">
        <v>500</v>
      </c>
      <c r="I38" s="72">
        <v>500</v>
      </c>
      <c r="J38" s="72">
        <v>500</v>
      </c>
      <c r="K38" s="72">
        <v>500</v>
      </c>
      <c r="L38" s="72">
        <v>500</v>
      </c>
      <c r="M38" s="72">
        <v>500</v>
      </c>
      <c r="N38" s="72">
        <v>500</v>
      </c>
      <c r="O38" s="72">
        <v>500</v>
      </c>
      <c r="P38" s="200">
        <f t="shared" ref="P38:P78" si="24">SUM(D38:O38)</f>
        <v>6000</v>
      </c>
      <c r="Q38" s="72">
        <v>653.98</v>
      </c>
      <c r="R38" s="72">
        <v>379.13</v>
      </c>
      <c r="S38" s="72">
        <v>329.77</v>
      </c>
      <c r="T38" s="72">
        <v>516.24</v>
      </c>
      <c r="U38" s="72">
        <v>-300.67</v>
      </c>
      <c r="V38" s="72">
        <v>162.76</v>
      </c>
      <c r="W38" s="72">
        <v>592.05999999999995</v>
      </c>
      <c r="X38" s="72">
        <v>608.97</v>
      </c>
      <c r="Y38" s="72">
        <v>500</v>
      </c>
      <c r="Z38" s="72">
        <v>500</v>
      </c>
      <c r="AA38" s="72">
        <v>500</v>
      </c>
      <c r="AB38" s="72">
        <v>500</v>
      </c>
      <c r="AC38" s="127">
        <f t="shared" ref="AC38:AC79" si="25">SUM(Q38:AB38)</f>
        <v>4942.24</v>
      </c>
      <c r="AD38" s="72">
        <f t="shared" ref="AD38:AD82" si="26">P38-AC38</f>
        <v>1057.7600000000002</v>
      </c>
      <c r="AE38" s="192">
        <f t="shared" ref="AE38:AE82" si="27">AD38/AC38</f>
        <v>0.2140244099841368</v>
      </c>
      <c r="AF38" s="129">
        <v>0</v>
      </c>
      <c r="AG38" s="124">
        <f t="shared" si="18"/>
        <v>-6000</v>
      </c>
    </row>
    <row r="39" spans="1:33">
      <c r="A39" s="105" t="s">
        <v>273</v>
      </c>
      <c r="C39" s="105" t="s">
        <v>426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200">
        <f t="shared" si="24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5"/>
        <v>0</v>
      </c>
      <c r="AD39" s="72">
        <f t="shared" si="26"/>
        <v>0</v>
      </c>
      <c r="AE39" s="192" t="e">
        <f t="shared" si="27"/>
        <v>#DIV/0!</v>
      </c>
      <c r="AF39" s="129">
        <v>0</v>
      </c>
      <c r="AG39" s="124">
        <f t="shared" si="18"/>
        <v>0</v>
      </c>
    </row>
    <row r="40" spans="1:33">
      <c r="A40" s="105" t="s">
        <v>565</v>
      </c>
      <c r="C40" s="105" t="s">
        <v>427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200">
        <f t="shared" si="24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5"/>
        <v>0</v>
      </c>
      <c r="AD40" s="72">
        <f t="shared" si="26"/>
        <v>0</v>
      </c>
      <c r="AE40" s="192" t="e">
        <f t="shared" si="27"/>
        <v>#DIV/0!</v>
      </c>
      <c r="AF40" s="129">
        <v>0</v>
      </c>
      <c r="AG40" s="124">
        <f t="shared" si="18"/>
        <v>0</v>
      </c>
    </row>
    <row r="41" spans="1:33">
      <c r="A41" s="105" t="s">
        <v>566</v>
      </c>
      <c r="C41" s="105" t="s">
        <v>428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200">
        <f t="shared" si="24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5"/>
        <v>0</v>
      </c>
      <c r="AD41" s="72">
        <f t="shared" si="26"/>
        <v>0</v>
      </c>
      <c r="AE41" s="192" t="e">
        <f t="shared" si="27"/>
        <v>#DIV/0!</v>
      </c>
      <c r="AF41" s="129">
        <v>0</v>
      </c>
      <c r="AG41" s="124">
        <f t="shared" si="18"/>
        <v>0</v>
      </c>
    </row>
    <row r="42" spans="1:33">
      <c r="A42" s="105" t="s">
        <v>429</v>
      </c>
      <c r="B42" s="105" t="s">
        <v>393</v>
      </c>
      <c r="C42" s="105" t="s">
        <v>143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200">
        <f t="shared" si="24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5"/>
        <v>0</v>
      </c>
      <c r="AD42" s="72">
        <f t="shared" si="26"/>
        <v>0</v>
      </c>
      <c r="AE42" s="192" t="e">
        <f t="shared" si="27"/>
        <v>#DIV/0!</v>
      </c>
      <c r="AF42" s="129">
        <v>0</v>
      </c>
      <c r="AG42" s="124">
        <f t="shared" si="18"/>
        <v>0</v>
      </c>
    </row>
    <row r="43" spans="1:33">
      <c r="A43" s="105" t="s">
        <v>180</v>
      </c>
      <c r="B43" s="105" t="s">
        <v>393</v>
      </c>
      <c r="C43" s="105" t="s">
        <v>144</v>
      </c>
      <c r="D43" s="174">
        <f t="shared" ref="D43:O43" si="28">+D138+D139+D140</f>
        <v>14762.14</v>
      </c>
      <c r="E43" s="174">
        <f t="shared" si="28"/>
        <v>13338.17</v>
      </c>
      <c r="F43" s="174">
        <f t="shared" si="28"/>
        <v>13352.17</v>
      </c>
      <c r="G43" s="174">
        <f t="shared" si="28"/>
        <v>13699.41</v>
      </c>
      <c r="H43" s="174">
        <f t="shared" si="28"/>
        <v>14769.740000000002</v>
      </c>
      <c r="I43" s="174">
        <f t="shared" si="28"/>
        <v>14385.5</v>
      </c>
      <c r="J43" s="174">
        <f t="shared" si="28"/>
        <v>14372.5</v>
      </c>
      <c r="K43" s="174">
        <f t="shared" si="28"/>
        <v>14370.5</v>
      </c>
      <c r="L43" s="174">
        <f t="shared" si="28"/>
        <v>14383.5</v>
      </c>
      <c r="M43" s="174">
        <f t="shared" si="28"/>
        <v>15520.220000000001</v>
      </c>
      <c r="N43" s="174">
        <f t="shared" si="28"/>
        <v>14388.5</v>
      </c>
      <c r="O43" s="174">
        <f t="shared" si="28"/>
        <v>14387.5</v>
      </c>
      <c r="P43" s="200">
        <f t="shared" si="24"/>
        <v>171729.85</v>
      </c>
      <c r="Q43" s="72">
        <v>14470.56</v>
      </c>
      <c r="R43" s="72">
        <v>20738.830000000002</v>
      </c>
      <c r="S43" s="72">
        <v>25068.01</v>
      </c>
      <c r="T43" s="72">
        <v>27593.46</v>
      </c>
      <c r="U43" s="72">
        <v>16305.24</v>
      </c>
      <c r="V43" s="72">
        <v>3832.2</v>
      </c>
      <c r="W43" s="72">
        <v>4344.93</v>
      </c>
      <c r="X43" s="72">
        <v>20828.05</v>
      </c>
      <c r="Y43" s="72">
        <v>12100</v>
      </c>
      <c r="Z43" s="72">
        <v>12100</v>
      </c>
      <c r="AA43" s="72">
        <v>12100</v>
      </c>
      <c r="AB43" s="72">
        <v>12100</v>
      </c>
      <c r="AC43" s="127">
        <f t="shared" si="25"/>
        <v>181581.27999999997</v>
      </c>
      <c r="AD43" s="72">
        <f t="shared" si="26"/>
        <v>-9851.4299999999639</v>
      </c>
      <c r="AE43" s="192">
        <f t="shared" si="27"/>
        <v>-5.4253555212299229E-2</v>
      </c>
      <c r="AF43" s="129">
        <v>335.16999999999996</v>
      </c>
      <c r="AG43" s="124">
        <f t="shared" si="18"/>
        <v>-171394.68</v>
      </c>
    </row>
    <row r="44" spans="1:33">
      <c r="A44" s="105" t="s">
        <v>181</v>
      </c>
      <c r="B44" s="105" t="s">
        <v>393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10000</v>
      </c>
      <c r="P44" s="200">
        <f t="shared" si="24"/>
        <v>10000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10000</v>
      </c>
      <c r="AC44" s="127">
        <f t="shared" si="25"/>
        <v>10000</v>
      </c>
      <c r="AD44" s="72">
        <f t="shared" si="26"/>
        <v>0</v>
      </c>
      <c r="AE44" s="192">
        <f t="shared" si="27"/>
        <v>0</v>
      </c>
      <c r="AF44" s="129">
        <v>0</v>
      </c>
      <c r="AG44" s="124">
        <f t="shared" si="18"/>
        <v>-10000</v>
      </c>
    </row>
    <row r="45" spans="1:33">
      <c r="A45" s="105" t="s">
        <v>430</v>
      </c>
      <c r="B45" s="105" t="s">
        <v>393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200">
        <f t="shared" si="24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5"/>
        <v>0</v>
      </c>
      <c r="AD45" s="72">
        <f t="shared" si="26"/>
        <v>0</v>
      </c>
      <c r="AE45" s="192" t="e">
        <f t="shared" si="27"/>
        <v>#DIV/0!</v>
      </c>
      <c r="AF45" s="129">
        <v>0</v>
      </c>
      <c r="AG45" s="124">
        <f t="shared" si="18"/>
        <v>0</v>
      </c>
    </row>
    <row r="46" spans="1:33">
      <c r="A46" s="105" t="s">
        <v>183</v>
      </c>
      <c r="B46" s="105" t="s">
        <v>393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200">
        <f t="shared" si="24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5"/>
        <v>0</v>
      </c>
      <c r="AD46" s="72">
        <f t="shared" si="26"/>
        <v>0</v>
      </c>
      <c r="AE46" s="192" t="e">
        <f t="shared" si="27"/>
        <v>#DIV/0!</v>
      </c>
      <c r="AF46" s="129">
        <v>0</v>
      </c>
      <c r="AG46" s="124">
        <f t="shared" si="18"/>
        <v>0</v>
      </c>
    </row>
    <row r="47" spans="1:33">
      <c r="A47" s="105" t="s">
        <v>565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200">
        <f t="shared" si="24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5"/>
        <v>0</v>
      </c>
      <c r="AD47" s="72">
        <f t="shared" si="26"/>
        <v>0</v>
      </c>
      <c r="AE47" s="192" t="e">
        <f t="shared" si="27"/>
        <v>#DIV/0!</v>
      </c>
      <c r="AF47" s="129">
        <v>0</v>
      </c>
      <c r="AG47" s="124">
        <f t="shared" si="18"/>
        <v>0</v>
      </c>
    </row>
    <row r="48" spans="1:33">
      <c r="A48" s="105" t="s">
        <v>185</v>
      </c>
      <c r="B48" s="105" t="s">
        <v>393</v>
      </c>
      <c r="C48" s="105" t="s">
        <v>186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200">
        <f t="shared" si="24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5"/>
        <v>0</v>
      </c>
      <c r="AD48" s="72">
        <f t="shared" si="26"/>
        <v>0</v>
      </c>
      <c r="AE48" s="192" t="e">
        <f t="shared" si="27"/>
        <v>#DIV/0!</v>
      </c>
      <c r="AF48" s="129">
        <v>0</v>
      </c>
      <c r="AG48" s="124">
        <f t="shared" si="18"/>
        <v>0</v>
      </c>
    </row>
    <row r="49" spans="1:33">
      <c r="A49" s="105" t="s">
        <v>187</v>
      </c>
      <c r="B49" s="105" t="s">
        <v>393</v>
      </c>
      <c r="C49" s="105" t="s">
        <v>188</v>
      </c>
      <c r="D49" s="72">
        <v>1000</v>
      </c>
      <c r="E49" s="72">
        <v>3000</v>
      </c>
      <c r="F49" s="72">
        <v>1000</v>
      </c>
      <c r="G49" s="72">
        <v>1000</v>
      </c>
      <c r="H49" s="72">
        <v>1000</v>
      </c>
      <c r="I49" s="72">
        <v>1000</v>
      </c>
      <c r="J49" s="72">
        <v>1000</v>
      </c>
      <c r="K49" s="72">
        <v>1000</v>
      </c>
      <c r="L49" s="72">
        <v>1000</v>
      </c>
      <c r="M49" s="72">
        <v>1000</v>
      </c>
      <c r="N49" s="72">
        <v>1000</v>
      </c>
      <c r="O49" s="72">
        <v>1000</v>
      </c>
      <c r="P49" s="200">
        <f t="shared" si="24"/>
        <v>14000</v>
      </c>
      <c r="Q49" s="72">
        <v>1491.67</v>
      </c>
      <c r="R49" s="72">
        <v>3323.42</v>
      </c>
      <c r="S49" s="72">
        <v>222.6</v>
      </c>
      <c r="T49" s="72">
        <v>824.82</v>
      </c>
      <c r="U49" s="72">
        <v>468.84</v>
      </c>
      <c r="V49" s="72">
        <v>1912.1</v>
      </c>
      <c r="W49" s="72">
        <v>862.62</v>
      </c>
      <c r="X49" s="72">
        <v>4959.96</v>
      </c>
      <c r="Y49" s="72">
        <v>1000</v>
      </c>
      <c r="Z49" s="72">
        <v>2000</v>
      </c>
      <c r="AA49" s="72">
        <v>1000</v>
      </c>
      <c r="AB49" s="72">
        <v>2000</v>
      </c>
      <c r="AC49" s="127">
        <f t="shared" si="25"/>
        <v>20066.030000000002</v>
      </c>
      <c r="AD49" s="72">
        <f t="shared" si="26"/>
        <v>-6066.0300000000025</v>
      </c>
      <c r="AE49" s="192">
        <f t="shared" si="27"/>
        <v>-0.30230344517575236</v>
      </c>
      <c r="AF49" s="129">
        <v>1422.46</v>
      </c>
      <c r="AG49" s="124">
        <f t="shared" si="18"/>
        <v>-12577.54</v>
      </c>
    </row>
    <row r="50" spans="1:33">
      <c r="A50" s="105" t="s">
        <v>195</v>
      </c>
      <c r="B50" s="105" t="s">
        <v>393</v>
      </c>
      <c r="C50" s="105" t="s">
        <v>196</v>
      </c>
      <c r="D50" s="72">
        <v>1000</v>
      </c>
      <c r="E50" s="72">
        <v>1000</v>
      </c>
      <c r="F50" s="72">
        <v>1000</v>
      </c>
      <c r="G50" s="72">
        <v>1000</v>
      </c>
      <c r="H50" s="72">
        <v>1000</v>
      </c>
      <c r="I50" s="72">
        <v>0</v>
      </c>
      <c r="J50" s="72">
        <v>1000</v>
      </c>
      <c r="K50" s="72">
        <v>1000</v>
      </c>
      <c r="L50" s="72">
        <v>0</v>
      </c>
      <c r="M50" s="72">
        <v>1000</v>
      </c>
      <c r="N50" s="72">
        <v>1000</v>
      </c>
      <c r="O50" s="72">
        <v>1000</v>
      </c>
      <c r="P50" s="200">
        <f t="shared" si="24"/>
        <v>10000</v>
      </c>
      <c r="Q50" s="72">
        <v>3000</v>
      </c>
      <c r="R50" s="72">
        <v>2000</v>
      </c>
      <c r="S50" s="72">
        <v>2000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5"/>
        <v>7000</v>
      </c>
      <c r="AD50" s="72">
        <f t="shared" si="26"/>
        <v>3000</v>
      </c>
      <c r="AE50" s="192">
        <f t="shared" si="27"/>
        <v>0.42857142857142855</v>
      </c>
      <c r="AF50" s="129">
        <v>0</v>
      </c>
      <c r="AG50" s="124">
        <f t="shared" si="18"/>
        <v>-10000</v>
      </c>
    </row>
    <row r="51" spans="1:33">
      <c r="A51" s="105" t="s">
        <v>197</v>
      </c>
      <c r="B51" s="105" t="s">
        <v>393</v>
      </c>
      <c r="C51" s="105" t="s">
        <v>305</v>
      </c>
      <c r="D51" s="72">
        <v>200</v>
      </c>
      <c r="E51" s="72">
        <v>200</v>
      </c>
      <c r="F51" s="72">
        <v>200</v>
      </c>
      <c r="G51" s="72">
        <v>200</v>
      </c>
      <c r="H51" s="72">
        <v>200</v>
      </c>
      <c r="I51" s="72">
        <v>200</v>
      </c>
      <c r="J51" s="72">
        <v>200</v>
      </c>
      <c r="K51" s="72">
        <v>200</v>
      </c>
      <c r="L51" s="72">
        <v>200</v>
      </c>
      <c r="M51" s="72">
        <v>200</v>
      </c>
      <c r="N51" s="72">
        <v>200</v>
      </c>
      <c r="O51" s="72">
        <v>200</v>
      </c>
      <c r="P51" s="200">
        <f t="shared" si="24"/>
        <v>2400</v>
      </c>
      <c r="Q51" s="72">
        <v>0</v>
      </c>
      <c r="R51" s="72">
        <v>0</v>
      </c>
      <c r="S51" s="72">
        <v>0</v>
      </c>
      <c r="T51" s="72">
        <v>0</v>
      </c>
      <c r="U51" s="72">
        <v>743.37</v>
      </c>
      <c r="V51" s="72">
        <v>0</v>
      </c>
      <c r="W51" s="72">
        <v>0</v>
      </c>
      <c r="X51" s="72">
        <v>82.26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25"/>
        <v>825.63</v>
      </c>
      <c r="AD51" s="72">
        <f t="shared" si="26"/>
        <v>1574.37</v>
      </c>
      <c r="AE51" s="192">
        <f t="shared" si="27"/>
        <v>1.9068711166018675</v>
      </c>
      <c r="AF51" s="129">
        <v>0</v>
      </c>
      <c r="AG51" s="124">
        <f t="shared" si="18"/>
        <v>-2400</v>
      </c>
    </row>
    <row r="52" spans="1:33">
      <c r="A52" s="105" t="s">
        <v>434</v>
      </c>
      <c r="B52" s="105" t="s">
        <v>393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200">
        <f t="shared" si="24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5"/>
        <v>0</v>
      </c>
      <c r="AD52" s="72">
        <f t="shared" si="26"/>
        <v>0</v>
      </c>
      <c r="AE52" s="192" t="e">
        <f t="shared" si="27"/>
        <v>#DIV/0!</v>
      </c>
      <c r="AF52" s="129">
        <v>0</v>
      </c>
      <c r="AG52" s="124">
        <f t="shared" si="18"/>
        <v>0</v>
      </c>
    </row>
    <row r="53" spans="1:33">
      <c r="A53" s="105" t="s">
        <v>436</v>
      </c>
      <c r="B53" s="105" t="s">
        <v>393</v>
      </c>
      <c r="C53" s="105" t="s">
        <v>437</v>
      </c>
      <c r="D53" s="72">
        <v>500</v>
      </c>
      <c r="E53" s="72">
        <v>2000</v>
      </c>
      <c r="F53" s="72">
        <v>500</v>
      </c>
      <c r="G53" s="72">
        <v>500</v>
      </c>
      <c r="H53" s="72">
        <v>500</v>
      </c>
      <c r="I53" s="72">
        <v>500</v>
      </c>
      <c r="J53" s="72">
        <v>1000</v>
      </c>
      <c r="K53" s="72">
        <v>1000</v>
      </c>
      <c r="L53" s="72">
        <v>500</v>
      </c>
      <c r="M53" s="72">
        <v>500</v>
      </c>
      <c r="N53" s="72">
        <v>500</v>
      </c>
      <c r="O53" s="72">
        <v>500</v>
      </c>
      <c r="P53" s="200">
        <f t="shared" si="24"/>
        <v>8500</v>
      </c>
      <c r="Q53" s="72">
        <v>2000</v>
      </c>
      <c r="R53" s="72">
        <v>2000</v>
      </c>
      <c r="S53" s="72">
        <v>2000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5"/>
        <v>6000</v>
      </c>
      <c r="AD53" s="72">
        <f t="shared" si="26"/>
        <v>2500</v>
      </c>
      <c r="AE53" s="192">
        <f t="shared" si="27"/>
        <v>0.41666666666666669</v>
      </c>
      <c r="AF53" s="129">
        <v>0</v>
      </c>
      <c r="AG53" s="124">
        <f t="shared" si="18"/>
        <v>-8500</v>
      </c>
    </row>
    <row r="54" spans="1:33">
      <c r="A54" s="105" t="s">
        <v>199</v>
      </c>
      <c r="B54" s="105" t="s">
        <v>393</v>
      </c>
      <c r="C54" s="105" t="s">
        <v>200</v>
      </c>
      <c r="D54" s="72">
        <v>500</v>
      </c>
      <c r="E54" s="72">
        <v>2000</v>
      </c>
      <c r="F54" s="72">
        <v>500</v>
      </c>
      <c r="G54" s="72">
        <v>0</v>
      </c>
      <c r="H54" s="72">
        <v>0</v>
      </c>
      <c r="I54" s="72">
        <v>0</v>
      </c>
      <c r="J54" s="72">
        <v>500</v>
      </c>
      <c r="K54" s="72">
        <v>500</v>
      </c>
      <c r="L54" s="72">
        <v>0</v>
      </c>
      <c r="M54" s="72">
        <v>0</v>
      </c>
      <c r="N54" s="72">
        <v>0</v>
      </c>
      <c r="O54" s="72">
        <v>500</v>
      </c>
      <c r="P54" s="200">
        <f t="shared" si="24"/>
        <v>4500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5"/>
        <v>0</v>
      </c>
      <c r="AD54" s="72">
        <f t="shared" si="26"/>
        <v>4500</v>
      </c>
      <c r="AE54" s="192" t="e">
        <f t="shared" si="27"/>
        <v>#DIV/0!</v>
      </c>
      <c r="AF54" s="129">
        <v>0</v>
      </c>
      <c r="AG54" s="124">
        <f t="shared" si="18"/>
        <v>-4500</v>
      </c>
    </row>
    <row r="55" spans="1:33">
      <c r="A55" s="105" t="s">
        <v>438</v>
      </c>
      <c r="B55" s="105" t="s">
        <v>393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200">
        <f t="shared" si="24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5"/>
        <v>0</v>
      </c>
      <c r="AD55" s="72">
        <f t="shared" si="26"/>
        <v>0</v>
      </c>
      <c r="AE55" s="192" t="e">
        <f t="shared" si="27"/>
        <v>#DIV/0!</v>
      </c>
      <c r="AF55" s="129">
        <v>0</v>
      </c>
      <c r="AG55" s="124">
        <f t="shared" si="18"/>
        <v>0</v>
      </c>
    </row>
    <row r="56" spans="1:33">
      <c r="A56" s="105" t="s">
        <v>201</v>
      </c>
      <c r="B56" s="105" t="s">
        <v>393</v>
      </c>
      <c r="C56" s="105" t="s">
        <v>202</v>
      </c>
      <c r="D56" s="72">
        <v>5000</v>
      </c>
      <c r="E56" s="72">
        <v>5000</v>
      </c>
      <c r="F56" s="72">
        <v>5000</v>
      </c>
      <c r="G56" s="72">
        <v>5000</v>
      </c>
      <c r="H56" s="72">
        <v>5000</v>
      </c>
      <c r="I56" s="72">
        <v>0</v>
      </c>
      <c r="J56" s="72">
        <v>5000</v>
      </c>
      <c r="K56" s="72">
        <v>5000</v>
      </c>
      <c r="L56" s="72">
        <v>0</v>
      </c>
      <c r="M56" s="72">
        <v>5000</v>
      </c>
      <c r="N56" s="72">
        <v>5000</v>
      </c>
      <c r="O56" s="72">
        <v>5000</v>
      </c>
      <c r="P56" s="200">
        <f t="shared" si="24"/>
        <v>50000</v>
      </c>
      <c r="Q56" s="72">
        <v>5860</v>
      </c>
      <c r="R56" s="72">
        <v>33763.050000000003</v>
      </c>
      <c r="S56" s="72">
        <v>23850</v>
      </c>
      <c r="T56" s="72">
        <v>0</v>
      </c>
      <c r="U56" s="72">
        <v>9450</v>
      </c>
      <c r="V56" s="72">
        <v>15400</v>
      </c>
      <c r="W56" s="72">
        <v>0</v>
      </c>
      <c r="X56" s="72">
        <v>0</v>
      </c>
      <c r="Y56" s="72">
        <v>5000</v>
      </c>
      <c r="Z56" s="72">
        <v>5000</v>
      </c>
      <c r="AA56" s="72">
        <v>5000</v>
      </c>
      <c r="AB56" s="72">
        <v>5000</v>
      </c>
      <c r="AC56" s="127">
        <f t="shared" si="25"/>
        <v>108323.05</v>
      </c>
      <c r="AD56" s="72">
        <f t="shared" si="26"/>
        <v>-58323.05</v>
      </c>
      <c r="AE56" s="192">
        <f t="shared" si="27"/>
        <v>-0.53841772365161433</v>
      </c>
      <c r="AF56" s="129">
        <v>376</v>
      </c>
      <c r="AG56" s="124">
        <f t="shared" si="18"/>
        <v>-49624</v>
      </c>
    </row>
    <row r="57" spans="1:33">
      <c r="A57" s="105" t="s">
        <v>440</v>
      </c>
      <c r="B57" s="105" t="s">
        <v>393</v>
      </c>
      <c r="C57" s="105" t="s">
        <v>441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200">
        <f t="shared" si="24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5"/>
        <v>0</v>
      </c>
      <c r="AD57" s="72">
        <f t="shared" si="26"/>
        <v>0</v>
      </c>
      <c r="AE57" s="192" t="e">
        <f t="shared" si="27"/>
        <v>#DIV/0!</v>
      </c>
      <c r="AF57" s="129">
        <v>0</v>
      </c>
      <c r="AG57" s="124">
        <f t="shared" si="18"/>
        <v>0</v>
      </c>
    </row>
    <row r="58" spans="1:33">
      <c r="A58" s="105" t="s">
        <v>442</v>
      </c>
      <c r="B58" s="105" t="s">
        <v>393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200">
        <f t="shared" si="24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5"/>
        <v>0</v>
      </c>
      <c r="AD58" s="72">
        <f t="shared" si="26"/>
        <v>0</v>
      </c>
      <c r="AE58" s="192" t="e">
        <f t="shared" si="27"/>
        <v>#DIV/0!</v>
      </c>
      <c r="AF58" s="129">
        <v>181</v>
      </c>
      <c r="AG58" s="124">
        <f t="shared" si="18"/>
        <v>181</v>
      </c>
    </row>
    <row r="59" spans="1:33">
      <c r="A59" s="105" t="s">
        <v>203</v>
      </c>
      <c r="B59" s="105" t="s">
        <v>393</v>
      </c>
      <c r="C59" s="105" t="s">
        <v>204</v>
      </c>
      <c r="D59" s="72">
        <v>156</v>
      </c>
      <c r="E59" s="72">
        <v>156</v>
      </c>
      <c r="F59" s="72">
        <v>156</v>
      </c>
      <c r="G59" s="72">
        <v>156</v>
      </c>
      <c r="H59" s="72">
        <v>156</v>
      </c>
      <c r="I59" s="72">
        <v>156</v>
      </c>
      <c r="J59" s="72">
        <v>156</v>
      </c>
      <c r="K59" s="72">
        <v>156</v>
      </c>
      <c r="L59" s="72">
        <v>156</v>
      </c>
      <c r="M59" s="72">
        <v>156</v>
      </c>
      <c r="N59" s="72">
        <v>156</v>
      </c>
      <c r="O59" s="72">
        <v>156</v>
      </c>
      <c r="P59" s="200">
        <f t="shared" si="24"/>
        <v>1872</v>
      </c>
      <c r="Q59" s="72">
        <v>261</v>
      </c>
      <c r="R59" s="72">
        <v>261</v>
      </c>
      <c r="S59" s="72">
        <v>261</v>
      </c>
      <c r="T59" s="72">
        <v>0</v>
      </c>
      <c r="U59" s="72">
        <v>0</v>
      </c>
      <c r="V59" s="72">
        <v>-102.4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5"/>
        <v>680.6</v>
      </c>
      <c r="AD59" s="72">
        <f t="shared" si="26"/>
        <v>1191.4000000000001</v>
      </c>
      <c r="AE59" s="192">
        <f t="shared" si="27"/>
        <v>1.7505142521304733</v>
      </c>
      <c r="AF59" s="129">
        <v>7631.8</v>
      </c>
      <c r="AG59" s="124">
        <f t="shared" si="18"/>
        <v>5759.8</v>
      </c>
    </row>
    <row r="60" spans="1:33">
      <c r="A60" s="105" t="s">
        <v>444</v>
      </c>
      <c r="B60" s="105" t="s">
        <v>393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200">
        <f t="shared" si="24"/>
        <v>0</v>
      </c>
      <c r="Q60" s="72">
        <v>0</v>
      </c>
      <c r="R60" s="72">
        <v>320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5"/>
        <v>320</v>
      </c>
      <c r="AD60" s="72">
        <f t="shared" si="26"/>
        <v>-320</v>
      </c>
      <c r="AE60" s="192">
        <f t="shared" si="27"/>
        <v>-1</v>
      </c>
      <c r="AF60" s="129">
        <v>105</v>
      </c>
      <c r="AG60" s="124">
        <f t="shared" si="18"/>
        <v>105</v>
      </c>
    </row>
    <row r="61" spans="1:33">
      <c r="A61" s="105" t="s">
        <v>446</v>
      </c>
      <c r="B61" s="105" t="s">
        <v>393</v>
      </c>
      <c r="C61" s="105" t="s">
        <v>447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200">
        <f t="shared" si="24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5"/>
        <v>0</v>
      </c>
      <c r="AD61" s="72">
        <f t="shared" si="26"/>
        <v>0</v>
      </c>
      <c r="AE61" s="192" t="e">
        <f t="shared" si="27"/>
        <v>#DIV/0!</v>
      </c>
      <c r="AF61" s="129">
        <v>0</v>
      </c>
      <c r="AG61" s="124">
        <f t="shared" si="18"/>
        <v>0</v>
      </c>
    </row>
    <row r="62" spans="1:33">
      <c r="A62" s="105" t="s">
        <v>551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200">
        <f t="shared" si="24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5"/>
        <v>0</v>
      </c>
      <c r="AD62" s="72">
        <f t="shared" si="26"/>
        <v>0</v>
      </c>
      <c r="AE62" s="192" t="e">
        <f t="shared" si="27"/>
        <v>#DIV/0!</v>
      </c>
      <c r="AF62" s="129">
        <v>0</v>
      </c>
      <c r="AG62" s="124">
        <f t="shared" si="18"/>
        <v>0</v>
      </c>
    </row>
    <row r="63" spans="1:33">
      <c r="A63" s="105" t="s">
        <v>207</v>
      </c>
      <c r="B63" s="105" t="s">
        <v>393</v>
      </c>
      <c r="C63" s="105" t="s">
        <v>208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200">
        <f t="shared" si="24"/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25"/>
        <v>0</v>
      </c>
      <c r="AD63" s="72">
        <f t="shared" si="26"/>
        <v>0</v>
      </c>
      <c r="AE63" s="192" t="e">
        <f t="shared" si="27"/>
        <v>#DIV/0!</v>
      </c>
      <c r="AF63" s="129">
        <v>0</v>
      </c>
      <c r="AG63" s="124">
        <f t="shared" si="18"/>
        <v>0</v>
      </c>
    </row>
    <row r="64" spans="1:33">
      <c r="A64" s="105" t="s">
        <v>449</v>
      </c>
      <c r="B64" s="105" t="s">
        <v>393</v>
      </c>
      <c r="C64" s="105" t="s">
        <v>450</v>
      </c>
      <c r="D64" s="72">
        <v>114</v>
      </c>
      <c r="E64" s="72">
        <v>114</v>
      </c>
      <c r="F64" s="72">
        <v>114</v>
      </c>
      <c r="G64" s="72">
        <v>114</v>
      </c>
      <c r="H64" s="72">
        <v>114</v>
      </c>
      <c r="I64" s="72">
        <v>114</v>
      </c>
      <c r="J64" s="72">
        <v>114</v>
      </c>
      <c r="K64" s="72">
        <v>114</v>
      </c>
      <c r="L64" s="72">
        <v>114</v>
      </c>
      <c r="M64" s="72">
        <v>114</v>
      </c>
      <c r="N64" s="72">
        <v>114</v>
      </c>
      <c r="O64" s="72">
        <v>114</v>
      </c>
      <c r="P64" s="200">
        <f t="shared" si="24"/>
        <v>1368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114.35</v>
      </c>
      <c r="Z64" s="72">
        <v>114.35</v>
      </c>
      <c r="AA64" s="72">
        <v>114.35</v>
      </c>
      <c r="AB64" s="72">
        <v>114.35</v>
      </c>
      <c r="AC64" s="127">
        <f t="shared" si="25"/>
        <v>1191.8999999999999</v>
      </c>
      <c r="AD64" s="72">
        <f t="shared" si="26"/>
        <v>176.10000000000014</v>
      </c>
      <c r="AE64" s="192">
        <f t="shared" si="27"/>
        <v>0.14774729423609376</v>
      </c>
      <c r="AF64" s="129">
        <v>2015.1300000000003</v>
      </c>
      <c r="AG64" s="124">
        <f t="shared" si="18"/>
        <v>647.13000000000034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200">
        <f t="shared" si="24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5"/>
        <v>0</v>
      </c>
      <c r="AD65" s="72">
        <f t="shared" si="26"/>
        <v>0</v>
      </c>
      <c r="AE65" s="192" t="e">
        <f t="shared" si="27"/>
        <v>#DIV/0!</v>
      </c>
      <c r="AF65" s="129">
        <v>0</v>
      </c>
      <c r="AG65" s="124">
        <f t="shared" si="18"/>
        <v>0</v>
      </c>
    </row>
    <row r="66" spans="1:33">
      <c r="A66" s="105" t="s">
        <v>452</v>
      </c>
      <c r="B66" s="105" t="s">
        <v>393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200">
        <f t="shared" si="24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5"/>
        <v>0</v>
      </c>
      <c r="AD66" s="72">
        <f t="shared" si="26"/>
        <v>0</v>
      </c>
      <c r="AE66" s="192" t="e">
        <f t="shared" si="27"/>
        <v>#DIV/0!</v>
      </c>
      <c r="AF66" s="129">
        <v>0</v>
      </c>
      <c r="AG66" s="124">
        <f t="shared" si="18"/>
        <v>0</v>
      </c>
    </row>
    <row r="67" spans="1:33">
      <c r="A67" s="105" t="s">
        <v>454</v>
      </c>
      <c r="B67" s="105" t="s">
        <v>393</v>
      </c>
      <c r="C67" s="105" t="s">
        <v>455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200">
        <f t="shared" si="24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5"/>
        <v>0</v>
      </c>
      <c r="AD67" s="72">
        <f t="shared" si="26"/>
        <v>0</v>
      </c>
      <c r="AE67" s="192" t="e">
        <f t="shared" si="27"/>
        <v>#DIV/0!</v>
      </c>
      <c r="AF67" s="133">
        <v>0</v>
      </c>
      <c r="AG67" s="124">
        <f t="shared" si="18"/>
        <v>0</v>
      </c>
    </row>
    <row r="68" spans="1:33">
      <c r="A68" s="105" t="s">
        <v>456</v>
      </c>
      <c r="B68" s="105" t="s">
        <v>393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200">
        <f t="shared" si="24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5"/>
        <v>0</v>
      </c>
      <c r="AD68" s="72">
        <f t="shared" si="26"/>
        <v>0</v>
      </c>
      <c r="AE68" s="192" t="e">
        <f t="shared" si="27"/>
        <v>#DIV/0!</v>
      </c>
      <c r="AF68" s="133">
        <v>0</v>
      </c>
      <c r="AG68" s="124">
        <f t="shared" si="18"/>
        <v>0</v>
      </c>
    </row>
    <row r="69" spans="1:33">
      <c r="A69" s="105" t="s">
        <v>551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200">
        <f t="shared" si="24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5"/>
        <v>0</v>
      </c>
      <c r="AD69" s="72">
        <f t="shared" si="26"/>
        <v>0</v>
      </c>
      <c r="AE69" s="192" t="e">
        <f t="shared" si="27"/>
        <v>#DIV/0!</v>
      </c>
      <c r="AF69" s="133">
        <v>0</v>
      </c>
      <c r="AG69" s="124">
        <f t="shared" si="18"/>
        <v>0</v>
      </c>
    </row>
    <row r="70" spans="1:33">
      <c r="A70" s="105" t="s">
        <v>209</v>
      </c>
      <c r="B70" s="105" t="s">
        <v>393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200">
        <f t="shared" si="24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5"/>
        <v>0</v>
      </c>
      <c r="AD70" s="72">
        <f t="shared" si="26"/>
        <v>0</v>
      </c>
      <c r="AE70" s="192" t="e">
        <f t="shared" si="27"/>
        <v>#DIV/0!</v>
      </c>
      <c r="AF70" s="133">
        <v>0</v>
      </c>
      <c r="AG70" s="124">
        <f t="shared" si="18"/>
        <v>0</v>
      </c>
    </row>
    <row r="71" spans="1:33">
      <c r="A71" s="105" t="s">
        <v>211</v>
      </c>
      <c r="B71" s="105" t="s">
        <v>393</v>
      </c>
      <c r="C71" s="105" t="s">
        <v>212</v>
      </c>
      <c r="D71" s="72">
        <v>400</v>
      </c>
      <c r="E71" s="72">
        <v>400</v>
      </c>
      <c r="F71" s="72">
        <v>400</v>
      </c>
      <c r="G71" s="72">
        <v>400</v>
      </c>
      <c r="H71" s="72">
        <v>400</v>
      </c>
      <c r="I71" s="72">
        <v>400</v>
      </c>
      <c r="J71" s="72">
        <v>400</v>
      </c>
      <c r="K71" s="72">
        <v>400</v>
      </c>
      <c r="L71" s="72">
        <v>400</v>
      </c>
      <c r="M71" s="72">
        <v>400</v>
      </c>
      <c r="N71" s="72">
        <v>400</v>
      </c>
      <c r="O71" s="72">
        <v>400</v>
      </c>
      <c r="P71" s="200">
        <f t="shared" si="24"/>
        <v>4800</v>
      </c>
      <c r="Q71" s="136">
        <v>0</v>
      </c>
      <c r="R71" s="136">
        <v>392.5</v>
      </c>
      <c r="S71" s="136">
        <v>268</v>
      </c>
      <c r="T71" s="136">
        <v>347.5</v>
      </c>
      <c r="U71" s="136">
        <v>18.8</v>
      </c>
      <c r="V71" s="136">
        <v>490.1</v>
      </c>
      <c r="W71" s="72">
        <v>8</v>
      </c>
      <c r="X71" s="72">
        <v>260</v>
      </c>
      <c r="Y71" s="72">
        <v>100</v>
      </c>
      <c r="Z71" s="72">
        <v>300</v>
      </c>
      <c r="AA71" s="72">
        <v>100</v>
      </c>
      <c r="AB71" s="72">
        <v>300</v>
      </c>
      <c r="AC71" s="137">
        <f t="shared" si="25"/>
        <v>2584.9</v>
      </c>
      <c r="AD71" s="72">
        <f t="shared" si="26"/>
        <v>2215.1</v>
      </c>
      <c r="AE71" s="192">
        <f t="shared" si="27"/>
        <v>0.85693837285775076</v>
      </c>
      <c r="AF71" s="133">
        <v>2553</v>
      </c>
      <c r="AG71" s="124">
        <f t="shared" si="18"/>
        <v>-2247</v>
      </c>
    </row>
    <row r="72" spans="1:33">
      <c r="A72" s="105" t="s">
        <v>213</v>
      </c>
      <c r="B72" s="105" t="s">
        <v>393</v>
      </c>
      <c r="C72" s="105" t="s">
        <v>214</v>
      </c>
      <c r="D72" s="222">
        <f>Laundry!E133</f>
        <v>0</v>
      </c>
      <c r="E72" s="222">
        <f>Laundry!F133</f>
        <v>0</v>
      </c>
      <c r="F72" s="222">
        <f>Laundry!G133</f>
        <v>0</v>
      </c>
      <c r="G72" s="222">
        <f>Laundry!H133</f>
        <v>0</v>
      </c>
      <c r="H72" s="222">
        <f>Laundry!I133</f>
        <v>0</v>
      </c>
      <c r="I72" s="222">
        <f>Laundry!J133</f>
        <v>0</v>
      </c>
      <c r="J72" s="222">
        <f>Laundry!K133</f>
        <v>0</v>
      </c>
      <c r="K72" s="222">
        <f>Laundry!L133</f>
        <v>0</v>
      </c>
      <c r="L72" s="222">
        <f>Laundry!M133</f>
        <v>0</v>
      </c>
      <c r="M72" s="222">
        <f>Laundry!N133</f>
        <v>0</v>
      </c>
      <c r="N72" s="222">
        <f>Laundry!O133</f>
        <v>0</v>
      </c>
      <c r="O72" s="222">
        <f>Laundry!P133</f>
        <v>0</v>
      </c>
      <c r="P72" s="200">
        <f t="shared" si="24"/>
        <v>0</v>
      </c>
      <c r="Q72" s="136">
        <v>0</v>
      </c>
      <c r="R72" s="136">
        <v>0</v>
      </c>
      <c r="S72" s="136">
        <v>0</v>
      </c>
      <c r="T72" s="136">
        <v>0</v>
      </c>
      <c r="U72" s="136">
        <v>0</v>
      </c>
      <c r="V72" s="136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137">
        <f t="shared" si="25"/>
        <v>0</v>
      </c>
      <c r="AD72" s="72">
        <f t="shared" si="26"/>
        <v>0</v>
      </c>
      <c r="AE72" s="192" t="e">
        <f t="shared" si="27"/>
        <v>#DIV/0!</v>
      </c>
      <c r="AF72" s="133">
        <v>0</v>
      </c>
      <c r="AG72" s="124">
        <f t="shared" si="18"/>
        <v>0</v>
      </c>
    </row>
    <row r="73" spans="1:33">
      <c r="A73" s="105" t="s">
        <v>306</v>
      </c>
      <c r="B73" s="105" t="s">
        <v>393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200">
        <f t="shared" si="24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5"/>
        <v>0</v>
      </c>
      <c r="AD73" s="72">
        <f t="shared" si="26"/>
        <v>0</v>
      </c>
      <c r="AE73" s="192" t="e">
        <f t="shared" si="27"/>
        <v>#DIV/0!</v>
      </c>
      <c r="AF73" s="133">
        <v>0</v>
      </c>
      <c r="AG73" s="124">
        <f t="shared" si="18"/>
        <v>0</v>
      </c>
    </row>
    <row r="74" spans="1:33">
      <c r="A74" s="105" t="s">
        <v>215</v>
      </c>
      <c r="B74" s="105" t="s">
        <v>393</v>
      </c>
      <c r="C74" s="105" t="s">
        <v>216</v>
      </c>
      <c r="D74" s="72">
        <v>100</v>
      </c>
      <c r="E74" s="72">
        <v>100</v>
      </c>
      <c r="F74" s="72">
        <v>100</v>
      </c>
      <c r="G74" s="72">
        <v>100</v>
      </c>
      <c r="H74" s="72">
        <v>100</v>
      </c>
      <c r="I74" s="72">
        <v>100</v>
      </c>
      <c r="J74" s="72">
        <v>100</v>
      </c>
      <c r="K74" s="72">
        <v>100</v>
      </c>
      <c r="L74" s="72">
        <v>100</v>
      </c>
      <c r="M74" s="72">
        <v>100</v>
      </c>
      <c r="N74" s="72">
        <v>100</v>
      </c>
      <c r="O74" s="72">
        <v>100</v>
      </c>
      <c r="P74" s="200">
        <f>SUM(D74:O74)</f>
        <v>1200</v>
      </c>
      <c r="Q74" s="136">
        <v>66.12</v>
      </c>
      <c r="R74" s="136">
        <v>64.209999999999994</v>
      </c>
      <c r="S74" s="136">
        <v>56.57</v>
      </c>
      <c r="T74" s="136">
        <v>68.03</v>
      </c>
      <c r="U74" s="136">
        <v>829.79</v>
      </c>
      <c r="V74" s="136">
        <v>91.94</v>
      </c>
      <c r="W74" s="72">
        <v>66.53</v>
      </c>
      <c r="X74" s="72">
        <v>168</v>
      </c>
      <c r="Y74" s="72">
        <v>50</v>
      </c>
      <c r="Z74" s="72">
        <v>50</v>
      </c>
      <c r="AA74" s="72">
        <v>50</v>
      </c>
      <c r="AB74" s="72">
        <v>50</v>
      </c>
      <c r="AC74" s="137">
        <f t="shared" si="25"/>
        <v>1611.19</v>
      </c>
      <c r="AD74" s="72">
        <f t="shared" si="26"/>
        <v>-411.19000000000005</v>
      </c>
      <c r="AE74" s="192">
        <f t="shared" si="27"/>
        <v>-0.25520888287539029</v>
      </c>
      <c r="AF74" s="133">
        <v>866.3900000000001</v>
      </c>
      <c r="AG74" s="124">
        <f t="shared" si="18"/>
        <v>-333.6099999999999</v>
      </c>
    </row>
    <row r="75" spans="1:33">
      <c r="A75" s="105" t="s">
        <v>217</v>
      </c>
      <c r="B75" s="105" t="s">
        <v>393</v>
      </c>
      <c r="C75" s="105" t="s">
        <v>218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200">
        <f t="shared" si="24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50</v>
      </c>
      <c r="AB75" s="72">
        <v>100</v>
      </c>
      <c r="AC75" s="137">
        <f t="shared" si="25"/>
        <v>150</v>
      </c>
      <c r="AD75" s="72">
        <f t="shared" si="26"/>
        <v>-150</v>
      </c>
      <c r="AE75" s="192">
        <f t="shared" si="27"/>
        <v>-1</v>
      </c>
      <c r="AF75" s="133">
        <v>0</v>
      </c>
      <c r="AG75" s="124">
        <f t="shared" si="18"/>
        <v>0</v>
      </c>
    </row>
    <row r="76" spans="1:33">
      <c r="A76" s="105" t="s">
        <v>219</v>
      </c>
      <c r="B76" s="105" t="s">
        <v>393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200">
        <f t="shared" si="24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5"/>
        <v>0</v>
      </c>
      <c r="AD76" s="72">
        <f t="shared" si="26"/>
        <v>0</v>
      </c>
      <c r="AE76" s="192" t="e">
        <f t="shared" si="27"/>
        <v>#DIV/0!</v>
      </c>
      <c r="AF76" s="133">
        <v>0</v>
      </c>
      <c r="AG76" s="124">
        <f t="shared" si="18"/>
        <v>0</v>
      </c>
    </row>
    <row r="77" spans="1:33">
      <c r="A77" s="105" t="s">
        <v>273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200">
        <f t="shared" si="24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5"/>
        <v>0</v>
      </c>
      <c r="AD77" s="72">
        <f t="shared" si="26"/>
        <v>0</v>
      </c>
      <c r="AE77" s="192" t="e">
        <f t="shared" si="27"/>
        <v>#DIV/0!</v>
      </c>
      <c r="AF77" s="133">
        <v>0</v>
      </c>
      <c r="AG77" s="124">
        <f t="shared" si="18"/>
        <v>0</v>
      </c>
    </row>
    <row r="78" spans="1:33">
      <c r="A78" s="105" t="s">
        <v>221</v>
      </c>
      <c r="B78" s="105" t="s">
        <v>393</v>
      </c>
      <c r="C78" s="105" t="s">
        <v>222</v>
      </c>
      <c r="D78" s="72">
        <v>1000</v>
      </c>
      <c r="E78" s="72">
        <v>1000</v>
      </c>
      <c r="F78" s="72">
        <v>1000</v>
      </c>
      <c r="G78" s="72">
        <v>1000</v>
      </c>
      <c r="H78" s="72">
        <v>1000</v>
      </c>
      <c r="I78" s="72">
        <v>1000</v>
      </c>
      <c r="J78" s="72">
        <v>1000</v>
      </c>
      <c r="K78" s="72">
        <v>1000</v>
      </c>
      <c r="L78" s="72">
        <v>1000</v>
      </c>
      <c r="M78" s="72">
        <v>1000</v>
      </c>
      <c r="N78" s="72">
        <v>1000</v>
      </c>
      <c r="O78" s="72">
        <v>1000</v>
      </c>
      <c r="P78" s="200">
        <f t="shared" si="24"/>
        <v>12000</v>
      </c>
      <c r="Q78" s="136">
        <v>0</v>
      </c>
      <c r="R78" s="136">
        <v>291.2</v>
      </c>
      <c r="S78" s="136">
        <v>145.6</v>
      </c>
      <c r="T78" s="136">
        <v>-53434</v>
      </c>
      <c r="U78" s="136">
        <v>72.8</v>
      </c>
      <c r="V78" s="136">
        <v>742.24</v>
      </c>
      <c r="W78" s="72">
        <v>342</v>
      </c>
      <c r="X78" s="72">
        <v>677.87</v>
      </c>
      <c r="Y78" s="72">
        <v>500</v>
      </c>
      <c r="Z78" s="72">
        <v>500</v>
      </c>
      <c r="AA78" s="72">
        <v>500</v>
      </c>
      <c r="AB78" s="72">
        <v>1824</v>
      </c>
      <c r="AC78" s="137">
        <f t="shared" si="25"/>
        <v>-47838.289999999994</v>
      </c>
      <c r="AD78" s="72">
        <f t="shared" si="26"/>
        <v>59838.289999999994</v>
      </c>
      <c r="AE78" s="192">
        <f t="shared" si="27"/>
        <v>-1.2508450866450285</v>
      </c>
      <c r="AF78" s="133">
        <v>1186.08</v>
      </c>
      <c r="AG78" s="124">
        <f t="shared" si="18"/>
        <v>-10813.92</v>
      </c>
    </row>
    <row r="79" spans="1:33">
      <c r="A79" s="105" t="s">
        <v>505</v>
      </c>
      <c r="B79" s="105" t="s">
        <v>393</v>
      </c>
      <c r="C79" s="105" t="s">
        <v>506</v>
      </c>
      <c r="D79" s="223">
        <f>SUM('F&amp;B Admin:Main Kichen'!D166)</f>
        <v>13563</v>
      </c>
      <c r="E79" s="223">
        <f>SUM('F&amp;B Admin:Main Kichen'!E166)</f>
        <v>16513</v>
      </c>
      <c r="F79" s="223">
        <f>SUM('F&amp;B Admin:Main Kichen'!F166)</f>
        <v>15275</v>
      </c>
      <c r="G79" s="223">
        <f>SUM('F&amp;B Admin:Main Kichen'!G166)</f>
        <v>15315</v>
      </c>
      <c r="H79" s="223">
        <f>SUM('F&amp;B Admin:Main Kichen'!H166)</f>
        <v>18757</v>
      </c>
      <c r="I79" s="223">
        <f>SUM('F&amp;B Admin:Main Kichen'!I166)</f>
        <v>15467</v>
      </c>
      <c r="J79" s="223">
        <f>SUM('F&amp;B Admin:Main Kichen'!J166)</f>
        <v>15301</v>
      </c>
      <c r="K79" s="223">
        <f>SUM('F&amp;B Admin:Main Kichen'!K166)</f>
        <v>14493</v>
      </c>
      <c r="L79" s="223">
        <f>SUM('F&amp;B Admin:Main Kichen'!L166)</f>
        <v>17034</v>
      </c>
      <c r="M79" s="223">
        <f>SUM('F&amp;B Admin:Main Kichen'!M166)</f>
        <v>17185</v>
      </c>
      <c r="N79" s="223">
        <f>SUM('F&amp;B Admin:Main Kichen'!N166)</f>
        <v>13101</v>
      </c>
      <c r="O79" s="223">
        <f>SUM('F&amp;B Admin:Main Kichen'!O166)</f>
        <v>14285</v>
      </c>
      <c r="P79" s="135">
        <f>SUM(D79:O79)</f>
        <v>186289</v>
      </c>
      <c r="Q79" s="136">
        <v>14202.39</v>
      </c>
      <c r="R79" s="136">
        <v>16772.07</v>
      </c>
      <c r="S79" s="136">
        <v>19200.150000000001</v>
      </c>
      <c r="T79" s="136">
        <v>17140.48</v>
      </c>
      <c r="U79" s="136">
        <v>10198.280000000001</v>
      </c>
      <c r="V79" s="136">
        <v>7883.89</v>
      </c>
      <c r="W79" s="72">
        <v>10045.299999999999</v>
      </c>
      <c r="X79" s="72">
        <v>13732.44</v>
      </c>
      <c r="Y79" s="72">
        <v>23426</v>
      </c>
      <c r="Z79" s="72">
        <v>17458</v>
      </c>
      <c r="AA79" s="72">
        <v>14591</v>
      </c>
      <c r="AB79" s="72">
        <v>15440</v>
      </c>
      <c r="AC79" s="137">
        <f t="shared" si="25"/>
        <v>180090</v>
      </c>
      <c r="AD79" s="72">
        <f t="shared" si="26"/>
        <v>6199</v>
      </c>
      <c r="AE79" s="192">
        <f t="shared" si="27"/>
        <v>3.4421678049863957E-2</v>
      </c>
      <c r="AF79" s="133">
        <v>31351.670000000006</v>
      </c>
      <c r="AG79" s="124">
        <f t="shared" si="18"/>
        <v>-154937.32999999999</v>
      </c>
    </row>
    <row r="80" spans="1:33">
      <c r="C80" s="109" t="s">
        <v>507</v>
      </c>
      <c r="D80" s="137">
        <f t="shared" ref="D80:O80" si="29">SUM(D38:D79)</f>
        <v>38795.14</v>
      </c>
      <c r="E80" s="137">
        <f t="shared" si="29"/>
        <v>45321.17</v>
      </c>
      <c r="F80" s="137">
        <f t="shared" si="29"/>
        <v>39097.17</v>
      </c>
      <c r="G80" s="137">
        <f t="shared" si="29"/>
        <v>38984.410000000003</v>
      </c>
      <c r="H80" s="137">
        <f t="shared" si="29"/>
        <v>43496.740000000005</v>
      </c>
      <c r="I80" s="137">
        <f t="shared" si="29"/>
        <v>33822.5</v>
      </c>
      <c r="J80" s="137">
        <f t="shared" si="29"/>
        <v>40643.5</v>
      </c>
      <c r="K80" s="137">
        <f t="shared" si="29"/>
        <v>39833.5</v>
      </c>
      <c r="L80" s="137">
        <f t="shared" si="29"/>
        <v>35387.5</v>
      </c>
      <c r="M80" s="137">
        <f t="shared" si="29"/>
        <v>42675.22</v>
      </c>
      <c r="N80" s="137">
        <f t="shared" si="29"/>
        <v>37459.5</v>
      </c>
      <c r="O80" s="137">
        <f t="shared" si="29"/>
        <v>49142.5</v>
      </c>
      <c r="P80" s="135">
        <f>SUM(P38:P79)</f>
        <v>484658.85</v>
      </c>
      <c r="Q80" s="137">
        <f t="shared" ref="Q80:AC80" si="30">SUM(Q38:Q79)</f>
        <v>42120.069999999992</v>
      </c>
      <c r="R80" s="137">
        <f t="shared" si="30"/>
        <v>80419.760000000009</v>
      </c>
      <c r="S80" s="137">
        <f t="shared" si="30"/>
        <v>73516.049999999988</v>
      </c>
      <c r="T80" s="137">
        <f t="shared" si="30"/>
        <v>-6829.1200000000026</v>
      </c>
      <c r="U80" s="137">
        <f t="shared" si="30"/>
        <v>37900.799999999996</v>
      </c>
      <c r="V80" s="137">
        <f t="shared" si="30"/>
        <v>30467.079999999994</v>
      </c>
      <c r="W80" s="137">
        <f t="shared" si="30"/>
        <v>16315.689999999999</v>
      </c>
      <c r="X80" s="137">
        <f t="shared" si="30"/>
        <v>41371.799999999996</v>
      </c>
      <c r="Y80" s="137">
        <f t="shared" si="30"/>
        <v>42790.35</v>
      </c>
      <c r="Z80" s="137">
        <f t="shared" si="30"/>
        <v>38022.35</v>
      </c>
      <c r="AA80" s="137">
        <f t="shared" si="30"/>
        <v>34005.35</v>
      </c>
      <c r="AB80" s="137">
        <f t="shared" si="30"/>
        <v>47428.35</v>
      </c>
      <c r="AC80" s="137">
        <f t="shared" si="30"/>
        <v>477528.53</v>
      </c>
      <c r="AD80" s="72">
        <f t="shared" si="26"/>
        <v>7130.3199999999488</v>
      </c>
      <c r="AE80" s="192">
        <f t="shared" si="27"/>
        <v>1.4931715179404984E-2</v>
      </c>
      <c r="AF80" s="133">
        <v>48023.700000000004</v>
      </c>
      <c r="AG80" s="124">
        <f t="shared" si="18"/>
        <v>-436635.14999999997</v>
      </c>
    </row>
    <row r="81" spans="1:33">
      <c r="C81" s="109" t="s">
        <v>508</v>
      </c>
      <c r="D81" s="137">
        <f t="shared" ref="D81:AC81" si="31">D27-D33-D35-D80</f>
        <v>75166.58</v>
      </c>
      <c r="E81" s="137">
        <f t="shared" si="31"/>
        <v>103083.40000000001</v>
      </c>
      <c r="F81" s="137">
        <f t="shared" si="31"/>
        <v>40990.960000000006</v>
      </c>
      <c r="G81" s="137">
        <f t="shared" si="31"/>
        <v>31260.759999999995</v>
      </c>
      <c r="H81" s="137">
        <f t="shared" si="31"/>
        <v>42102.270000000004</v>
      </c>
      <c r="I81" s="137">
        <f t="shared" si="31"/>
        <v>30579.64</v>
      </c>
      <c r="J81" s="137">
        <f t="shared" si="31"/>
        <v>56924</v>
      </c>
      <c r="K81" s="137">
        <f t="shared" si="31"/>
        <v>56337.95</v>
      </c>
      <c r="L81" s="137">
        <f t="shared" si="31"/>
        <v>39324.949999999997</v>
      </c>
      <c r="M81" s="137">
        <f t="shared" si="31"/>
        <v>27852.959999999992</v>
      </c>
      <c r="N81" s="137">
        <f t="shared" si="31"/>
        <v>24943.510000000002</v>
      </c>
      <c r="O81" s="137">
        <f t="shared" si="31"/>
        <v>43354.459999999992</v>
      </c>
      <c r="P81" s="135">
        <f t="shared" si="31"/>
        <v>571921.44000000006</v>
      </c>
      <c r="Q81" s="137">
        <f t="shared" si="31"/>
        <v>97108.49</v>
      </c>
      <c r="R81" s="137">
        <f t="shared" si="31"/>
        <v>93774.68</v>
      </c>
      <c r="S81" s="137">
        <f t="shared" si="31"/>
        <v>99082.32</v>
      </c>
      <c r="T81" s="137">
        <f t="shared" si="31"/>
        <v>172399.74000000002</v>
      </c>
      <c r="U81" s="137">
        <f t="shared" si="31"/>
        <v>105392.48999999999</v>
      </c>
      <c r="V81" s="137">
        <f t="shared" si="31"/>
        <v>45036.250000000007</v>
      </c>
      <c r="W81" s="137">
        <f t="shared" si="31"/>
        <v>82197.329999999987</v>
      </c>
      <c r="X81" s="137">
        <f t="shared" si="31"/>
        <v>110822.41000000003</v>
      </c>
      <c r="Y81" s="137">
        <f t="shared" si="31"/>
        <v>48155.32</v>
      </c>
      <c r="Z81" s="137">
        <f t="shared" si="31"/>
        <v>37707.32</v>
      </c>
      <c r="AA81" s="137">
        <f t="shared" si="31"/>
        <v>33550.32</v>
      </c>
      <c r="AB81" s="137">
        <f t="shared" si="31"/>
        <v>44530.32</v>
      </c>
      <c r="AC81" s="137">
        <f t="shared" si="31"/>
        <v>969756.98999999953</v>
      </c>
      <c r="AD81" s="72">
        <f t="shared" si="26"/>
        <v>-397835.54999999946</v>
      </c>
      <c r="AE81" s="192">
        <f t="shared" si="27"/>
        <v>-0.410242518592209</v>
      </c>
      <c r="AF81" s="133">
        <v>83719.850000000035</v>
      </c>
      <c r="AG81" s="124">
        <f>P81-AF81</f>
        <v>488201.59</v>
      </c>
    </row>
    <row r="82" spans="1:33">
      <c r="C82" s="109" t="s">
        <v>509</v>
      </c>
      <c r="D82" s="213">
        <f t="shared" ref="D82:AC82" si="32">D81/D27</f>
        <v>0.36666624390243902</v>
      </c>
      <c r="E82" s="213">
        <f t="shared" si="32"/>
        <v>0.4256513803896308</v>
      </c>
      <c r="F82" s="213">
        <f t="shared" si="32"/>
        <v>0.27243578070064672</v>
      </c>
      <c r="G82" s="213">
        <f t="shared" si="32"/>
        <v>0.22450023699064961</v>
      </c>
      <c r="H82" s="213">
        <f t="shared" si="32"/>
        <v>0.25141087039602544</v>
      </c>
      <c r="I82" s="213">
        <f t="shared" si="32"/>
        <v>0.22871661393706852</v>
      </c>
      <c r="J82" s="213">
        <f t="shared" si="32"/>
        <v>0.31614784371442062</v>
      </c>
      <c r="K82" s="213">
        <f t="shared" si="32"/>
        <v>0.31664053191250197</v>
      </c>
      <c r="L82" s="213">
        <f t="shared" si="32"/>
        <v>0.26539172746107692</v>
      </c>
      <c r="M82" s="213">
        <f t="shared" si="32"/>
        <v>0.18330466143245425</v>
      </c>
      <c r="N82" s="213">
        <f t="shared" si="32"/>
        <v>0.19003420743878469</v>
      </c>
      <c r="O82" s="213">
        <f t="shared" si="32"/>
        <v>0.25085031533877217</v>
      </c>
      <c r="P82" s="213">
        <f t="shared" si="32"/>
        <v>0.28592597999343083</v>
      </c>
      <c r="Q82" s="213">
        <f t="shared" si="32"/>
        <v>0.42946364547642729</v>
      </c>
      <c r="R82" s="213">
        <f t="shared" si="32"/>
        <v>0.34813785244228396</v>
      </c>
      <c r="S82" s="213">
        <f t="shared" si="32"/>
        <v>0.37265093523303133</v>
      </c>
      <c r="T82" s="213">
        <f t="shared" si="32"/>
        <v>0.7429513675540238</v>
      </c>
      <c r="U82" s="213">
        <f t="shared" si="32"/>
        <v>0.49847255046188138</v>
      </c>
      <c r="V82" s="213">
        <f t="shared" si="32"/>
        <v>0.358470803687781</v>
      </c>
      <c r="W82" s="213">
        <f t="shared" si="32"/>
        <v>0.52579626178698236</v>
      </c>
      <c r="X82" s="213">
        <f t="shared" si="32"/>
        <v>0.50406719985707049</v>
      </c>
      <c r="Y82" s="213">
        <f t="shared" si="32"/>
        <v>0.2940028817036241</v>
      </c>
      <c r="Z82" s="213">
        <f t="shared" si="32"/>
        <v>0.24571592412305568</v>
      </c>
      <c r="AA82" s="213">
        <f t="shared" si="32"/>
        <v>0.25317938965860726</v>
      </c>
      <c r="AB82" s="213">
        <f t="shared" si="32"/>
        <v>0.2729493395445769</v>
      </c>
      <c r="AC82" s="213">
        <f t="shared" si="32"/>
        <v>0.41807589885929008</v>
      </c>
      <c r="AD82" s="72">
        <f t="shared" si="26"/>
        <v>-0.13214991886585925</v>
      </c>
      <c r="AE82" s="192">
        <f t="shared" si="27"/>
        <v>-0.31609073669739657</v>
      </c>
      <c r="AF82" s="133">
        <v>0.18533571681572664</v>
      </c>
      <c r="AG82" s="124">
        <f>P82-AF82</f>
        <v>0.1005902631777042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393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72">
        <f t="shared" ref="AD85:AD90" si="33">P85-AC85</f>
        <v>0</v>
      </c>
      <c r="AE85" s="192" t="e">
        <f t="shared" ref="AE85:AE90" si="34">AD85/AC85</f>
        <v>#DIV/0!</v>
      </c>
      <c r="AF85" s="133">
        <v>168</v>
      </c>
      <c r="AG85" s="124">
        <f t="shared" ref="AG85:AG98" si="35">P85-AF85</f>
        <v>-168</v>
      </c>
    </row>
    <row r="86" spans="1:33">
      <c r="A86" s="105" t="s">
        <v>511</v>
      </c>
      <c r="B86" s="105" t="s">
        <v>393</v>
      </c>
      <c r="C86" s="105" t="s">
        <v>483</v>
      </c>
      <c r="D86" s="136">
        <v>300</v>
      </c>
      <c r="E86" s="136">
        <v>450</v>
      </c>
      <c r="F86" s="136">
        <v>230</v>
      </c>
      <c r="G86" s="136">
        <v>190</v>
      </c>
      <c r="H86" s="136">
        <v>220</v>
      </c>
      <c r="I86" s="136">
        <v>200</v>
      </c>
      <c r="J86" s="136">
        <v>260</v>
      </c>
      <c r="K86" s="136">
        <v>260</v>
      </c>
      <c r="L86" s="136">
        <v>180</v>
      </c>
      <c r="M86" s="136">
        <v>240</v>
      </c>
      <c r="N86" s="136">
        <v>200</v>
      </c>
      <c r="O86" s="136">
        <v>270</v>
      </c>
      <c r="P86" s="137">
        <f>SUM(D86:O86)</f>
        <v>3000</v>
      </c>
      <c r="Q86" s="136">
        <v>196</v>
      </c>
      <c r="R86" s="136">
        <v>204</v>
      </c>
      <c r="S86" s="136">
        <v>208</v>
      </c>
      <c r="T86" s="136">
        <v>126</v>
      </c>
      <c r="U86" s="136">
        <v>138</v>
      </c>
      <c r="V86" s="136">
        <v>104</v>
      </c>
      <c r="W86" s="72">
        <v>137</v>
      </c>
      <c r="X86" s="72">
        <v>199</v>
      </c>
      <c r="Y86" s="72">
        <v>180</v>
      </c>
      <c r="Z86" s="72">
        <v>240</v>
      </c>
      <c r="AA86" s="72">
        <v>200</v>
      </c>
      <c r="AB86" s="72">
        <v>270</v>
      </c>
      <c r="AC86" s="137">
        <f>SUM(Q86:AB86)</f>
        <v>2202</v>
      </c>
      <c r="AD86" s="72">
        <f t="shared" si="33"/>
        <v>798</v>
      </c>
      <c r="AE86" s="192">
        <f t="shared" si="34"/>
        <v>0.36239782016348776</v>
      </c>
      <c r="AF86" s="133">
        <v>890</v>
      </c>
      <c r="AG86" s="124">
        <f t="shared" si="35"/>
        <v>2110</v>
      </c>
    </row>
    <row r="87" spans="1:33">
      <c r="A87" s="105" t="s">
        <v>512</v>
      </c>
      <c r="B87" s="105" t="s">
        <v>393</v>
      </c>
      <c r="C87" s="105" t="s">
        <v>485</v>
      </c>
      <c r="D87" s="136">
        <v>1400</v>
      </c>
      <c r="E87" s="136">
        <v>1500</v>
      </c>
      <c r="F87" s="136">
        <v>1300</v>
      </c>
      <c r="G87" s="136">
        <v>1200</v>
      </c>
      <c r="H87" s="136">
        <v>1300</v>
      </c>
      <c r="I87" s="136">
        <v>1100</v>
      </c>
      <c r="J87" s="136">
        <v>1300</v>
      </c>
      <c r="K87" s="136">
        <v>1300</v>
      </c>
      <c r="L87" s="136">
        <v>1300</v>
      </c>
      <c r="M87" s="136">
        <v>1200</v>
      </c>
      <c r="N87" s="136">
        <v>1100</v>
      </c>
      <c r="O87" s="136">
        <v>1300</v>
      </c>
      <c r="P87" s="137">
        <f>SUM(D87:O87)</f>
        <v>15300</v>
      </c>
      <c r="Q87" s="136">
        <v>992</v>
      </c>
      <c r="R87" s="136">
        <v>856</v>
      </c>
      <c r="S87" s="136">
        <v>1149</v>
      </c>
      <c r="T87" s="136">
        <v>1200</v>
      </c>
      <c r="U87" s="136">
        <v>846</v>
      </c>
      <c r="V87" s="136">
        <v>521</v>
      </c>
      <c r="W87" s="72">
        <v>808</v>
      </c>
      <c r="X87" s="72">
        <v>1644</v>
      </c>
      <c r="Y87" s="72">
        <v>1300</v>
      </c>
      <c r="Z87" s="72">
        <v>1200</v>
      </c>
      <c r="AA87" s="72">
        <v>1100</v>
      </c>
      <c r="AB87" s="72">
        <v>1300</v>
      </c>
      <c r="AC87" s="137">
        <f>SUM(Q87:AB87)</f>
        <v>12916</v>
      </c>
      <c r="AD87" s="72">
        <f t="shared" si="33"/>
        <v>2384</v>
      </c>
      <c r="AE87" s="192">
        <f t="shared" si="34"/>
        <v>0.18457726850418085</v>
      </c>
      <c r="AF87" s="133">
        <v>3342</v>
      </c>
      <c r="AG87" s="124">
        <f t="shared" si="35"/>
        <v>11958</v>
      </c>
    </row>
    <row r="88" spans="1:33">
      <c r="A88" s="105" t="s">
        <v>513</v>
      </c>
      <c r="B88" s="105" t="s">
        <v>393</v>
      </c>
      <c r="C88" s="105" t="s">
        <v>487</v>
      </c>
      <c r="D88" s="136"/>
      <c r="E88" s="136"/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7">
        <f>SUM(D88:O88)</f>
        <v>0</v>
      </c>
      <c r="Q88" s="136">
        <v>30</v>
      </c>
      <c r="R88" s="136">
        <v>-30</v>
      </c>
      <c r="S88" s="136">
        <v>0</v>
      </c>
      <c r="T88" s="136">
        <v>40</v>
      </c>
      <c r="U88" s="136">
        <v>-30</v>
      </c>
      <c r="V88" s="136">
        <v>-10</v>
      </c>
      <c r="W88" s="72">
        <v>20</v>
      </c>
      <c r="X88" s="72">
        <v>-20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33"/>
        <v>0</v>
      </c>
      <c r="AE88" s="192" t="e">
        <f t="shared" si="34"/>
        <v>#DIV/0!</v>
      </c>
      <c r="AF88" s="133">
        <v>1462</v>
      </c>
      <c r="AG88" s="124">
        <f t="shared" si="35"/>
        <v>-1462</v>
      </c>
    </row>
    <row r="89" spans="1:33">
      <c r="A89" s="105" t="s">
        <v>514</v>
      </c>
      <c r="B89" s="105" t="s">
        <v>393</v>
      </c>
      <c r="C89" s="105" t="s">
        <v>489</v>
      </c>
      <c r="D89" s="136">
        <v>160</v>
      </c>
      <c r="E89" s="136">
        <v>180</v>
      </c>
      <c r="F89" s="136">
        <v>120</v>
      </c>
      <c r="G89" s="136">
        <v>200</v>
      </c>
      <c r="H89" s="136">
        <v>230</v>
      </c>
      <c r="I89" s="136">
        <v>180</v>
      </c>
      <c r="J89" s="136">
        <v>180</v>
      </c>
      <c r="K89" s="136">
        <v>170</v>
      </c>
      <c r="L89" s="136">
        <v>140</v>
      </c>
      <c r="M89" s="136">
        <v>160</v>
      </c>
      <c r="N89" s="136">
        <v>130</v>
      </c>
      <c r="O89" s="136">
        <v>160</v>
      </c>
      <c r="P89" s="137">
        <f>SUM(D89:O89)</f>
        <v>2010</v>
      </c>
      <c r="Q89" s="136">
        <v>145</v>
      </c>
      <c r="R89" s="136">
        <v>162</v>
      </c>
      <c r="S89" s="136">
        <v>234</v>
      </c>
      <c r="T89" s="136">
        <v>222</v>
      </c>
      <c r="U89" s="136">
        <v>175</v>
      </c>
      <c r="V89" s="136">
        <v>120</v>
      </c>
      <c r="W89" s="72">
        <v>154</v>
      </c>
      <c r="X89" s="72">
        <v>249</v>
      </c>
      <c r="Y89" s="72">
        <v>140</v>
      </c>
      <c r="Z89" s="72">
        <v>160</v>
      </c>
      <c r="AA89" s="72">
        <v>130</v>
      </c>
      <c r="AB89" s="72">
        <v>160</v>
      </c>
      <c r="AC89" s="137">
        <f>SUM(Q89:AB89)</f>
        <v>2051</v>
      </c>
      <c r="AD89" s="72">
        <f t="shared" si="33"/>
        <v>-41</v>
      </c>
      <c r="AE89" s="192">
        <f t="shared" si="34"/>
        <v>-1.9990248659190638E-2</v>
      </c>
      <c r="AF89" s="133">
        <v>0</v>
      </c>
      <c r="AG89" s="124">
        <f t="shared" si="35"/>
        <v>2010</v>
      </c>
    </row>
    <row r="90" spans="1:33">
      <c r="C90" s="109" t="s">
        <v>462</v>
      </c>
      <c r="D90" s="137">
        <f t="shared" ref="D90:AC90" si="36">SUM(D85:D89)</f>
        <v>1860</v>
      </c>
      <c r="E90" s="137">
        <f t="shared" si="36"/>
        <v>2130</v>
      </c>
      <c r="F90" s="137">
        <f t="shared" si="36"/>
        <v>1650</v>
      </c>
      <c r="G90" s="137">
        <f t="shared" si="36"/>
        <v>1590</v>
      </c>
      <c r="H90" s="137">
        <f t="shared" si="36"/>
        <v>1750</v>
      </c>
      <c r="I90" s="137">
        <f t="shared" si="36"/>
        <v>1480</v>
      </c>
      <c r="J90" s="137">
        <f t="shared" si="36"/>
        <v>1740</v>
      </c>
      <c r="K90" s="137">
        <f t="shared" si="36"/>
        <v>1730</v>
      </c>
      <c r="L90" s="137">
        <f t="shared" si="36"/>
        <v>1620</v>
      </c>
      <c r="M90" s="137">
        <f t="shared" si="36"/>
        <v>1600</v>
      </c>
      <c r="N90" s="137">
        <f t="shared" si="36"/>
        <v>1430</v>
      </c>
      <c r="O90" s="137">
        <f t="shared" si="36"/>
        <v>1730</v>
      </c>
      <c r="P90" s="137">
        <f t="shared" si="36"/>
        <v>20310</v>
      </c>
      <c r="Q90" s="137">
        <f t="shared" si="36"/>
        <v>1363</v>
      </c>
      <c r="R90" s="137">
        <f t="shared" si="36"/>
        <v>1192</v>
      </c>
      <c r="S90" s="137">
        <f t="shared" si="36"/>
        <v>1591</v>
      </c>
      <c r="T90" s="137">
        <f t="shared" si="36"/>
        <v>1588</v>
      </c>
      <c r="U90" s="137">
        <f t="shared" si="36"/>
        <v>1129</v>
      </c>
      <c r="V90" s="137">
        <f t="shared" si="36"/>
        <v>735</v>
      </c>
      <c r="W90" s="137">
        <f t="shared" si="36"/>
        <v>1119</v>
      </c>
      <c r="X90" s="137">
        <f t="shared" si="36"/>
        <v>2072</v>
      </c>
      <c r="Y90" s="137">
        <f t="shared" si="36"/>
        <v>1620</v>
      </c>
      <c r="Z90" s="137">
        <f t="shared" si="36"/>
        <v>1600</v>
      </c>
      <c r="AA90" s="137">
        <f t="shared" si="36"/>
        <v>1430</v>
      </c>
      <c r="AB90" s="137">
        <f t="shared" si="36"/>
        <v>1730</v>
      </c>
      <c r="AC90" s="137">
        <f t="shared" si="36"/>
        <v>17169</v>
      </c>
      <c r="AD90" s="72">
        <f t="shared" si="33"/>
        <v>3141</v>
      </c>
      <c r="AE90" s="192">
        <f t="shared" si="34"/>
        <v>0.18294600733880831</v>
      </c>
      <c r="AF90" s="133">
        <v>5862</v>
      </c>
      <c r="AG90" s="124">
        <f t="shared" si="35"/>
        <v>14448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5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5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7">P9/P85</f>
        <v>#DIV/0!</v>
      </c>
      <c r="Q93" s="136" t="e">
        <f t="shared" si="37"/>
        <v>#DIV/0!</v>
      </c>
      <c r="R93" s="136" t="e">
        <f t="shared" si="37"/>
        <v>#DIV/0!</v>
      </c>
      <c r="S93" s="136" t="e">
        <f t="shared" si="37"/>
        <v>#DIV/0!</v>
      </c>
      <c r="T93" s="136" t="e">
        <f t="shared" si="37"/>
        <v>#DIV/0!</v>
      </c>
      <c r="U93" s="136" t="e">
        <f t="shared" si="37"/>
        <v>#DIV/0!</v>
      </c>
      <c r="V93" s="136" t="e">
        <f t="shared" si="37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8">AC9/AC85</f>
        <v>#DIV/0!</v>
      </c>
      <c r="AD93" s="136" t="e">
        <f t="shared" ref="AD93:AD98" si="39">P93-AC93</f>
        <v>#DIV/0!</v>
      </c>
      <c r="AE93" s="196" t="e">
        <f t="shared" ref="AE93:AE98" si="40">AD93/AC93</f>
        <v>#DIV/0!</v>
      </c>
      <c r="AF93" s="133">
        <v>41.801785714285714</v>
      </c>
      <c r="AG93" s="124" t="e">
        <f t="shared" si="35"/>
        <v>#DIV/0!</v>
      </c>
    </row>
    <row r="94" spans="1:33">
      <c r="C94" s="105" t="s">
        <v>483</v>
      </c>
      <c r="D94" s="231">
        <v>40</v>
      </c>
      <c r="E94" s="143">
        <v>45</v>
      </c>
      <c r="F94" s="143">
        <v>35</v>
      </c>
      <c r="G94" s="143">
        <v>30</v>
      </c>
      <c r="H94" s="143">
        <v>35</v>
      </c>
      <c r="I94" s="143">
        <v>30</v>
      </c>
      <c r="J94" s="143">
        <v>45</v>
      </c>
      <c r="K94" s="143">
        <v>45</v>
      </c>
      <c r="L94" s="143">
        <v>30</v>
      </c>
      <c r="M94" s="143">
        <v>35</v>
      </c>
      <c r="N94" s="143">
        <v>35</v>
      </c>
      <c r="O94" s="143">
        <v>40</v>
      </c>
      <c r="P94" s="137">
        <f t="shared" si="37"/>
        <v>38.233333333333334</v>
      </c>
      <c r="Q94" s="136">
        <f t="shared" si="37"/>
        <v>43.311224489795919</v>
      </c>
      <c r="R94" s="136">
        <f t="shared" si="37"/>
        <v>37.754901960784316</v>
      </c>
      <c r="S94" s="136">
        <f t="shared" si="37"/>
        <v>35.26634615384615</v>
      </c>
      <c r="T94" s="136">
        <f t="shared" si="37"/>
        <v>54.43015873015873</v>
      </c>
      <c r="U94" s="136">
        <f t="shared" si="37"/>
        <v>15.668840579710146</v>
      </c>
      <c r="V94" s="136">
        <f t="shared" si="37"/>
        <v>20.240384615384617</v>
      </c>
      <c r="W94" s="72">
        <v>48.422627737226271</v>
      </c>
      <c r="X94" s="72">
        <v>24.608542713567839</v>
      </c>
      <c r="Y94" s="72">
        <v>40</v>
      </c>
      <c r="Z94" s="72">
        <v>40</v>
      </c>
      <c r="AA94" s="72">
        <v>40</v>
      </c>
      <c r="AB94" s="72">
        <v>50</v>
      </c>
      <c r="AC94" s="137">
        <f t="shared" si="38"/>
        <v>38.3664396003633</v>
      </c>
      <c r="AD94" s="136">
        <f t="shared" si="39"/>
        <v>-0.13310626702996586</v>
      </c>
      <c r="AE94" s="196">
        <f t="shared" si="40"/>
        <v>-3.4693411329391496E-3</v>
      </c>
      <c r="AF94" s="133">
        <v>40.396404494382026</v>
      </c>
      <c r="AG94" s="124">
        <f t="shared" si="35"/>
        <v>-2.1630711610486912</v>
      </c>
    </row>
    <row r="95" spans="1:33">
      <c r="C95" s="105" t="s">
        <v>485</v>
      </c>
      <c r="D95" s="143">
        <v>90</v>
      </c>
      <c r="E95" s="143">
        <v>95</v>
      </c>
      <c r="F95" s="143">
        <v>81.666923076923084</v>
      </c>
      <c r="G95" s="143">
        <v>80</v>
      </c>
      <c r="H95" s="143">
        <v>85</v>
      </c>
      <c r="I95" s="143">
        <v>80</v>
      </c>
      <c r="J95" s="143">
        <v>90</v>
      </c>
      <c r="K95" s="143">
        <v>90</v>
      </c>
      <c r="L95" s="143">
        <v>80</v>
      </c>
      <c r="M95" s="143">
        <v>85</v>
      </c>
      <c r="N95" s="143">
        <v>82</v>
      </c>
      <c r="O95" s="143">
        <v>90</v>
      </c>
      <c r="P95" s="137">
        <f t="shared" si="37"/>
        <v>86.037058823529406</v>
      </c>
      <c r="Q95" s="136">
        <f t="shared" si="37"/>
        <v>96.512842741935486</v>
      </c>
      <c r="R95" s="136">
        <f t="shared" si="37"/>
        <v>164.10195093457943</v>
      </c>
      <c r="S95" s="136">
        <f t="shared" si="37"/>
        <v>105.25819843342036</v>
      </c>
      <c r="T95" s="136">
        <f t="shared" si="37"/>
        <v>83.591366666666673</v>
      </c>
      <c r="U95" s="136">
        <f t="shared" si="37"/>
        <v>99.599267139479906</v>
      </c>
      <c r="V95" s="136">
        <f t="shared" si="37"/>
        <v>93.851938579654515</v>
      </c>
      <c r="W95" s="72">
        <v>93.424554455445531</v>
      </c>
      <c r="X95" s="72">
        <v>74.861447688564482</v>
      </c>
      <c r="Y95" s="72">
        <v>85</v>
      </c>
      <c r="Z95" s="72">
        <v>85</v>
      </c>
      <c r="AA95" s="72">
        <v>82</v>
      </c>
      <c r="AB95" s="72">
        <v>82</v>
      </c>
      <c r="AC95" s="137">
        <f t="shared" si="38"/>
        <v>92.790370083617219</v>
      </c>
      <c r="AD95" s="136">
        <f t="shared" si="39"/>
        <v>-6.7533112600878127</v>
      </c>
      <c r="AE95" s="196">
        <f t="shared" si="40"/>
        <v>-7.278030310690782E-2</v>
      </c>
      <c r="AF95" s="133">
        <v>44.429694793536804</v>
      </c>
      <c r="AG95" s="124">
        <f t="shared" si="35"/>
        <v>41.607364029992603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7"/>
        <v>#DIV/0!</v>
      </c>
      <c r="Q96" s="136">
        <f t="shared" si="37"/>
        <v>0</v>
      </c>
      <c r="R96" s="136">
        <f t="shared" si="37"/>
        <v>0</v>
      </c>
      <c r="S96" s="136" t="e">
        <f t="shared" si="37"/>
        <v>#DIV/0!</v>
      </c>
      <c r="T96" s="136">
        <f t="shared" si="37"/>
        <v>0</v>
      </c>
      <c r="U96" s="136">
        <f t="shared" si="37"/>
        <v>0</v>
      </c>
      <c r="V96" s="136">
        <f t="shared" si="37"/>
        <v>0</v>
      </c>
      <c r="W96" s="72">
        <v>0</v>
      </c>
      <c r="X96" s="72">
        <v>0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8"/>
        <v>#DIV/0!</v>
      </c>
      <c r="AD96" s="136" t="e">
        <f t="shared" si="39"/>
        <v>#DIV/0!</v>
      </c>
      <c r="AE96" s="196" t="e">
        <f t="shared" si="40"/>
        <v>#DIV/0!</v>
      </c>
      <c r="AF96" s="133">
        <v>33.726196990424071</v>
      </c>
      <c r="AG96" s="124" t="e">
        <f t="shared" si="35"/>
        <v>#DIV/0!</v>
      </c>
    </row>
    <row r="97" spans="1:33">
      <c r="C97" s="105" t="s">
        <v>489</v>
      </c>
      <c r="D97" s="136">
        <v>60</v>
      </c>
      <c r="E97" s="136">
        <v>78</v>
      </c>
      <c r="F97" s="136">
        <v>45</v>
      </c>
      <c r="G97" s="136">
        <v>45</v>
      </c>
      <c r="H97" s="136">
        <v>64.9304347826087</v>
      </c>
      <c r="I97" s="136">
        <v>68.288888888888891</v>
      </c>
      <c r="J97" s="136">
        <v>80.24444444444444</v>
      </c>
      <c r="K97" s="136">
        <v>75</v>
      </c>
      <c r="L97" s="136">
        <v>60</v>
      </c>
      <c r="M97" s="136">
        <v>65</v>
      </c>
      <c r="N97" s="136">
        <v>55</v>
      </c>
      <c r="O97" s="136">
        <v>60</v>
      </c>
      <c r="P97" s="137">
        <f t="shared" si="37"/>
        <v>63.686567164179102</v>
      </c>
      <c r="Q97" s="136">
        <f t="shared" si="37"/>
        <v>67.71793103448276</v>
      </c>
      <c r="R97" s="136">
        <f t="shared" si="37"/>
        <v>113.30925925925925</v>
      </c>
      <c r="S97" s="136">
        <f t="shared" si="37"/>
        <v>65.360256410256412</v>
      </c>
      <c r="T97" s="136">
        <f t="shared" si="37"/>
        <v>56.504954954954954</v>
      </c>
      <c r="U97" s="136">
        <f t="shared" si="37"/>
        <v>63.967999999999996</v>
      </c>
      <c r="V97" s="136">
        <f t="shared" si="37"/>
        <v>75.898333333333326</v>
      </c>
      <c r="W97" s="72">
        <v>64.655194805194796</v>
      </c>
      <c r="X97" s="72">
        <v>52.67590361445783</v>
      </c>
      <c r="Y97" s="72">
        <v>60</v>
      </c>
      <c r="Z97" s="72">
        <v>65</v>
      </c>
      <c r="AA97" s="72">
        <v>55</v>
      </c>
      <c r="AB97" s="72">
        <v>60</v>
      </c>
      <c r="AC97" s="137">
        <f t="shared" si="38"/>
        <v>65.791808873720143</v>
      </c>
      <c r="AD97" s="136">
        <f t="shared" si="39"/>
        <v>-2.1052417095410405</v>
      </c>
      <c r="AE97" s="196">
        <f t="shared" si="40"/>
        <v>-3.1998538200732729E-2</v>
      </c>
      <c r="AF97" s="133" t="e">
        <v>#DIV/0!</v>
      </c>
      <c r="AG97" s="124" t="e">
        <f t="shared" si="35"/>
        <v>#DIV/0!</v>
      </c>
    </row>
    <row r="98" spans="1:33" s="109" customFormat="1">
      <c r="C98" s="109" t="s">
        <v>463</v>
      </c>
      <c r="D98" s="137">
        <f t="shared" ref="D98:O98" si="41">D14/D90</f>
        <v>79.354838709677423</v>
      </c>
      <c r="E98" s="137">
        <f t="shared" si="41"/>
        <v>83</v>
      </c>
      <c r="F98" s="137">
        <f t="shared" si="41"/>
        <v>72.49515151515152</v>
      </c>
      <c r="G98" s="137">
        <f t="shared" si="41"/>
        <v>69.622641509433961</v>
      </c>
      <c r="H98" s="137">
        <f t="shared" si="41"/>
        <v>76.076571428571427</v>
      </c>
      <c r="I98" s="137">
        <f t="shared" si="41"/>
        <v>71.818918918918925</v>
      </c>
      <c r="J98" s="137">
        <f t="shared" si="41"/>
        <v>82.266666666666666</v>
      </c>
      <c r="K98" s="137">
        <f t="shared" si="41"/>
        <v>81.763005780346816</v>
      </c>
      <c r="L98" s="137">
        <f t="shared" si="41"/>
        <v>72.716049382716051</v>
      </c>
      <c r="M98" s="137">
        <f t="shared" si="41"/>
        <v>75.5</v>
      </c>
      <c r="N98" s="137">
        <f t="shared" si="41"/>
        <v>72.972027972027973</v>
      </c>
      <c r="O98" s="137">
        <f t="shared" si="41"/>
        <v>79.421965317919074</v>
      </c>
      <c r="P98" s="137">
        <f t="shared" si="37"/>
        <v>76.764007877892666</v>
      </c>
      <c r="Q98" s="137">
        <f t="shared" si="37"/>
        <v>84.115069699192958</v>
      </c>
      <c r="R98" s="137">
        <f t="shared" si="37"/>
        <v>139.20249161073826</v>
      </c>
      <c r="S98" s="137">
        <f t="shared" si="37"/>
        <v>90.239704588309237</v>
      </c>
      <c r="T98" s="137">
        <f t="shared" si="37"/>
        <v>75.385352644836274</v>
      </c>
      <c r="U98" s="137">
        <f t="shared" si="37"/>
        <v>86.463844109831697</v>
      </c>
      <c r="V98" s="137">
        <f t="shared" si="37"/>
        <v>81.78185034013606</v>
      </c>
      <c r="W98" s="137">
        <f t="shared" si="37"/>
        <v>82.285826630920454</v>
      </c>
      <c r="X98" s="137">
        <f t="shared" si="37"/>
        <v>68.091515444015442</v>
      </c>
      <c r="Y98" s="137">
        <f t="shared" si="37"/>
        <v>77.839506172839506</v>
      </c>
      <c r="Z98" s="137">
        <f t="shared" si="37"/>
        <v>76.25</v>
      </c>
      <c r="AA98" s="137">
        <f t="shared" si="37"/>
        <v>73.671328671328666</v>
      </c>
      <c r="AB98" s="137">
        <f t="shared" si="37"/>
        <v>74.971098265895961</v>
      </c>
      <c r="AC98" s="137">
        <f t="shared" si="38"/>
        <v>82.585026501252244</v>
      </c>
      <c r="AD98" s="137">
        <f t="shared" si="39"/>
        <v>-5.8210186233595778</v>
      </c>
      <c r="AE98" s="139">
        <f t="shared" si="40"/>
        <v>-7.0485157781856655E-2</v>
      </c>
      <c r="AF98" s="133">
        <v>41.067842033435689</v>
      </c>
      <c r="AG98" s="129">
        <f t="shared" si="35"/>
        <v>35.696165844456978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393</v>
      </c>
      <c r="C102" s="105" t="s">
        <v>250</v>
      </c>
      <c r="D102" s="215">
        <v>0</v>
      </c>
      <c r="E102" s="136">
        <v>0</v>
      </c>
      <c r="F102" s="136">
        <v>0</v>
      </c>
      <c r="G102" s="136">
        <v>0</v>
      </c>
      <c r="H102" s="136">
        <v>0</v>
      </c>
      <c r="I102" s="136">
        <v>0</v>
      </c>
      <c r="J102" s="136">
        <v>0</v>
      </c>
      <c r="K102" s="136">
        <v>0</v>
      </c>
      <c r="L102" s="136">
        <v>0</v>
      </c>
      <c r="M102" s="136">
        <v>0</v>
      </c>
      <c r="N102" s="136">
        <v>0</v>
      </c>
      <c r="O102" s="136">
        <v>0</v>
      </c>
      <c r="P102" s="137">
        <f>SUM(D102:O102)</f>
        <v>0</v>
      </c>
      <c r="Q102" s="136">
        <v>0</v>
      </c>
      <c r="R102" s="136">
        <v>0</v>
      </c>
      <c r="S102" s="136">
        <v>0</v>
      </c>
      <c r="T102" s="136">
        <v>0</v>
      </c>
      <c r="U102" s="136">
        <v>0</v>
      </c>
      <c r="V102" s="136">
        <v>0</v>
      </c>
      <c r="W102" s="72">
        <v>0</v>
      </c>
      <c r="X102" s="72">
        <v>0</v>
      </c>
      <c r="Y102" s="72">
        <v>0</v>
      </c>
      <c r="Z102" s="72">
        <v>0</v>
      </c>
      <c r="AA102" s="72">
        <v>0</v>
      </c>
      <c r="AB102" s="72">
        <v>0</v>
      </c>
      <c r="AC102" s="137">
        <f>SUM(Q102:AB102)</f>
        <v>0</v>
      </c>
      <c r="AD102" s="72">
        <f t="shared" ref="AD102:AD105" si="42">P102-AC102</f>
        <v>0</v>
      </c>
      <c r="AE102" s="192" t="e">
        <f t="shared" ref="AE102:AE105" si="43">AD102/AC102</f>
        <v>#DIV/0!</v>
      </c>
      <c r="AF102" s="133">
        <v>0</v>
      </c>
      <c r="AG102" s="124">
        <f t="shared" ref="AG102:AG136" si="44">AF102-P102</f>
        <v>0</v>
      </c>
    </row>
    <row r="103" spans="1:33">
      <c r="A103" s="105" t="s">
        <v>251</v>
      </c>
      <c r="B103" s="105" t="s">
        <v>393</v>
      </c>
      <c r="C103" s="105" t="s">
        <v>468</v>
      </c>
      <c r="D103" s="215">
        <v>11466</v>
      </c>
      <c r="E103" s="136">
        <v>11466</v>
      </c>
      <c r="F103" s="136">
        <v>12039.3</v>
      </c>
      <c r="G103" s="136">
        <v>12039.3</v>
      </c>
      <c r="H103" s="136">
        <v>12039.3</v>
      </c>
      <c r="I103" s="136">
        <v>12039.3</v>
      </c>
      <c r="J103" s="136">
        <v>12039.3</v>
      </c>
      <c r="K103" s="136">
        <v>12039.3</v>
      </c>
      <c r="L103" s="136">
        <v>12039.3</v>
      </c>
      <c r="M103" s="136">
        <v>12039.3</v>
      </c>
      <c r="N103" s="136">
        <v>12039.3</v>
      </c>
      <c r="O103" s="136">
        <v>12039.3</v>
      </c>
      <c r="P103" s="135">
        <f>SUM(D103:O103)</f>
        <v>143325</v>
      </c>
      <c r="Q103" s="136">
        <v>14900</v>
      </c>
      <c r="R103" s="136">
        <v>14900</v>
      </c>
      <c r="S103" s="136">
        <v>14900</v>
      </c>
      <c r="T103" s="136">
        <v>14900</v>
      </c>
      <c r="U103" s="136">
        <v>14900</v>
      </c>
      <c r="V103" s="136">
        <v>14900</v>
      </c>
      <c r="W103" s="72">
        <v>14900</v>
      </c>
      <c r="X103" s="72">
        <v>12100</v>
      </c>
      <c r="Y103" s="72">
        <v>7800</v>
      </c>
      <c r="Z103" s="72">
        <v>7800</v>
      </c>
      <c r="AA103" s="72">
        <v>7800</v>
      </c>
      <c r="AB103" s="72">
        <v>7800</v>
      </c>
      <c r="AC103" s="137">
        <f>SUM(Q103:AB103)</f>
        <v>147600</v>
      </c>
      <c r="AD103" s="72">
        <f t="shared" si="42"/>
        <v>-4275</v>
      </c>
      <c r="AE103" s="192">
        <f t="shared" si="43"/>
        <v>-2.8963414634146343E-2</v>
      </c>
      <c r="AF103" s="133">
        <v>99834.15</v>
      </c>
      <c r="AG103" s="124">
        <f t="shared" si="44"/>
        <v>-43490.850000000006</v>
      </c>
    </row>
    <row r="104" spans="1:33">
      <c r="A104" s="105" t="s">
        <v>567</v>
      </c>
      <c r="C104" s="105" t="s">
        <v>470</v>
      </c>
      <c r="D104" s="215">
        <v>1419</v>
      </c>
      <c r="E104" s="136">
        <v>1419</v>
      </c>
      <c r="F104" s="136">
        <v>1489.95</v>
      </c>
      <c r="G104" s="136">
        <v>1489.95</v>
      </c>
      <c r="H104" s="136">
        <v>2460.15</v>
      </c>
      <c r="I104" s="136">
        <v>2460.15</v>
      </c>
      <c r="J104" s="136">
        <v>2460.15</v>
      </c>
      <c r="K104" s="136">
        <v>2460.15</v>
      </c>
      <c r="L104" s="136">
        <v>2460.15</v>
      </c>
      <c r="M104" s="136">
        <v>2460.15</v>
      </c>
      <c r="N104" s="136">
        <v>2460.15</v>
      </c>
      <c r="O104" s="136">
        <v>2460.15</v>
      </c>
      <c r="P104" s="135">
        <f>SUM(D104:O104)</f>
        <v>25499.100000000002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5096</v>
      </c>
      <c r="Z104" s="72">
        <v>5096</v>
      </c>
      <c r="AA104" s="72">
        <v>5096</v>
      </c>
      <c r="AB104" s="72">
        <v>5096</v>
      </c>
      <c r="AC104" s="137">
        <f>SUM(Q104:AB104)</f>
        <v>20384</v>
      </c>
      <c r="AD104" s="72">
        <f t="shared" si="42"/>
        <v>5115.1000000000022</v>
      </c>
      <c r="AE104" s="192">
        <f t="shared" si="43"/>
        <v>0.25093700941915237</v>
      </c>
      <c r="AF104" s="133">
        <v>0</v>
      </c>
      <c r="AG104" s="124">
        <f t="shared" si="44"/>
        <v>-25499.100000000002</v>
      </c>
    </row>
    <row r="105" spans="1:33">
      <c r="A105" s="105" t="s">
        <v>273</v>
      </c>
      <c r="C105" s="109" t="s">
        <v>520</v>
      </c>
      <c r="D105" s="137">
        <f t="shared" ref="D105:AC105" si="45">SUM(D102:D104)</f>
        <v>12885</v>
      </c>
      <c r="E105" s="137">
        <f t="shared" si="45"/>
        <v>12885</v>
      </c>
      <c r="F105" s="137">
        <f t="shared" si="45"/>
        <v>13529.25</v>
      </c>
      <c r="G105" s="137">
        <f t="shared" si="45"/>
        <v>13529.25</v>
      </c>
      <c r="H105" s="137">
        <f t="shared" si="45"/>
        <v>14499.449999999999</v>
      </c>
      <c r="I105" s="137">
        <f t="shared" si="45"/>
        <v>14499.449999999999</v>
      </c>
      <c r="J105" s="137">
        <f t="shared" si="45"/>
        <v>14499.449999999999</v>
      </c>
      <c r="K105" s="137">
        <f t="shared" si="45"/>
        <v>14499.449999999999</v>
      </c>
      <c r="L105" s="137">
        <f t="shared" si="45"/>
        <v>14499.449999999999</v>
      </c>
      <c r="M105" s="137">
        <f t="shared" si="45"/>
        <v>14499.449999999999</v>
      </c>
      <c r="N105" s="137">
        <f t="shared" si="45"/>
        <v>14499.449999999999</v>
      </c>
      <c r="O105" s="137">
        <f t="shared" si="45"/>
        <v>14499.449999999999</v>
      </c>
      <c r="P105" s="135">
        <f t="shared" si="45"/>
        <v>168824.1</v>
      </c>
      <c r="Q105" s="137">
        <f t="shared" si="45"/>
        <v>14900</v>
      </c>
      <c r="R105" s="137">
        <f t="shared" si="45"/>
        <v>14900</v>
      </c>
      <c r="S105" s="137">
        <f t="shared" si="45"/>
        <v>14900</v>
      </c>
      <c r="T105" s="137">
        <f t="shared" si="45"/>
        <v>14900</v>
      </c>
      <c r="U105" s="137">
        <f t="shared" si="45"/>
        <v>14900</v>
      </c>
      <c r="V105" s="137">
        <f t="shared" si="45"/>
        <v>14900</v>
      </c>
      <c r="W105" s="137">
        <f t="shared" si="45"/>
        <v>14900</v>
      </c>
      <c r="X105" s="137">
        <f t="shared" si="45"/>
        <v>12100</v>
      </c>
      <c r="Y105" s="137">
        <f t="shared" si="45"/>
        <v>12896</v>
      </c>
      <c r="Z105" s="137">
        <f t="shared" si="45"/>
        <v>12896</v>
      </c>
      <c r="AA105" s="137">
        <f t="shared" si="45"/>
        <v>12896</v>
      </c>
      <c r="AB105" s="137">
        <f t="shared" si="45"/>
        <v>12896</v>
      </c>
      <c r="AC105" s="137">
        <f t="shared" si="45"/>
        <v>167984</v>
      </c>
      <c r="AD105" s="72">
        <f t="shared" si="42"/>
        <v>840.10000000000582</v>
      </c>
      <c r="AE105" s="192">
        <f t="shared" si="43"/>
        <v>5.0010715306219988E-3</v>
      </c>
      <c r="AF105" s="133">
        <v>99834.15</v>
      </c>
      <c r="AG105" s="124">
        <f t="shared" si="44"/>
        <v>-68989.950000000012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4"/>
        <v>0</v>
      </c>
    </row>
    <row r="107" spans="1:33">
      <c r="A107" s="105" t="s">
        <v>119</v>
      </c>
      <c r="B107" s="105" t="s">
        <v>393</v>
      </c>
      <c r="C107" s="105" t="s">
        <v>260</v>
      </c>
      <c r="D107" s="215">
        <v>6675.8499999999995</v>
      </c>
      <c r="E107" s="215">
        <v>0</v>
      </c>
      <c r="F107" s="215">
        <v>0</v>
      </c>
      <c r="G107" s="215">
        <v>1668.96</v>
      </c>
      <c r="H107" s="215">
        <v>2744.83</v>
      </c>
      <c r="I107" s="215">
        <v>0</v>
      </c>
      <c r="J107" s="215">
        <v>0</v>
      </c>
      <c r="K107" s="215">
        <v>0</v>
      </c>
      <c r="L107" s="215">
        <v>0</v>
      </c>
      <c r="M107" s="215">
        <v>6082.75</v>
      </c>
      <c r="N107" s="215">
        <v>0</v>
      </c>
      <c r="O107" s="215">
        <v>0</v>
      </c>
      <c r="P107" s="135">
        <f>SUM(D107:O107)</f>
        <v>17172.39</v>
      </c>
      <c r="Q107" s="136">
        <v>1075.8599999999999</v>
      </c>
      <c r="R107" s="136">
        <v>4110.3599999999997</v>
      </c>
      <c r="S107" s="136">
        <v>0</v>
      </c>
      <c r="T107" s="136">
        <v>2055.1799999999998</v>
      </c>
      <c r="U107" s="136">
        <v>2055.1799999999998</v>
      </c>
      <c r="V107" s="136">
        <v>1462.08</v>
      </c>
      <c r="W107" s="72">
        <v>0</v>
      </c>
      <c r="X107" s="72">
        <v>0</v>
      </c>
      <c r="Y107" s="72">
        <v>2542</v>
      </c>
      <c r="Z107" s="72">
        <v>7625</v>
      </c>
      <c r="AA107" s="72">
        <v>0</v>
      </c>
      <c r="AB107" s="72">
        <v>0</v>
      </c>
      <c r="AC107" s="137">
        <f>SUM(Q107:AB107)</f>
        <v>20925.66</v>
      </c>
      <c r="AD107" s="72">
        <f t="shared" ref="AD107:AD112" si="46">P107-AC107</f>
        <v>-3753.2700000000004</v>
      </c>
      <c r="AE107" s="192">
        <f t="shared" ref="AE107:AE112" si="47">AD107/AC107</f>
        <v>-0.17936208463675699</v>
      </c>
      <c r="AF107" s="133">
        <v>12841.61</v>
      </c>
      <c r="AG107" s="124">
        <f t="shared" si="44"/>
        <v>-4330.7799999999988</v>
      </c>
    </row>
    <row r="108" spans="1:33">
      <c r="A108" s="105" t="s">
        <v>120</v>
      </c>
      <c r="B108" s="105" t="s">
        <v>393</v>
      </c>
      <c r="C108" s="105" t="s">
        <v>261</v>
      </c>
      <c r="D108" s="215">
        <v>2016.67</v>
      </c>
      <c r="E108" s="215">
        <v>2016.67</v>
      </c>
      <c r="F108" s="215">
        <v>2016.67</v>
      </c>
      <c r="G108" s="215">
        <v>2016.67</v>
      </c>
      <c r="H108" s="215">
        <v>2483.34</v>
      </c>
      <c r="I108" s="215">
        <v>2483.34</v>
      </c>
      <c r="J108" s="215">
        <v>2483.34</v>
      </c>
      <c r="K108" s="215">
        <v>2483.34</v>
      </c>
      <c r="L108" s="215">
        <v>2483.34</v>
      </c>
      <c r="M108" s="215">
        <v>2483.34</v>
      </c>
      <c r="N108" s="215">
        <v>2483.34</v>
      </c>
      <c r="O108" s="215">
        <v>2483.34</v>
      </c>
      <c r="P108" s="135">
        <f>SUM(D108:O108)</f>
        <v>27933.4</v>
      </c>
      <c r="Q108" s="136">
        <v>3752.84</v>
      </c>
      <c r="R108" s="136">
        <v>3736.4</v>
      </c>
      <c r="S108" s="136">
        <v>3723.47</v>
      </c>
      <c r="T108" s="136">
        <v>2467.5100000000002</v>
      </c>
      <c r="U108" s="136">
        <v>2493.73</v>
      </c>
      <c r="V108" s="136">
        <v>2464.91</v>
      </c>
      <c r="W108" s="72">
        <v>2480.7600000000002</v>
      </c>
      <c r="X108" s="72">
        <v>2007.7</v>
      </c>
      <c r="Y108" s="72">
        <v>2149.33</v>
      </c>
      <c r="Z108" s="72">
        <v>2149.33</v>
      </c>
      <c r="AA108" s="72">
        <v>2149.33</v>
      </c>
      <c r="AB108" s="72">
        <v>2149.33</v>
      </c>
      <c r="AC108" s="137">
        <f>SUM(Q108:AB108)</f>
        <v>31724.640000000007</v>
      </c>
      <c r="AD108" s="72">
        <f t="shared" si="46"/>
        <v>-3791.2400000000052</v>
      </c>
      <c r="AE108" s="192">
        <f t="shared" si="47"/>
        <v>-0.1195045869708846</v>
      </c>
      <c r="AF108" s="133">
        <v>18696.289999999997</v>
      </c>
      <c r="AG108" s="124">
        <f t="shared" si="44"/>
        <v>-9237.1100000000042</v>
      </c>
    </row>
    <row r="109" spans="1:33">
      <c r="A109" s="105" t="s">
        <v>121</v>
      </c>
      <c r="B109" s="105" t="s">
        <v>393</v>
      </c>
      <c r="C109" s="105" t="s">
        <v>262</v>
      </c>
      <c r="D109" s="215">
        <v>2260</v>
      </c>
      <c r="E109" s="215">
        <v>2260</v>
      </c>
      <c r="F109" s="215">
        <v>2260</v>
      </c>
      <c r="G109" s="215">
        <v>2260</v>
      </c>
      <c r="H109" s="215">
        <v>2790</v>
      </c>
      <c r="I109" s="215">
        <v>2790</v>
      </c>
      <c r="J109" s="215">
        <v>2790</v>
      </c>
      <c r="K109" s="215">
        <v>2790</v>
      </c>
      <c r="L109" s="215">
        <v>2790</v>
      </c>
      <c r="M109" s="215">
        <v>2790</v>
      </c>
      <c r="N109" s="215">
        <v>2790</v>
      </c>
      <c r="O109" s="215">
        <v>2790</v>
      </c>
      <c r="P109" s="135">
        <f>SUM(D109:O109)</f>
        <v>31360</v>
      </c>
      <c r="Q109" s="136">
        <v>2155</v>
      </c>
      <c r="R109" s="136">
        <v>2205</v>
      </c>
      <c r="S109" s="136">
        <v>2150</v>
      </c>
      <c r="T109" s="136">
        <v>2120</v>
      </c>
      <c r="U109" s="136">
        <v>2358</v>
      </c>
      <c r="V109" s="136">
        <v>2155</v>
      </c>
      <c r="W109" s="72">
        <v>2310</v>
      </c>
      <c r="X109" s="72">
        <v>1780</v>
      </c>
      <c r="Y109" s="72">
        <v>2408</v>
      </c>
      <c r="Z109" s="72">
        <v>2308</v>
      </c>
      <c r="AA109" s="72">
        <v>2308</v>
      </c>
      <c r="AB109" s="72">
        <v>2408</v>
      </c>
      <c r="AC109" s="137">
        <f>SUM(Q109:AB109)</f>
        <v>26665</v>
      </c>
      <c r="AD109" s="72">
        <f t="shared" si="46"/>
        <v>4695</v>
      </c>
      <c r="AE109" s="192">
        <f t="shared" si="47"/>
        <v>0.17607350459403712</v>
      </c>
      <c r="AF109" s="133">
        <v>9830</v>
      </c>
      <c r="AG109" s="124">
        <f t="shared" si="44"/>
        <v>-21530</v>
      </c>
    </row>
    <row r="110" spans="1:33">
      <c r="A110" s="105" t="s">
        <v>122</v>
      </c>
      <c r="B110" s="105" t="s">
        <v>393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6"/>
        <v>0</v>
      </c>
      <c r="AE110" s="192" t="e">
        <f t="shared" si="47"/>
        <v>#DIV/0!</v>
      </c>
      <c r="AF110" s="133">
        <v>0</v>
      </c>
      <c r="AG110" s="124">
        <f t="shared" si="44"/>
        <v>0</v>
      </c>
    </row>
    <row r="111" spans="1:33">
      <c r="A111" s="105" t="s">
        <v>123</v>
      </c>
      <c r="B111" s="105" t="s">
        <v>393</v>
      </c>
      <c r="C111" s="105" t="s">
        <v>264</v>
      </c>
      <c r="D111" s="215">
        <v>600</v>
      </c>
      <c r="E111" s="215">
        <v>600</v>
      </c>
      <c r="F111" s="215">
        <v>600</v>
      </c>
      <c r="G111" s="215">
        <v>600</v>
      </c>
      <c r="H111" s="215">
        <v>800</v>
      </c>
      <c r="I111" s="215">
        <v>800</v>
      </c>
      <c r="J111" s="215">
        <v>800</v>
      </c>
      <c r="K111" s="215">
        <v>800</v>
      </c>
      <c r="L111" s="215">
        <v>800</v>
      </c>
      <c r="M111" s="215">
        <v>800</v>
      </c>
      <c r="N111" s="215">
        <v>800</v>
      </c>
      <c r="O111" s="215">
        <v>800</v>
      </c>
      <c r="P111" s="135">
        <f>SUM(D111:O111)</f>
        <v>8800</v>
      </c>
      <c r="Q111" s="136">
        <v>867.58</v>
      </c>
      <c r="R111" s="136">
        <v>884.15</v>
      </c>
      <c r="S111" s="136">
        <v>1698.16</v>
      </c>
      <c r="T111" s="136">
        <v>1692.91</v>
      </c>
      <c r="U111" s="136">
        <v>910.82</v>
      </c>
      <c r="V111" s="136">
        <v>800</v>
      </c>
      <c r="W111" s="72">
        <v>800</v>
      </c>
      <c r="X111" s="72">
        <v>1366.42</v>
      </c>
      <c r="Y111" s="72">
        <v>1400</v>
      </c>
      <c r="Z111" s="72">
        <v>1400</v>
      </c>
      <c r="AA111" s="72">
        <v>1400</v>
      </c>
      <c r="AB111" s="72">
        <v>1400</v>
      </c>
      <c r="AC111" s="137">
        <f>SUM(Q111:AB111)</f>
        <v>14620.04</v>
      </c>
      <c r="AD111" s="72">
        <f t="shared" si="46"/>
        <v>-5820.0400000000009</v>
      </c>
      <c r="AE111" s="192">
        <f t="shared" si="47"/>
        <v>-0.39808646214374244</v>
      </c>
      <c r="AF111" s="133">
        <v>6476.06</v>
      </c>
      <c r="AG111" s="124">
        <f t="shared" si="44"/>
        <v>-2323.9399999999996</v>
      </c>
    </row>
    <row r="112" spans="1:33">
      <c r="A112" s="105" t="s">
        <v>273</v>
      </c>
      <c r="C112" s="109" t="s">
        <v>521</v>
      </c>
      <c r="D112" s="137">
        <f t="shared" ref="D112:O112" si="48">SUM(D107:D111)</f>
        <v>11552.52</v>
      </c>
      <c r="E112" s="137">
        <f t="shared" si="48"/>
        <v>4876.67</v>
      </c>
      <c r="F112" s="137">
        <f t="shared" si="48"/>
        <v>4876.67</v>
      </c>
      <c r="G112" s="137">
        <f t="shared" si="48"/>
        <v>6545.63</v>
      </c>
      <c r="H112" s="137">
        <f t="shared" si="48"/>
        <v>8818.17</v>
      </c>
      <c r="I112" s="137">
        <f t="shared" si="48"/>
        <v>6073.34</v>
      </c>
      <c r="J112" s="137">
        <f t="shared" si="48"/>
        <v>6073.34</v>
      </c>
      <c r="K112" s="137">
        <f t="shared" si="48"/>
        <v>6073.34</v>
      </c>
      <c r="L112" s="137">
        <f t="shared" si="48"/>
        <v>6073.34</v>
      </c>
      <c r="M112" s="137">
        <f t="shared" si="48"/>
        <v>12156.09</v>
      </c>
      <c r="N112" s="137">
        <f t="shared" si="48"/>
        <v>6073.34</v>
      </c>
      <c r="O112" s="137">
        <f t="shared" si="48"/>
        <v>6073.34</v>
      </c>
      <c r="P112" s="135">
        <f>SUM(P107:P111)</f>
        <v>85265.790000000008</v>
      </c>
      <c r="Q112" s="137">
        <f t="shared" ref="Q112:AC112" si="49">SUM(Q107:Q111)</f>
        <v>7851.28</v>
      </c>
      <c r="R112" s="137">
        <f t="shared" si="49"/>
        <v>10935.91</v>
      </c>
      <c r="S112" s="137">
        <f t="shared" si="49"/>
        <v>7571.6299999999992</v>
      </c>
      <c r="T112" s="137">
        <f t="shared" si="49"/>
        <v>8335.6</v>
      </c>
      <c r="U112" s="137">
        <f t="shared" si="49"/>
        <v>7817.73</v>
      </c>
      <c r="V112" s="137">
        <f t="shared" si="49"/>
        <v>6881.99</v>
      </c>
      <c r="W112" s="137">
        <f t="shared" si="49"/>
        <v>5590.76</v>
      </c>
      <c r="X112" s="137">
        <f t="shared" si="49"/>
        <v>5154.12</v>
      </c>
      <c r="Y112" s="137">
        <f t="shared" si="49"/>
        <v>8499.33</v>
      </c>
      <c r="Z112" s="137">
        <f t="shared" si="49"/>
        <v>13482.33</v>
      </c>
      <c r="AA112" s="137">
        <f t="shared" si="49"/>
        <v>5857.33</v>
      </c>
      <c r="AB112" s="137">
        <f t="shared" si="49"/>
        <v>5957.33</v>
      </c>
      <c r="AC112" s="137">
        <f t="shared" si="49"/>
        <v>93935.34</v>
      </c>
      <c r="AD112" s="72">
        <f t="shared" si="46"/>
        <v>-8669.5499999999884</v>
      </c>
      <c r="AE112" s="192">
        <f t="shared" si="47"/>
        <v>-9.2292740942865478E-2</v>
      </c>
      <c r="AF112" s="133">
        <v>47843.959999999992</v>
      </c>
      <c r="AG112" s="124">
        <f t="shared" si="44"/>
        <v>-37421.830000000016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4"/>
        <v>0</v>
      </c>
    </row>
    <row r="114" spans="1:33">
      <c r="A114" s="105" t="s">
        <v>124</v>
      </c>
      <c r="B114" s="105" t="s">
        <v>393</v>
      </c>
      <c r="C114" s="105" t="s">
        <v>266</v>
      </c>
      <c r="D114" s="215">
        <v>2891.46</v>
      </c>
      <c r="E114" s="215">
        <v>2891.46</v>
      </c>
      <c r="F114" s="215">
        <v>2891.46</v>
      </c>
      <c r="G114" s="215">
        <v>2891.46</v>
      </c>
      <c r="H114" s="215">
        <v>3718.7000000000003</v>
      </c>
      <c r="I114" s="215">
        <v>3718.7000000000003</v>
      </c>
      <c r="J114" s="215">
        <v>3811.39</v>
      </c>
      <c r="K114" s="215">
        <v>3811.39</v>
      </c>
      <c r="L114" s="215">
        <v>3811.39</v>
      </c>
      <c r="M114" s="215">
        <v>3811.39</v>
      </c>
      <c r="N114" s="215">
        <v>3811.39</v>
      </c>
      <c r="O114" s="215">
        <v>3811.39</v>
      </c>
      <c r="P114" s="135">
        <f>SUM(D114:O114)</f>
        <v>41871.58</v>
      </c>
      <c r="Q114" s="136">
        <v>3938.47</v>
      </c>
      <c r="R114" s="136">
        <v>3938.47</v>
      </c>
      <c r="S114" s="136">
        <v>3938.47</v>
      </c>
      <c r="T114" s="136">
        <v>3938.47</v>
      </c>
      <c r="U114" s="136">
        <v>3938.47</v>
      </c>
      <c r="V114" s="136">
        <v>3938.47</v>
      </c>
      <c r="W114" s="72">
        <v>3938.47</v>
      </c>
      <c r="X114" s="72">
        <v>3165.67</v>
      </c>
      <c r="Y114" s="72">
        <v>4780</v>
      </c>
      <c r="Z114" s="72">
        <v>4780</v>
      </c>
      <c r="AA114" s="72">
        <v>4780</v>
      </c>
      <c r="AB114" s="72">
        <v>4780</v>
      </c>
      <c r="AC114" s="137">
        <f t="shared" ref="AC114:AC121" si="50">SUM(Q114:AB114)</f>
        <v>49854.96</v>
      </c>
      <c r="AD114" s="72">
        <f t="shared" ref="AD114:AD122" si="51">P114-AC114</f>
        <v>-7983.3799999999974</v>
      </c>
      <c r="AE114" s="192">
        <f t="shared" ref="AE114:AE122" si="52">AD114/AC114</f>
        <v>-0.16013211122825086</v>
      </c>
      <c r="AF114" s="133">
        <v>20741.849999999999</v>
      </c>
      <c r="AG114" s="124">
        <f t="shared" si="44"/>
        <v>-21129.730000000003</v>
      </c>
    </row>
    <row r="115" spans="1:33">
      <c r="A115" s="105" t="s">
        <v>125</v>
      </c>
      <c r="B115" s="105" t="s">
        <v>393</v>
      </c>
      <c r="C115" s="105" t="s">
        <v>267</v>
      </c>
      <c r="D115" s="215">
        <v>1174.6499999999999</v>
      </c>
      <c r="E115" s="215">
        <v>1174.6499999999999</v>
      </c>
      <c r="F115" s="215">
        <v>1174.6499999999999</v>
      </c>
      <c r="G115" s="215">
        <v>1174.6499999999999</v>
      </c>
      <c r="H115" s="215">
        <v>1507.29</v>
      </c>
      <c r="I115" s="215">
        <v>1507.29</v>
      </c>
      <c r="J115" s="215">
        <v>1534.6699999999998</v>
      </c>
      <c r="K115" s="215">
        <v>1534.6699999999998</v>
      </c>
      <c r="L115" s="215">
        <v>1534.6699999999998</v>
      </c>
      <c r="M115" s="215">
        <v>1534.6699999999998</v>
      </c>
      <c r="N115" s="215">
        <v>1534.6699999999998</v>
      </c>
      <c r="O115" s="215">
        <v>1534.6699999999998</v>
      </c>
      <c r="P115" s="135">
        <f t="shared" ref="P115:P121" si="53">SUM(D115:O115)</f>
        <v>16921.199999999997</v>
      </c>
      <c r="Q115" s="136">
        <v>2092.3000000000002</v>
      </c>
      <c r="R115" s="136">
        <v>2092.3000000000002</v>
      </c>
      <c r="S115" s="136">
        <v>2092.3000000000002</v>
      </c>
      <c r="T115" s="136">
        <v>2092.3000000000002</v>
      </c>
      <c r="U115" s="136">
        <v>2092.3000000000002</v>
      </c>
      <c r="V115" s="136">
        <v>2092.3000000000002</v>
      </c>
      <c r="W115" s="72">
        <v>1600</v>
      </c>
      <c r="X115" s="72">
        <v>1286.05</v>
      </c>
      <c r="Y115" s="72">
        <v>2407</v>
      </c>
      <c r="Z115" s="72">
        <v>2407</v>
      </c>
      <c r="AA115" s="72">
        <v>2407</v>
      </c>
      <c r="AB115" s="72">
        <v>2407</v>
      </c>
      <c r="AC115" s="137">
        <f t="shared" si="50"/>
        <v>25067.85</v>
      </c>
      <c r="AD115" s="72">
        <f t="shared" si="51"/>
        <v>-8146.6500000000015</v>
      </c>
      <c r="AE115" s="192">
        <f t="shared" si="52"/>
        <v>-0.32498399344179901</v>
      </c>
      <c r="AF115" s="133">
        <v>10109.310000000001</v>
      </c>
      <c r="AG115" s="124">
        <f t="shared" si="44"/>
        <v>-6811.8899999999958</v>
      </c>
    </row>
    <row r="116" spans="1:33">
      <c r="A116" s="105" t="s">
        <v>126</v>
      </c>
      <c r="B116" s="105" t="s">
        <v>393</v>
      </c>
      <c r="C116" s="105" t="s">
        <v>268</v>
      </c>
      <c r="D116" s="215">
        <v>90.36</v>
      </c>
      <c r="E116" s="215">
        <v>90.36</v>
      </c>
      <c r="F116" s="215">
        <v>90.36</v>
      </c>
      <c r="G116" s="215">
        <v>90.36</v>
      </c>
      <c r="H116" s="215">
        <v>115.95</v>
      </c>
      <c r="I116" s="215">
        <v>115.95</v>
      </c>
      <c r="J116" s="215">
        <v>118.06</v>
      </c>
      <c r="K116" s="215">
        <v>118.06</v>
      </c>
      <c r="L116" s="215">
        <v>118.06</v>
      </c>
      <c r="M116" s="215">
        <v>118.06</v>
      </c>
      <c r="N116" s="215">
        <v>118.06</v>
      </c>
      <c r="O116" s="215">
        <v>118.06</v>
      </c>
      <c r="P116" s="135">
        <f t="shared" si="53"/>
        <v>1301.6999999999998</v>
      </c>
      <c r="Q116" s="136">
        <v>123.08</v>
      </c>
      <c r="R116" s="136">
        <v>123.08</v>
      </c>
      <c r="S116" s="136">
        <v>123.08</v>
      </c>
      <c r="T116" s="136">
        <v>123.08</v>
      </c>
      <c r="U116" s="136">
        <v>123.08</v>
      </c>
      <c r="V116" s="136">
        <v>123.08</v>
      </c>
      <c r="W116" s="72">
        <v>123.08</v>
      </c>
      <c r="X116" s="72">
        <v>98.93</v>
      </c>
      <c r="Y116" s="72">
        <v>150</v>
      </c>
      <c r="Z116" s="72">
        <v>150</v>
      </c>
      <c r="AA116" s="72">
        <v>150</v>
      </c>
      <c r="AB116" s="72">
        <v>150</v>
      </c>
      <c r="AC116" s="137">
        <f t="shared" si="50"/>
        <v>1560.49</v>
      </c>
      <c r="AD116" s="72">
        <f t="shared" si="51"/>
        <v>-258.79000000000019</v>
      </c>
      <c r="AE116" s="192">
        <f t="shared" si="52"/>
        <v>-0.16583893520624943</v>
      </c>
      <c r="AF116" s="133">
        <v>620.20999999999992</v>
      </c>
      <c r="AG116" s="124">
        <f t="shared" si="44"/>
        <v>-681.4899999999999</v>
      </c>
    </row>
    <row r="117" spans="1:33">
      <c r="A117" s="105" t="s">
        <v>127</v>
      </c>
      <c r="B117" s="105" t="s">
        <v>393</v>
      </c>
      <c r="C117" s="105" t="s">
        <v>269</v>
      </c>
      <c r="D117" s="215">
        <v>21.69</v>
      </c>
      <c r="E117" s="215">
        <v>21.69</v>
      </c>
      <c r="F117" s="215">
        <v>21.69</v>
      </c>
      <c r="G117" s="215">
        <v>21.69</v>
      </c>
      <c r="H117" s="215">
        <v>27.830000000000002</v>
      </c>
      <c r="I117" s="215">
        <v>27.830000000000002</v>
      </c>
      <c r="J117" s="215">
        <v>28.34</v>
      </c>
      <c r="K117" s="215">
        <v>28.34</v>
      </c>
      <c r="L117" s="215">
        <v>28.34</v>
      </c>
      <c r="M117" s="215">
        <v>28.34</v>
      </c>
      <c r="N117" s="215">
        <v>28.34</v>
      </c>
      <c r="O117" s="215">
        <v>28.34</v>
      </c>
      <c r="P117" s="135">
        <f t="shared" si="53"/>
        <v>312.45999999999998</v>
      </c>
      <c r="Q117" s="136">
        <v>29.55</v>
      </c>
      <c r="R117" s="136">
        <v>29.55</v>
      </c>
      <c r="S117" s="136">
        <v>29.55</v>
      </c>
      <c r="T117" s="136">
        <v>29.55</v>
      </c>
      <c r="U117" s="136">
        <v>29.55</v>
      </c>
      <c r="V117" s="136">
        <v>29.55</v>
      </c>
      <c r="W117" s="72">
        <v>29.55</v>
      </c>
      <c r="X117" s="72">
        <v>23.75</v>
      </c>
      <c r="Y117" s="72">
        <v>65</v>
      </c>
      <c r="Z117" s="72">
        <v>65</v>
      </c>
      <c r="AA117" s="72">
        <v>65</v>
      </c>
      <c r="AB117" s="72">
        <v>65</v>
      </c>
      <c r="AC117" s="137">
        <f t="shared" si="50"/>
        <v>490.6</v>
      </c>
      <c r="AD117" s="72">
        <f t="shared" si="51"/>
        <v>-178.14000000000004</v>
      </c>
      <c r="AE117" s="192">
        <f t="shared" si="52"/>
        <v>-0.36310640032613134</v>
      </c>
      <c r="AF117" s="133">
        <v>198.49999999999997</v>
      </c>
      <c r="AG117" s="124">
        <f t="shared" si="44"/>
        <v>-113.96000000000001</v>
      </c>
    </row>
    <row r="118" spans="1:33">
      <c r="A118" s="105" t="s">
        <v>128</v>
      </c>
      <c r="B118" s="105" t="s">
        <v>393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53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50"/>
        <v>0</v>
      </c>
      <c r="AD118" s="72">
        <f t="shared" si="51"/>
        <v>0</v>
      </c>
      <c r="AE118" s="192" t="e">
        <f t="shared" si="52"/>
        <v>#DIV/0!</v>
      </c>
      <c r="AF118" s="133">
        <v>433.53999999999991</v>
      </c>
      <c r="AG118" s="124">
        <f t="shared" si="44"/>
        <v>433.53999999999991</v>
      </c>
    </row>
    <row r="119" spans="1:33">
      <c r="A119" s="105" t="s">
        <v>129</v>
      </c>
      <c r="B119" s="105" t="s">
        <v>393</v>
      </c>
      <c r="C119" s="105" t="s">
        <v>271</v>
      </c>
      <c r="D119" s="215">
        <v>903.58</v>
      </c>
      <c r="E119" s="215">
        <v>903.58</v>
      </c>
      <c r="F119" s="215">
        <v>903.58</v>
      </c>
      <c r="G119" s="215">
        <v>903.58</v>
      </c>
      <c r="H119" s="215">
        <v>1043.58</v>
      </c>
      <c r="I119" s="215">
        <v>1043.58</v>
      </c>
      <c r="J119" s="215">
        <v>1180.53</v>
      </c>
      <c r="K119" s="215">
        <v>1043.58</v>
      </c>
      <c r="L119" s="215">
        <v>1043.58</v>
      </c>
      <c r="M119" s="215">
        <v>1043.58</v>
      </c>
      <c r="N119" s="215">
        <v>1180.53</v>
      </c>
      <c r="O119" s="215">
        <v>1043.58</v>
      </c>
      <c r="P119" s="135">
        <f t="shared" si="53"/>
        <v>12236.859999999999</v>
      </c>
      <c r="Q119" s="136">
        <v>1196</v>
      </c>
      <c r="R119" s="136">
        <v>1196</v>
      </c>
      <c r="S119" s="136">
        <v>1196</v>
      </c>
      <c r="T119" s="136">
        <v>1196</v>
      </c>
      <c r="U119" s="136">
        <v>1196</v>
      </c>
      <c r="V119" s="136">
        <v>1196</v>
      </c>
      <c r="W119" s="72">
        <v>1196</v>
      </c>
      <c r="X119" s="72">
        <v>989</v>
      </c>
      <c r="Y119" s="72">
        <v>1377</v>
      </c>
      <c r="Z119" s="72">
        <v>1377</v>
      </c>
      <c r="AA119" s="72">
        <v>1377</v>
      </c>
      <c r="AB119" s="72">
        <v>1377</v>
      </c>
      <c r="AC119" s="137">
        <f t="shared" si="50"/>
        <v>14869</v>
      </c>
      <c r="AD119" s="72">
        <f t="shared" si="51"/>
        <v>-2632.1400000000012</v>
      </c>
      <c r="AE119" s="192">
        <f t="shared" si="52"/>
        <v>-0.17702199206402591</v>
      </c>
      <c r="AF119" s="133">
        <v>5652</v>
      </c>
      <c r="AG119" s="124">
        <f t="shared" si="44"/>
        <v>-6584.8599999999988</v>
      </c>
    </row>
    <row r="120" spans="1:33">
      <c r="A120" s="105" t="s">
        <v>130</v>
      </c>
      <c r="B120" s="105" t="s">
        <v>393</v>
      </c>
      <c r="C120" s="105" t="s">
        <v>272</v>
      </c>
      <c r="D120" s="215">
        <v>489</v>
      </c>
      <c r="E120" s="215">
        <v>355</v>
      </c>
      <c r="F120" s="215">
        <v>368</v>
      </c>
      <c r="G120" s="215">
        <v>401</v>
      </c>
      <c r="H120" s="215">
        <v>466</v>
      </c>
      <c r="I120" s="215">
        <v>411</v>
      </c>
      <c r="J120" s="215">
        <v>411</v>
      </c>
      <c r="K120" s="215">
        <v>411</v>
      </c>
      <c r="L120" s="215">
        <v>411</v>
      </c>
      <c r="M120" s="215">
        <v>533</v>
      </c>
      <c r="N120" s="215">
        <v>411</v>
      </c>
      <c r="O120" s="215">
        <v>411</v>
      </c>
      <c r="P120" s="135">
        <f t="shared" si="53"/>
        <v>5078</v>
      </c>
      <c r="Q120" s="136">
        <v>381.02</v>
      </c>
      <c r="R120" s="136">
        <v>481.1</v>
      </c>
      <c r="S120" s="136">
        <v>819.8</v>
      </c>
      <c r="T120" s="136">
        <v>705.39</v>
      </c>
      <c r="U120" s="136">
        <v>392.77</v>
      </c>
      <c r="V120" s="136">
        <v>392.24</v>
      </c>
      <c r="W120" s="72">
        <v>360.2</v>
      </c>
      <c r="X120" s="72">
        <v>293.07</v>
      </c>
      <c r="Y120" s="72">
        <v>548</v>
      </c>
      <c r="Z120" s="72">
        <v>548</v>
      </c>
      <c r="AA120" s="72">
        <v>548</v>
      </c>
      <c r="AB120" s="72">
        <v>548</v>
      </c>
      <c r="AC120" s="137">
        <f t="shared" si="50"/>
        <v>6017.59</v>
      </c>
      <c r="AD120" s="72">
        <f t="shared" si="51"/>
        <v>-939.59000000000015</v>
      </c>
      <c r="AE120" s="192">
        <f t="shared" si="52"/>
        <v>-0.1561405811961267</v>
      </c>
      <c r="AF120" s="133">
        <v>3322.0299999999997</v>
      </c>
      <c r="AG120" s="124">
        <f t="shared" si="44"/>
        <v>-1755.9700000000003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53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50"/>
        <v>0</v>
      </c>
      <c r="AD121" s="72">
        <f t="shared" si="51"/>
        <v>0</v>
      </c>
      <c r="AE121" s="192" t="e">
        <f t="shared" si="52"/>
        <v>#DIV/0!</v>
      </c>
      <c r="AF121" s="133">
        <v>0</v>
      </c>
      <c r="AG121" s="124">
        <f t="shared" si="44"/>
        <v>0</v>
      </c>
    </row>
    <row r="122" spans="1:33">
      <c r="A122" s="105" t="s">
        <v>567</v>
      </c>
      <c r="C122" s="109" t="s">
        <v>522</v>
      </c>
      <c r="D122" s="137">
        <f t="shared" ref="D122:AC122" si="54">SUM(D114:D121)</f>
        <v>5570.7399999999989</v>
      </c>
      <c r="E122" s="137">
        <f t="shared" si="54"/>
        <v>5436.7399999999989</v>
      </c>
      <c r="F122" s="137">
        <f t="shared" si="54"/>
        <v>5449.7399999999989</v>
      </c>
      <c r="G122" s="137">
        <f t="shared" si="54"/>
        <v>5482.7399999999989</v>
      </c>
      <c r="H122" s="137">
        <f t="shared" si="54"/>
        <v>6879.3499999999995</v>
      </c>
      <c r="I122" s="137">
        <f t="shared" si="54"/>
        <v>6824.3499999999995</v>
      </c>
      <c r="J122" s="137">
        <f t="shared" si="54"/>
        <v>7083.99</v>
      </c>
      <c r="K122" s="137">
        <f t="shared" si="54"/>
        <v>6947.04</v>
      </c>
      <c r="L122" s="137">
        <f t="shared" si="54"/>
        <v>6947.04</v>
      </c>
      <c r="M122" s="137">
        <f t="shared" si="54"/>
        <v>7069.04</v>
      </c>
      <c r="N122" s="137">
        <f t="shared" si="54"/>
        <v>7083.99</v>
      </c>
      <c r="O122" s="137">
        <f t="shared" si="54"/>
        <v>6947.04</v>
      </c>
      <c r="P122" s="135">
        <f t="shared" si="54"/>
        <v>77721.799999999988</v>
      </c>
      <c r="Q122" s="137">
        <f t="shared" si="54"/>
        <v>7760.42</v>
      </c>
      <c r="R122" s="137">
        <f t="shared" si="54"/>
        <v>7860.5000000000009</v>
      </c>
      <c r="S122" s="137">
        <f t="shared" si="54"/>
        <v>8199.2000000000007</v>
      </c>
      <c r="T122" s="137">
        <f t="shared" si="54"/>
        <v>8084.7900000000009</v>
      </c>
      <c r="U122" s="137">
        <f t="shared" si="54"/>
        <v>7772.17</v>
      </c>
      <c r="V122" s="137">
        <f t="shared" si="54"/>
        <v>7771.64</v>
      </c>
      <c r="W122" s="137">
        <f t="shared" si="54"/>
        <v>7247.2999999999993</v>
      </c>
      <c r="X122" s="137">
        <f t="shared" si="54"/>
        <v>5856.47</v>
      </c>
      <c r="Y122" s="137">
        <f t="shared" si="54"/>
        <v>9327</v>
      </c>
      <c r="Z122" s="137">
        <f t="shared" si="54"/>
        <v>9327</v>
      </c>
      <c r="AA122" s="137">
        <f t="shared" si="54"/>
        <v>9327</v>
      </c>
      <c r="AB122" s="137">
        <f t="shared" si="54"/>
        <v>9327</v>
      </c>
      <c r="AC122" s="137">
        <f t="shared" si="54"/>
        <v>97860.49</v>
      </c>
      <c r="AD122" s="72">
        <f t="shared" si="51"/>
        <v>-20138.690000000017</v>
      </c>
      <c r="AE122" s="192">
        <f t="shared" si="52"/>
        <v>-0.20578979320459173</v>
      </c>
      <c r="AF122" s="133">
        <v>41077.440000000002</v>
      </c>
      <c r="AG122" s="124">
        <f t="shared" si="44"/>
        <v>-36644.359999999986</v>
      </c>
    </row>
    <row r="123" spans="1:33">
      <c r="A123" s="105" t="s">
        <v>566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4"/>
        <v>0</v>
      </c>
    </row>
    <row r="124" spans="1:33">
      <c r="A124" s="105" t="s">
        <v>131</v>
      </c>
      <c r="B124" s="105" t="s">
        <v>393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55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6">SUM(Q124:AB124)</f>
        <v>0</v>
      </c>
      <c r="AD124" s="72">
        <f t="shared" ref="AD124:AD134" si="57">P124-AC124</f>
        <v>0</v>
      </c>
      <c r="AE124" s="192" t="e">
        <f t="shared" ref="AE124:AE134" si="58">AD124/AC124</f>
        <v>#DIV/0!</v>
      </c>
      <c r="AF124" s="133">
        <v>0</v>
      </c>
      <c r="AG124" s="124">
        <f t="shared" si="44"/>
        <v>0</v>
      </c>
    </row>
    <row r="125" spans="1:33">
      <c r="A125" s="105" t="s">
        <v>132</v>
      </c>
      <c r="B125" s="105" t="s">
        <v>393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55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6"/>
        <v>0</v>
      </c>
      <c r="AD125" s="72">
        <f t="shared" si="57"/>
        <v>0</v>
      </c>
      <c r="AE125" s="192" t="e">
        <f t="shared" si="58"/>
        <v>#DIV/0!</v>
      </c>
      <c r="AF125" s="133">
        <v>0</v>
      </c>
      <c r="AG125" s="124">
        <f t="shared" si="44"/>
        <v>0</v>
      </c>
    </row>
    <row r="126" spans="1:33">
      <c r="A126" s="105" t="s">
        <v>133</v>
      </c>
      <c r="B126" s="105" t="s">
        <v>393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55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6"/>
        <v>0</v>
      </c>
      <c r="AD126" s="72">
        <f t="shared" si="57"/>
        <v>0</v>
      </c>
      <c r="AE126" s="192" t="e">
        <f t="shared" si="58"/>
        <v>#DIV/0!</v>
      </c>
      <c r="AF126" s="133">
        <v>0</v>
      </c>
      <c r="AG126" s="124">
        <f t="shared" si="44"/>
        <v>0</v>
      </c>
    </row>
    <row r="127" spans="1:33">
      <c r="A127" s="105" t="s">
        <v>134</v>
      </c>
      <c r="B127" s="105" t="s">
        <v>393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00">
        <f t="shared" si="55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6"/>
        <v>0</v>
      </c>
      <c r="AD127" s="72">
        <f t="shared" si="57"/>
        <v>0</v>
      </c>
      <c r="AE127" s="192" t="e">
        <f t="shared" si="58"/>
        <v>#DIV/0!</v>
      </c>
      <c r="AF127" s="133">
        <v>0</v>
      </c>
      <c r="AG127" s="124">
        <f t="shared" si="44"/>
        <v>0</v>
      </c>
    </row>
    <row r="128" spans="1:33">
      <c r="A128" s="105" t="s">
        <v>135</v>
      </c>
      <c r="B128" s="105" t="s">
        <v>393</v>
      </c>
      <c r="C128" s="105" t="s">
        <v>280</v>
      </c>
      <c r="D128" s="215">
        <v>90.84</v>
      </c>
      <c r="E128" s="215">
        <v>90.84</v>
      </c>
      <c r="F128" s="215">
        <v>90.84</v>
      </c>
      <c r="G128" s="215">
        <v>90.84</v>
      </c>
      <c r="H128" s="215">
        <v>90.84</v>
      </c>
      <c r="I128" s="215">
        <v>90.84</v>
      </c>
      <c r="J128" s="215">
        <v>90.84</v>
      </c>
      <c r="K128" s="215">
        <v>90.84</v>
      </c>
      <c r="L128" s="215">
        <v>90.84</v>
      </c>
      <c r="M128" s="215">
        <v>90.84</v>
      </c>
      <c r="N128" s="215">
        <v>90.84</v>
      </c>
      <c r="O128" s="215">
        <v>90.84</v>
      </c>
      <c r="P128" s="200">
        <f t="shared" si="55"/>
        <v>1090.0800000000002</v>
      </c>
      <c r="Q128" s="136">
        <v>37.700000000000003</v>
      </c>
      <c r="R128" s="136">
        <v>38.020000000000003</v>
      </c>
      <c r="S128" s="136">
        <v>37.700000000000003</v>
      </c>
      <c r="T128" s="136">
        <v>37.700000000000003</v>
      </c>
      <c r="U128" s="136">
        <v>39.35</v>
      </c>
      <c r="V128" s="136">
        <v>39.520000000000003</v>
      </c>
      <c r="W128" s="72">
        <v>39.96</v>
      </c>
      <c r="X128" s="72">
        <v>39.18</v>
      </c>
      <c r="Y128" s="72">
        <v>43</v>
      </c>
      <c r="Z128" s="72">
        <v>43</v>
      </c>
      <c r="AA128" s="72">
        <v>43</v>
      </c>
      <c r="AB128" s="72">
        <v>43</v>
      </c>
      <c r="AC128" s="137">
        <f t="shared" si="56"/>
        <v>481.13</v>
      </c>
      <c r="AD128" s="72">
        <f t="shared" si="57"/>
        <v>608.95000000000016</v>
      </c>
      <c r="AE128" s="192">
        <f t="shared" si="58"/>
        <v>1.2656662440504649</v>
      </c>
      <c r="AF128" s="133">
        <v>839.11999999999989</v>
      </c>
      <c r="AG128" s="124">
        <f t="shared" si="44"/>
        <v>-250.96000000000026</v>
      </c>
    </row>
    <row r="129" spans="1:33">
      <c r="A129" s="105" t="s">
        <v>136</v>
      </c>
      <c r="B129" s="105" t="s">
        <v>393</v>
      </c>
      <c r="C129" s="105" t="s">
        <v>282</v>
      </c>
      <c r="D129" s="164">
        <v>0</v>
      </c>
      <c r="E129" s="164">
        <v>0</v>
      </c>
      <c r="F129" s="164">
        <v>0</v>
      </c>
      <c r="G129" s="164">
        <v>0</v>
      </c>
      <c r="H129" s="164">
        <v>0</v>
      </c>
      <c r="I129" s="164">
        <v>0</v>
      </c>
      <c r="J129" s="164">
        <v>0</v>
      </c>
      <c r="K129" s="164">
        <v>0</v>
      </c>
      <c r="L129" s="164">
        <v>0</v>
      </c>
      <c r="M129" s="164">
        <v>0</v>
      </c>
      <c r="N129" s="164">
        <v>0</v>
      </c>
      <c r="O129" s="164">
        <v>0</v>
      </c>
      <c r="P129" s="200">
        <f t="shared" si="55"/>
        <v>0</v>
      </c>
      <c r="Q129" s="136">
        <v>680.05</v>
      </c>
      <c r="R129" s="136">
        <v>461.26</v>
      </c>
      <c r="S129" s="136">
        <v>761.19</v>
      </c>
      <c r="T129" s="136">
        <v>882.51</v>
      </c>
      <c r="U129" s="136">
        <v>965.82</v>
      </c>
      <c r="V129" s="136">
        <v>931.52</v>
      </c>
      <c r="W129" s="72">
        <v>798.77</v>
      </c>
      <c r="X129" s="72">
        <v>958.91</v>
      </c>
      <c r="Y129" s="72">
        <v>1307</v>
      </c>
      <c r="Z129" s="72">
        <v>1242</v>
      </c>
      <c r="AA129" s="72">
        <v>1162</v>
      </c>
      <c r="AB129" s="72">
        <v>1162</v>
      </c>
      <c r="AC129" s="137">
        <f t="shared" si="56"/>
        <v>11313.03</v>
      </c>
      <c r="AD129" s="72">
        <f t="shared" si="57"/>
        <v>-11313.03</v>
      </c>
      <c r="AE129" s="192">
        <f t="shared" si="58"/>
        <v>-1</v>
      </c>
      <c r="AF129" s="133">
        <v>8055.3099999999995</v>
      </c>
      <c r="AG129" s="124">
        <f t="shared" si="44"/>
        <v>8055.3099999999995</v>
      </c>
    </row>
    <row r="130" spans="1:33">
      <c r="A130" s="105" t="s">
        <v>137</v>
      </c>
      <c r="B130" s="105" t="s">
        <v>393</v>
      </c>
      <c r="C130" s="105" t="s">
        <v>283</v>
      </c>
      <c r="D130" s="164">
        <v>5179.18</v>
      </c>
      <c r="E130" s="164">
        <v>4369.18</v>
      </c>
      <c r="F130" s="164">
        <v>4372.37</v>
      </c>
      <c r="G130" s="164">
        <v>4433.37</v>
      </c>
      <c r="H130" s="164">
        <v>4771.18</v>
      </c>
      <c r="I130" s="164">
        <v>4440.88</v>
      </c>
      <c r="J130" s="164">
        <v>4414.88</v>
      </c>
      <c r="K130" s="164">
        <v>4411.88</v>
      </c>
      <c r="L130" s="164">
        <v>4438.88</v>
      </c>
      <c r="M130" s="164">
        <v>5135.3999999999996</v>
      </c>
      <c r="N130" s="164">
        <v>4420.37</v>
      </c>
      <c r="O130" s="164">
        <v>4416.37</v>
      </c>
      <c r="P130" s="200">
        <f t="shared" si="55"/>
        <v>54803.94</v>
      </c>
      <c r="Q130" s="136">
        <v>2670.35</v>
      </c>
      <c r="R130" s="136">
        <v>2427.54</v>
      </c>
      <c r="S130" s="136">
        <v>2319.98</v>
      </c>
      <c r="T130" s="136">
        <v>2235.75</v>
      </c>
      <c r="U130" s="136">
        <v>1653.76</v>
      </c>
      <c r="V130" s="136">
        <v>1875.55</v>
      </c>
      <c r="W130" s="72">
        <v>1837.58</v>
      </c>
      <c r="X130" s="72">
        <v>1912.91</v>
      </c>
      <c r="Y130" s="72">
        <v>9051</v>
      </c>
      <c r="Z130" s="72">
        <v>10047</v>
      </c>
      <c r="AA130" s="72">
        <v>9172</v>
      </c>
      <c r="AB130" s="72">
        <v>9172</v>
      </c>
      <c r="AC130" s="137">
        <f t="shared" si="56"/>
        <v>54375.42</v>
      </c>
      <c r="AD130" s="72">
        <f t="shared" si="57"/>
        <v>428.52000000000407</v>
      </c>
      <c r="AE130" s="192">
        <f t="shared" si="58"/>
        <v>7.8807667140778706E-3</v>
      </c>
      <c r="AF130" s="133">
        <v>45375.119999999995</v>
      </c>
      <c r="AG130" s="124">
        <f t="shared" si="44"/>
        <v>-9428.820000000007</v>
      </c>
    </row>
    <row r="131" spans="1:33">
      <c r="A131" s="105" t="s">
        <v>138</v>
      </c>
      <c r="B131" s="105" t="s">
        <v>393</v>
      </c>
      <c r="C131" s="105" t="s">
        <v>568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55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6"/>
        <v>0</v>
      </c>
      <c r="AD131" s="72">
        <f t="shared" si="57"/>
        <v>0</v>
      </c>
      <c r="AE131" s="192" t="e">
        <f t="shared" si="58"/>
        <v>#DIV/0!</v>
      </c>
      <c r="AF131" s="133">
        <v>0</v>
      </c>
      <c r="AG131" s="124">
        <f t="shared" si="44"/>
        <v>0</v>
      </c>
    </row>
    <row r="132" spans="1:33">
      <c r="A132" s="105" t="s">
        <v>140</v>
      </c>
      <c r="B132" s="105" t="s">
        <v>393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55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6"/>
        <v>0</v>
      </c>
      <c r="AD132" s="72">
        <f t="shared" si="57"/>
        <v>0</v>
      </c>
      <c r="AE132" s="192" t="e">
        <f t="shared" si="58"/>
        <v>#DIV/0!</v>
      </c>
      <c r="AF132" s="133">
        <v>0</v>
      </c>
      <c r="AG132" s="124">
        <f t="shared" si="44"/>
        <v>0</v>
      </c>
    </row>
    <row r="133" spans="1:33">
      <c r="A133" s="105" t="s">
        <v>549</v>
      </c>
      <c r="C133" s="109" t="s">
        <v>523</v>
      </c>
      <c r="D133" s="137">
        <f t="shared" ref="D133:AC133" si="59">SUM(D124:D132)</f>
        <v>5270.02</v>
      </c>
      <c r="E133" s="137">
        <f t="shared" si="59"/>
        <v>4460.0200000000004</v>
      </c>
      <c r="F133" s="137">
        <f t="shared" si="59"/>
        <v>4463.21</v>
      </c>
      <c r="G133" s="137">
        <f t="shared" si="59"/>
        <v>4524.21</v>
      </c>
      <c r="H133" s="137">
        <f t="shared" si="59"/>
        <v>4862.0200000000004</v>
      </c>
      <c r="I133" s="137">
        <f t="shared" si="59"/>
        <v>4531.72</v>
      </c>
      <c r="J133" s="137">
        <f t="shared" si="59"/>
        <v>4505.72</v>
      </c>
      <c r="K133" s="137">
        <f t="shared" si="59"/>
        <v>4502.72</v>
      </c>
      <c r="L133" s="137">
        <f t="shared" si="59"/>
        <v>4529.72</v>
      </c>
      <c r="M133" s="137">
        <f t="shared" si="59"/>
        <v>5226.24</v>
      </c>
      <c r="N133" s="137">
        <f t="shared" si="59"/>
        <v>4511.21</v>
      </c>
      <c r="O133" s="137">
        <f t="shared" si="59"/>
        <v>4507.21</v>
      </c>
      <c r="P133" s="135">
        <f t="shared" si="59"/>
        <v>55894.020000000004</v>
      </c>
      <c r="Q133" s="137">
        <f t="shared" si="59"/>
        <v>3388.1</v>
      </c>
      <c r="R133" s="137">
        <f t="shared" si="59"/>
        <v>2926.8199999999997</v>
      </c>
      <c r="S133" s="137">
        <f t="shared" si="59"/>
        <v>3118.87</v>
      </c>
      <c r="T133" s="137">
        <f t="shared" si="59"/>
        <v>3155.96</v>
      </c>
      <c r="U133" s="137">
        <f t="shared" si="59"/>
        <v>2658.9300000000003</v>
      </c>
      <c r="V133" s="137">
        <f t="shared" si="59"/>
        <v>2846.59</v>
      </c>
      <c r="W133" s="137">
        <f t="shared" si="59"/>
        <v>2676.31</v>
      </c>
      <c r="X133" s="137">
        <f t="shared" si="59"/>
        <v>2911</v>
      </c>
      <c r="Y133" s="137">
        <f t="shared" si="59"/>
        <v>10401</v>
      </c>
      <c r="Z133" s="137">
        <f t="shared" si="59"/>
        <v>11332</v>
      </c>
      <c r="AA133" s="137">
        <f t="shared" si="59"/>
        <v>10377</v>
      </c>
      <c r="AB133" s="137">
        <f t="shared" si="59"/>
        <v>10377</v>
      </c>
      <c r="AC133" s="137">
        <f t="shared" si="59"/>
        <v>66169.58</v>
      </c>
      <c r="AD133" s="72">
        <f t="shared" si="57"/>
        <v>-10275.559999999998</v>
      </c>
      <c r="AE133" s="192">
        <f t="shared" si="58"/>
        <v>-0.15529129850907317</v>
      </c>
      <c r="AF133" s="133">
        <v>54269.549999999996</v>
      </c>
      <c r="AG133" s="124">
        <f t="shared" si="44"/>
        <v>-1624.4700000000084</v>
      </c>
    </row>
    <row r="134" spans="1:33">
      <c r="A134" s="105" t="s">
        <v>273</v>
      </c>
      <c r="C134" s="109" t="s">
        <v>524</v>
      </c>
      <c r="D134" s="137">
        <f t="shared" ref="D134:AC134" si="60">D105+D112+D122+D133</f>
        <v>35278.28</v>
      </c>
      <c r="E134" s="137">
        <f t="shared" si="60"/>
        <v>27658.429999999997</v>
      </c>
      <c r="F134" s="137">
        <f t="shared" si="60"/>
        <v>28318.869999999995</v>
      </c>
      <c r="G134" s="137">
        <f t="shared" si="60"/>
        <v>30081.829999999998</v>
      </c>
      <c r="H134" s="137">
        <f t="shared" si="60"/>
        <v>35058.99</v>
      </c>
      <c r="I134" s="137">
        <f t="shared" si="60"/>
        <v>31928.86</v>
      </c>
      <c r="J134" s="137">
        <f t="shared" si="60"/>
        <v>32162.5</v>
      </c>
      <c r="K134" s="137">
        <f t="shared" si="60"/>
        <v>32022.550000000003</v>
      </c>
      <c r="L134" s="137">
        <f t="shared" si="60"/>
        <v>32049.550000000003</v>
      </c>
      <c r="M134" s="137">
        <f t="shared" si="60"/>
        <v>38950.82</v>
      </c>
      <c r="N134" s="137">
        <f t="shared" si="60"/>
        <v>32167.989999999998</v>
      </c>
      <c r="O134" s="137">
        <f t="shared" si="60"/>
        <v>32027.040000000001</v>
      </c>
      <c r="P134" s="135">
        <f t="shared" si="60"/>
        <v>387705.71</v>
      </c>
      <c r="Q134" s="137">
        <f t="shared" si="60"/>
        <v>33899.799999999996</v>
      </c>
      <c r="R134" s="137">
        <f t="shared" si="60"/>
        <v>36623.230000000003</v>
      </c>
      <c r="S134" s="137">
        <f t="shared" si="60"/>
        <v>33789.699999999997</v>
      </c>
      <c r="T134" s="137">
        <f t="shared" si="60"/>
        <v>34476.35</v>
      </c>
      <c r="U134" s="137">
        <f t="shared" si="60"/>
        <v>33148.83</v>
      </c>
      <c r="V134" s="137">
        <f t="shared" si="60"/>
        <v>32400.219999999998</v>
      </c>
      <c r="W134" s="137">
        <f t="shared" si="60"/>
        <v>30414.370000000003</v>
      </c>
      <c r="X134" s="137">
        <f t="shared" si="60"/>
        <v>26021.59</v>
      </c>
      <c r="Y134" s="137">
        <f t="shared" si="60"/>
        <v>41123.33</v>
      </c>
      <c r="Z134" s="137">
        <f t="shared" si="60"/>
        <v>47037.33</v>
      </c>
      <c r="AA134" s="137">
        <f t="shared" si="60"/>
        <v>38457.33</v>
      </c>
      <c r="AB134" s="137">
        <f t="shared" si="60"/>
        <v>38557.33</v>
      </c>
      <c r="AC134" s="137">
        <f t="shared" si="60"/>
        <v>425949.41000000003</v>
      </c>
      <c r="AD134" s="72">
        <f t="shared" si="57"/>
        <v>-38243.700000000012</v>
      </c>
      <c r="AE134" s="192">
        <f t="shared" si="58"/>
        <v>-8.9784606110852483E-2</v>
      </c>
      <c r="AF134" s="133">
        <v>243025.09999999998</v>
      </c>
      <c r="AG134" s="124">
        <f t="shared" si="44"/>
        <v>-144680.61000000004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4"/>
        <v>0</v>
      </c>
    </row>
    <row r="136" spans="1:33" s="224" customFormat="1">
      <c r="A136" s="224" t="s">
        <v>141</v>
      </c>
      <c r="B136" s="224" t="s">
        <v>393</v>
      </c>
      <c r="C136" s="224" t="s">
        <v>142</v>
      </c>
      <c r="D136" s="215">
        <v>4</v>
      </c>
      <c r="E136" s="215">
        <v>4</v>
      </c>
      <c r="F136" s="215">
        <v>4</v>
      </c>
      <c r="G136" s="215">
        <v>4</v>
      </c>
      <c r="H136" s="215">
        <v>4</v>
      </c>
      <c r="I136" s="215">
        <v>4</v>
      </c>
      <c r="J136" s="215">
        <v>4</v>
      </c>
      <c r="K136" s="215">
        <v>4</v>
      </c>
      <c r="L136" s="215">
        <v>4</v>
      </c>
      <c r="M136" s="215">
        <v>4</v>
      </c>
      <c r="N136" s="215">
        <v>4</v>
      </c>
      <c r="O136" s="215">
        <v>4</v>
      </c>
      <c r="P136" s="225">
        <f>SUM(D136:O136)/12</f>
        <v>4</v>
      </c>
      <c r="Q136" s="225">
        <v>2</v>
      </c>
      <c r="R136" s="225">
        <v>2</v>
      </c>
      <c r="S136" s="225">
        <v>2</v>
      </c>
      <c r="T136" s="225">
        <v>2</v>
      </c>
      <c r="U136" s="225">
        <v>2</v>
      </c>
      <c r="V136" s="225">
        <v>2</v>
      </c>
      <c r="W136" s="127">
        <v>2</v>
      </c>
      <c r="X136" s="127">
        <v>2</v>
      </c>
      <c r="Y136" s="127">
        <v>8</v>
      </c>
      <c r="Z136" s="127">
        <v>8</v>
      </c>
      <c r="AA136" s="127">
        <v>8</v>
      </c>
      <c r="AB136" s="127">
        <v>8</v>
      </c>
      <c r="AC136" s="225">
        <f>SUM(Q136:AB136)/12</f>
        <v>4</v>
      </c>
      <c r="AD136" s="225">
        <f t="shared" ref="AD136" si="61">P136-AC136</f>
        <v>0</v>
      </c>
      <c r="AE136" s="226">
        <f t="shared" ref="AE136" si="62">AD136/AC136</f>
        <v>0</v>
      </c>
      <c r="AF136" s="227">
        <v>2.75</v>
      </c>
      <c r="AG136" s="228">
        <f t="shared" si="44"/>
        <v>-1.25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170">
        <v>8076</v>
      </c>
      <c r="E138" s="170">
        <v>8076</v>
      </c>
      <c r="F138" s="170">
        <v>8076</v>
      </c>
      <c r="G138" s="170">
        <v>8076</v>
      </c>
      <c r="H138" s="170">
        <v>8076</v>
      </c>
      <c r="I138" s="170">
        <v>8076</v>
      </c>
      <c r="J138" s="170">
        <v>8076</v>
      </c>
      <c r="K138" s="170">
        <v>8076</v>
      </c>
      <c r="L138" s="170">
        <v>8076</v>
      </c>
      <c r="M138" s="170">
        <v>8076</v>
      </c>
      <c r="N138" s="170">
        <v>8076</v>
      </c>
      <c r="O138" s="170">
        <v>8076</v>
      </c>
      <c r="P138" s="200">
        <f t="shared" ref="P138:P140" si="63">SUM(D138:O138)</f>
        <v>96912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0</v>
      </c>
      <c r="E139" s="136">
        <v>0</v>
      </c>
      <c r="F139" s="136">
        <v>0</v>
      </c>
      <c r="G139" s="136">
        <v>0</v>
      </c>
      <c r="H139" s="136">
        <v>0</v>
      </c>
      <c r="I139" s="136">
        <v>0</v>
      </c>
      <c r="J139" s="136">
        <v>0</v>
      </c>
      <c r="K139" s="136">
        <v>0</v>
      </c>
      <c r="L139" s="136">
        <v>0</v>
      </c>
      <c r="M139" s="136">
        <v>0</v>
      </c>
      <c r="N139" s="136">
        <v>0</v>
      </c>
      <c r="O139" s="136">
        <v>0</v>
      </c>
      <c r="P139" s="200">
        <f t="shared" si="63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6686.14</v>
      </c>
      <c r="E140" s="136">
        <v>5262.17</v>
      </c>
      <c r="F140" s="136">
        <v>5276.17</v>
      </c>
      <c r="G140" s="136">
        <v>5623.41</v>
      </c>
      <c r="H140" s="136">
        <v>6693.7400000000007</v>
      </c>
      <c r="I140" s="136">
        <v>6309.5</v>
      </c>
      <c r="J140" s="136">
        <v>6296.5</v>
      </c>
      <c r="K140" s="136">
        <v>6294.5</v>
      </c>
      <c r="L140" s="136">
        <v>6307.5</v>
      </c>
      <c r="M140" s="136">
        <v>7444.22</v>
      </c>
      <c r="N140" s="136">
        <v>6312.5</v>
      </c>
      <c r="O140" s="136">
        <v>6311.5</v>
      </c>
      <c r="P140" s="200">
        <f t="shared" si="63"/>
        <v>74817.850000000006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569</v>
      </c>
      <c r="D141" s="117">
        <f>SUM(D138:D140)</f>
        <v>14762.14</v>
      </c>
      <c r="E141" s="117">
        <f t="shared" ref="E141:P141" si="64">SUM(E138:E140)</f>
        <v>13338.17</v>
      </c>
      <c r="F141" s="117">
        <f t="shared" si="64"/>
        <v>13352.17</v>
      </c>
      <c r="G141" s="117">
        <f t="shared" si="64"/>
        <v>13699.41</v>
      </c>
      <c r="H141" s="117">
        <f t="shared" si="64"/>
        <v>14769.740000000002</v>
      </c>
      <c r="I141" s="117">
        <f t="shared" si="64"/>
        <v>14385.5</v>
      </c>
      <c r="J141" s="117">
        <f t="shared" si="64"/>
        <v>14372.5</v>
      </c>
      <c r="K141" s="117">
        <f t="shared" si="64"/>
        <v>14370.5</v>
      </c>
      <c r="L141" s="117">
        <f t="shared" si="64"/>
        <v>14383.5</v>
      </c>
      <c r="M141" s="117">
        <f t="shared" si="64"/>
        <v>15520.220000000001</v>
      </c>
      <c r="N141" s="117">
        <f t="shared" si="64"/>
        <v>14388.5</v>
      </c>
      <c r="O141" s="117">
        <f t="shared" si="64"/>
        <v>14387.5</v>
      </c>
      <c r="P141" s="117">
        <f t="shared" si="64"/>
        <v>171729.85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00">
    <dataValidation type="textLength" errorStyle="information" allowBlank="1" showInputMessage="1" showErrorMessage="1" error="XLBVal:6=3752.84_x000d__x000a_" sqref="Q108">
      <formula1>0</formula1>
      <formula2>300</formula2>
    </dataValidation>
    <dataValidation type="textLength" errorStyle="information" allowBlank="1" showInputMessage="1" showErrorMessage="1" error="XLBVal:6=1462.08_x000d__x000a_" sqref="V107">
      <formula1>0</formula1>
      <formula2>300</formula2>
    </dataValidation>
    <dataValidation type="textLength" errorStyle="information" allowBlank="1" showInputMessage="1" showErrorMessage="1" error="XLBVal:6=-10_x000d__x000a_" sqref="V88">
      <formula1>0</formula1>
      <formula2>300</formula2>
    </dataValidation>
    <dataValidation type="textLength" errorStyle="information" allowBlank="1" showInputMessage="1" showErrorMessage="1" error="XLBVal:6=40_x000d__x000a_" sqref="T88">
      <formula1>0</formula1>
      <formula2>300</formula2>
    </dataValidation>
    <dataValidation type="textLength" errorStyle="information" allowBlank="1" showInputMessage="1" showErrorMessage="1" error="XLBVal:6=-30_x000d__x000a_" sqref="R88 U88">
      <formula1>0</formula1>
      <formula2>300</formula2>
    </dataValidation>
    <dataValidation type="textLength" errorStyle="information" allowBlank="1" showInputMessage="1" showErrorMessage="1" error="XLBVal:6=30_x000d__x000a_" sqref="Q88">
      <formula1>0</formula1>
      <formula2>300</formula2>
    </dataValidation>
    <dataValidation type="textLength" errorStyle="information" allowBlank="1" showInputMessage="1" showErrorMessage="1" error="XLBVal:6=347.5_x000d__x000a_" sqref="T71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320_x000d__x000a_" sqref="R60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261_x000d__x000a_" sqref="Q59:S59">
      <formula1>0</formula1>
      <formula2>300</formula2>
    </dataValidation>
    <dataValidation type="textLength" errorStyle="information" allowBlank="1" showInputMessage="1" showErrorMessage="1" error="XLBVal:6=15400_x000d__x000a_" sqref="V56">
      <formula1>0</formula1>
      <formula2>300</formula2>
    </dataValidation>
    <dataValidation type="textLength" errorStyle="information" allowBlank="1" showInputMessage="1" showErrorMessage="1" error="XLBVal:6=23850_x000d__x000a_" sqref="S56">
      <formula1>0</formula1>
      <formula2>300</formula2>
    </dataValidation>
    <dataValidation type="textLength" errorStyle="information" allowBlank="1" showInputMessage="1" showErrorMessage="1" error="XLBVal:6=33763.05_x000d__x000a_" sqref="R56">
      <formula1>0</formula1>
      <formula2>300</formula2>
    </dataValidation>
    <dataValidation type="textLength" errorStyle="information" allowBlank="1" showInputMessage="1" showErrorMessage="1" error="XLBVal:6=743.37_x000d__x000a_" sqref="U51">
      <formula1>0</formula1>
      <formula2>300</formula2>
    </dataValidation>
    <dataValidation type="textLength" errorStyle="information" allowBlank="1" showInputMessage="1" showErrorMessage="1" error="XLBVal:6=1491.67_x000d__x000a_" sqref="Q49">
      <formula1>0</formula1>
      <formula2>300</formula2>
    </dataValidation>
    <dataValidation type="textLength" errorStyle="information" allowBlank="1" showInputMessage="1" showErrorMessage="1" error="XLBVal:6=25068.01_x000d__x000a_" sqref="S43">
      <formula1>0</formula1>
      <formula2>300</formula2>
    </dataValidation>
    <dataValidation type="textLength" errorStyle="information" allowBlank="1" showInputMessage="1" showErrorMessage="1" error="XLBVal:6=20738.83_x000d__x000a_" sqref="R43">
      <formula1>0</formula1>
      <formula2>300</formula2>
    </dataValidation>
    <dataValidation type="textLength" errorStyle="information" allowBlank="1" showInputMessage="1" showErrorMessage="1" error="XLBVal:6=14470.56_x000d__x000a_" sqref="Q43">
      <formula1>0</formula1>
      <formula2>300</formula2>
    </dataValidation>
    <dataValidation type="textLength" errorStyle="information" allowBlank="1" showInputMessage="1" showErrorMessage="1" error="XLBVal:6=34143_x000d__x000a_" sqref="D102:D104 D107:O111 D114:O121 D124:O128 D136:O136">
      <formula1>0</formula1>
      <formula2>300</formula2>
    </dataValidation>
    <dataValidation type="textLength" errorStyle="information" allowBlank="1" showInputMessage="1" showErrorMessage="1" error="XLBVal:6=1653.76_x000d__x000a_" sqref="U130">
      <formula1>0</formula1>
      <formula2>300</formula2>
    </dataValidation>
    <dataValidation type="textLength" errorStyle="information" allowBlank="1" showInputMessage="1" showErrorMessage="1" error="XLBVal:6=2235.75_x000d__x000a_" sqref="T130">
      <formula1>0</formula1>
      <formula2>300</formula2>
    </dataValidation>
    <dataValidation type="textLength" errorStyle="information" allowBlank="1" showInputMessage="1" showErrorMessage="1" error="XLBVal:6=2319.98_x000d__x000a_" sqref="S130">
      <formula1>0</formula1>
      <formula2>300</formula2>
    </dataValidation>
    <dataValidation type="textLength" errorStyle="information" allowBlank="1" showInputMessage="1" showErrorMessage="1" error="XLBVal:6=2427.54_x000d__x000a_" sqref="R130">
      <formula1>0</formula1>
      <formula2>300</formula2>
    </dataValidation>
    <dataValidation type="textLength" errorStyle="information" allowBlank="1" showInputMessage="1" showErrorMessage="1" error="XLBVal:6=2670.35_x000d__x000a_" sqref="Q130">
      <formula1>0</formula1>
      <formula2>300</formula2>
    </dataValidation>
    <dataValidation type="textLength" errorStyle="information" allowBlank="1" showInputMessage="1" showErrorMessage="1" error="XLBVal:6=965.82_x000d__x000a_" sqref="U129">
      <formula1>0</formula1>
      <formula2>300</formula2>
    </dataValidation>
    <dataValidation type="textLength" errorStyle="information" allowBlank="1" showInputMessage="1" showErrorMessage="1" error="XLBVal:6=882.51_x000d__x000a_" sqref="T129">
      <formula1>0</formula1>
      <formula2>300</formula2>
    </dataValidation>
    <dataValidation type="textLength" errorStyle="information" allowBlank="1" showInputMessage="1" showErrorMessage="1" error="XLBVal:6=761.19_x000d__x000a_" sqref="S129">
      <formula1>0</formula1>
      <formula2>300</formula2>
    </dataValidation>
    <dataValidation type="textLength" errorStyle="information" allowBlank="1" showInputMessage="1" showErrorMessage="1" error="XLBVal:6=461.26_x000d__x000a_" sqref="R129">
      <formula1>0</formula1>
      <formula2>300</formula2>
    </dataValidation>
    <dataValidation type="textLength" errorStyle="information" allowBlank="1" showInputMessage="1" showErrorMessage="1" error="XLBVal:6=680.05_x000d__x000a_" sqref="Q129">
      <formula1>0</formula1>
      <formula2>300</formula2>
    </dataValidation>
    <dataValidation type="textLength" errorStyle="information" allowBlank="1" showInputMessage="1" showErrorMessage="1" error="XLBVal:6=39.52_x000d__x000a_" sqref="V128">
      <formula1>0</formula1>
      <formula2>300</formula2>
    </dataValidation>
    <dataValidation type="textLength" errorStyle="information" allowBlank="1" showInputMessage="1" showErrorMessage="1" error="XLBVal:6=39.35_x000d__x000a_" sqref="U128">
      <formula1>0</formula1>
      <formula2>300</formula2>
    </dataValidation>
    <dataValidation type="textLength" errorStyle="information" allowBlank="1" showInputMessage="1" showErrorMessage="1" error="XLBVal:6=38.02_x000d__x000a_" sqref="R128">
      <formula1>0</formula1>
      <formula2>300</formula2>
    </dataValidation>
    <dataValidation type="textLength" errorStyle="information" allowBlank="1" showInputMessage="1" showErrorMessage="1" error="XLBVal:6=37.7_x000d__x000a_" sqref="Q128 S128:T128">
      <formula1>0</formula1>
      <formula2>300</formula2>
    </dataValidation>
    <dataValidation type="textLength" errorStyle="information" allowBlank="1" showInputMessage="1" showErrorMessage="1" error="XLBVal:6=392.77_x000d__x000a_" sqref="U120">
      <formula1>0</formula1>
      <formula2>300</formula2>
    </dataValidation>
    <dataValidation type="textLength" errorStyle="information" allowBlank="1" showInputMessage="1" showErrorMessage="1" error="XLBVal:6=705.39_x000d__x000a_" sqref="T120">
      <formula1>0</formula1>
      <formula2>300</formula2>
    </dataValidation>
    <dataValidation type="textLength" errorStyle="information" allowBlank="1" showInputMessage="1" showErrorMessage="1" error="XLBVal:6=819.8_x000d__x000a_" sqref="S120">
      <formula1>0</formula1>
      <formula2>300</formula2>
    </dataValidation>
    <dataValidation type="textLength" errorStyle="information" allowBlank="1" showInputMessage="1" showErrorMessage="1" error="XLBVal:6=481.1_x000d__x000a_" sqref="R120">
      <formula1>0</formula1>
      <formula2>300</formula2>
    </dataValidation>
    <dataValidation type="textLength" errorStyle="information" allowBlank="1" showInputMessage="1" showErrorMessage="1" error="XLBVal:6=381.02_x000d__x000a_" sqref="Q120">
      <formula1>0</formula1>
      <formula2>300</formula2>
    </dataValidation>
    <dataValidation type="textLength" errorStyle="information" allowBlank="1" showInputMessage="1" showErrorMessage="1" error="XLBVal:6=1196_x000d__x000a_" sqref="Q119:V119">
      <formula1>0</formula1>
      <formula2>300</formula2>
    </dataValidation>
    <dataValidation type="textLength" errorStyle="information" allowBlank="1" showInputMessage="1" showErrorMessage="1" error="XLBVal:6=800_x000d__x000a_" sqref="V111">
      <formula1>0</formula1>
      <formula2>300</formula2>
    </dataValidation>
    <dataValidation type="textLength" errorStyle="information" allowBlank="1" showInputMessage="1" showErrorMessage="1" error="XLBVal:6=910.82_x000d__x000a_" sqref="U111">
      <formula1>0</formula1>
      <formula2>300</formula2>
    </dataValidation>
    <dataValidation type="textLength" errorStyle="information" allowBlank="1" showInputMessage="1" showErrorMessage="1" error="XLBVal:6=1692.91_x000d__x000a_" sqref="T111">
      <formula1>0</formula1>
      <formula2>300</formula2>
    </dataValidation>
    <dataValidation type="textLength" errorStyle="information" allowBlank="1" showInputMessage="1" showErrorMessage="1" error="XLBVal:6=1698.16_x000d__x000a_" sqref="S111">
      <formula1>0</formula1>
      <formula2>300</formula2>
    </dataValidation>
    <dataValidation type="textLength" errorStyle="information" allowBlank="1" showInputMessage="1" showErrorMessage="1" error="XLBVal:6=2358_x000d__x000a_" sqref="U109">
      <formula1>0</formula1>
      <formula2>300</formula2>
    </dataValidation>
    <dataValidation type="textLength" errorStyle="information" allowBlank="1" showInputMessage="1" showErrorMessage="1" error="XLBVal:6=2120_x000d__x000a_" sqref="T109">
      <formula1>0</formula1>
      <formula2>300</formula2>
    </dataValidation>
    <dataValidation type="textLength" errorStyle="information" allowBlank="1" showInputMessage="1" showErrorMessage="1" error="XLBVal:6=2150_x000d__x000a_" sqref="S109">
      <formula1>0</formula1>
      <formula2>300</formula2>
    </dataValidation>
    <dataValidation type="textLength" errorStyle="information" allowBlank="1" showInputMessage="1" showErrorMessage="1" error="XLBVal:6=2205_x000d__x000a_" sqref="R109">
      <formula1>0</formula1>
      <formula2>300</formula2>
    </dataValidation>
    <dataValidation type="textLength" errorStyle="information" allowBlank="1" showInputMessage="1" showErrorMessage="1" error="XLBVal:6=2464.91_x000d__x000a_" sqref="V108">
      <formula1>0</formula1>
      <formula2>300</formula2>
    </dataValidation>
    <dataValidation type="textLength" errorStyle="information" allowBlank="1" showInputMessage="1" showErrorMessage="1" error="XLBVal:6=2493.73_x000d__x000a_" sqref="U108">
      <formula1>0</formula1>
      <formula2>300</formula2>
    </dataValidation>
    <dataValidation type="textLength" errorStyle="information" allowBlank="1" showInputMessage="1" showErrorMessage="1" error="XLBVal:6=2467.51_x000d__x000a_" sqref="T108">
      <formula1>0</formula1>
      <formula2>300</formula2>
    </dataValidation>
    <dataValidation type="textLength" errorStyle="information" allowBlank="1" showInputMessage="1" showErrorMessage="1" error="XLBVal:6=3723.47_x000d__x000a_" sqref="S108">
      <formula1>0</formula1>
      <formula2>300</formula2>
    </dataValidation>
    <dataValidation type="textLength" errorStyle="information" allowBlank="1" showInputMessage="1" showErrorMessage="1" error="XLBVal:6=2055.18_x000d__x000a_" sqref="T107:U107">
      <formula1>0</formula1>
      <formula2>300</formula2>
    </dataValidation>
    <dataValidation type="textLength" errorStyle="information" allowBlank="1" showInputMessage="1" showErrorMessage="1" error="XLBVal:6=4110.36_x000d__x000a_" sqref="R107">
      <formula1>0</formula1>
      <formula2>300</formula2>
    </dataValidation>
    <dataValidation type="textLength" errorStyle="information" allowBlank="1" showInputMessage="1" showErrorMessage="1" error="XLBVal:6=1075.86_x000d__x000a_" sqref="Q107">
      <formula1>0</formula1>
      <formula2>300</formula2>
    </dataValidation>
    <dataValidation type="textLength" errorStyle="information" allowBlank="1" showInputMessage="1" showErrorMessage="1" error="XLBVal:6=120_x000d__x000a_" sqref="V89">
      <formula1>0</formula1>
      <formula2>300</formula2>
    </dataValidation>
    <dataValidation type="textLength" errorStyle="information" allowBlank="1" showInputMessage="1" showErrorMessage="1" error="XLBVal:6=222_x000d__x000a_" sqref="T89">
      <formula1>0</formula1>
      <formula2>300</formula2>
    </dataValidation>
    <dataValidation type="textLength" errorStyle="information" allowBlank="1" showInputMessage="1" showErrorMessage="1" error="XLBVal:6=234_x000d__x000a_" sqref="S89">
      <formula1>0</formula1>
      <formula2>300</formula2>
    </dataValidation>
    <dataValidation type="textLength" errorStyle="information" allowBlank="1" showInputMessage="1" showErrorMessage="1" error="XLBVal:6=521_x000d__x000a_" sqref="V87">
      <formula1>0</formula1>
      <formula2>300</formula2>
    </dataValidation>
    <dataValidation type="textLength" errorStyle="information" allowBlank="1" showInputMessage="1" showErrorMessage="1" error="XLBVal:6=846_x000d__x000a_" sqref="U87">
      <formula1>0</formula1>
      <formula2>300</formula2>
    </dataValidation>
    <dataValidation type="textLength" errorStyle="information" allowBlank="1" showInputMessage="1" showErrorMessage="1" error="XLBVal:6=1200_x000d__x000a_" sqref="T87">
      <formula1>0</formula1>
      <formula2>300</formula2>
    </dataValidation>
    <dataValidation type="textLength" errorStyle="information" allowBlank="1" showInputMessage="1" showErrorMessage="1" error="XLBVal:6=1149_x000d__x000a_" sqref="S87">
      <formula1>0</formula1>
      <formula2>300</formula2>
    </dataValidation>
    <dataValidation type="textLength" errorStyle="information" allowBlank="1" showInputMessage="1" showErrorMessage="1" error="XLBVal:6=104_x000d__x000a_" sqref="V86">
      <formula1>0</formula1>
      <formula2>300</formula2>
    </dataValidation>
    <dataValidation type="textLength" errorStyle="information" allowBlank="1" showInputMessage="1" showErrorMessage="1" error="XLBVal:6=138_x000d__x000a_" sqref="U86">
      <formula1>0</formula1>
      <formula2>300</formula2>
    </dataValidation>
    <dataValidation type="textLength" errorStyle="information" allowBlank="1" showInputMessage="1" showErrorMessage="1" error="XLBVal:6=126_x000d__x000a_" sqref="T86">
      <formula1>0</formula1>
      <formula2>300</formula2>
    </dataValidation>
    <dataValidation type="textLength" errorStyle="information" allowBlank="1" showInputMessage="1" showErrorMessage="1" error="XLBVal:6=208_x000d__x000a_" sqref="S86">
      <formula1>0</formula1>
      <formula2>300</formula2>
    </dataValidation>
    <dataValidation type="textLength" errorStyle="information" allowBlank="1" showInputMessage="1" showErrorMessage="1" error="XLBVal:6=204_x000d__x000a_" sqref="R86">
      <formula1>0</formula1>
      <formula2>300</formula2>
    </dataValidation>
    <dataValidation type="textLength" errorStyle="information" allowBlank="1" showInputMessage="1" showErrorMessage="1" error="XLBVal:6=196_x000d__x000a_" sqref="Q86">
      <formula1>0</formula1>
      <formula2>300</formula2>
    </dataValidation>
    <dataValidation type="textLength" errorStyle="information" allowBlank="1" showInputMessage="1" showErrorMessage="1" error="XLBVal:6=7883.89_x000d__x000a_" sqref="V79">
      <formula1>0</formula1>
      <formula2>300</formula2>
    </dataValidation>
    <dataValidation type="textLength" errorStyle="information" allowBlank="1" showInputMessage="1" showErrorMessage="1" error="XLBVal:6=10198.28_x000d__x000a_" sqref="U79">
      <formula1>0</formula1>
      <formula2>300</formula2>
    </dataValidation>
    <dataValidation type="textLength" errorStyle="information" allowBlank="1" showInputMessage="1" showErrorMessage="1" error="XLBVal:6=17140.48_x000d__x000a_" sqref="T79">
      <formula1>0</formula1>
      <formula2>300</formula2>
    </dataValidation>
    <dataValidation type="textLength" errorStyle="information" allowBlank="1" showInputMessage="1" showErrorMessage="1" error="XLBVal:6=742.24_x000d__x000a_" sqref="V78">
      <formula1>0</formula1>
      <formula2>300</formula2>
    </dataValidation>
    <dataValidation type="textLength" errorStyle="information" allowBlank="1" showInputMessage="1" showErrorMessage="1" error="XLBVal:6=72.8_x000d__x000a_" sqref="U78">
      <formula1>0</formula1>
      <formula2>300</formula2>
    </dataValidation>
    <dataValidation type="textLength" errorStyle="information" allowBlank="1" showInputMessage="1" showErrorMessage="1" error="XLBVal:6=-53434_x000d__x000a_" sqref="T78">
      <formula1>0</formula1>
      <formula2>300</formula2>
    </dataValidation>
    <dataValidation type="textLength" errorStyle="information" allowBlank="1" showInputMessage="1" showErrorMessage="1" error="XLBVal:6=145.6_x000d__x000a_" sqref="S78">
      <formula1>0</formula1>
      <formula2>300</formula2>
    </dataValidation>
    <dataValidation type="textLength" errorStyle="information" allowBlank="1" showInputMessage="1" showErrorMessage="1" error="XLBVal:6=291.2_x000d__x000a_" sqref="R78">
      <formula1>0</formula1>
      <formula2>300</formula2>
    </dataValidation>
    <dataValidation type="textLength" errorStyle="information" allowBlank="1" showInputMessage="1" showErrorMessage="1" error="XLBVal:6=91.94_x000d__x000a_" sqref="V74">
      <formula1>0</formula1>
      <formula2>300</formula2>
    </dataValidation>
    <dataValidation type="textLength" errorStyle="information" allowBlank="1" showInputMessage="1" showErrorMessage="1" error="XLBVal:6=64.21_x000d__x000a_" sqref="R74">
      <formula1>0</formula1>
      <formula2>300</formula2>
    </dataValidation>
    <dataValidation type="textLength" errorStyle="information" allowBlank="1" showInputMessage="1" showErrorMessage="1" error="XLBVal:6=66.12_x000d__x000a_" sqref="Q74">
      <formula1>0</formula1>
      <formula2>300</formula2>
    </dataValidation>
    <dataValidation type="textLength" errorStyle="information" allowBlank="1" showInputMessage="1" showErrorMessage="1" error="XLBVal:6=490.1_x000d__x000a_" sqref="V71">
      <formula1>0</formula1>
      <formula2>300</formula2>
    </dataValidation>
    <dataValidation type="textLength" errorStyle="information" allowBlank="1" showInputMessage="1" showErrorMessage="1" error="XLBVal:6=18.8_x000d__x000a_" sqref="U71">
      <formula1>0</formula1>
      <formula2>300</formula2>
    </dataValidation>
    <dataValidation type="textLength" errorStyle="information" allowBlank="1" showInputMessage="1" showErrorMessage="1" error="XLBVal:6=268_x000d__x000a_" sqref="S71">
      <formula1>0</formula1>
      <formula2>300</formula2>
    </dataValidation>
    <dataValidation type="textLength" errorStyle="information" allowBlank="1" showInputMessage="1" showErrorMessage="1" error="XLBVal:6=392.5_x000d__x000a_" sqref="R71">
      <formula1>0</formula1>
      <formula2>300</formula2>
    </dataValidation>
    <dataValidation type="textLength" errorStyle="information" allowBlank="1" showInputMessage="1" showErrorMessage="1" error="XLBVal:6=-102.4_x000d__x000a_" sqref="V59">
      <formula1>0</formula1>
      <formula2>300</formula2>
    </dataValidation>
    <dataValidation type="textLength" errorStyle="information" allowBlank="1" showInputMessage="1" showErrorMessage="1" error="XLBVal:6=9450_x000d__x000a_" sqref="U56">
      <formula1>0</formula1>
      <formula2>300</formula2>
    </dataValidation>
    <dataValidation type="textLength" errorStyle="information" allowBlank="1" showInputMessage="1" showErrorMessage="1" error="XLBVal:6=5860_x000d__x000a_" sqref="Q56">
      <formula1>0</formula1>
      <formula2>300</formula2>
    </dataValidation>
    <dataValidation type="textLength" errorStyle="information" allowBlank="1" showInputMessage="1" showErrorMessage="1" error="XLBVal:6=2000_x000d__x000a_" sqref="R50:S50 Q53:S53">
      <formula1>0</formula1>
      <formula2>300</formula2>
    </dataValidation>
    <dataValidation type="textLength" errorStyle="information" allowBlank="1" showInputMessage="1" showErrorMessage="1" error="XLBVal:6=3000_x000d__x000a_" sqref="Q50">
      <formula1>0</formula1>
      <formula2>300</formula2>
    </dataValidation>
    <dataValidation type="textLength" errorStyle="information" allowBlank="1" showInputMessage="1" showErrorMessage="1" error="XLBVal:6=1912.1_x000d__x000a_" sqref="V49">
      <formula1>0</formula1>
      <formula2>300</formula2>
    </dataValidation>
    <dataValidation type="textLength" errorStyle="information" allowBlank="1" showInputMessage="1" showErrorMessage="1" error="XLBVal:6=468.84_x000d__x000a_" sqref="U49">
      <formula1>0</formula1>
      <formula2>300</formula2>
    </dataValidation>
    <dataValidation type="textLength" errorStyle="information" allowBlank="1" showInputMessage="1" showErrorMessage="1" error="XLBVal:6=824.82_x000d__x000a_" sqref="T49">
      <formula1>0</formula1>
      <formula2>300</formula2>
    </dataValidation>
    <dataValidation type="textLength" errorStyle="information" allowBlank="1" showInputMessage="1" showErrorMessage="1" error="XLBVal:6=222.6_x000d__x000a_" sqref="S49">
      <formula1>0</formula1>
      <formula2>300</formula2>
    </dataValidation>
    <dataValidation type="textLength" errorStyle="information" allowBlank="1" showInputMessage="1" showErrorMessage="1" error="XLBVal:6=3323.42_x000d__x000a_" sqref="R49">
      <formula1>0</formula1>
      <formula2>300</formula2>
    </dataValidation>
    <dataValidation type="textLength" errorStyle="information" allowBlank="1" showInputMessage="1" showErrorMessage="1" error="XLBVal:6=16305.24_x000d__x000a_" sqref="U43">
      <formula1>0</formula1>
      <formula2>300</formula2>
    </dataValidation>
    <dataValidation type="textLength" errorStyle="information" allowBlank="1" showInputMessage="1" showErrorMessage="1" error="XLBVal:6=27593.46_x000d__x000a_" sqref="T43">
      <formula1>0</formula1>
      <formula2>300</formula2>
    </dataValidation>
    <dataValidation type="textLength" errorStyle="information" allowBlank="1" showInputMessage="1" showErrorMessage="1" error="XLBVal:6=162.76_x000d__x000a_" sqref="V38">
      <formula1>0</formula1>
      <formula2>300</formula2>
    </dataValidation>
    <dataValidation type="textLength" errorStyle="information" allowBlank="1" showInputMessage="1" showErrorMessage="1" error="XLBVal:6=-300.67_x000d__x000a_" sqref="U38">
      <formula1>0</formula1>
      <formula2>300</formula2>
    </dataValidation>
    <dataValidation type="textLength" errorStyle="information" allowBlank="1" showInputMessage="1" showErrorMessage="1" error="XLBVal:6=516.24_x000d__x000a_" sqref="T38">
      <formula1>0</formula1>
      <formula2>300</formula2>
    </dataValidation>
    <dataValidation type="textLength" errorStyle="information" allowBlank="1" showInputMessage="1" showErrorMessage="1" error="XLBVal:6=329.77_x000d__x000a_" sqref="S38">
      <formula1>0</formula1>
      <formula2>300</formula2>
    </dataValidation>
    <dataValidation type="textLength" errorStyle="information" allowBlank="1" showInputMessage="1" showErrorMessage="1" error="XLBVal:6=379.13_x000d__x000a_" sqref="R38">
      <formula1>0</formula1>
      <formula2>300</formula2>
    </dataValidation>
    <dataValidation type="textLength" errorStyle="information" allowBlank="1" showInputMessage="1" showErrorMessage="1" error="XLBVal:6=653.98_x000d__x000a_" sqref="Q38">
      <formula1>0</formula1>
      <formula2>300</formula2>
    </dataValidation>
    <dataValidation type="textLength" errorStyle="information" allowBlank="1" showInputMessage="1" showErrorMessage="1" error="XLBVal:6=9076.74_x000d__x000a_" sqref="V31">
      <formula1>0</formula1>
      <formula2>300</formula2>
    </dataValidation>
    <dataValidation type="textLength" errorStyle="information" allowBlank="1" showInputMessage="1" showErrorMessage="1" error="XLBVal:6=8654.07_x000d__x000a_" sqref="V30">
      <formula1>0</formula1>
      <formula2>300</formula2>
    </dataValidation>
    <dataValidation type="textLength" errorStyle="information" allowBlank="1" showInputMessage="1" showErrorMessage="1" error="XLBVal:6=18582.56_x000d__x000a_" sqref="U30">
      <formula1>0</formula1>
      <formula2>300</formula2>
    </dataValidation>
    <dataValidation type="textLength" errorStyle="information" allowBlank="1" showInputMessage="1" showErrorMessage="1" error="XLBVal:6=16495.32_x000d__x000a_" sqref="T30">
      <formula1>0</formula1>
      <formula2>300</formula2>
    </dataValidation>
    <dataValidation type="textLength" errorStyle="information" allowBlank="1" showInputMessage="1" showErrorMessage="1" error="XLBVal:6=9977.7_x000d__x000a_" sqref="V26">
      <formula1>0</formula1>
      <formula2>300</formula2>
    </dataValidation>
    <dataValidation type="textLength" errorStyle="information" allowBlank="1" showInputMessage="1" showErrorMessage="1" error="XLBVal:6=19574.2_x000d__x000a_" sqref="V21">
      <formula1>0</formula1>
      <formula2>300</formula2>
    </dataValidation>
    <dataValidation type="textLength" errorStyle="information" allowBlank="1" showInputMessage="1" showErrorMessage="1" error="XLBVal:6=30760.2_x000d__x000a_" sqref="U21">
      <formula1>0</formula1>
      <formula2>300</formula2>
    </dataValidation>
    <dataValidation type="textLength" errorStyle="information" allowBlank="1" showInputMessage="1" showErrorMessage="1" error="XLBVal:6=25257.8_x000d__x000a_" sqref="T21">
      <formula1>0</formula1>
      <formula2>300</formula2>
    </dataValidation>
    <dataValidation type="textLength" errorStyle="information" allowBlank="1" showInputMessage="1" showErrorMessage="1" error="XLBVal:6=31213.2_x000d__x000a_" sqref="S21">
      <formula1>0</formula1>
      <formula2>300</formula2>
    </dataValidation>
    <dataValidation type="textLength" errorStyle="information" allowBlank="1" showInputMessage="1" showErrorMessage="1" error="XLBVal:6=31744.1_x000d__x000a_" sqref="V19">
      <formula1>0</formula1>
      <formula2>300</formula2>
    </dataValidation>
    <dataValidation type="textLength" errorStyle="information" allowBlank="1" showInputMessage="1" showErrorMessage="1" error="XLBVal:6=4228.7_x000d__x000a_" sqref="V18">
      <formula1>0</formula1>
      <formula2>300</formula2>
    </dataValidation>
    <dataValidation type="textLength" errorStyle="information" allowBlank="1" showInputMessage="1" showErrorMessage="1" error="XLBVal:6=9856_x000d__x000a_" sqref="U18">
      <formula1>0</formula1>
      <formula2>300</formula2>
    </dataValidation>
    <dataValidation type="textLength" errorStyle="information" allowBlank="1" showInputMessage="1" showErrorMessage="1" error="XLBVal:6=3798.5_x000d__x000a_" sqref="T18">
      <formula1>0</formula1>
      <formula2>300</formula2>
    </dataValidation>
    <dataValidation type="textLength" errorStyle="information" allowBlank="1" showInputMessage="1" showErrorMessage="1" error="XLBVal:6=5848_x000d__x000a_" sqref="S18">
      <formula1>0</formula1>
      <formula2>300</formula2>
    </dataValidation>
    <dataValidation type="textLength" errorStyle="information" allowBlank="1" showInputMessage="1" showErrorMessage="1" error="XLBVal:6=6602_x000d__x000a_" sqref="R18">
      <formula1>0</formula1>
      <formula2>300</formula2>
    </dataValidation>
    <dataValidation type="textLength" errorStyle="information" allowBlank="1" showInputMessage="1" showErrorMessage="1" error="XLBVal:6=9107.8_x000d__x000a_" sqref="V13">
      <formula1>0</formula1>
      <formula2>300</formula2>
    </dataValidation>
    <dataValidation type="textLength" errorStyle="information" allowBlank="1" showInputMessage="1" showErrorMessage="1" error="XLBVal:6=11194.4_x000d__x000a_" sqref="U13">
      <formula1>0</formula1>
      <formula2>300</formula2>
    </dataValidation>
    <dataValidation type="textLength" errorStyle="information" allowBlank="1" showInputMessage="1" showErrorMessage="1" error="XLBVal:6=12544.1_x000d__x000a_" sqref="T13">
      <formula1>0</formula1>
      <formula2>300</formula2>
    </dataValidation>
    <dataValidation type="textLength" errorStyle="information" allowBlank="1" showInputMessage="1" showErrorMessage="1" error="XLBVal:6=48896.86_x000d__x000a_" sqref="V11">
      <formula1>0</formula1>
      <formula2>300</formula2>
    </dataValidation>
    <dataValidation type="textLength" errorStyle="information" allowBlank="1" showInputMessage="1" showErrorMessage="1" error="XLBVal:6=84260.98_x000d__x000a_" sqref="U11">
      <formula1>0</formula1>
      <formula2>300</formula2>
    </dataValidation>
    <dataValidation type="textLength" errorStyle="information" allowBlank="1" showInputMessage="1" showErrorMessage="1" error="XLBVal:6=100309.64_x000d__x000a_" sqref="T11">
      <formula1>0</formula1>
      <formula2>300</formula2>
    </dataValidation>
    <dataValidation type="textLength" errorStyle="information" allowBlank="1" showInputMessage="1" showErrorMessage="1" error="XLBVal:6=2105_x000d__x000a_" sqref="V10">
      <formula1>0</formula1>
      <formula2>300</formula2>
    </dataValidation>
    <dataValidation type="textLength" errorStyle="information" allowBlank="1" showInputMessage="1" showErrorMessage="1" error="XLBVal:6=2162.3_x000d__x000a_" sqref="U10">
      <formula1>0</formula1>
      <formula2>300</formula2>
    </dataValidation>
    <dataValidation type="textLength" errorStyle="information" allowBlank="1" showInputMessage="1" showErrorMessage="1" error="XLBVal:6=6858.2_x000d__x000a_" sqref="T10">
      <formula1>0</formula1>
      <formula2>300</formula2>
    </dataValidation>
    <dataValidation type="textLength" errorStyle="information" allowBlank="1" showInputMessage="1" showErrorMessage="1" error="XLBVal:6=7335.4_x000d__x000a_" sqref="S10">
      <formula1>0</formula1>
      <formula2>300</formula2>
    </dataValidation>
    <dataValidation type="textLength" errorStyle="information" allowBlank="1" showInputMessage="1" showErrorMessage="1" error="XLBVal:6=7702_x000d__x000a_" sqref="R10">
      <formula1>0</formula1>
      <formula2>300</formula2>
    </dataValidation>
    <dataValidation type="textLength" errorStyle="information" allowBlank="1" showInputMessage="1" showErrorMessage="1" error="XLBVal:6=-600_x000d__x000a_" sqref="R9">
      <formula1>0</formula1>
      <formula2>300</formula2>
    </dataValidation>
    <dataValidation type="textLength" errorStyle="information" allowBlank="1" showInputMessage="1" showErrorMessage="1" error="XLBVal:6=600_x000d__x000a_" sqref="Q9">
      <formula1>0</formula1>
      <formula2>300</formula2>
    </dataValidation>
    <dataValidation type="textLength" errorStyle="information" allowBlank="1" showInputMessage="1" showErrorMessage="1" error="XLBVal:6=14785.7_x000d__x000a_" sqref="AB13">
      <formula1>0</formula1>
      <formula2>300</formula2>
    </dataValidation>
    <dataValidation type="textLength" errorStyle="information" allowBlank="1" showInputMessage="1" showErrorMessage="1" error="XLBVal:6=45563.57_x000d__x000a_" sqref="AB11">
      <formula1>0</formula1>
      <formula2>300</formula2>
    </dataValidation>
    <dataValidation type="textLength" errorStyle="information" allowBlank="1" showInputMessage="1" showErrorMessage="1" error="XLBVal:6=2915.4_x000d__x000a_" sqref="AB10">
      <formula1>0</formula1>
      <formula2>300</formula2>
    </dataValidation>
    <dataValidation type="textLength" errorStyle="information" allowBlank="1" showInputMessage="1" showErrorMessage="1" error="XLBVal:6=175_x000d__x000a_" sqref="U89">
      <formula1>0</formula1>
      <formula2>300</formula2>
    </dataValidation>
    <dataValidation type="textLength" errorStyle="information" allowBlank="1" showInputMessage="1" showErrorMessage="1" error="XLBVal:6=22296.3_x000d__x000a_" sqref="AA13">
      <formula1>0</formula1>
      <formula2>300</formula2>
    </dataValidation>
    <dataValidation type="textLength" errorStyle="information" allowBlank="1" showInputMessage="1" showErrorMessage="1" error="XLBVal:6=60393.7_x000d__x000a_" sqref="Z13">
      <formula1>0</formula1>
      <formula2>300</formula2>
    </dataValidation>
    <dataValidation type="textLength" errorStyle="information" allowBlank="1" showInputMessage="1" showErrorMessage="1" error="XLBVal:6=91793.65_x000d__x000a_" sqref="AA11">
      <formula1>0</formula1>
      <formula2>300</formula2>
    </dataValidation>
    <dataValidation type="textLength" errorStyle="information" allowBlank="1" showInputMessage="1" showErrorMessage="1" error="XLBVal:6=38836.2_x000d__x000a_" sqref="Z11">
      <formula1>0</formula1>
      <formula2>300</formula2>
    </dataValidation>
    <dataValidation type="textLength" errorStyle="information" allowBlank="1" showInputMessage="1" showErrorMessage="1" error="XLBVal:6=1352.6_x000d__x000a_" sqref="AA10">
      <formula1>0</formula1>
      <formula2>300</formula2>
    </dataValidation>
    <dataValidation type="textLength" errorStyle="information" allowBlank="1" showInputMessage="1" showErrorMessage="1" error="XLBVal:6=434.9_x000d__x000a_" sqref="Z10">
      <formula1>0</formula1>
      <formula2>300</formula2>
    </dataValidation>
    <dataValidation type="textLength" errorStyle="information" allowBlank="1" showInputMessage="1" showErrorMessage="1" error="XLBVal:6=1047.9_x000d__x000a_" sqref="Y13">
      <formula1>0</formula1>
      <formula2>300</formula2>
    </dataValidation>
    <dataValidation type="textLength" errorStyle="information" allowBlank="1" showInputMessage="1" showErrorMessage="1" error="XLBVal:6=2863_x000d__x000a_" sqref="Y11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5759.4_x000d__x000a_" sqref="X13">
      <formula1>0</formula1>
      <formula2>300</formula2>
    </dataValidation>
    <dataValidation type="textLength" errorStyle="information" allowBlank="1" showInputMessage="1" showErrorMessage="1" error="XLBVal:6=2923.8_x000d__x000a_" sqref="X11">
      <formula1>0</formula1>
      <formula2>300</formula2>
    </dataValidation>
    <dataValidation type="textLength" errorStyle="information" allowBlank="1" showInputMessage="1" showErrorMessage="1" error="XLBVal:6=2_x000d__x000a_" sqref="Q136:V136">
      <formula1>0</formula1>
      <formula2>300</formula2>
    </dataValidation>
    <dataValidation type="textLength" errorStyle="information" allowBlank="1" showInputMessage="1" showErrorMessage="1" error="XLBVal:6=1875.55_x000d__x000a_" sqref="V130">
      <formula1>0</formula1>
      <formula2>300</formula2>
    </dataValidation>
    <dataValidation type="textLength" errorStyle="information" allowBlank="1" showInputMessage="1" showErrorMessage="1" error="XLBVal:6=931.52_x000d__x000a_" sqref="V129">
      <formula1>0</formula1>
      <formula2>300</formula2>
    </dataValidation>
    <dataValidation type="textLength" errorStyle="information" allowBlank="1" showInputMessage="1" showErrorMessage="1" error="XLBVal:6=392.24_x000d__x000a_" sqref="V120">
      <formula1>0</formula1>
      <formula2>300</formula2>
    </dataValidation>
    <dataValidation type="textLength" errorStyle="information" allowBlank="1" showInputMessage="1" showErrorMessage="1" error="XLBVal:6=29.55_x000d__x000a_" sqref="Q117:V117">
      <formula1>0</formula1>
      <formula2>300</formula2>
    </dataValidation>
    <dataValidation type="textLength" errorStyle="information" allowBlank="1" showInputMessage="1" showErrorMessage="1" error="XLBVal:6=123.08_x000d__x000a_" sqref="Q116:V116">
      <formula1>0</formula1>
      <formula2>300</formula2>
    </dataValidation>
    <dataValidation type="textLength" errorStyle="information" allowBlank="1" showInputMessage="1" showErrorMessage="1" error="XLBVal:6=2092.3_x000d__x000a_" sqref="Q115:V115">
      <formula1>0</formula1>
      <formula2>300</formula2>
    </dataValidation>
    <dataValidation type="textLength" errorStyle="information" allowBlank="1" showInputMessage="1" showErrorMessage="1" error="XLBVal:6=3938.47_x000d__x000a_" sqref="Q114:V114">
      <formula1>0</formula1>
      <formula2>300</formula2>
    </dataValidation>
    <dataValidation type="textLength" errorStyle="information" allowBlank="1" showInputMessage="1" showErrorMessage="1" error="XLBVal:6=2155_x000d__x000a_" sqref="V109 Q109">
      <formula1>0</formula1>
      <formula2>300</formula2>
    </dataValidation>
    <dataValidation type="textLength" errorStyle="information" allowBlank="1" showInputMessage="1" showErrorMessage="1" error="XLBVal:6=14900_x000d__x000a_" sqref="Q103:V103">
      <formula1>0</formula1>
      <formula2>300</formula2>
    </dataValidation>
    <dataValidation type="textLength" errorStyle="information" allowBlank="1" showInputMessage="1" showErrorMessage="1" error="XLBVal:6=162_x000d__x000a_" sqref="R89">
      <formula1>0</formula1>
      <formula2>300</formula2>
    </dataValidation>
    <dataValidation type="textLength" errorStyle="information" allowBlank="1" showInputMessage="1" showErrorMessage="1" error="XLBVal:6=145_x000d__x000a_" sqref="Q89">
      <formula1>0</formula1>
      <formula2>300</formula2>
    </dataValidation>
    <dataValidation type="textLength" errorStyle="information" allowBlank="1" showInputMessage="1" showErrorMessage="1" error="XLBVal:6=3832.2_x000d__x000a_" sqref="V43">
      <formula1>0</formula1>
      <formula2>300</formula2>
    </dataValidation>
    <dataValidation type="textLength" errorStyle="information" allowBlank="1" showInputMessage="1" showErrorMessage="1" error="XLBVal:6=46001.37_x000d__x000a_" sqref="R30">
      <formula1>0</formula1>
      <formula2>300</formula2>
    </dataValidation>
    <dataValidation type="textLength" errorStyle="information" allowBlank="1" showInputMessage="1" showErrorMessage="1" error="XLBVal:6=21182_x000d__x000a_" sqref="R21">
      <formula1>0</formula1>
      <formula2>300</formula2>
    </dataValidation>
    <dataValidation type="textLength" errorStyle="information" allowBlank="1" showInputMessage="1" showErrorMessage="1" error="XLBVal:6=18750_x000d__x000a_" sqref="Q21">
      <formula1>0</formula1>
      <formula2>300</formula2>
    </dataValidation>
    <dataValidation type="textLength" errorStyle="information" allowBlank="1" showInputMessage="1" showErrorMessage="1" error="XLBVal:6=15294.3_x000d__x000a_" sqref="S13">
      <formula1>0</formula1>
      <formula2>300</formula2>
    </dataValidation>
    <dataValidation type="textLength" errorStyle="information" allowBlank="1" showInputMessage="1" showErrorMessage="1" error="XLBVal:6=18356.1_x000d__x000a_" sqref="R13">
      <formula1>0</formula1>
      <formula2>300</formula2>
    </dataValidation>
    <dataValidation type="textLength" errorStyle="information" allowBlank="1" showInputMessage="1" showErrorMessage="1" error="XLBVal:6=9819.1_x000d__x000a_" sqref="Q13">
      <formula1>0</formula1>
      <formula2>300</formula2>
    </dataValidation>
    <dataValidation type="textLength" errorStyle="information" allowBlank="1" showInputMessage="1" showErrorMessage="1" error="XLBVal:6=829.79_x000d__x000a_" sqref="U74">
      <formula1>0</formula1>
      <formula2>300</formula2>
    </dataValidation>
    <dataValidation type="textLength" errorStyle="information" allowBlank="1" showInputMessage="1" showErrorMessage="1" error="XLBVal:6=68.03_x000d__x000a_" sqref="T74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884.15_x000d__x000a_" sqref="R111">
      <formula1>0</formula1>
      <formula2>300</formula2>
    </dataValidation>
    <dataValidation type="textLength" errorStyle="information" allowBlank="1" showInputMessage="1" showErrorMessage="1" error="XLBVal:6=867.58_x000d__x000a_" sqref="Q111">
      <formula1>0</formula1>
      <formula2>300</formula2>
    </dataValidation>
    <dataValidation type="textLength" errorStyle="information" allowBlank="1" showInputMessage="1" showErrorMessage="1" error="XLBVal:6=3736.4_x000d__x000a_" sqref="R108">
      <formula1>0</formula1>
      <formula2>300</formula2>
    </dataValidation>
    <dataValidation type="textLength" errorStyle="information" allowBlank="1" showInputMessage="1" showErrorMessage="1" error="XLBVal:6=856_x000d__x000a_" sqref="R87">
      <formula1>0</formula1>
      <formula2>300</formula2>
    </dataValidation>
    <dataValidation type="textLength" errorStyle="information" allowBlank="1" showInputMessage="1" showErrorMessage="1" error="XLBVal:6=992_x000d__x000a_" sqref="Q87">
      <formula1>0</formula1>
      <formula2>300</formula2>
    </dataValidation>
    <dataValidation type="textLength" errorStyle="information" allowBlank="1" showInputMessage="1" showErrorMessage="1" error="XLBVal:6=19200.15_x000d__x000a_" sqref="S79">
      <formula1>0</formula1>
      <formula2>300</formula2>
    </dataValidation>
    <dataValidation type="textLength" errorStyle="information" allowBlank="1" showInputMessage="1" showErrorMessage="1" error="XLBVal:6=16772.07_x000d__x000a_" sqref="R79">
      <formula1>0</formula1>
      <formula2>300</formula2>
    </dataValidation>
    <dataValidation type="textLength" errorStyle="information" allowBlank="1" showInputMessage="1" showErrorMessage="1" error="XLBVal:6=14202.39_x000d__x000a_" sqref="Q79">
      <formula1>0</formula1>
      <formula2>300</formula2>
    </dataValidation>
    <dataValidation type="textLength" errorStyle="information" allowBlank="1" showInputMessage="1" showErrorMessage="1" error="XLBVal:6=56.57_x000d__x000a_" sqref="S74">
      <formula1>0</formula1>
      <formula2>300</formula2>
    </dataValidation>
    <dataValidation type="textLength" errorStyle="information" allowBlank="1" showInputMessage="1" showErrorMessage="1" error="XLBVal:6=16406.2_x000d__x000a_" sqref="U31">
      <formula1>0</formula1>
      <formula2>300</formula2>
    </dataValidation>
    <dataValidation type="textLength" errorStyle="information" allowBlank="1" showInputMessage="1" showErrorMessage="1" error="XLBVal:6=15504.85_x000d__x000a_" sqref="T31">
      <formula1>0</formula1>
      <formula2>300</formula2>
    </dataValidation>
    <dataValidation type="textLength" errorStyle="information" allowBlank="1" showInputMessage="1" showErrorMessage="1" error="XLBVal:6=16971.61_x000d__x000a_" sqref="S31">
      <formula1>0</formula1>
      <formula2>300</formula2>
    </dataValidation>
    <dataValidation type="textLength" errorStyle="information" allowBlank="1" showInputMessage="1" showErrorMessage="1" error="XLBVal:6=12541.73_x000d__x000a_" sqref="R31">
      <formula1>0</formula1>
      <formula2>300</formula2>
    </dataValidation>
    <dataValidation type="textLength" errorStyle="information" allowBlank="1" showInputMessage="1" showErrorMessage="1" error="XLBVal:6=16915.78_x000d__x000a_" sqref="Q31">
      <formula1>0</formula1>
      <formula2>300</formula2>
    </dataValidation>
    <dataValidation type="textLength" errorStyle="information" allowBlank="1" showInputMessage="1" showErrorMessage="1" error="XLBVal:6=42525.39_x000d__x000a_" sqref="S30">
      <formula1>0</formula1>
      <formula2>300</formula2>
    </dataValidation>
    <dataValidation type="textLength" errorStyle="information" allowBlank="1" showInputMessage="1" showErrorMessage="1" error="XLBVal:6=36071.6_x000d__x000a_" sqref="Q30">
      <formula1>0</formula1>
      <formula2>300</formula2>
    </dataValidation>
    <dataValidation type="textLength" errorStyle="information" allowBlank="1" showInputMessage="1" showErrorMessage="1" error="XLBVal:6=16512.5_x000d__x000a_" sqref="U26">
      <formula1>0</formula1>
      <formula2>300</formula2>
    </dataValidation>
    <dataValidation type="textLength" errorStyle="information" allowBlank="1" showInputMessage="1" showErrorMessage="1" error="XLBVal:6=14523.7_x000d__x000a_" sqref="T26">
      <formula1>0</formula1>
      <formula2>300</formula2>
    </dataValidation>
    <dataValidation type="textLength" errorStyle="information" allowBlank="1" showInputMessage="1" showErrorMessage="1" error="XLBVal:6=20157.2_x000d__x000a_" sqref="S26">
      <formula1>0</formula1>
      <formula2>300</formula2>
    </dataValidation>
    <dataValidation type="textLength" errorStyle="information" allowBlank="1" showInputMessage="1" showErrorMessage="1" error="XLBVal:6=25323.4_x000d__x000a_" sqref="R26">
      <formula1>0</formula1>
      <formula2>300</formula2>
    </dataValidation>
    <dataValidation type="textLength" errorStyle="information" allowBlank="1" showInputMessage="1" showErrorMessage="1" error="XLBVal:6=15624.9_x000d__x000a_" sqref="Q26">
      <formula1>0</formula1>
      <formula2>300</formula2>
    </dataValidation>
    <dataValidation type="textLength" errorStyle="information" allowBlank="1" showInputMessage="1" showErrorMessage="1" error="XLBVal:6=56684.5_x000d__x000a_" sqref="U19">
      <formula1>0</formula1>
      <formula2>300</formula2>
    </dataValidation>
    <dataValidation type="textLength" errorStyle="information" allowBlank="1" showInputMessage="1" showErrorMessage="1" error="XLBVal:6=68755.2_x000d__x000a_" sqref="T19">
      <formula1>0</formula1>
      <formula2>300</formula2>
    </dataValidation>
    <dataValidation type="textLength" errorStyle="information" allowBlank="1" showInputMessage="1" showErrorMessage="1" error="XLBVal:6=65095.3_x000d__x000a_" sqref="S19">
      <formula1>0</formula1>
      <formula2>300</formula2>
    </dataValidation>
    <dataValidation type="textLength" errorStyle="information" allowBlank="1" showInputMessage="1" showErrorMessage="1" error="XLBVal:6=50324_x000d__x000a_" sqref="R19">
      <formula1>0</formula1>
      <formula2>300</formula2>
    </dataValidation>
    <dataValidation type="textLength" errorStyle="information" allowBlank="1" showInputMessage="1" showErrorMessage="1" error="XLBVal:6=72228_x000d__x000a_" sqref="Q19">
      <formula1>0</formula1>
      <formula2>300</formula2>
    </dataValidation>
    <dataValidation type="textLength" errorStyle="information" allowBlank="1" showInputMessage="1" showErrorMessage="1" error="XLBVal:6=4864_x000d__x000a_" sqref="Q18">
      <formula1>0</formula1>
      <formula2>300</formula2>
    </dataValidation>
    <dataValidation type="textLength" errorStyle="information" allowBlank="1" showInputMessage="1" showErrorMessage="1" error="XLBVal:6=120941.67_x000d__x000a_" sqref="S11">
      <formula1>0</formula1>
      <formula2>300</formula2>
    </dataValidation>
    <dataValidation type="textLength" errorStyle="information" allowBlank="1" showInputMessage="1" showErrorMessage="1" error="XLBVal:6=140471.27_x000d__x000a_" sqref="R11">
      <formula1>0</formula1>
      <formula2>300</formula2>
    </dataValidation>
    <dataValidation type="textLength" errorStyle="information" allowBlank="1" showInputMessage="1" showErrorMessage="1" error="XLBVal:6=95740.74_x000d__x000a_" sqref="Q11">
      <formula1>0</formula1>
      <formula2>300</formula2>
    </dataValidation>
    <dataValidation type="textLength" errorStyle="information" allowBlank="1" showInputMessage="1" showErrorMessage="1" error="XLBVal:6=8489_x000d__x000a_" sqref="Q10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2=0_x000d__x000a_" sqref="S88 S9:AB9 S107 Q44:V48 Q124:V127 D9:O13 W18:AB19 U52:U55 D24:I26 D32:I32 D131:I132 W114:AB117 W136:AB136 T50:T58 D73:O78 D85:I89 W107:AB109 Q118:AB118 D31:O31 Q54:S55 V50:V55 U57:V58 Q65:V70 U50 Q17:AB17 Q131:V132 D38:O42 W10:Y10 W21:AB21 W11 D18:O21 W124:AB132 Q20:AB20 Q61:V63 W119:AB120 E102:O104 Q110:AB110 S60:T60 Q121:AB121 Q32:AB32 Q104:AB104 W93:AB97 W111:AB111 W86:AB89 W13 W38:AB59 Q60 W24:AB26 W61:AB79 Q12:AB12 Q72:V73 Q102:AB102 W103:AB103 Q39:V42 Q24:V25 V60:AB60 W30:AB31 D17:I17 Q85:AB85 Q78 Q75:V77 Q71 U59:U60 Q57:S58 Q51:S52 D44:O71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AH161"/>
  <sheetViews>
    <sheetView view="pageBreakPreview" zoomScaleNormal="100" zoomScaleSheetLayoutView="100" workbookViewId="0">
      <pane xSplit="4" ySplit="7" topLeftCell="L71" activePane="bottomRight" state="frozen"/>
      <selection activeCell="AP43" sqref="AP43"/>
      <selection pane="topRight" activeCell="AP43" sqref="AP43"/>
      <selection pane="bottomLeft" activeCell="AP43" sqref="AP43"/>
      <selection pane="bottomRight" activeCell="P121" sqref="P121"/>
    </sheetView>
  </sheetViews>
  <sheetFormatPr defaultColWidth="9" defaultRowHeight="14.25" outlineLevelCol="2"/>
  <cols>
    <col min="1" max="1" width="9" style="105" hidden="1" customWidth="1" outlineLevel="1"/>
    <col min="2" max="2" width="22.75" style="105" hidden="1" customWidth="1" outlineLevel="1"/>
    <col min="3" max="3" width="53.25" style="105" customWidth="1" collapsed="1"/>
    <col min="4" max="15" width="14.5" style="72" bestFit="1" customWidth="1"/>
    <col min="16" max="16" width="18.25" style="127" bestFit="1" customWidth="1"/>
    <col min="17" max="23" width="14.25" style="72" hidden="1" customWidth="1" outlineLevel="1"/>
    <col min="24" max="28" width="14.2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34" width="11.625" style="105" bestFit="1" customWidth="1"/>
    <col min="35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6" t="s">
        <v>570</v>
      </c>
      <c r="D3" s="2" t="s">
        <v>0</v>
      </c>
      <c r="E3" s="2" t="s">
        <v>0</v>
      </c>
      <c r="F3" s="2" t="s">
        <v>571</v>
      </c>
      <c r="G3" s="2" t="s">
        <v>0</v>
      </c>
      <c r="H3" s="2" t="s">
        <v>0</v>
      </c>
      <c r="I3" s="2" t="s">
        <v>0</v>
      </c>
      <c r="J3" s="2" t="s">
        <v>572</v>
      </c>
      <c r="K3" s="2" t="s">
        <v>151</v>
      </c>
      <c r="L3" s="2" t="s">
        <v>151</v>
      </c>
      <c r="M3" s="2" t="s">
        <v>573</v>
      </c>
      <c r="N3" s="2" t="s">
        <v>151</v>
      </c>
      <c r="O3" s="2" t="s">
        <v>151</v>
      </c>
      <c r="P3" s="107"/>
      <c r="Q3" s="108" t="s">
        <v>0</v>
      </c>
      <c r="R3" s="108" t="s">
        <v>571</v>
      </c>
      <c r="S3" s="108" t="s">
        <v>571</v>
      </c>
      <c r="T3" s="108" t="s">
        <v>556</v>
      </c>
      <c r="U3" s="108" t="s">
        <v>556</v>
      </c>
      <c r="V3" s="108" t="s">
        <v>0</v>
      </c>
      <c r="W3" s="108" t="s">
        <v>0</v>
      </c>
      <c r="X3" s="108" t="s">
        <v>571</v>
      </c>
      <c r="Y3" s="108" t="s">
        <v>0</v>
      </c>
      <c r="Z3" s="108" t="s">
        <v>571</v>
      </c>
      <c r="AA3" s="108" t="s">
        <v>0</v>
      </c>
      <c r="AB3" s="108" t="s">
        <v>571</v>
      </c>
      <c r="AC3" s="219"/>
      <c r="AD3" s="2"/>
      <c r="AG3" s="184"/>
    </row>
    <row r="4" spans="1:33" s="100" customFormat="1" ht="18">
      <c r="C4" s="18">
        <f>+'2025 Summay'!$D$7</f>
        <v>2025</v>
      </c>
      <c r="D4" s="155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574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2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25096.15</v>
      </c>
      <c r="AG9" s="124">
        <f t="shared" ref="AG9:AG27" si="3">P9-AF9</f>
        <v>-25096.15</v>
      </c>
    </row>
    <row r="10" spans="1:33">
      <c r="A10" s="105" t="s">
        <v>482</v>
      </c>
      <c r="B10" s="105" t="s">
        <v>574</v>
      </c>
      <c r="C10" s="105" t="s">
        <v>483</v>
      </c>
      <c r="D10" s="210">
        <f t="shared" ref="D10:O13" si="4">ROUND(D86*D94,0)</f>
        <v>50000</v>
      </c>
      <c r="E10" s="210">
        <f t="shared" si="4"/>
        <v>12500</v>
      </c>
      <c r="F10" s="210">
        <f t="shared" si="4"/>
        <v>25000</v>
      </c>
      <c r="G10" s="210">
        <f t="shared" si="4"/>
        <v>25000</v>
      </c>
      <c r="H10" s="210">
        <f t="shared" si="4"/>
        <v>25000</v>
      </c>
      <c r="I10" s="210">
        <f t="shared" si="4"/>
        <v>25000</v>
      </c>
      <c r="J10" s="210">
        <f t="shared" si="4"/>
        <v>0</v>
      </c>
      <c r="K10" s="210">
        <f t="shared" si="4"/>
        <v>0</v>
      </c>
      <c r="L10" s="210">
        <f t="shared" si="4"/>
        <v>60000</v>
      </c>
      <c r="M10" s="210">
        <f t="shared" si="4"/>
        <v>150000</v>
      </c>
      <c r="N10" s="210">
        <f t="shared" si="4"/>
        <v>210000</v>
      </c>
      <c r="O10" s="210">
        <f t="shared" si="4"/>
        <v>240000</v>
      </c>
      <c r="P10" s="127">
        <f>SUM(D10:O10)</f>
        <v>822500</v>
      </c>
      <c r="Q10" s="72">
        <v>0</v>
      </c>
      <c r="R10" s="72">
        <v>0</v>
      </c>
      <c r="S10" s="72">
        <v>45735.8</v>
      </c>
      <c r="T10" s="72">
        <v>12854.3</v>
      </c>
      <c r="U10" s="72">
        <v>55924.4</v>
      </c>
      <c r="V10" s="72">
        <v>72264.2</v>
      </c>
      <c r="W10" s="72">
        <v>16711</v>
      </c>
      <c r="X10" s="72">
        <v>0</v>
      </c>
      <c r="Y10" s="72">
        <v>60000</v>
      </c>
      <c r="Z10" s="72">
        <v>150000</v>
      </c>
      <c r="AA10" s="72">
        <v>180000</v>
      </c>
      <c r="AB10" s="72">
        <v>180000</v>
      </c>
      <c r="AC10" s="127">
        <f>SUM(Q10:AB10)</f>
        <v>773489.7</v>
      </c>
      <c r="AD10" s="72">
        <f t="shared" si="1"/>
        <v>49010.300000000047</v>
      </c>
      <c r="AE10" s="192">
        <f t="shared" si="2"/>
        <v>6.336257612738741E-2</v>
      </c>
      <c r="AF10" s="129">
        <v>902665.11999999988</v>
      </c>
      <c r="AG10" s="124">
        <f t="shared" si="3"/>
        <v>-80165.119999999879</v>
      </c>
    </row>
    <row r="11" spans="1:33">
      <c r="A11" s="105" t="s">
        <v>484</v>
      </c>
      <c r="B11" s="105" t="s">
        <v>574</v>
      </c>
      <c r="C11" s="105" t="s">
        <v>485</v>
      </c>
      <c r="D11" s="210">
        <f>ROUND(D87*D95,0)</f>
        <v>135000</v>
      </c>
      <c r="E11" s="210">
        <f t="shared" si="4"/>
        <v>14000</v>
      </c>
      <c r="F11" s="210">
        <f t="shared" si="4"/>
        <v>192500</v>
      </c>
      <c r="G11" s="210">
        <f t="shared" si="4"/>
        <v>192500</v>
      </c>
      <c r="H11" s="210">
        <f t="shared" si="4"/>
        <v>157500</v>
      </c>
      <c r="I11" s="210">
        <f t="shared" si="4"/>
        <v>175000</v>
      </c>
      <c r="J11" s="210">
        <f t="shared" si="4"/>
        <v>105000</v>
      </c>
      <c r="K11" s="210">
        <f t="shared" si="4"/>
        <v>105000</v>
      </c>
      <c r="L11" s="210">
        <f t="shared" si="4"/>
        <v>210000</v>
      </c>
      <c r="M11" s="210">
        <f t="shared" si="4"/>
        <v>420000</v>
      </c>
      <c r="N11" s="210">
        <f t="shared" si="4"/>
        <v>560000</v>
      </c>
      <c r="O11" s="210">
        <f t="shared" si="4"/>
        <v>560000</v>
      </c>
      <c r="P11" s="127">
        <f>SUM(D11:O11)</f>
        <v>2826500</v>
      </c>
      <c r="Q11" s="72">
        <v>155529.4</v>
      </c>
      <c r="R11" s="72">
        <v>22415.200000000001</v>
      </c>
      <c r="S11" s="72">
        <v>107544</v>
      </c>
      <c r="T11" s="72">
        <v>134610.79999999999</v>
      </c>
      <c r="U11" s="72">
        <v>139436.5</v>
      </c>
      <c r="V11" s="72">
        <v>28931.81</v>
      </c>
      <c r="W11" s="72">
        <v>48301.5</v>
      </c>
      <c r="X11" s="72">
        <v>0</v>
      </c>
      <c r="Y11" s="72">
        <v>210000</v>
      </c>
      <c r="Z11" s="72">
        <v>280000</v>
      </c>
      <c r="AA11" s="72">
        <v>385000</v>
      </c>
      <c r="AB11" s="72">
        <v>409500</v>
      </c>
      <c r="AC11" s="127">
        <f>SUM(Q11:AB11)</f>
        <v>1921269.21</v>
      </c>
      <c r="AD11" s="72">
        <f t="shared" si="1"/>
        <v>905230.79</v>
      </c>
      <c r="AE11" s="192">
        <f t="shared" si="2"/>
        <v>0.47116290902304109</v>
      </c>
      <c r="AF11" s="129">
        <v>2106952.7599999998</v>
      </c>
      <c r="AG11" s="124">
        <f t="shared" si="3"/>
        <v>719547.24000000022</v>
      </c>
    </row>
    <row r="12" spans="1:33">
      <c r="A12" s="105" t="s">
        <v>486</v>
      </c>
      <c r="B12" s="105" t="s">
        <v>574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154483.31</v>
      </c>
      <c r="AG12" s="124">
        <f t="shared" si="3"/>
        <v>-154483.31</v>
      </c>
    </row>
    <row r="13" spans="1:33">
      <c r="A13" s="105" t="s">
        <v>488</v>
      </c>
      <c r="B13" s="105" t="s">
        <v>574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185000</v>
      </c>
      <c r="E14" s="127">
        <f t="shared" si="5"/>
        <v>26500</v>
      </c>
      <c r="F14" s="127">
        <f t="shared" si="5"/>
        <v>217500</v>
      </c>
      <c r="G14" s="127">
        <f t="shared" si="5"/>
        <v>217500</v>
      </c>
      <c r="H14" s="127">
        <f t="shared" si="5"/>
        <v>182500</v>
      </c>
      <c r="I14" s="127">
        <f t="shared" si="5"/>
        <v>200000</v>
      </c>
      <c r="J14" s="127">
        <f t="shared" si="5"/>
        <v>105000</v>
      </c>
      <c r="K14" s="127">
        <f t="shared" si="5"/>
        <v>105000</v>
      </c>
      <c r="L14" s="127">
        <f t="shared" si="5"/>
        <v>270000</v>
      </c>
      <c r="M14" s="127">
        <f t="shared" si="5"/>
        <v>570000</v>
      </c>
      <c r="N14" s="127">
        <f t="shared" si="5"/>
        <v>770000</v>
      </c>
      <c r="O14" s="127">
        <f t="shared" si="5"/>
        <v>800000</v>
      </c>
      <c r="P14" s="127">
        <f t="shared" si="5"/>
        <v>3649000</v>
      </c>
      <c r="Q14" s="127">
        <f t="shared" si="5"/>
        <v>155529.4</v>
      </c>
      <c r="R14" s="127">
        <f t="shared" si="5"/>
        <v>22415.200000000001</v>
      </c>
      <c r="S14" s="127">
        <f t="shared" si="5"/>
        <v>153279.79999999999</v>
      </c>
      <c r="T14" s="127">
        <f t="shared" si="5"/>
        <v>147465.09999999998</v>
      </c>
      <c r="U14" s="127">
        <f t="shared" si="5"/>
        <v>195360.9</v>
      </c>
      <c r="V14" s="127">
        <f t="shared" si="5"/>
        <v>101196.01</v>
      </c>
      <c r="W14" s="127">
        <f t="shared" si="5"/>
        <v>65012.5</v>
      </c>
      <c r="X14" s="127">
        <f t="shared" si="5"/>
        <v>0</v>
      </c>
      <c r="Y14" s="127">
        <f t="shared" si="5"/>
        <v>270000</v>
      </c>
      <c r="Z14" s="127">
        <f t="shared" si="5"/>
        <v>430000</v>
      </c>
      <c r="AA14" s="127">
        <f t="shared" si="5"/>
        <v>565000</v>
      </c>
      <c r="AB14" s="127">
        <f t="shared" si="5"/>
        <v>589500</v>
      </c>
      <c r="AC14" s="127">
        <f t="shared" si="5"/>
        <v>2694758.91</v>
      </c>
      <c r="AD14" s="72">
        <f t="shared" si="1"/>
        <v>954241.08999999985</v>
      </c>
      <c r="AE14" s="192">
        <f t="shared" si="2"/>
        <v>0.35411000459406583</v>
      </c>
      <c r="AF14" s="129">
        <v>3189197.34</v>
      </c>
      <c r="AG14" s="124">
        <f t="shared" si="3"/>
        <v>459802.66000000015</v>
      </c>
    </row>
    <row r="15" spans="1:33">
      <c r="C15" s="105" t="s">
        <v>154</v>
      </c>
      <c r="AF15" s="129"/>
      <c r="AG15" s="124">
        <f t="shared" si="3"/>
        <v>0</v>
      </c>
    </row>
    <row r="16" spans="1:33">
      <c r="C16" s="105" t="s">
        <v>491</v>
      </c>
      <c r="AF16" s="129"/>
      <c r="AG16" s="124">
        <f t="shared" si="3"/>
        <v>0</v>
      </c>
    </row>
    <row r="17" spans="1:33">
      <c r="A17" s="105" t="s">
        <v>492</v>
      </c>
      <c r="B17" s="105" t="s">
        <v>574</v>
      </c>
      <c r="C17" s="105" t="s">
        <v>481</v>
      </c>
      <c r="P17" s="12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0</v>
      </c>
      <c r="AG17" s="124">
        <f t="shared" si="3"/>
        <v>0</v>
      </c>
    </row>
    <row r="18" spans="1:33">
      <c r="A18" s="105" t="s">
        <v>493</v>
      </c>
      <c r="B18" s="105" t="s">
        <v>574</v>
      </c>
      <c r="C18" s="105" t="s">
        <v>483</v>
      </c>
      <c r="P18" s="12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4717</v>
      </c>
      <c r="W18" s="72">
        <v>328.3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5045.3</v>
      </c>
      <c r="AD18" s="72">
        <f t="shared" si="6"/>
        <v>-5045.3</v>
      </c>
      <c r="AE18" s="192">
        <f t="shared" si="7"/>
        <v>-1</v>
      </c>
      <c r="AF18" s="129">
        <v>6414.3</v>
      </c>
      <c r="AG18" s="124">
        <f t="shared" si="3"/>
        <v>-6414.3</v>
      </c>
    </row>
    <row r="19" spans="1:33">
      <c r="A19" s="105" t="s">
        <v>494</v>
      </c>
      <c r="B19" s="105" t="s">
        <v>574</v>
      </c>
      <c r="C19" s="105" t="s">
        <v>485</v>
      </c>
      <c r="D19" s="72">
        <v>3000</v>
      </c>
      <c r="E19" s="72">
        <v>3000</v>
      </c>
      <c r="F19" s="72">
        <v>8000</v>
      </c>
      <c r="G19" s="72">
        <v>7000</v>
      </c>
      <c r="H19" s="72">
        <v>6000</v>
      </c>
      <c r="I19" s="72">
        <v>4000</v>
      </c>
      <c r="L19" s="72">
        <v>7000</v>
      </c>
      <c r="M19" s="72">
        <v>8000</v>
      </c>
      <c r="N19" s="72">
        <v>11000</v>
      </c>
      <c r="O19" s="72">
        <v>12000</v>
      </c>
      <c r="P19" s="127">
        <f>SUM(D19:O19)</f>
        <v>69000</v>
      </c>
      <c r="Q19" s="72">
        <v>7179.4</v>
      </c>
      <c r="R19" s="72">
        <v>0</v>
      </c>
      <c r="S19" s="72">
        <v>8301.9</v>
      </c>
      <c r="T19" s="72">
        <v>2558.3000000000002</v>
      </c>
      <c r="U19" s="72">
        <v>3773.6</v>
      </c>
      <c r="V19" s="72">
        <v>0</v>
      </c>
      <c r="W19" s="72">
        <v>943.4</v>
      </c>
      <c r="X19" s="72">
        <v>0</v>
      </c>
      <c r="Y19" s="72">
        <v>0</v>
      </c>
      <c r="Z19" s="72">
        <v>8000</v>
      </c>
      <c r="AA19" s="72">
        <v>11000</v>
      </c>
      <c r="AB19" s="72">
        <v>12000</v>
      </c>
      <c r="AC19" s="127">
        <f>SUM(Q19:AB19)</f>
        <v>53756.6</v>
      </c>
      <c r="AD19" s="72">
        <f t="shared" si="6"/>
        <v>15243.400000000001</v>
      </c>
      <c r="AE19" s="192">
        <f t="shared" si="7"/>
        <v>0.2835633205969128</v>
      </c>
      <c r="AF19" s="129">
        <v>86817.78</v>
      </c>
      <c r="AG19" s="124">
        <f t="shared" si="3"/>
        <v>-17817.78</v>
      </c>
    </row>
    <row r="20" spans="1:33">
      <c r="A20" s="105" t="s">
        <v>495</v>
      </c>
      <c r="B20" s="105" t="s">
        <v>574</v>
      </c>
      <c r="C20" s="105" t="s">
        <v>487</v>
      </c>
      <c r="P20" s="12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3773.34</v>
      </c>
      <c r="AG20" s="124">
        <f t="shared" si="3"/>
        <v>-3773.34</v>
      </c>
    </row>
    <row r="21" spans="1:33">
      <c r="A21" s="105" t="s">
        <v>497</v>
      </c>
      <c r="B21" s="105" t="s">
        <v>574</v>
      </c>
      <c r="C21" s="105" t="s">
        <v>489</v>
      </c>
      <c r="P21" s="12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9516.58</v>
      </c>
      <c r="AG21" s="124">
        <f t="shared" si="3"/>
        <v>-9516.58</v>
      </c>
    </row>
    <row r="22" spans="1:33">
      <c r="C22" s="109" t="s">
        <v>498</v>
      </c>
      <c r="D22" s="127">
        <f t="shared" ref="D22:O22" si="8">SUM(D17:D21)</f>
        <v>3000</v>
      </c>
      <c r="E22" s="127">
        <f t="shared" si="8"/>
        <v>3000</v>
      </c>
      <c r="F22" s="127">
        <f t="shared" si="8"/>
        <v>8000</v>
      </c>
      <c r="G22" s="127">
        <f t="shared" si="8"/>
        <v>7000</v>
      </c>
      <c r="H22" s="127">
        <f t="shared" si="8"/>
        <v>6000</v>
      </c>
      <c r="I22" s="127">
        <f t="shared" si="8"/>
        <v>4000</v>
      </c>
      <c r="J22" s="127">
        <f t="shared" si="8"/>
        <v>0</v>
      </c>
      <c r="K22" s="127">
        <f t="shared" si="8"/>
        <v>0</v>
      </c>
      <c r="L22" s="127">
        <f t="shared" si="8"/>
        <v>7000</v>
      </c>
      <c r="M22" s="127">
        <f t="shared" si="8"/>
        <v>8000</v>
      </c>
      <c r="N22" s="127">
        <f t="shared" si="8"/>
        <v>11000</v>
      </c>
      <c r="O22" s="127">
        <f t="shared" si="8"/>
        <v>12000</v>
      </c>
      <c r="P22" s="127">
        <f>SUM(P17:P21)</f>
        <v>69000</v>
      </c>
      <c r="Q22" s="127">
        <f t="shared" ref="Q22:AC22" si="9">SUM(Q17:Q21)</f>
        <v>7179.4</v>
      </c>
      <c r="R22" s="127">
        <f t="shared" si="9"/>
        <v>0</v>
      </c>
      <c r="S22" s="127">
        <f t="shared" si="9"/>
        <v>8301.9</v>
      </c>
      <c r="T22" s="127">
        <f t="shared" si="9"/>
        <v>2558.3000000000002</v>
      </c>
      <c r="U22" s="127">
        <f t="shared" si="9"/>
        <v>3773.6</v>
      </c>
      <c r="V22" s="127">
        <f t="shared" si="9"/>
        <v>4717</v>
      </c>
      <c r="W22" s="127">
        <f t="shared" si="9"/>
        <v>1271.7</v>
      </c>
      <c r="X22" s="127">
        <f t="shared" si="9"/>
        <v>0</v>
      </c>
      <c r="Y22" s="127">
        <f t="shared" si="9"/>
        <v>0</v>
      </c>
      <c r="Z22" s="127">
        <f t="shared" si="9"/>
        <v>8000</v>
      </c>
      <c r="AA22" s="127">
        <f t="shared" si="9"/>
        <v>11000</v>
      </c>
      <c r="AB22" s="127">
        <f t="shared" si="9"/>
        <v>12000</v>
      </c>
      <c r="AC22" s="127">
        <f t="shared" si="9"/>
        <v>58801.9</v>
      </c>
      <c r="AD22" s="72">
        <f t="shared" si="6"/>
        <v>10198.099999999999</v>
      </c>
      <c r="AE22" s="192">
        <f t="shared" si="7"/>
        <v>0.17343147075179541</v>
      </c>
      <c r="AF22" s="129">
        <v>106522</v>
      </c>
      <c r="AG22" s="124">
        <f t="shared" si="3"/>
        <v>-37522</v>
      </c>
    </row>
    <row r="23" spans="1:33">
      <c r="C23" s="105" t="s">
        <v>154</v>
      </c>
      <c r="AF23" s="129"/>
      <c r="AG23" s="124">
        <f t="shared" si="3"/>
        <v>0</v>
      </c>
    </row>
    <row r="24" spans="1:33">
      <c r="A24" s="105" t="s">
        <v>406</v>
      </c>
      <c r="B24" s="105" t="s">
        <v>574</v>
      </c>
      <c r="C24" s="105" t="s">
        <v>408</v>
      </c>
      <c r="D24" s="72">
        <v>180000</v>
      </c>
      <c r="E24" s="72">
        <v>50000</v>
      </c>
      <c r="F24" s="72">
        <v>150000</v>
      </c>
      <c r="G24" s="72">
        <v>160000</v>
      </c>
      <c r="H24" s="72">
        <v>150000</v>
      </c>
      <c r="I24" s="72">
        <v>150000</v>
      </c>
      <c r="J24" s="123"/>
      <c r="K24" s="123"/>
      <c r="L24" s="123">
        <v>150000</v>
      </c>
      <c r="M24" s="123">
        <v>200000</v>
      </c>
      <c r="N24" s="123">
        <v>300000</v>
      </c>
      <c r="O24" s="123">
        <v>300000</v>
      </c>
      <c r="P24" s="127">
        <f>SUM(D24:O24)</f>
        <v>1790000</v>
      </c>
      <c r="Q24" s="72">
        <v>123585.4</v>
      </c>
      <c r="R24" s="72">
        <v>47169.8</v>
      </c>
      <c r="S24" s="72">
        <v>109151.3</v>
      </c>
      <c r="T24" s="72">
        <v>117594.6</v>
      </c>
      <c r="U24" s="72">
        <v>78302.2</v>
      </c>
      <c r="V24" s="72">
        <v>46226.6</v>
      </c>
      <c r="W24" s="72">
        <v>63079.8</v>
      </c>
      <c r="X24" s="72">
        <v>0</v>
      </c>
      <c r="Y24" s="72">
        <v>50000</v>
      </c>
      <c r="Z24" s="72">
        <v>100000</v>
      </c>
      <c r="AA24" s="72">
        <v>100000</v>
      </c>
      <c r="AB24" s="72">
        <v>100000</v>
      </c>
      <c r="AC24" s="127">
        <f>SUM(Q24:AB24)</f>
        <v>935109.7</v>
      </c>
      <c r="AD24" s="232">
        <f>P24-AC24</f>
        <v>854890.3</v>
      </c>
      <c r="AE24" s="192">
        <f>AD24/AC24</f>
        <v>0.91421391522299478</v>
      </c>
      <c r="AF24" s="129">
        <v>1007018.5499999999</v>
      </c>
      <c r="AG24" s="124">
        <f t="shared" si="3"/>
        <v>782981.45000000007</v>
      </c>
    </row>
    <row r="25" spans="1:33">
      <c r="A25" s="105" t="s">
        <v>411</v>
      </c>
      <c r="B25" s="105" t="s">
        <v>574</v>
      </c>
      <c r="C25" s="105" t="s">
        <v>499</v>
      </c>
      <c r="P25" s="12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5143.3600000000006</v>
      </c>
      <c r="AG25" s="124">
        <f t="shared" si="3"/>
        <v>-5143.3600000000006</v>
      </c>
    </row>
    <row r="26" spans="1:33">
      <c r="A26" s="105" t="s">
        <v>169</v>
      </c>
      <c r="B26" s="105" t="s">
        <v>574</v>
      </c>
      <c r="C26" s="105" t="s">
        <v>170</v>
      </c>
      <c r="P26" s="127">
        <f>SUM(D26:O26)</f>
        <v>0</v>
      </c>
      <c r="Q26" s="72">
        <v>0</v>
      </c>
      <c r="R26" s="72">
        <v>0</v>
      </c>
      <c r="S26" s="72">
        <v>0</v>
      </c>
      <c r="T26" s="72">
        <v>12.6</v>
      </c>
      <c r="U26" s="72">
        <v>0</v>
      </c>
      <c r="V26" s="72">
        <v>0</v>
      </c>
      <c r="W26" s="72">
        <v>11.7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24.299999999999997</v>
      </c>
      <c r="AD26" s="72">
        <f>P26-AC26</f>
        <v>-24.299999999999997</v>
      </c>
      <c r="AE26" s="192">
        <f>AD26/AC26</f>
        <v>-1</v>
      </c>
      <c r="AF26" s="129">
        <v>420.93</v>
      </c>
      <c r="AG26" s="124">
        <f t="shared" si="3"/>
        <v>-420.93</v>
      </c>
    </row>
    <row r="27" spans="1:33">
      <c r="C27" s="109" t="s">
        <v>500</v>
      </c>
      <c r="D27" s="127">
        <f t="shared" ref="D27:P27" si="10">SUM(D24:D26)+D14+D22</f>
        <v>368000</v>
      </c>
      <c r="E27" s="127">
        <f t="shared" si="10"/>
        <v>79500</v>
      </c>
      <c r="F27" s="127">
        <f t="shared" si="10"/>
        <v>375500</v>
      </c>
      <c r="G27" s="127">
        <f t="shared" si="10"/>
        <v>384500</v>
      </c>
      <c r="H27" s="127">
        <f t="shared" si="10"/>
        <v>338500</v>
      </c>
      <c r="I27" s="127">
        <f t="shared" si="10"/>
        <v>354000</v>
      </c>
      <c r="J27" s="127">
        <f t="shared" si="10"/>
        <v>105000</v>
      </c>
      <c r="K27" s="127">
        <f t="shared" si="10"/>
        <v>105000</v>
      </c>
      <c r="L27" s="127">
        <f t="shared" si="10"/>
        <v>427000</v>
      </c>
      <c r="M27" s="127">
        <f t="shared" si="10"/>
        <v>778000</v>
      </c>
      <c r="N27" s="127">
        <f t="shared" si="10"/>
        <v>1081000</v>
      </c>
      <c r="O27" s="127">
        <f t="shared" si="10"/>
        <v>1112000</v>
      </c>
      <c r="P27" s="127">
        <f t="shared" si="10"/>
        <v>5508000</v>
      </c>
      <c r="Q27" s="127">
        <f t="shared" ref="Q27:V27" si="11">SUM(Q24:Q26)+Q14+Q22</f>
        <v>286294.2</v>
      </c>
      <c r="R27" s="127">
        <f t="shared" si="11"/>
        <v>69585</v>
      </c>
      <c r="S27" s="127">
        <f t="shared" si="11"/>
        <v>270733</v>
      </c>
      <c r="T27" s="127">
        <f t="shared" si="11"/>
        <v>267630.59999999998</v>
      </c>
      <c r="U27" s="127">
        <f t="shared" si="11"/>
        <v>277436.69999999995</v>
      </c>
      <c r="V27" s="127">
        <f t="shared" si="11"/>
        <v>152139.60999999999</v>
      </c>
      <c r="W27" s="127">
        <f t="shared" ref="W27:AC27" si="12">SUM(W24:W26)+W14+W22</f>
        <v>129375.7</v>
      </c>
      <c r="X27" s="127">
        <f t="shared" si="12"/>
        <v>0</v>
      </c>
      <c r="Y27" s="127">
        <f t="shared" si="12"/>
        <v>320000</v>
      </c>
      <c r="Z27" s="127">
        <f t="shared" si="12"/>
        <v>538000</v>
      </c>
      <c r="AA27" s="127">
        <f t="shared" si="12"/>
        <v>676000</v>
      </c>
      <c r="AB27" s="127">
        <f t="shared" si="12"/>
        <v>701500</v>
      </c>
      <c r="AC27" s="127">
        <f t="shared" si="12"/>
        <v>3688694.81</v>
      </c>
      <c r="AD27" s="72">
        <f>P27-AC27</f>
        <v>1819305.19</v>
      </c>
      <c r="AE27" s="192">
        <f>AD27/AC27</f>
        <v>0.49321109056457829</v>
      </c>
      <c r="AF27" s="129">
        <v>4308302.18</v>
      </c>
      <c r="AG27" s="124">
        <f t="shared" si="3"/>
        <v>1199697.8200000003</v>
      </c>
    </row>
    <row r="28" spans="1:33">
      <c r="C28" s="105" t="s">
        <v>154</v>
      </c>
      <c r="AF28" s="129"/>
    </row>
    <row r="29" spans="1:33">
      <c r="C29" s="105" t="s">
        <v>414</v>
      </c>
      <c r="P29" s="211">
        <f>P30/P14</f>
        <v>0.28000000000000003</v>
      </c>
      <c r="AC29" s="211">
        <f>AC30/AC14</f>
        <v>0.27826512316829111</v>
      </c>
      <c r="AF29" s="129">
        <v>0.32080260044365894</v>
      </c>
    </row>
    <row r="30" spans="1:33">
      <c r="A30" s="105" t="s">
        <v>415</v>
      </c>
      <c r="B30" s="105" t="s">
        <v>574</v>
      </c>
      <c r="C30" s="105" t="s">
        <v>416</v>
      </c>
      <c r="D30" s="72">
        <f>ROUND(D14*0.28,0)</f>
        <v>51800</v>
      </c>
      <c r="E30" s="72">
        <f t="shared" ref="E30:O30" si="13">ROUND(E14*0.28,0)</f>
        <v>7420</v>
      </c>
      <c r="F30" s="72">
        <f t="shared" si="13"/>
        <v>60900</v>
      </c>
      <c r="G30" s="72">
        <f t="shared" si="13"/>
        <v>60900</v>
      </c>
      <c r="H30" s="72">
        <f t="shared" si="13"/>
        <v>51100</v>
      </c>
      <c r="I30" s="72">
        <f t="shared" si="13"/>
        <v>56000</v>
      </c>
      <c r="J30" s="72">
        <f t="shared" si="13"/>
        <v>29400</v>
      </c>
      <c r="K30" s="72">
        <f t="shared" si="13"/>
        <v>29400</v>
      </c>
      <c r="L30" s="72">
        <f t="shared" si="13"/>
        <v>75600</v>
      </c>
      <c r="M30" s="72">
        <f t="shared" si="13"/>
        <v>159600</v>
      </c>
      <c r="N30" s="72">
        <f t="shared" si="13"/>
        <v>215600</v>
      </c>
      <c r="O30" s="72">
        <f t="shared" si="13"/>
        <v>224000</v>
      </c>
      <c r="P30" s="127">
        <f>SUM(D30:O30)</f>
        <v>1021720</v>
      </c>
      <c r="Q30" s="72">
        <v>43270.34</v>
      </c>
      <c r="R30" s="72">
        <v>6273.78</v>
      </c>
      <c r="S30" s="72">
        <v>37938.15</v>
      </c>
      <c r="T30" s="72">
        <v>40382.74</v>
      </c>
      <c r="U30" s="72">
        <v>56115.19</v>
      </c>
      <c r="V30" s="72">
        <v>28333.97</v>
      </c>
      <c r="W30" s="72">
        <v>18283.25</v>
      </c>
      <c r="X30" s="72">
        <v>0</v>
      </c>
      <c r="Y30" s="72">
        <v>75600</v>
      </c>
      <c r="Z30" s="72">
        <v>120400</v>
      </c>
      <c r="AA30" s="72">
        <v>158200</v>
      </c>
      <c r="AB30" s="72">
        <v>165060</v>
      </c>
      <c r="AC30" s="127">
        <f>SUM(Q30:AB30)</f>
        <v>749857.41999999993</v>
      </c>
      <c r="AD30" s="72">
        <f t="shared" ref="AD30:AD33" si="14">P30-AC30</f>
        <v>271862.58000000007</v>
      </c>
      <c r="AE30" s="192">
        <f t="shared" ref="AE30:AE33" si="15">AD30/AC30</f>
        <v>0.3625523636213403</v>
      </c>
      <c r="AF30" s="129">
        <v>1023102.7999999999</v>
      </c>
      <c r="AG30" s="124">
        <f t="shared" ref="AG30:AG80" si="16">AF30-P30</f>
        <v>1382.7999999999302</v>
      </c>
    </row>
    <row r="31" spans="1:33">
      <c r="A31" s="105" t="s">
        <v>417</v>
      </c>
      <c r="B31" s="105" t="s">
        <v>574</v>
      </c>
      <c r="C31" s="105" t="s">
        <v>418</v>
      </c>
      <c r="D31" s="72">
        <f>ROUND(D22*0.2,0)</f>
        <v>600</v>
      </c>
      <c r="E31" s="72">
        <f t="shared" ref="E31:O31" si="17">ROUND(E22*0.2,0)</f>
        <v>600</v>
      </c>
      <c r="F31" s="72">
        <f t="shared" si="17"/>
        <v>1600</v>
      </c>
      <c r="G31" s="72">
        <f t="shared" si="17"/>
        <v>1400</v>
      </c>
      <c r="H31" s="72">
        <f t="shared" si="17"/>
        <v>1200</v>
      </c>
      <c r="I31" s="72">
        <f t="shared" si="17"/>
        <v>800</v>
      </c>
      <c r="J31" s="72">
        <f t="shared" si="17"/>
        <v>0</v>
      </c>
      <c r="K31" s="72">
        <f t="shared" si="17"/>
        <v>0</v>
      </c>
      <c r="L31" s="72">
        <f t="shared" si="17"/>
        <v>1400</v>
      </c>
      <c r="M31" s="72">
        <f t="shared" si="17"/>
        <v>1600</v>
      </c>
      <c r="N31" s="72">
        <f t="shared" si="17"/>
        <v>2200</v>
      </c>
      <c r="O31" s="72">
        <f t="shared" si="17"/>
        <v>2400</v>
      </c>
      <c r="P31" s="127">
        <f>SUM(D31:O31)</f>
        <v>13800</v>
      </c>
      <c r="Q31" s="72">
        <v>991.92</v>
      </c>
      <c r="R31" s="72">
        <v>0</v>
      </c>
      <c r="S31" s="72">
        <v>1419.84</v>
      </c>
      <c r="T31" s="72">
        <v>407.52</v>
      </c>
      <c r="U31" s="72">
        <v>310.08</v>
      </c>
      <c r="V31" s="72">
        <v>1086.49</v>
      </c>
      <c r="W31" s="72">
        <v>368.09</v>
      </c>
      <c r="X31" s="72">
        <v>0</v>
      </c>
      <c r="Y31" s="72">
        <v>0</v>
      </c>
      <c r="Z31" s="72">
        <v>1600</v>
      </c>
      <c r="AA31" s="72">
        <v>2200</v>
      </c>
      <c r="AB31" s="72">
        <v>2400</v>
      </c>
      <c r="AC31" s="127">
        <f>SUM(Q31:AB31)</f>
        <v>10783.939999999999</v>
      </c>
      <c r="AD31" s="72">
        <f t="shared" si="14"/>
        <v>3016.0600000000013</v>
      </c>
      <c r="AE31" s="192">
        <f t="shared" si="15"/>
        <v>0.27968071038970932</v>
      </c>
      <c r="AF31" s="129">
        <v>21456.04</v>
      </c>
      <c r="AG31" s="124">
        <f t="shared" si="16"/>
        <v>7656.0400000000009</v>
      </c>
    </row>
    <row r="32" spans="1:33">
      <c r="A32" s="105" t="s">
        <v>421</v>
      </c>
      <c r="B32" s="105" t="s">
        <v>574</v>
      </c>
      <c r="C32" s="105" t="s">
        <v>422</v>
      </c>
      <c r="P32" s="12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6003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6003</v>
      </c>
      <c r="AD32" s="72">
        <f t="shared" si="14"/>
        <v>-6003</v>
      </c>
      <c r="AE32" s="192">
        <f t="shared" si="15"/>
        <v>-1</v>
      </c>
      <c r="AF32" s="129">
        <v>0</v>
      </c>
      <c r="AG32" s="124">
        <f t="shared" si="16"/>
        <v>0</v>
      </c>
    </row>
    <row r="33" spans="1:34">
      <c r="C33" s="109" t="s">
        <v>501</v>
      </c>
      <c r="D33" s="127">
        <f t="shared" ref="D33:AC33" si="18">SUM(D30:D32)</f>
        <v>52400</v>
      </c>
      <c r="E33" s="127">
        <f t="shared" si="18"/>
        <v>8020</v>
      </c>
      <c r="F33" s="127">
        <f t="shared" si="18"/>
        <v>62500</v>
      </c>
      <c r="G33" s="127">
        <f t="shared" si="18"/>
        <v>62300</v>
      </c>
      <c r="H33" s="127">
        <f t="shared" si="18"/>
        <v>52300</v>
      </c>
      <c r="I33" s="127">
        <f t="shared" si="18"/>
        <v>56800</v>
      </c>
      <c r="J33" s="127">
        <f t="shared" si="18"/>
        <v>29400</v>
      </c>
      <c r="K33" s="127">
        <f t="shared" si="18"/>
        <v>29400</v>
      </c>
      <c r="L33" s="127">
        <f t="shared" si="18"/>
        <v>77000</v>
      </c>
      <c r="M33" s="127">
        <f t="shared" si="18"/>
        <v>161200</v>
      </c>
      <c r="N33" s="127">
        <f t="shared" si="18"/>
        <v>217800</v>
      </c>
      <c r="O33" s="127">
        <f t="shared" si="18"/>
        <v>226400</v>
      </c>
      <c r="P33" s="127">
        <f t="shared" si="18"/>
        <v>1035520</v>
      </c>
      <c r="Q33" s="127">
        <f t="shared" si="18"/>
        <v>44262.259999999995</v>
      </c>
      <c r="R33" s="127">
        <f t="shared" si="18"/>
        <v>6273.78</v>
      </c>
      <c r="S33" s="127">
        <f t="shared" si="18"/>
        <v>39357.99</v>
      </c>
      <c r="T33" s="127">
        <f t="shared" si="18"/>
        <v>40790.259999999995</v>
      </c>
      <c r="U33" s="127">
        <f t="shared" si="18"/>
        <v>56425.270000000004</v>
      </c>
      <c r="V33" s="127">
        <f t="shared" si="18"/>
        <v>29420.460000000003</v>
      </c>
      <c r="W33" s="127">
        <f t="shared" si="18"/>
        <v>24654.34</v>
      </c>
      <c r="X33" s="127">
        <f t="shared" si="18"/>
        <v>0</v>
      </c>
      <c r="Y33" s="127">
        <f t="shared" si="18"/>
        <v>75600</v>
      </c>
      <c r="Z33" s="127">
        <f t="shared" si="18"/>
        <v>122000</v>
      </c>
      <c r="AA33" s="127">
        <f t="shared" si="18"/>
        <v>160400</v>
      </c>
      <c r="AB33" s="127">
        <f t="shared" si="18"/>
        <v>167460</v>
      </c>
      <c r="AC33" s="127">
        <f t="shared" si="18"/>
        <v>766644.35999999987</v>
      </c>
      <c r="AD33" s="72">
        <f t="shared" si="14"/>
        <v>268875.64000000013</v>
      </c>
      <c r="AE33" s="192">
        <f t="shared" si="15"/>
        <v>0.35071756087790196</v>
      </c>
      <c r="AF33" s="129">
        <v>1044558.84</v>
      </c>
      <c r="AG33" s="124">
        <f t="shared" si="16"/>
        <v>9038.8399999999674</v>
      </c>
    </row>
    <row r="34" spans="1:34">
      <c r="C34" s="105" t="s">
        <v>154</v>
      </c>
      <c r="AF34" s="129"/>
      <c r="AG34" s="124">
        <f t="shared" si="16"/>
        <v>0</v>
      </c>
    </row>
    <row r="35" spans="1:34" s="109" customFormat="1">
      <c r="C35" s="109" t="s">
        <v>289</v>
      </c>
      <c r="D35" s="127">
        <f t="shared" ref="D35:AB35" si="19">D134</f>
        <v>35533.449999999997</v>
      </c>
      <c r="E35" s="127">
        <f t="shared" si="19"/>
        <v>29630.899999999998</v>
      </c>
      <c r="F35" s="127">
        <f t="shared" si="19"/>
        <v>29961.79</v>
      </c>
      <c r="G35" s="127">
        <f t="shared" si="19"/>
        <v>30566.89</v>
      </c>
      <c r="H35" s="127">
        <f t="shared" si="19"/>
        <v>32477.87</v>
      </c>
      <c r="I35" s="127">
        <f t="shared" si="19"/>
        <v>29990.300000000003</v>
      </c>
      <c r="J35" s="127">
        <f t="shared" si="19"/>
        <v>30085.460000000003</v>
      </c>
      <c r="K35" s="127">
        <f t="shared" si="19"/>
        <v>30065.220000000005</v>
      </c>
      <c r="L35" s="127">
        <f t="shared" si="19"/>
        <v>30065.220000000005</v>
      </c>
      <c r="M35" s="127">
        <f t="shared" si="19"/>
        <v>36716.370000000003</v>
      </c>
      <c r="N35" s="127">
        <f t="shared" si="19"/>
        <v>30056.95</v>
      </c>
      <c r="O35" s="127">
        <f t="shared" si="19"/>
        <v>30036.710000000003</v>
      </c>
      <c r="P35" s="129">
        <f t="shared" si="19"/>
        <v>375187.13</v>
      </c>
      <c r="Q35" s="127">
        <f t="shared" si="19"/>
        <v>35198.699999999997</v>
      </c>
      <c r="R35" s="127">
        <f t="shared" si="19"/>
        <v>40820.230000000003</v>
      </c>
      <c r="S35" s="127">
        <f t="shared" si="19"/>
        <v>35505.760000000002</v>
      </c>
      <c r="T35" s="127">
        <f t="shared" si="19"/>
        <v>33997.619999999995</v>
      </c>
      <c r="U35" s="127">
        <f t="shared" si="19"/>
        <v>33991.410000000003</v>
      </c>
      <c r="V35" s="127">
        <f t="shared" si="19"/>
        <v>33694.94</v>
      </c>
      <c r="W35" s="127">
        <f t="shared" si="19"/>
        <v>32843.5</v>
      </c>
      <c r="X35" s="127">
        <f t="shared" si="19"/>
        <v>32783.629999999997</v>
      </c>
      <c r="Y35" s="127">
        <f t="shared" si="19"/>
        <v>42591.33</v>
      </c>
      <c r="Z35" s="127">
        <f t="shared" si="19"/>
        <v>56868.33</v>
      </c>
      <c r="AA35" s="127">
        <f t="shared" si="19"/>
        <v>60554.33</v>
      </c>
      <c r="AB35" s="127">
        <f t="shared" si="19"/>
        <v>50555.33</v>
      </c>
      <c r="AC35" s="127">
        <f>SUM(Q35:AB35)</f>
        <v>489405.11000000004</v>
      </c>
      <c r="AD35" s="127">
        <f t="shared" ref="AD35" si="20">P35-AC35</f>
        <v>-114217.98000000004</v>
      </c>
      <c r="AE35" s="132">
        <f t="shared" ref="AE35" si="21">AD35/AC35</f>
        <v>-0.23338125750260358</v>
      </c>
      <c r="AF35" s="129">
        <v>676853.50999999989</v>
      </c>
      <c r="AG35" s="124">
        <f t="shared" si="16"/>
        <v>301666.37999999989</v>
      </c>
    </row>
    <row r="36" spans="1:34">
      <c r="C36" s="105" t="s">
        <v>154</v>
      </c>
      <c r="P36" s="129"/>
      <c r="AF36" s="129"/>
      <c r="AG36" s="124">
        <f t="shared" si="16"/>
        <v>0</v>
      </c>
    </row>
    <row r="37" spans="1:34">
      <c r="C37" s="109" t="s">
        <v>502</v>
      </c>
      <c r="P37" s="129"/>
      <c r="AF37" s="129"/>
      <c r="AG37" s="124">
        <f t="shared" si="16"/>
        <v>0</v>
      </c>
    </row>
    <row r="38" spans="1:34">
      <c r="A38" s="105" t="s">
        <v>424</v>
      </c>
      <c r="B38" s="105" t="s">
        <v>574</v>
      </c>
      <c r="C38" s="105" t="s">
        <v>425</v>
      </c>
      <c r="P38" s="133">
        <f t="shared" ref="P38:P78" si="22">SUM(D38:O38)</f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ref="AC38:AC79" si="23">SUM(Q38:AB38)</f>
        <v>0</v>
      </c>
      <c r="AD38" s="72">
        <f t="shared" ref="AD38:AD82" si="24">P38-AC38</f>
        <v>0</v>
      </c>
      <c r="AE38" s="192" t="e">
        <f t="shared" ref="AE38:AE82" si="25">AD38/AC38</f>
        <v>#DIV/0!</v>
      </c>
      <c r="AF38" s="129">
        <v>53637.36</v>
      </c>
      <c r="AG38" s="124">
        <f t="shared" si="16"/>
        <v>53637.36</v>
      </c>
    </row>
    <row r="39" spans="1:34">
      <c r="A39" s="105" t="s">
        <v>273</v>
      </c>
      <c r="C39" s="105" t="s">
        <v>426</v>
      </c>
      <c r="P39" s="133">
        <f t="shared" si="22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3"/>
        <v>0</v>
      </c>
      <c r="AD39" s="72">
        <f t="shared" si="24"/>
        <v>0</v>
      </c>
      <c r="AE39" s="192" t="e">
        <f t="shared" si="25"/>
        <v>#DIV/0!</v>
      </c>
      <c r="AF39" s="129">
        <v>0</v>
      </c>
      <c r="AG39" s="124">
        <f t="shared" si="16"/>
        <v>0</v>
      </c>
    </row>
    <row r="40" spans="1:34">
      <c r="A40" s="105" t="s">
        <v>273</v>
      </c>
      <c r="C40" s="105" t="s">
        <v>427</v>
      </c>
      <c r="P40" s="133">
        <f t="shared" si="22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3"/>
        <v>0</v>
      </c>
      <c r="AD40" s="72">
        <f t="shared" si="24"/>
        <v>0</v>
      </c>
      <c r="AE40" s="192" t="e">
        <f t="shared" si="25"/>
        <v>#DIV/0!</v>
      </c>
      <c r="AF40" s="129">
        <v>0</v>
      </c>
      <c r="AG40" s="124">
        <f t="shared" si="16"/>
        <v>0</v>
      </c>
    </row>
    <row r="41" spans="1:34">
      <c r="A41" s="105" t="s">
        <v>273</v>
      </c>
      <c r="C41" s="105" t="s">
        <v>428</v>
      </c>
      <c r="P41" s="133">
        <f t="shared" si="22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3"/>
        <v>0</v>
      </c>
      <c r="AD41" s="72">
        <f t="shared" si="24"/>
        <v>0</v>
      </c>
      <c r="AE41" s="192" t="e">
        <f t="shared" si="25"/>
        <v>#DIV/0!</v>
      </c>
      <c r="AF41" s="129">
        <v>0</v>
      </c>
      <c r="AG41" s="124">
        <f t="shared" si="16"/>
        <v>0</v>
      </c>
    </row>
    <row r="42" spans="1:34">
      <c r="A42" s="105" t="s">
        <v>429</v>
      </c>
      <c r="B42" s="105" t="s">
        <v>574</v>
      </c>
      <c r="C42" s="105" t="s">
        <v>143</v>
      </c>
      <c r="P42" s="133">
        <f t="shared" si="22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3"/>
        <v>0</v>
      </c>
      <c r="AD42" s="72">
        <f t="shared" si="24"/>
        <v>0</v>
      </c>
      <c r="AE42" s="192" t="e">
        <f t="shared" si="25"/>
        <v>#DIV/0!</v>
      </c>
      <c r="AF42" s="129">
        <v>0</v>
      </c>
      <c r="AG42" s="124">
        <f t="shared" si="16"/>
        <v>0</v>
      </c>
    </row>
    <row r="43" spans="1:34">
      <c r="A43" s="105" t="s">
        <v>180</v>
      </c>
      <c r="B43" s="105" t="s">
        <v>574</v>
      </c>
      <c r="C43" s="105" t="s">
        <v>144</v>
      </c>
      <c r="D43" s="174">
        <f t="shared" ref="D43:O43" si="26">+D138+D139+D140</f>
        <v>389</v>
      </c>
      <c r="E43" s="174">
        <f t="shared" si="26"/>
        <v>389</v>
      </c>
      <c r="F43" s="174">
        <f t="shared" si="26"/>
        <v>389</v>
      </c>
      <c r="G43" s="174">
        <f t="shared" si="26"/>
        <v>389</v>
      </c>
      <c r="H43" s="174">
        <f t="shared" si="26"/>
        <v>389</v>
      </c>
      <c r="I43" s="174">
        <f t="shared" si="26"/>
        <v>389</v>
      </c>
      <c r="J43" s="174">
        <f t="shared" si="26"/>
        <v>389</v>
      </c>
      <c r="K43" s="174">
        <f t="shared" si="26"/>
        <v>389</v>
      </c>
      <c r="L43" s="174">
        <f t="shared" si="26"/>
        <v>389</v>
      </c>
      <c r="M43" s="174">
        <f t="shared" si="26"/>
        <v>389</v>
      </c>
      <c r="N43" s="174">
        <f t="shared" si="26"/>
        <v>389</v>
      </c>
      <c r="O43" s="174">
        <f t="shared" si="26"/>
        <v>389</v>
      </c>
      <c r="P43" s="133">
        <f t="shared" si="22"/>
        <v>4668</v>
      </c>
      <c r="Q43" s="72">
        <v>1864.08</v>
      </c>
      <c r="R43" s="72">
        <v>0</v>
      </c>
      <c r="S43" s="72">
        <v>-298.33</v>
      </c>
      <c r="T43" s="72">
        <v>393.87</v>
      </c>
      <c r="U43" s="72">
        <v>833.21</v>
      </c>
      <c r="V43" s="72">
        <v>-18.25</v>
      </c>
      <c r="W43" s="72">
        <v>-52.08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127">
        <f t="shared" si="23"/>
        <v>2722.5</v>
      </c>
      <c r="AD43" s="72">
        <f t="shared" si="24"/>
        <v>1945.5</v>
      </c>
      <c r="AE43" s="192">
        <f t="shared" si="25"/>
        <v>0.71460055096418729</v>
      </c>
      <c r="AF43" s="129">
        <v>213944.14</v>
      </c>
      <c r="AG43" s="124">
        <f t="shared" si="16"/>
        <v>209276.14</v>
      </c>
      <c r="AH43" s="124"/>
    </row>
    <row r="44" spans="1:34">
      <c r="A44" s="105" t="s">
        <v>181</v>
      </c>
      <c r="B44" s="105" t="s">
        <v>574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133">
        <f t="shared" si="22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3"/>
        <v>0</v>
      </c>
      <c r="AD44" s="72">
        <f t="shared" si="24"/>
        <v>0</v>
      </c>
      <c r="AE44" s="192" t="e">
        <f t="shared" si="25"/>
        <v>#DIV/0!</v>
      </c>
      <c r="AF44" s="129">
        <v>0</v>
      </c>
      <c r="AG44" s="124">
        <f t="shared" si="16"/>
        <v>0</v>
      </c>
    </row>
    <row r="45" spans="1:34">
      <c r="A45" s="105" t="s">
        <v>430</v>
      </c>
      <c r="B45" s="105" t="s">
        <v>574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133">
        <f t="shared" si="22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3"/>
        <v>0</v>
      </c>
      <c r="AD45" s="72">
        <f t="shared" si="24"/>
        <v>0</v>
      </c>
      <c r="AE45" s="192" t="e">
        <f t="shared" si="25"/>
        <v>#DIV/0!</v>
      </c>
      <c r="AF45" s="129">
        <v>0</v>
      </c>
      <c r="AG45" s="124">
        <f t="shared" si="16"/>
        <v>0</v>
      </c>
    </row>
    <row r="46" spans="1:34">
      <c r="A46" s="105" t="s">
        <v>183</v>
      </c>
      <c r="B46" s="105" t="s">
        <v>574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133">
        <f>SUM(D46:O46)</f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3"/>
        <v>0</v>
      </c>
      <c r="AD46" s="72">
        <f t="shared" si="24"/>
        <v>0</v>
      </c>
      <c r="AE46" s="192" t="e">
        <f t="shared" si="25"/>
        <v>#DIV/0!</v>
      </c>
      <c r="AF46" s="129">
        <v>0</v>
      </c>
      <c r="AG46" s="124">
        <f t="shared" si="16"/>
        <v>0</v>
      </c>
    </row>
    <row r="47" spans="1:34">
      <c r="A47" s="105" t="s">
        <v>273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133">
        <f t="shared" si="22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3"/>
        <v>0</v>
      </c>
      <c r="AD47" s="72">
        <f t="shared" si="24"/>
        <v>0</v>
      </c>
      <c r="AE47" s="192" t="e">
        <f t="shared" si="25"/>
        <v>#DIV/0!</v>
      </c>
      <c r="AF47" s="129">
        <v>0</v>
      </c>
      <c r="AG47" s="124">
        <f t="shared" si="16"/>
        <v>0</v>
      </c>
    </row>
    <row r="48" spans="1:34">
      <c r="A48" s="105" t="s">
        <v>185</v>
      </c>
      <c r="B48" s="105" t="s">
        <v>574</v>
      </c>
      <c r="C48" s="105" t="s">
        <v>186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133">
        <f t="shared" si="22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3"/>
        <v>0</v>
      </c>
      <c r="AD48" s="72">
        <f t="shared" si="24"/>
        <v>0</v>
      </c>
      <c r="AE48" s="192" t="e">
        <f t="shared" si="25"/>
        <v>#DIV/0!</v>
      </c>
      <c r="AF48" s="129">
        <v>0</v>
      </c>
      <c r="AG48" s="124">
        <f t="shared" si="16"/>
        <v>0</v>
      </c>
    </row>
    <row r="49" spans="1:33">
      <c r="A49" s="105" t="s">
        <v>187</v>
      </c>
      <c r="B49" s="105" t="s">
        <v>574</v>
      </c>
      <c r="C49" s="105" t="s">
        <v>188</v>
      </c>
      <c r="D49" s="72">
        <v>1000</v>
      </c>
      <c r="E49" s="72">
        <v>1000</v>
      </c>
      <c r="F49" s="72">
        <v>1000</v>
      </c>
      <c r="G49" s="72">
        <v>1000</v>
      </c>
      <c r="H49" s="72">
        <v>1000</v>
      </c>
      <c r="I49" s="72">
        <v>1000</v>
      </c>
      <c r="J49" s="72">
        <v>1000</v>
      </c>
      <c r="K49" s="72">
        <v>1000</v>
      </c>
      <c r="L49" s="72">
        <v>1000</v>
      </c>
      <c r="M49" s="72">
        <v>1000</v>
      </c>
      <c r="N49" s="72">
        <v>3900</v>
      </c>
      <c r="O49" s="72">
        <v>4500</v>
      </c>
      <c r="P49" s="133">
        <f t="shared" si="22"/>
        <v>18400</v>
      </c>
      <c r="Q49" s="72">
        <v>908.5</v>
      </c>
      <c r="R49" s="72">
        <v>0</v>
      </c>
      <c r="S49" s="72">
        <v>708</v>
      </c>
      <c r="T49" s="72">
        <v>708</v>
      </c>
      <c r="U49" s="72">
        <v>708</v>
      </c>
      <c r="V49" s="72">
        <v>708</v>
      </c>
      <c r="W49" s="72">
        <v>889</v>
      </c>
      <c r="X49" s="72">
        <v>0</v>
      </c>
      <c r="Y49" s="72">
        <v>500</v>
      </c>
      <c r="Z49" s="72">
        <v>1200</v>
      </c>
      <c r="AA49" s="72">
        <v>3900</v>
      </c>
      <c r="AB49" s="72">
        <v>4500</v>
      </c>
      <c r="AC49" s="127">
        <f t="shared" si="23"/>
        <v>14729.5</v>
      </c>
      <c r="AD49" s="72">
        <f t="shared" si="24"/>
        <v>3670.5</v>
      </c>
      <c r="AE49" s="192">
        <f t="shared" si="25"/>
        <v>0.24919379476560644</v>
      </c>
      <c r="AF49" s="129">
        <v>11896.14</v>
      </c>
      <c r="AG49" s="124">
        <f t="shared" si="16"/>
        <v>-6503.8600000000006</v>
      </c>
    </row>
    <row r="50" spans="1:33">
      <c r="A50" s="105" t="s">
        <v>195</v>
      </c>
      <c r="B50" s="105" t="s">
        <v>574</v>
      </c>
      <c r="C50" s="105" t="s">
        <v>196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133">
        <f t="shared" si="22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3"/>
        <v>0</v>
      </c>
      <c r="AD50" s="72">
        <f t="shared" si="24"/>
        <v>0</v>
      </c>
      <c r="AE50" s="192" t="e">
        <f t="shared" si="25"/>
        <v>#DIV/0!</v>
      </c>
      <c r="AF50" s="129">
        <v>0</v>
      </c>
      <c r="AG50" s="124">
        <f t="shared" si="16"/>
        <v>0</v>
      </c>
    </row>
    <row r="51" spans="1:33">
      <c r="A51" s="105" t="s">
        <v>197</v>
      </c>
      <c r="B51" s="105" t="s">
        <v>574</v>
      </c>
      <c r="C51" s="105" t="s">
        <v>305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  <c r="J51" s="72">
        <v>0</v>
      </c>
      <c r="K51" s="72">
        <v>0</v>
      </c>
      <c r="L51" s="72">
        <v>0</v>
      </c>
      <c r="M51" s="72">
        <v>0</v>
      </c>
      <c r="N51" s="72">
        <v>0</v>
      </c>
      <c r="O51" s="72">
        <v>0</v>
      </c>
      <c r="P51" s="133">
        <f t="shared" si="22"/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23"/>
        <v>0</v>
      </c>
      <c r="AD51" s="72">
        <f t="shared" si="24"/>
        <v>0</v>
      </c>
      <c r="AE51" s="192" t="e">
        <f t="shared" si="25"/>
        <v>#DIV/0!</v>
      </c>
      <c r="AF51" s="129">
        <v>419.9</v>
      </c>
      <c r="AG51" s="124">
        <f t="shared" si="16"/>
        <v>419.9</v>
      </c>
    </row>
    <row r="52" spans="1:33">
      <c r="A52" s="105" t="s">
        <v>434</v>
      </c>
      <c r="B52" s="105" t="s">
        <v>574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133">
        <f t="shared" si="22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3"/>
        <v>0</v>
      </c>
      <c r="AD52" s="72">
        <f t="shared" si="24"/>
        <v>0</v>
      </c>
      <c r="AE52" s="192" t="e">
        <f t="shared" si="25"/>
        <v>#DIV/0!</v>
      </c>
      <c r="AF52" s="129">
        <v>0</v>
      </c>
      <c r="AG52" s="124">
        <f t="shared" si="16"/>
        <v>0</v>
      </c>
    </row>
    <row r="53" spans="1:33">
      <c r="A53" s="105" t="s">
        <v>436</v>
      </c>
      <c r="B53" s="105" t="s">
        <v>574</v>
      </c>
      <c r="C53" s="105" t="s">
        <v>437</v>
      </c>
      <c r="D53" s="72">
        <v>500</v>
      </c>
      <c r="E53" s="72">
        <v>500</v>
      </c>
      <c r="F53" s="72">
        <v>500</v>
      </c>
      <c r="G53" s="72">
        <v>500</v>
      </c>
      <c r="H53" s="72">
        <v>500</v>
      </c>
      <c r="I53" s="72">
        <v>0</v>
      </c>
      <c r="J53" s="72">
        <v>500</v>
      </c>
      <c r="K53" s="72">
        <v>500</v>
      </c>
      <c r="L53" s="72">
        <v>0</v>
      </c>
      <c r="M53" s="72">
        <v>500</v>
      </c>
      <c r="N53" s="72">
        <v>500</v>
      </c>
      <c r="O53" s="72">
        <v>500</v>
      </c>
      <c r="P53" s="133">
        <f t="shared" si="22"/>
        <v>5000</v>
      </c>
      <c r="Q53" s="72">
        <v>1500</v>
      </c>
      <c r="R53" s="72">
        <v>1500</v>
      </c>
      <c r="S53" s="72">
        <v>1500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3"/>
        <v>4500</v>
      </c>
      <c r="AD53" s="72">
        <f t="shared" si="24"/>
        <v>500</v>
      </c>
      <c r="AE53" s="192">
        <f t="shared" si="25"/>
        <v>0.1111111111111111</v>
      </c>
      <c r="AF53" s="129">
        <v>0</v>
      </c>
      <c r="AG53" s="124">
        <f t="shared" si="16"/>
        <v>-5000</v>
      </c>
    </row>
    <row r="54" spans="1:33">
      <c r="A54" s="105" t="s">
        <v>199</v>
      </c>
      <c r="B54" s="105" t="s">
        <v>574</v>
      </c>
      <c r="C54" s="105" t="s">
        <v>200</v>
      </c>
      <c r="D54" s="72">
        <v>500</v>
      </c>
      <c r="E54" s="72">
        <v>500</v>
      </c>
      <c r="F54" s="72">
        <v>500</v>
      </c>
      <c r="G54" s="72">
        <v>500</v>
      </c>
      <c r="H54" s="72">
        <v>500</v>
      </c>
      <c r="I54" s="72">
        <v>0</v>
      </c>
      <c r="J54" s="72">
        <v>500</v>
      </c>
      <c r="K54" s="72">
        <v>500</v>
      </c>
      <c r="L54" s="72">
        <v>0</v>
      </c>
      <c r="M54" s="72">
        <v>500</v>
      </c>
      <c r="N54" s="72">
        <v>500</v>
      </c>
      <c r="O54" s="72">
        <v>500</v>
      </c>
      <c r="P54" s="133">
        <f t="shared" si="22"/>
        <v>5000</v>
      </c>
      <c r="Q54" s="72">
        <v>4000</v>
      </c>
      <c r="R54" s="72">
        <v>4000</v>
      </c>
      <c r="S54" s="72">
        <v>4000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3"/>
        <v>12000</v>
      </c>
      <c r="AD54" s="72">
        <f t="shared" si="24"/>
        <v>-7000</v>
      </c>
      <c r="AE54" s="192">
        <f t="shared" si="25"/>
        <v>-0.58333333333333337</v>
      </c>
      <c r="AF54" s="129">
        <v>-29000</v>
      </c>
      <c r="AG54" s="124">
        <f t="shared" si="16"/>
        <v>-34000</v>
      </c>
    </row>
    <row r="55" spans="1:33">
      <c r="A55" s="105" t="s">
        <v>438</v>
      </c>
      <c r="B55" s="105" t="s">
        <v>574</v>
      </c>
      <c r="C55" s="105" t="s">
        <v>439</v>
      </c>
      <c r="D55" s="72">
        <v>500</v>
      </c>
      <c r="E55" s="72">
        <v>500</v>
      </c>
      <c r="F55" s="72">
        <v>500</v>
      </c>
      <c r="G55" s="72">
        <v>500</v>
      </c>
      <c r="H55" s="72">
        <v>500</v>
      </c>
      <c r="I55" s="72">
        <v>0</v>
      </c>
      <c r="J55" s="72">
        <v>500</v>
      </c>
      <c r="K55" s="72">
        <v>500</v>
      </c>
      <c r="L55" s="72">
        <v>0</v>
      </c>
      <c r="M55" s="72">
        <v>7500</v>
      </c>
      <c r="N55" s="72">
        <v>500</v>
      </c>
      <c r="O55" s="72">
        <v>500</v>
      </c>
      <c r="P55" s="133">
        <f t="shared" si="22"/>
        <v>12000</v>
      </c>
      <c r="Q55" s="72">
        <v>4000</v>
      </c>
      <c r="R55" s="72">
        <v>4000</v>
      </c>
      <c r="S55" s="72">
        <v>4000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3"/>
        <v>12000</v>
      </c>
      <c r="AD55" s="72">
        <f t="shared" si="24"/>
        <v>0</v>
      </c>
      <c r="AE55" s="192">
        <f t="shared" si="25"/>
        <v>0</v>
      </c>
      <c r="AF55" s="129">
        <v>0</v>
      </c>
      <c r="AG55" s="124">
        <f t="shared" si="16"/>
        <v>-12000</v>
      </c>
    </row>
    <row r="56" spans="1:33">
      <c r="A56" s="105" t="s">
        <v>201</v>
      </c>
      <c r="B56" s="105" t="s">
        <v>574</v>
      </c>
      <c r="C56" s="105" t="s">
        <v>202</v>
      </c>
      <c r="D56" s="72">
        <v>1000</v>
      </c>
      <c r="E56" s="72">
        <v>1000</v>
      </c>
      <c r="F56" s="72">
        <v>1000</v>
      </c>
      <c r="G56" s="72">
        <v>1000</v>
      </c>
      <c r="H56" s="72">
        <v>1000</v>
      </c>
      <c r="I56" s="72">
        <v>0</v>
      </c>
      <c r="J56" s="72">
        <v>1000</v>
      </c>
      <c r="K56" s="72">
        <v>1000</v>
      </c>
      <c r="L56" s="72">
        <v>0</v>
      </c>
      <c r="M56" s="72">
        <v>1000</v>
      </c>
      <c r="N56" s="72">
        <v>1000</v>
      </c>
      <c r="O56" s="72">
        <v>1000</v>
      </c>
      <c r="P56" s="133">
        <f t="shared" si="22"/>
        <v>10000</v>
      </c>
      <c r="Q56" s="72">
        <v>426.99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5000</v>
      </c>
      <c r="Z56" s="72">
        <v>5000</v>
      </c>
      <c r="AA56" s="72">
        <v>5000</v>
      </c>
      <c r="AB56" s="72">
        <v>5000</v>
      </c>
      <c r="AC56" s="127">
        <f t="shared" si="23"/>
        <v>20426.989999999998</v>
      </c>
      <c r="AD56" s="72">
        <f t="shared" si="24"/>
        <v>-10426.989999999998</v>
      </c>
      <c r="AE56" s="192">
        <f t="shared" si="25"/>
        <v>-0.51045161328223099</v>
      </c>
      <c r="AF56" s="129">
        <v>15189.03</v>
      </c>
      <c r="AG56" s="124">
        <f t="shared" si="16"/>
        <v>5189.0300000000007</v>
      </c>
    </row>
    <row r="57" spans="1:33">
      <c r="A57" s="105" t="s">
        <v>440</v>
      </c>
      <c r="B57" s="105" t="s">
        <v>574</v>
      </c>
      <c r="C57" s="105" t="s">
        <v>441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133">
        <f t="shared" si="22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3"/>
        <v>0</v>
      </c>
      <c r="AD57" s="72">
        <f t="shared" si="24"/>
        <v>0</v>
      </c>
      <c r="AE57" s="192" t="e">
        <f t="shared" si="25"/>
        <v>#DIV/0!</v>
      </c>
      <c r="AF57" s="129">
        <v>270</v>
      </c>
      <c r="AG57" s="124">
        <f t="shared" si="16"/>
        <v>270</v>
      </c>
    </row>
    <row r="58" spans="1:33">
      <c r="A58" s="105" t="s">
        <v>442</v>
      </c>
      <c r="B58" s="105" t="s">
        <v>574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133">
        <f t="shared" si="22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3"/>
        <v>0</v>
      </c>
      <c r="AD58" s="72">
        <f t="shared" si="24"/>
        <v>0</v>
      </c>
      <c r="AE58" s="192" t="e">
        <f t="shared" si="25"/>
        <v>#DIV/0!</v>
      </c>
      <c r="AF58" s="129">
        <v>0</v>
      </c>
      <c r="AG58" s="124">
        <f t="shared" si="16"/>
        <v>0</v>
      </c>
    </row>
    <row r="59" spans="1:33">
      <c r="A59" s="105" t="s">
        <v>203</v>
      </c>
      <c r="B59" s="105" t="s">
        <v>574</v>
      </c>
      <c r="C59" s="105" t="s">
        <v>204</v>
      </c>
      <c r="D59" s="72">
        <v>55</v>
      </c>
      <c r="E59" s="72">
        <v>55</v>
      </c>
      <c r="F59" s="72">
        <v>55</v>
      </c>
      <c r="G59" s="72">
        <v>55</v>
      </c>
      <c r="H59" s="72">
        <v>55</v>
      </c>
      <c r="I59" s="72">
        <v>55</v>
      </c>
      <c r="J59" s="72">
        <v>55</v>
      </c>
      <c r="K59" s="72">
        <v>55</v>
      </c>
      <c r="L59" s="72">
        <v>55</v>
      </c>
      <c r="M59" s="72">
        <v>55</v>
      </c>
      <c r="N59" s="72">
        <v>55</v>
      </c>
      <c r="O59" s="72">
        <v>55</v>
      </c>
      <c r="P59" s="133">
        <f t="shared" si="22"/>
        <v>660</v>
      </c>
      <c r="Q59" s="72">
        <v>92</v>
      </c>
      <c r="R59" s="72">
        <v>92</v>
      </c>
      <c r="S59" s="72">
        <v>92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3"/>
        <v>276</v>
      </c>
      <c r="AD59" s="72">
        <f t="shared" si="24"/>
        <v>384</v>
      </c>
      <c r="AE59" s="192">
        <f t="shared" si="25"/>
        <v>1.3913043478260869</v>
      </c>
      <c r="AF59" s="129">
        <v>11594.54</v>
      </c>
      <c r="AG59" s="124">
        <f t="shared" si="16"/>
        <v>10934.54</v>
      </c>
    </row>
    <row r="60" spans="1:33">
      <c r="A60" s="105" t="s">
        <v>444</v>
      </c>
      <c r="B60" s="105" t="s">
        <v>574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133">
        <f t="shared" si="22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3"/>
        <v>0</v>
      </c>
      <c r="AD60" s="72">
        <f t="shared" si="24"/>
        <v>0</v>
      </c>
      <c r="AE60" s="192" t="e">
        <f t="shared" si="25"/>
        <v>#DIV/0!</v>
      </c>
      <c r="AF60" s="129">
        <v>70</v>
      </c>
      <c r="AG60" s="124">
        <f t="shared" si="16"/>
        <v>70</v>
      </c>
    </row>
    <row r="61" spans="1:33">
      <c r="A61" s="105" t="s">
        <v>446</v>
      </c>
      <c r="B61" s="105" t="s">
        <v>574</v>
      </c>
      <c r="C61" s="105" t="s">
        <v>447</v>
      </c>
      <c r="D61" s="72">
        <v>500</v>
      </c>
      <c r="E61" s="72">
        <v>500</v>
      </c>
      <c r="F61" s="72">
        <v>500</v>
      </c>
      <c r="G61" s="72">
        <v>500</v>
      </c>
      <c r="H61" s="72">
        <v>500</v>
      </c>
      <c r="I61" s="72">
        <v>500</v>
      </c>
      <c r="J61" s="72">
        <v>500</v>
      </c>
      <c r="K61" s="72">
        <v>500</v>
      </c>
      <c r="L61" s="72">
        <v>500</v>
      </c>
      <c r="M61" s="72">
        <v>500</v>
      </c>
      <c r="N61" s="72">
        <v>500</v>
      </c>
      <c r="O61" s="72">
        <v>500</v>
      </c>
      <c r="P61" s="133">
        <f t="shared" si="22"/>
        <v>6000</v>
      </c>
      <c r="Q61" s="72">
        <v>0</v>
      </c>
      <c r="R61" s="72">
        <v>0</v>
      </c>
      <c r="S61" s="72">
        <v>0</v>
      </c>
      <c r="T61" s="72">
        <v>1226.42</v>
      </c>
      <c r="U61" s="72">
        <v>613.21</v>
      </c>
      <c r="V61" s="72">
        <v>613.21</v>
      </c>
      <c r="W61" s="72">
        <v>613.21</v>
      </c>
      <c r="X61" s="72">
        <v>613.21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3"/>
        <v>3679.26</v>
      </c>
      <c r="AD61" s="72">
        <f t="shared" si="24"/>
        <v>2320.7399999999998</v>
      </c>
      <c r="AE61" s="192">
        <f t="shared" si="25"/>
        <v>0.63076270771839982</v>
      </c>
      <c r="AF61" s="129">
        <v>0</v>
      </c>
      <c r="AG61" s="124">
        <f t="shared" si="16"/>
        <v>-6000</v>
      </c>
    </row>
    <row r="62" spans="1:33">
      <c r="A62" s="105" t="s">
        <v>273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133">
        <f t="shared" si="22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3"/>
        <v>0</v>
      </c>
      <c r="AD62" s="72">
        <f t="shared" si="24"/>
        <v>0</v>
      </c>
      <c r="AE62" s="192" t="e">
        <f t="shared" si="25"/>
        <v>#DIV/0!</v>
      </c>
      <c r="AF62" s="129">
        <v>0</v>
      </c>
      <c r="AG62" s="124">
        <f t="shared" si="16"/>
        <v>0</v>
      </c>
    </row>
    <row r="63" spans="1:33">
      <c r="A63" s="105" t="s">
        <v>207</v>
      </c>
      <c r="B63" s="105" t="s">
        <v>574</v>
      </c>
      <c r="C63" s="105" t="s">
        <v>208</v>
      </c>
      <c r="D63" s="72">
        <v>1000</v>
      </c>
      <c r="E63" s="72">
        <v>1000</v>
      </c>
      <c r="F63" s="72">
        <v>1000</v>
      </c>
      <c r="G63" s="72">
        <v>1000</v>
      </c>
      <c r="H63" s="72">
        <v>1000</v>
      </c>
      <c r="I63" s="72">
        <v>1000</v>
      </c>
      <c r="J63" s="72">
        <v>1000</v>
      </c>
      <c r="K63" s="72">
        <v>1000</v>
      </c>
      <c r="L63" s="72">
        <v>1000</v>
      </c>
      <c r="M63" s="72">
        <v>1000</v>
      </c>
      <c r="N63" s="72">
        <v>1000</v>
      </c>
      <c r="O63" s="72">
        <v>1000</v>
      </c>
      <c r="P63" s="133">
        <f t="shared" si="22"/>
        <v>12000</v>
      </c>
      <c r="Q63" s="72">
        <v>507.97</v>
      </c>
      <c r="R63" s="72">
        <v>1619.42</v>
      </c>
      <c r="S63" s="72">
        <v>591.44000000000005</v>
      </c>
      <c r="T63" s="72">
        <v>2093.66</v>
      </c>
      <c r="U63" s="72">
        <v>2085.7800000000002</v>
      </c>
      <c r="V63" s="72">
        <v>1281.95</v>
      </c>
      <c r="W63" s="72">
        <v>815.06</v>
      </c>
      <c r="X63" s="72">
        <v>623.51</v>
      </c>
      <c r="Y63" s="72">
        <v>700</v>
      </c>
      <c r="Z63" s="72">
        <v>1500</v>
      </c>
      <c r="AA63" s="72">
        <v>3000</v>
      </c>
      <c r="AB63" s="72">
        <v>3000</v>
      </c>
      <c r="AC63" s="127">
        <f t="shared" si="23"/>
        <v>17818.79</v>
      </c>
      <c r="AD63" s="72">
        <f t="shared" si="24"/>
        <v>-5818.7900000000009</v>
      </c>
      <c r="AE63" s="192">
        <f t="shared" si="25"/>
        <v>-0.32655359875726692</v>
      </c>
      <c r="AF63" s="129">
        <v>36625.899999999994</v>
      </c>
      <c r="AG63" s="124">
        <f t="shared" si="16"/>
        <v>24625.899999999994</v>
      </c>
    </row>
    <row r="64" spans="1:33">
      <c r="A64" s="105" t="s">
        <v>449</v>
      </c>
      <c r="B64" s="105" t="s">
        <v>574</v>
      </c>
      <c r="C64" s="105" t="s">
        <v>450</v>
      </c>
      <c r="D64" s="72">
        <v>114</v>
      </c>
      <c r="E64" s="72">
        <v>114</v>
      </c>
      <c r="F64" s="72">
        <v>114</v>
      </c>
      <c r="G64" s="72">
        <v>114</v>
      </c>
      <c r="H64" s="72">
        <v>114</v>
      </c>
      <c r="I64" s="72">
        <v>114</v>
      </c>
      <c r="J64" s="72">
        <v>114</v>
      </c>
      <c r="K64" s="72">
        <v>114</v>
      </c>
      <c r="L64" s="72">
        <v>114</v>
      </c>
      <c r="M64" s="72">
        <v>114</v>
      </c>
      <c r="N64" s="72">
        <v>114</v>
      </c>
      <c r="O64" s="72">
        <v>114</v>
      </c>
      <c r="P64" s="133">
        <f t="shared" si="22"/>
        <v>1368</v>
      </c>
      <c r="Q64" s="72">
        <v>114.35</v>
      </c>
      <c r="R64" s="72">
        <v>114.35</v>
      </c>
      <c r="S64" s="72">
        <v>114.35</v>
      </c>
      <c r="T64" s="72">
        <v>114.35</v>
      </c>
      <c r="U64" s="72">
        <v>114.35</v>
      </c>
      <c r="V64" s="72">
        <v>54.25</v>
      </c>
      <c r="W64" s="72">
        <v>54.25</v>
      </c>
      <c r="X64" s="72">
        <v>54.25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23"/>
        <v>734.5</v>
      </c>
      <c r="AD64" s="72">
        <f t="shared" si="24"/>
        <v>633.5</v>
      </c>
      <c r="AE64" s="192">
        <f t="shared" si="25"/>
        <v>0.86249149081007492</v>
      </c>
      <c r="AF64" s="129">
        <v>2015.1200000000003</v>
      </c>
      <c r="AG64" s="124">
        <f t="shared" si="16"/>
        <v>647.12000000000035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133">
        <f t="shared" si="22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3"/>
        <v>0</v>
      </c>
      <c r="AD65" s="72">
        <f t="shared" si="24"/>
        <v>0</v>
      </c>
      <c r="AE65" s="192" t="e">
        <f t="shared" si="25"/>
        <v>#DIV/0!</v>
      </c>
      <c r="AF65" s="129">
        <v>0</v>
      </c>
      <c r="AG65" s="124">
        <f t="shared" si="16"/>
        <v>0</v>
      </c>
    </row>
    <row r="66" spans="1:33">
      <c r="A66" s="105" t="s">
        <v>452</v>
      </c>
      <c r="B66" s="105" t="s">
        <v>574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133">
        <f t="shared" si="22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3"/>
        <v>0</v>
      </c>
      <c r="AD66" s="72">
        <f t="shared" si="24"/>
        <v>0</v>
      </c>
      <c r="AE66" s="192" t="e">
        <f t="shared" si="25"/>
        <v>#DIV/0!</v>
      </c>
      <c r="AF66" s="129">
        <v>0</v>
      </c>
      <c r="AG66" s="124">
        <f t="shared" si="16"/>
        <v>0</v>
      </c>
    </row>
    <row r="67" spans="1:33">
      <c r="A67" s="105" t="s">
        <v>454</v>
      </c>
      <c r="B67" s="105" t="s">
        <v>574</v>
      </c>
      <c r="C67" s="105" t="s">
        <v>455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133">
        <f t="shared" si="22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3"/>
        <v>0</v>
      </c>
      <c r="AD67" s="72">
        <f t="shared" si="24"/>
        <v>0</v>
      </c>
      <c r="AE67" s="192" t="e">
        <f t="shared" si="25"/>
        <v>#DIV/0!</v>
      </c>
      <c r="AF67" s="133">
        <v>0</v>
      </c>
      <c r="AG67" s="124">
        <f t="shared" si="16"/>
        <v>0</v>
      </c>
    </row>
    <row r="68" spans="1:33">
      <c r="A68" s="105" t="s">
        <v>456</v>
      </c>
      <c r="B68" s="105" t="s">
        <v>574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133">
        <f t="shared" si="22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3"/>
        <v>0</v>
      </c>
      <c r="AD68" s="72">
        <f t="shared" si="24"/>
        <v>0</v>
      </c>
      <c r="AE68" s="192" t="e">
        <f t="shared" si="25"/>
        <v>#DIV/0!</v>
      </c>
      <c r="AF68" s="133">
        <v>0</v>
      </c>
      <c r="AG68" s="124">
        <f t="shared" si="16"/>
        <v>0</v>
      </c>
    </row>
    <row r="69" spans="1:33">
      <c r="A69" s="105" t="s">
        <v>273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133">
        <f t="shared" si="22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3"/>
        <v>0</v>
      </c>
      <c r="AD69" s="72">
        <f t="shared" si="24"/>
        <v>0</v>
      </c>
      <c r="AE69" s="192" t="e">
        <f t="shared" si="25"/>
        <v>#DIV/0!</v>
      </c>
      <c r="AF69" s="133">
        <v>0</v>
      </c>
      <c r="AG69" s="124">
        <f t="shared" si="16"/>
        <v>0</v>
      </c>
    </row>
    <row r="70" spans="1:33">
      <c r="A70" s="105" t="s">
        <v>209</v>
      </c>
      <c r="B70" s="105" t="s">
        <v>574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133">
        <f t="shared" si="22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3"/>
        <v>0</v>
      </c>
      <c r="AD70" s="72">
        <f t="shared" si="24"/>
        <v>0</v>
      </c>
      <c r="AE70" s="192" t="e">
        <f t="shared" si="25"/>
        <v>#DIV/0!</v>
      </c>
      <c r="AF70" s="133">
        <v>0</v>
      </c>
      <c r="AG70" s="124">
        <f t="shared" si="16"/>
        <v>0</v>
      </c>
    </row>
    <row r="71" spans="1:33">
      <c r="A71" s="105" t="s">
        <v>211</v>
      </c>
      <c r="B71" s="105" t="s">
        <v>574</v>
      </c>
      <c r="C71" s="105" t="s">
        <v>212</v>
      </c>
      <c r="D71" s="72">
        <v>300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0</v>
      </c>
      <c r="L71" s="72">
        <v>0</v>
      </c>
      <c r="M71" s="72">
        <v>300</v>
      </c>
      <c r="N71" s="72">
        <v>0</v>
      </c>
      <c r="O71" s="72">
        <v>300</v>
      </c>
      <c r="P71" s="133">
        <f t="shared" si="22"/>
        <v>900</v>
      </c>
      <c r="Q71" s="136">
        <v>113.4</v>
      </c>
      <c r="R71" s="136">
        <v>0</v>
      </c>
      <c r="S71" s="136">
        <v>0</v>
      </c>
      <c r="T71" s="136">
        <v>0</v>
      </c>
      <c r="U71" s="136">
        <v>0</v>
      </c>
      <c r="V71" s="136">
        <v>0</v>
      </c>
      <c r="W71" s="72">
        <v>0</v>
      </c>
      <c r="X71" s="72">
        <v>340</v>
      </c>
      <c r="Y71" s="72">
        <v>0</v>
      </c>
      <c r="Z71" s="72">
        <v>300</v>
      </c>
      <c r="AA71" s="72">
        <v>0</v>
      </c>
      <c r="AB71" s="72">
        <v>300</v>
      </c>
      <c r="AC71" s="137">
        <f t="shared" si="23"/>
        <v>1053.4000000000001</v>
      </c>
      <c r="AD71" s="72">
        <f t="shared" si="24"/>
        <v>-153.40000000000009</v>
      </c>
      <c r="AE71" s="192">
        <f t="shared" si="25"/>
        <v>-0.14562369470286698</v>
      </c>
      <c r="AF71" s="133">
        <v>1871.3200000000002</v>
      </c>
      <c r="AG71" s="124">
        <f t="shared" si="16"/>
        <v>971.32000000000016</v>
      </c>
    </row>
    <row r="72" spans="1:33">
      <c r="A72" s="105" t="s">
        <v>213</v>
      </c>
      <c r="B72" s="105" t="s">
        <v>574</v>
      </c>
      <c r="C72" s="105" t="s">
        <v>214</v>
      </c>
      <c r="D72" s="222">
        <f>Laundry!E131</f>
        <v>542</v>
      </c>
      <c r="E72" s="222">
        <f>Laundry!F131</f>
        <v>495</v>
      </c>
      <c r="F72" s="222">
        <f>Laundry!G131</f>
        <v>500</v>
      </c>
      <c r="G72" s="222">
        <f>Laundry!H131</f>
        <v>514</v>
      </c>
      <c r="H72" s="222">
        <f>Laundry!I131</f>
        <v>528</v>
      </c>
      <c r="I72" s="222">
        <f>Laundry!J131</f>
        <v>505</v>
      </c>
      <c r="J72" s="222">
        <f>Laundry!K131</f>
        <v>538</v>
      </c>
      <c r="K72" s="222">
        <f>Laundry!L131</f>
        <v>536</v>
      </c>
      <c r="L72" s="222">
        <f>Laundry!M131</f>
        <v>517</v>
      </c>
      <c r="M72" s="222">
        <f>Laundry!N131</f>
        <v>589</v>
      </c>
      <c r="N72" s="222">
        <f>Laundry!O131</f>
        <v>520</v>
      </c>
      <c r="O72" s="222">
        <f>Laundry!P131</f>
        <v>517</v>
      </c>
      <c r="P72" s="133">
        <f t="shared" si="22"/>
        <v>6301</v>
      </c>
      <c r="Q72" s="136">
        <v>1247.3599999999999</v>
      </c>
      <c r="R72" s="136">
        <v>667.49</v>
      </c>
      <c r="S72" s="136">
        <v>691.2</v>
      </c>
      <c r="T72" s="136">
        <v>808.23</v>
      </c>
      <c r="U72" s="136">
        <v>231.79</v>
      </c>
      <c r="V72" s="136">
        <v>451.56</v>
      </c>
      <c r="W72" s="72">
        <v>306.12</v>
      </c>
      <c r="X72" s="72">
        <v>180.48</v>
      </c>
      <c r="Y72" s="72">
        <v>1571</v>
      </c>
      <c r="Z72" s="72">
        <v>1757</v>
      </c>
      <c r="AA72" s="72">
        <v>1477</v>
      </c>
      <c r="AB72" s="72">
        <v>1510</v>
      </c>
      <c r="AC72" s="137">
        <f t="shared" si="23"/>
        <v>10899.23</v>
      </c>
      <c r="AD72" s="72">
        <f t="shared" si="24"/>
        <v>-4598.2299999999996</v>
      </c>
      <c r="AE72" s="192">
        <f t="shared" si="25"/>
        <v>-0.42188576624220242</v>
      </c>
      <c r="AF72" s="133">
        <v>16777.070000000003</v>
      </c>
      <c r="AG72" s="124">
        <f t="shared" si="16"/>
        <v>10476.070000000003</v>
      </c>
    </row>
    <row r="73" spans="1:33">
      <c r="A73" s="105" t="s">
        <v>306</v>
      </c>
      <c r="B73" s="105" t="s">
        <v>574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133">
        <f t="shared" si="22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3"/>
        <v>0</v>
      </c>
      <c r="AD73" s="72">
        <f t="shared" si="24"/>
        <v>0</v>
      </c>
      <c r="AE73" s="192" t="e">
        <f t="shared" si="25"/>
        <v>#DIV/0!</v>
      </c>
      <c r="AF73" s="133">
        <v>3806.7799999999997</v>
      </c>
      <c r="AG73" s="124">
        <f t="shared" si="16"/>
        <v>3806.7799999999997</v>
      </c>
    </row>
    <row r="74" spans="1:33">
      <c r="A74" s="105" t="s">
        <v>215</v>
      </c>
      <c r="B74" s="105" t="s">
        <v>574</v>
      </c>
      <c r="C74" s="105" t="s">
        <v>216</v>
      </c>
      <c r="D74" s="72">
        <v>100</v>
      </c>
      <c r="E74" s="72">
        <v>100</v>
      </c>
      <c r="F74" s="72">
        <v>100</v>
      </c>
      <c r="G74" s="72">
        <v>100</v>
      </c>
      <c r="H74" s="72">
        <v>100</v>
      </c>
      <c r="I74" s="72">
        <v>100</v>
      </c>
      <c r="J74" s="72">
        <v>100</v>
      </c>
      <c r="K74" s="72">
        <v>100</v>
      </c>
      <c r="L74" s="72">
        <v>100</v>
      </c>
      <c r="M74" s="72">
        <v>100</v>
      </c>
      <c r="N74" s="72">
        <v>100</v>
      </c>
      <c r="O74" s="72">
        <v>100</v>
      </c>
      <c r="P74" s="133">
        <f t="shared" si="22"/>
        <v>1200</v>
      </c>
      <c r="Q74" s="136">
        <v>141</v>
      </c>
      <c r="R74" s="136">
        <v>141</v>
      </c>
      <c r="S74" s="136">
        <v>141</v>
      </c>
      <c r="T74" s="136">
        <v>141</v>
      </c>
      <c r="U74" s="136">
        <v>141</v>
      </c>
      <c r="V74" s="136">
        <v>141</v>
      </c>
      <c r="W74" s="72">
        <v>141</v>
      </c>
      <c r="X74" s="72">
        <v>141</v>
      </c>
      <c r="Y74" s="72">
        <v>150</v>
      </c>
      <c r="Z74" s="72">
        <v>150</v>
      </c>
      <c r="AA74" s="72">
        <v>150</v>
      </c>
      <c r="AB74" s="72">
        <v>150</v>
      </c>
      <c r="AC74" s="137">
        <f t="shared" si="23"/>
        <v>1728</v>
      </c>
      <c r="AD74" s="72">
        <f t="shared" si="24"/>
        <v>-528</v>
      </c>
      <c r="AE74" s="192">
        <f t="shared" si="25"/>
        <v>-0.30555555555555558</v>
      </c>
      <c r="AF74" s="133">
        <v>831.56999999999994</v>
      </c>
      <c r="AG74" s="124">
        <f t="shared" si="16"/>
        <v>-368.43000000000006</v>
      </c>
    </row>
    <row r="75" spans="1:33">
      <c r="A75" s="105" t="s">
        <v>217</v>
      </c>
      <c r="B75" s="105" t="s">
        <v>574</v>
      </c>
      <c r="C75" s="105" t="s">
        <v>218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200</v>
      </c>
      <c r="M75" s="72">
        <v>200</v>
      </c>
      <c r="N75" s="72">
        <v>200</v>
      </c>
      <c r="O75" s="72">
        <v>200</v>
      </c>
      <c r="P75" s="133">
        <f t="shared" si="22"/>
        <v>800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200</v>
      </c>
      <c r="Z75" s="72">
        <v>200</v>
      </c>
      <c r="AA75" s="72">
        <v>200</v>
      </c>
      <c r="AB75" s="72">
        <v>200</v>
      </c>
      <c r="AC75" s="137">
        <f t="shared" si="23"/>
        <v>800</v>
      </c>
      <c r="AD75" s="72">
        <f t="shared" si="24"/>
        <v>0</v>
      </c>
      <c r="AE75" s="192">
        <f t="shared" si="25"/>
        <v>0</v>
      </c>
      <c r="AF75" s="133">
        <v>227.10000000000002</v>
      </c>
      <c r="AG75" s="124">
        <f t="shared" si="16"/>
        <v>-572.9</v>
      </c>
    </row>
    <row r="76" spans="1:33">
      <c r="A76" s="105" t="s">
        <v>219</v>
      </c>
      <c r="B76" s="105" t="s">
        <v>574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133">
        <f t="shared" si="22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3"/>
        <v>0</v>
      </c>
      <c r="AD76" s="72">
        <f t="shared" si="24"/>
        <v>0</v>
      </c>
      <c r="AE76" s="192" t="e">
        <f t="shared" si="25"/>
        <v>#DIV/0!</v>
      </c>
      <c r="AF76" s="133">
        <v>0</v>
      </c>
      <c r="AG76" s="124">
        <f t="shared" si="16"/>
        <v>0</v>
      </c>
    </row>
    <row r="77" spans="1:33">
      <c r="A77" s="105" t="s">
        <v>273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133">
        <f t="shared" si="22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3"/>
        <v>0</v>
      </c>
      <c r="AD77" s="72">
        <f t="shared" si="24"/>
        <v>0</v>
      </c>
      <c r="AE77" s="192" t="e">
        <f t="shared" si="25"/>
        <v>#DIV/0!</v>
      </c>
      <c r="AF77" s="133">
        <v>0</v>
      </c>
      <c r="AG77" s="124">
        <f t="shared" si="16"/>
        <v>0</v>
      </c>
    </row>
    <row r="78" spans="1:33">
      <c r="A78" s="105" t="s">
        <v>221</v>
      </c>
      <c r="B78" s="105" t="s">
        <v>574</v>
      </c>
      <c r="C78" s="105" t="s">
        <v>222</v>
      </c>
      <c r="D78" s="72">
        <v>500</v>
      </c>
      <c r="E78" s="72">
        <v>500</v>
      </c>
      <c r="F78" s="72">
        <v>500</v>
      </c>
      <c r="G78" s="72">
        <v>500</v>
      </c>
      <c r="H78" s="72">
        <v>500</v>
      </c>
      <c r="I78" s="72">
        <v>500</v>
      </c>
      <c r="J78" s="72">
        <v>500</v>
      </c>
      <c r="K78" s="72">
        <v>500</v>
      </c>
      <c r="L78" s="72">
        <v>500</v>
      </c>
      <c r="M78" s="72">
        <v>500</v>
      </c>
      <c r="N78" s="72">
        <v>500</v>
      </c>
      <c r="O78" s="72">
        <v>500</v>
      </c>
      <c r="P78" s="133">
        <f t="shared" si="22"/>
        <v>6000</v>
      </c>
      <c r="Q78" s="136">
        <v>0</v>
      </c>
      <c r="R78" s="136">
        <v>0</v>
      </c>
      <c r="S78" s="136">
        <v>0</v>
      </c>
      <c r="T78" s="136">
        <v>0</v>
      </c>
      <c r="U78" s="136">
        <v>0</v>
      </c>
      <c r="V78" s="136">
        <v>0</v>
      </c>
      <c r="W78" s="72">
        <v>4280</v>
      </c>
      <c r="X78" s="72">
        <v>480</v>
      </c>
      <c r="Y78" s="72">
        <v>0</v>
      </c>
      <c r="Z78" s="72">
        <v>0</v>
      </c>
      <c r="AA78" s="72">
        <v>0</v>
      </c>
      <c r="AB78" s="72">
        <v>0</v>
      </c>
      <c r="AC78" s="137">
        <f t="shared" si="23"/>
        <v>4760</v>
      </c>
      <c r="AD78" s="72">
        <f t="shared" si="24"/>
        <v>1240</v>
      </c>
      <c r="AE78" s="192">
        <f t="shared" si="25"/>
        <v>0.26050420168067229</v>
      </c>
      <c r="AF78" s="133">
        <v>1095.97</v>
      </c>
      <c r="AG78" s="124">
        <f t="shared" si="16"/>
        <v>-4904.03</v>
      </c>
    </row>
    <row r="79" spans="1:33">
      <c r="A79" s="105" t="s">
        <v>505</v>
      </c>
      <c r="B79" s="105" t="s">
        <v>574</v>
      </c>
      <c r="C79" s="105" t="s">
        <v>506</v>
      </c>
      <c r="D79" s="223">
        <f>SUM('F&amp;B Admin:Main Kichen'!D169)</f>
        <v>17001</v>
      </c>
      <c r="E79" s="223">
        <f>SUM('F&amp;B Admin:Main Kichen'!E169)</f>
        <v>2475</v>
      </c>
      <c r="F79" s="223">
        <f>SUM('F&amp;B Admin:Main Kichen'!F169)</f>
        <v>27773</v>
      </c>
      <c r="G79" s="223">
        <f>SUM('F&amp;B Admin:Main Kichen'!G169)</f>
        <v>30091</v>
      </c>
      <c r="H79" s="223">
        <f>SUM('F&amp;B Admin:Main Kichen'!H169)</f>
        <v>25713</v>
      </c>
      <c r="I79" s="223">
        <f>SUM('F&amp;B Admin:Main Kichen'!I169)</f>
        <v>29104</v>
      </c>
      <c r="J79" s="223">
        <f>SUM('F&amp;B Admin:Main Kichen'!J169)</f>
        <v>11222</v>
      </c>
      <c r="K79" s="223">
        <f>SUM('F&amp;B Admin:Main Kichen'!K169)</f>
        <v>10759</v>
      </c>
      <c r="L79" s="223">
        <f>SUM('F&amp;B Admin:Main Kichen'!L169)</f>
        <v>39040</v>
      </c>
      <c r="M79" s="223">
        <f>SUM('F&amp;B Admin:Main Kichen'!M169)</f>
        <v>81092</v>
      </c>
      <c r="N79" s="223">
        <f>SUM('F&amp;B Admin:Main Kichen'!N169)</f>
        <v>96670</v>
      </c>
      <c r="O79" s="223">
        <f>SUM('F&amp;B Admin:Main Kichen'!O169)</f>
        <v>83173</v>
      </c>
      <c r="P79" s="133">
        <f>SUM(D79:O79)</f>
        <v>454113</v>
      </c>
      <c r="Q79" s="136">
        <v>19965.71</v>
      </c>
      <c r="R79" s="136">
        <v>2332.65</v>
      </c>
      <c r="S79" s="136">
        <v>16155.37</v>
      </c>
      <c r="T79" s="136">
        <v>19205.84</v>
      </c>
      <c r="U79" s="136">
        <v>20668.07</v>
      </c>
      <c r="V79" s="136">
        <v>14107.06</v>
      </c>
      <c r="W79" s="72">
        <v>7203.48</v>
      </c>
      <c r="X79" s="72">
        <v>0</v>
      </c>
      <c r="Y79" s="72">
        <v>50160</v>
      </c>
      <c r="Z79" s="72">
        <v>61534</v>
      </c>
      <c r="AA79" s="72">
        <v>78257</v>
      </c>
      <c r="AB79" s="72">
        <v>70175</v>
      </c>
      <c r="AC79" s="137">
        <f t="shared" si="23"/>
        <v>359764.18</v>
      </c>
      <c r="AD79" s="72">
        <f t="shared" si="24"/>
        <v>94348.82</v>
      </c>
      <c r="AE79" s="192">
        <f t="shared" si="25"/>
        <v>0.26225184508363231</v>
      </c>
      <c r="AF79" s="133">
        <v>386167.08999999997</v>
      </c>
      <c r="AG79" s="124">
        <f t="shared" si="16"/>
        <v>-67945.910000000033</v>
      </c>
    </row>
    <row r="80" spans="1:33">
      <c r="C80" s="109" t="s">
        <v>507</v>
      </c>
      <c r="D80" s="137">
        <f t="shared" ref="D80:O80" si="27">SUM(D38:D79)</f>
        <v>24001</v>
      </c>
      <c r="E80" s="137">
        <f t="shared" si="27"/>
        <v>9128</v>
      </c>
      <c r="F80" s="137">
        <f t="shared" si="27"/>
        <v>34431</v>
      </c>
      <c r="G80" s="137">
        <f t="shared" si="27"/>
        <v>36763</v>
      </c>
      <c r="H80" s="137">
        <f t="shared" si="27"/>
        <v>32399</v>
      </c>
      <c r="I80" s="137">
        <f t="shared" si="27"/>
        <v>33267</v>
      </c>
      <c r="J80" s="137">
        <f t="shared" si="27"/>
        <v>17918</v>
      </c>
      <c r="K80" s="137">
        <f t="shared" si="27"/>
        <v>17453</v>
      </c>
      <c r="L80" s="137">
        <f t="shared" si="27"/>
        <v>43415</v>
      </c>
      <c r="M80" s="137">
        <f t="shared" si="27"/>
        <v>95339</v>
      </c>
      <c r="N80" s="137">
        <f t="shared" si="27"/>
        <v>106448</v>
      </c>
      <c r="O80" s="137">
        <f t="shared" si="27"/>
        <v>93848</v>
      </c>
      <c r="P80" s="133">
        <f>SUM(P38:P79)</f>
        <v>544410</v>
      </c>
      <c r="Q80" s="137">
        <f t="shared" ref="Q80:AC80" si="28">SUM(Q38:Q79)</f>
        <v>34881.360000000001</v>
      </c>
      <c r="R80" s="137">
        <f t="shared" si="28"/>
        <v>14466.91</v>
      </c>
      <c r="S80" s="137">
        <f t="shared" si="28"/>
        <v>27695.030000000002</v>
      </c>
      <c r="T80" s="137">
        <f t="shared" si="28"/>
        <v>24691.370000000003</v>
      </c>
      <c r="U80" s="137">
        <f t="shared" si="28"/>
        <v>25395.41</v>
      </c>
      <c r="V80" s="137">
        <f t="shared" si="28"/>
        <v>17338.78</v>
      </c>
      <c r="W80" s="137">
        <f t="shared" si="28"/>
        <v>14250.039999999999</v>
      </c>
      <c r="X80" s="137">
        <f t="shared" si="28"/>
        <v>2432.4499999999998</v>
      </c>
      <c r="Y80" s="137">
        <f t="shared" si="28"/>
        <v>58281</v>
      </c>
      <c r="Z80" s="137">
        <f t="shared" si="28"/>
        <v>71641</v>
      </c>
      <c r="AA80" s="137">
        <f t="shared" si="28"/>
        <v>91984</v>
      </c>
      <c r="AB80" s="137">
        <f t="shared" si="28"/>
        <v>84835</v>
      </c>
      <c r="AC80" s="137">
        <f t="shared" si="28"/>
        <v>467892.35</v>
      </c>
      <c r="AD80" s="72">
        <f t="shared" si="24"/>
        <v>76517.650000000023</v>
      </c>
      <c r="AE80" s="192">
        <f t="shared" si="25"/>
        <v>0.16353686911102527</v>
      </c>
      <c r="AF80" s="133">
        <v>727439.03</v>
      </c>
      <c r="AG80" s="124">
        <f t="shared" si="16"/>
        <v>183029.03000000003</v>
      </c>
    </row>
    <row r="81" spans="1:33">
      <c r="C81" s="109" t="s">
        <v>508</v>
      </c>
      <c r="D81" s="137">
        <f t="shared" ref="D81:AC81" si="29">D27-D33-D35-D80</f>
        <v>256065.55</v>
      </c>
      <c r="E81" s="137">
        <f t="shared" si="29"/>
        <v>32721.100000000006</v>
      </c>
      <c r="F81" s="137">
        <f t="shared" si="29"/>
        <v>248607.21000000002</v>
      </c>
      <c r="G81" s="137">
        <f t="shared" si="29"/>
        <v>254870.11</v>
      </c>
      <c r="H81" s="137">
        <f t="shared" si="29"/>
        <v>221323.13</v>
      </c>
      <c r="I81" s="137">
        <f t="shared" si="29"/>
        <v>233942.7</v>
      </c>
      <c r="J81" s="137">
        <f t="shared" si="29"/>
        <v>27596.539999999994</v>
      </c>
      <c r="K81" s="137">
        <f t="shared" si="29"/>
        <v>28081.78</v>
      </c>
      <c r="L81" s="137">
        <f t="shared" si="29"/>
        <v>276519.77999999997</v>
      </c>
      <c r="M81" s="137">
        <f t="shared" si="29"/>
        <v>484744.63</v>
      </c>
      <c r="N81" s="137">
        <f t="shared" si="29"/>
        <v>726695.05</v>
      </c>
      <c r="O81" s="137">
        <f t="shared" si="29"/>
        <v>761715.29</v>
      </c>
      <c r="P81" s="133">
        <f t="shared" si="29"/>
        <v>3552882.87</v>
      </c>
      <c r="Q81" s="137">
        <f t="shared" si="29"/>
        <v>171951.88</v>
      </c>
      <c r="R81" s="137">
        <f t="shared" si="29"/>
        <v>8024.0799999999981</v>
      </c>
      <c r="S81" s="137">
        <f t="shared" si="29"/>
        <v>168174.22</v>
      </c>
      <c r="T81" s="137">
        <f t="shared" si="29"/>
        <v>168151.34999999998</v>
      </c>
      <c r="U81" s="137">
        <f t="shared" si="29"/>
        <v>161624.60999999993</v>
      </c>
      <c r="V81" s="137">
        <f t="shared" si="29"/>
        <v>71685.429999999978</v>
      </c>
      <c r="W81" s="137">
        <f t="shared" si="29"/>
        <v>57627.82</v>
      </c>
      <c r="X81" s="137">
        <f t="shared" si="29"/>
        <v>-35216.079999999994</v>
      </c>
      <c r="Y81" s="137">
        <f t="shared" si="29"/>
        <v>143527.66999999998</v>
      </c>
      <c r="Z81" s="137">
        <f t="shared" si="29"/>
        <v>287490.67</v>
      </c>
      <c r="AA81" s="137">
        <f t="shared" si="29"/>
        <v>363061.67</v>
      </c>
      <c r="AB81" s="137">
        <f t="shared" si="29"/>
        <v>398649.67</v>
      </c>
      <c r="AC81" s="137">
        <f t="shared" si="29"/>
        <v>1964752.9900000002</v>
      </c>
      <c r="AD81" s="72">
        <f t="shared" si="24"/>
        <v>1588129.88</v>
      </c>
      <c r="AE81" s="192">
        <f t="shared" si="25"/>
        <v>0.8083101988306427</v>
      </c>
      <c r="AF81" s="133">
        <v>1859450.8</v>
      </c>
      <c r="AG81" s="124">
        <f>P81-AF81</f>
        <v>1693432.07</v>
      </c>
    </row>
    <row r="82" spans="1:33">
      <c r="C82" s="109" t="s">
        <v>509</v>
      </c>
      <c r="D82" s="213">
        <f t="shared" ref="D82:AC82" si="30">D81/D27</f>
        <v>0.69583029891304349</v>
      </c>
      <c r="E82" s="213">
        <f t="shared" si="30"/>
        <v>0.41158616352201266</v>
      </c>
      <c r="F82" s="213">
        <f t="shared" si="30"/>
        <v>0.66206980026631168</v>
      </c>
      <c r="G82" s="213">
        <f t="shared" si="30"/>
        <v>0.6628611443433029</v>
      </c>
      <c r="H82" s="213">
        <f t="shared" si="30"/>
        <v>0.65383494830132938</v>
      </c>
      <c r="I82" s="213">
        <f t="shared" si="30"/>
        <v>0.66085508474576271</v>
      </c>
      <c r="J82" s="213">
        <f t="shared" si="30"/>
        <v>0.26282419047619043</v>
      </c>
      <c r="K82" s="213">
        <f t="shared" si="30"/>
        <v>0.2674455238095238</v>
      </c>
      <c r="L82" s="213">
        <f t="shared" si="30"/>
        <v>0.64758730679156906</v>
      </c>
      <c r="M82" s="213">
        <f t="shared" si="30"/>
        <v>0.6230650771208226</v>
      </c>
      <c r="N82" s="213">
        <f t="shared" si="30"/>
        <v>0.67224333950046256</v>
      </c>
      <c r="O82" s="213">
        <f t="shared" si="30"/>
        <v>0.68499576438848919</v>
      </c>
      <c r="P82" s="213">
        <f t="shared" si="30"/>
        <v>0.64504046296296302</v>
      </c>
      <c r="Q82" s="213">
        <f t="shared" si="30"/>
        <v>0.6006125167747024</v>
      </c>
      <c r="R82" s="213">
        <f t="shared" si="30"/>
        <v>0.11531335776388586</v>
      </c>
      <c r="S82" s="213">
        <f t="shared" si="30"/>
        <v>0.62118108985605747</v>
      </c>
      <c r="T82" s="213">
        <f t="shared" si="30"/>
        <v>0.62829642798693419</v>
      </c>
      <c r="U82" s="213">
        <f t="shared" si="30"/>
        <v>0.58256391457943368</v>
      </c>
      <c r="V82" s="213">
        <f t="shared" si="30"/>
        <v>0.47118189668029242</v>
      </c>
      <c r="W82" s="213">
        <f t="shared" si="30"/>
        <v>0.4454300150646528</v>
      </c>
      <c r="X82" s="213" t="e">
        <f t="shared" si="30"/>
        <v>#DIV/0!</v>
      </c>
      <c r="Y82" s="213">
        <f t="shared" si="30"/>
        <v>0.44852396874999995</v>
      </c>
      <c r="Z82" s="213">
        <f t="shared" si="30"/>
        <v>0.53436927509293675</v>
      </c>
      <c r="AA82" s="213">
        <f t="shared" si="30"/>
        <v>0.53707347633136093</v>
      </c>
      <c r="AB82" s="213">
        <f t="shared" si="30"/>
        <v>0.56828178189593725</v>
      </c>
      <c r="AC82" s="213">
        <f t="shared" si="30"/>
        <v>0.53264178556425501</v>
      </c>
      <c r="AD82" s="72">
        <f t="shared" si="24"/>
        <v>0.11239867739870801</v>
      </c>
      <c r="AE82" s="192">
        <f t="shared" si="25"/>
        <v>0.21102114112139789</v>
      </c>
      <c r="AF82" s="133">
        <v>0.43159711698774111</v>
      </c>
      <c r="AG82" s="124">
        <f>P82-AF82</f>
        <v>0.21344334597522191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574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3">
        <f>SUM(D85:O85)</f>
        <v>0</v>
      </c>
      <c r="Q85" s="136">
        <v>30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30</v>
      </c>
      <c r="AD85" s="72">
        <f t="shared" ref="AD85:AD90" si="31">P85-AC85</f>
        <v>-30</v>
      </c>
      <c r="AE85" s="192">
        <f t="shared" ref="AE85:AE90" si="32">AD85/AC85</f>
        <v>-1</v>
      </c>
      <c r="AF85" s="133">
        <v>260</v>
      </c>
      <c r="AG85" s="124">
        <f t="shared" ref="AG85:AG98" si="33">P85-AF85</f>
        <v>-260</v>
      </c>
    </row>
    <row r="86" spans="1:33">
      <c r="A86" s="105" t="s">
        <v>511</v>
      </c>
      <c r="B86" s="105" t="s">
        <v>574</v>
      </c>
      <c r="C86" s="105" t="s">
        <v>483</v>
      </c>
      <c r="D86" s="136">
        <v>200</v>
      </c>
      <c r="E86" s="136">
        <v>50</v>
      </c>
      <c r="F86" s="136">
        <v>100</v>
      </c>
      <c r="G86" s="136">
        <v>100</v>
      </c>
      <c r="H86" s="136">
        <v>100</v>
      </c>
      <c r="I86" s="136">
        <v>100</v>
      </c>
      <c r="J86" s="136"/>
      <c r="K86" s="136"/>
      <c r="L86" s="136">
        <v>300</v>
      </c>
      <c r="M86" s="136">
        <v>500</v>
      </c>
      <c r="N86" s="136">
        <v>700</v>
      </c>
      <c r="O86" s="136">
        <v>800</v>
      </c>
      <c r="P86" s="133">
        <f>SUM(D86:O86)</f>
        <v>2950</v>
      </c>
      <c r="Q86" s="136">
        <v>0</v>
      </c>
      <c r="R86" s="136">
        <v>0</v>
      </c>
      <c r="S86" s="136">
        <v>160</v>
      </c>
      <c r="T86" s="136">
        <v>97</v>
      </c>
      <c r="U86" s="136">
        <v>150</v>
      </c>
      <c r="V86" s="136">
        <v>270</v>
      </c>
      <c r="W86" s="72">
        <v>162</v>
      </c>
      <c r="X86" s="72">
        <v>0</v>
      </c>
      <c r="Y86" s="72">
        <v>300</v>
      </c>
      <c r="Z86" s="72">
        <v>500</v>
      </c>
      <c r="AA86" s="72">
        <v>600</v>
      </c>
      <c r="AB86" s="72">
        <v>600</v>
      </c>
      <c r="AC86" s="137">
        <f>SUM(Q86:AB86)</f>
        <v>2839</v>
      </c>
      <c r="AD86" s="72">
        <f t="shared" si="31"/>
        <v>111</v>
      </c>
      <c r="AE86" s="192">
        <f t="shared" si="32"/>
        <v>3.9098274040154986E-2</v>
      </c>
      <c r="AF86" s="133">
        <v>2300</v>
      </c>
      <c r="AG86" s="124">
        <f t="shared" si="33"/>
        <v>650</v>
      </c>
    </row>
    <row r="87" spans="1:33">
      <c r="A87" s="105" t="s">
        <v>512</v>
      </c>
      <c r="B87" s="105" t="s">
        <v>574</v>
      </c>
      <c r="C87" s="105" t="s">
        <v>485</v>
      </c>
      <c r="D87" s="136">
        <v>450</v>
      </c>
      <c r="E87" s="136">
        <v>50</v>
      </c>
      <c r="F87" s="136">
        <v>550</v>
      </c>
      <c r="G87" s="136">
        <v>550</v>
      </c>
      <c r="H87" s="136">
        <v>450</v>
      </c>
      <c r="I87" s="136">
        <v>500</v>
      </c>
      <c r="J87" s="136">
        <v>300</v>
      </c>
      <c r="K87" s="136">
        <v>300</v>
      </c>
      <c r="L87" s="136">
        <v>600</v>
      </c>
      <c r="M87" s="136">
        <v>1200</v>
      </c>
      <c r="N87" s="136">
        <v>1600</v>
      </c>
      <c r="O87" s="136">
        <v>1600</v>
      </c>
      <c r="P87" s="133">
        <f>SUM(D87:O87)</f>
        <v>8150</v>
      </c>
      <c r="Q87" s="136">
        <v>696</v>
      </c>
      <c r="R87" s="136">
        <v>20</v>
      </c>
      <c r="S87" s="136">
        <v>322</v>
      </c>
      <c r="T87" s="136">
        <v>269</v>
      </c>
      <c r="U87" s="136">
        <v>396</v>
      </c>
      <c r="V87" s="136">
        <v>101</v>
      </c>
      <c r="W87" s="72">
        <v>151</v>
      </c>
      <c r="X87" s="72">
        <v>0</v>
      </c>
      <c r="Y87" s="72">
        <v>600</v>
      </c>
      <c r="Z87" s="72">
        <v>800</v>
      </c>
      <c r="AA87" s="72">
        <v>1100</v>
      </c>
      <c r="AB87" s="72">
        <v>1170</v>
      </c>
      <c r="AC87" s="137">
        <f>SUM(Q87:AB87)</f>
        <v>5625</v>
      </c>
      <c r="AD87" s="72">
        <f t="shared" si="31"/>
        <v>2525</v>
      </c>
      <c r="AE87" s="192">
        <f t="shared" si="32"/>
        <v>0.44888888888888889</v>
      </c>
      <c r="AF87" s="133">
        <v>10832</v>
      </c>
      <c r="AG87" s="124">
        <f t="shared" si="33"/>
        <v>-2682</v>
      </c>
    </row>
    <row r="88" spans="1:33">
      <c r="A88" s="105" t="s">
        <v>513</v>
      </c>
      <c r="B88" s="105" t="s">
        <v>574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3">
        <f>SUM(D88:O88)</f>
        <v>0</v>
      </c>
      <c r="Q88" s="136">
        <v>0</v>
      </c>
      <c r="R88" s="136">
        <v>0</v>
      </c>
      <c r="S88" s="136">
        <v>0</v>
      </c>
      <c r="T88" s="136">
        <v>37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37</v>
      </c>
      <c r="AD88" s="72">
        <f t="shared" si="31"/>
        <v>-37</v>
      </c>
      <c r="AE88" s="192">
        <f t="shared" si="32"/>
        <v>-1</v>
      </c>
      <c r="AF88" s="133">
        <v>2353</v>
      </c>
      <c r="AG88" s="124">
        <f t="shared" si="33"/>
        <v>-2353</v>
      </c>
    </row>
    <row r="89" spans="1:33">
      <c r="A89" s="105" t="s">
        <v>514</v>
      </c>
      <c r="B89" s="105" t="s">
        <v>574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3">
        <f>SUM(D89:O89)</f>
        <v>0</v>
      </c>
      <c r="Q89" s="136">
        <v>0</v>
      </c>
      <c r="R89" s="136">
        <v>0</v>
      </c>
      <c r="S89" s="136">
        <v>0</v>
      </c>
      <c r="T89" s="136">
        <v>4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4</v>
      </c>
      <c r="AD89" s="72">
        <f t="shared" si="31"/>
        <v>-4</v>
      </c>
      <c r="AE89" s="192">
        <f t="shared" si="32"/>
        <v>-1</v>
      </c>
      <c r="AF89" s="133">
        <v>0</v>
      </c>
      <c r="AG89" s="124">
        <f t="shared" si="33"/>
        <v>0</v>
      </c>
    </row>
    <row r="90" spans="1:33">
      <c r="C90" s="109" t="s">
        <v>462</v>
      </c>
      <c r="D90" s="137">
        <f t="shared" ref="D90:AC90" si="34">SUM(D85:D89)</f>
        <v>650</v>
      </c>
      <c r="E90" s="137">
        <f t="shared" si="34"/>
        <v>100</v>
      </c>
      <c r="F90" s="137">
        <f t="shared" si="34"/>
        <v>650</v>
      </c>
      <c r="G90" s="137">
        <f t="shared" si="34"/>
        <v>650</v>
      </c>
      <c r="H90" s="137">
        <f t="shared" si="34"/>
        <v>550</v>
      </c>
      <c r="I90" s="137">
        <f t="shared" si="34"/>
        <v>600</v>
      </c>
      <c r="J90" s="137">
        <f t="shared" si="34"/>
        <v>300</v>
      </c>
      <c r="K90" s="137">
        <f t="shared" si="34"/>
        <v>300</v>
      </c>
      <c r="L90" s="137">
        <f t="shared" si="34"/>
        <v>900</v>
      </c>
      <c r="M90" s="137">
        <f t="shared" si="34"/>
        <v>1700</v>
      </c>
      <c r="N90" s="137">
        <f t="shared" si="34"/>
        <v>2300</v>
      </c>
      <c r="O90" s="137">
        <f t="shared" si="34"/>
        <v>2400</v>
      </c>
      <c r="P90" s="133">
        <f t="shared" si="34"/>
        <v>11100</v>
      </c>
      <c r="Q90" s="137">
        <f t="shared" si="34"/>
        <v>726</v>
      </c>
      <c r="R90" s="137">
        <f t="shared" si="34"/>
        <v>20</v>
      </c>
      <c r="S90" s="137">
        <f t="shared" si="34"/>
        <v>482</v>
      </c>
      <c r="T90" s="137">
        <f t="shared" si="34"/>
        <v>407</v>
      </c>
      <c r="U90" s="137">
        <f t="shared" si="34"/>
        <v>546</v>
      </c>
      <c r="V90" s="137">
        <f t="shared" si="34"/>
        <v>371</v>
      </c>
      <c r="W90" s="137">
        <f t="shared" si="34"/>
        <v>313</v>
      </c>
      <c r="X90" s="137">
        <f t="shared" si="34"/>
        <v>0</v>
      </c>
      <c r="Y90" s="137">
        <f t="shared" si="34"/>
        <v>900</v>
      </c>
      <c r="Z90" s="137">
        <f t="shared" si="34"/>
        <v>1300</v>
      </c>
      <c r="AA90" s="137">
        <f t="shared" si="34"/>
        <v>1700</v>
      </c>
      <c r="AB90" s="137">
        <f t="shared" si="34"/>
        <v>1770</v>
      </c>
      <c r="AC90" s="137">
        <f t="shared" si="34"/>
        <v>8535</v>
      </c>
      <c r="AD90" s="72">
        <f t="shared" si="31"/>
        <v>2565</v>
      </c>
      <c r="AE90" s="192">
        <f t="shared" si="32"/>
        <v>0.30052724077328646</v>
      </c>
      <c r="AF90" s="133">
        <v>15745</v>
      </c>
      <c r="AG90" s="124">
        <f t="shared" si="33"/>
        <v>-4645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3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3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5">P9/P85</f>
        <v>#DIV/0!</v>
      </c>
      <c r="Q93" s="136">
        <f t="shared" si="35"/>
        <v>0</v>
      </c>
      <c r="R93" s="136" t="e">
        <f t="shared" si="35"/>
        <v>#DIV/0!</v>
      </c>
      <c r="S93" s="136" t="e">
        <f t="shared" si="35"/>
        <v>#DIV/0!</v>
      </c>
      <c r="T93" s="136" t="e">
        <f t="shared" si="35"/>
        <v>#DIV/0!</v>
      </c>
      <c r="U93" s="136" t="e">
        <f t="shared" si="35"/>
        <v>#DIV/0!</v>
      </c>
      <c r="V93" s="136" t="e">
        <f t="shared" si="35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>
        <f t="shared" ref="AC93:AC98" si="36">AC9/AC85</f>
        <v>0</v>
      </c>
      <c r="AD93" s="136" t="e">
        <f t="shared" ref="AD93:AD98" si="37">P93-AC93</f>
        <v>#DIV/0!</v>
      </c>
      <c r="AE93" s="196" t="e">
        <f t="shared" ref="AE93:AE98" si="38">AD93/AC93</f>
        <v>#DIV/0!</v>
      </c>
      <c r="AF93" s="133">
        <v>96.523653846153849</v>
      </c>
      <c r="AG93" s="124" t="e">
        <f t="shared" si="33"/>
        <v>#DIV/0!</v>
      </c>
    </row>
    <row r="94" spans="1:33">
      <c r="C94" s="105" t="s">
        <v>483</v>
      </c>
      <c r="D94" s="136">
        <v>250</v>
      </c>
      <c r="E94" s="136">
        <v>250</v>
      </c>
      <c r="F94" s="136">
        <v>250</v>
      </c>
      <c r="G94" s="136">
        <v>250</v>
      </c>
      <c r="H94" s="136">
        <v>250</v>
      </c>
      <c r="I94" s="136">
        <v>250</v>
      </c>
      <c r="J94" s="136">
        <v>250</v>
      </c>
      <c r="K94" s="136"/>
      <c r="L94" s="136">
        <v>200</v>
      </c>
      <c r="M94" s="136">
        <v>300</v>
      </c>
      <c r="N94" s="136">
        <v>300</v>
      </c>
      <c r="O94" s="136">
        <v>300</v>
      </c>
      <c r="P94" s="137">
        <f t="shared" si="35"/>
        <v>278.81355932203388</v>
      </c>
      <c r="Q94" s="136" t="e">
        <f t="shared" si="35"/>
        <v>#DIV/0!</v>
      </c>
      <c r="R94" s="136" t="e">
        <f t="shared" si="35"/>
        <v>#DIV/0!</v>
      </c>
      <c r="S94" s="136">
        <f t="shared" si="35"/>
        <v>285.84875</v>
      </c>
      <c r="T94" s="136">
        <f t="shared" si="35"/>
        <v>132.51855670103092</v>
      </c>
      <c r="U94" s="136">
        <f t="shared" si="35"/>
        <v>372.82933333333335</v>
      </c>
      <c r="V94" s="136">
        <f t="shared" si="35"/>
        <v>267.6451851851852</v>
      </c>
      <c r="W94" s="72">
        <v>103.15432098765432</v>
      </c>
      <c r="X94" s="72" t="e">
        <v>#DIV/0!</v>
      </c>
      <c r="Y94" s="72">
        <v>200</v>
      </c>
      <c r="Z94" s="72">
        <v>300</v>
      </c>
      <c r="AA94" s="72">
        <v>300</v>
      </c>
      <c r="AB94" s="72">
        <v>300</v>
      </c>
      <c r="AC94" s="137">
        <f t="shared" si="36"/>
        <v>272.45146178231772</v>
      </c>
      <c r="AD94" s="136">
        <f t="shared" si="37"/>
        <v>6.3620975397161601</v>
      </c>
      <c r="AE94" s="196">
        <f t="shared" si="38"/>
        <v>2.335130631378049E-2</v>
      </c>
      <c r="AF94" s="133">
        <v>392.46309565217388</v>
      </c>
      <c r="AG94" s="124">
        <f t="shared" si="33"/>
        <v>-113.64953633013999</v>
      </c>
    </row>
    <row r="95" spans="1:33">
      <c r="C95" s="105" t="s">
        <v>485</v>
      </c>
      <c r="D95" s="136">
        <v>300</v>
      </c>
      <c r="E95" s="136">
        <v>280</v>
      </c>
      <c r="F95" s="136">
        <v>350</v>
      </c>
      <c r="G95" s="136">
        <v>350</v>
      </c>
      <c r="H95" s="136">
        <v>350</v>
      </c>
      <c r="I95" s="136">
        <v>350</v>
      </c>
      <c r="J95" s="136">
        <v>350</v>
      </c>
      <c r="K95" s="136">
        <v>350</v>
      </c>
      <c r="L95" s="136">
        <v>350</v>
      </c>
      <c r="M95" s="136">
        <v>350</v>
      </c>
      <c r="N95" s="136">
        <v>350</v>
      </c>
      <c r="O95" s="136">
        <v>350</v>
      </c>
      <c r="P95" s="137">
        <f t="shared" si="35"/>
        <v>346.80981595092027</v>
      </c>
      <c r="Q95" s="136">
        <f t="shared" si="35"/>
        <v>223.46178160919538</v>
      </c>
      <c r="R95" s="136">
        <f t="shared" si="35"/>
        <v>1120.76</v>
      </c>
      <c r="S95" s="136">
        <f t="shared" si="35"/>
        <v>333.98757763975158</v>
      </c>
      <c r="T95" s="136">
        <f t="shared" si="35"/>
        <v>500.41189591078063</v>
      </c>
      <c r="U95" s="136">
        <f t="shared" si="35"/>
        <v>352.11237373737373</v>
      </c>
      <c r="V95" s="136">
        <f t="shared" si="35"/>
        <v>286.45356435643566</v>
      </c>
      <c r="W95" s="72">
        <v>319.87748344370863</v>
      </c>
      <c r="X95" s="72" t="e">
        <v>#DIV/0!</v>
      </c>
      <c r="Y95" s="72">
        <v>350</v>
      </c>
      <c r="Z95" s="72">
        <v>350</v>
      </c>
      <c r="AA95" s="72">
        <v>350</v>
      </c>
      <c r="AB95" s="72">
        <v>350</v>
      </c>
      <c r="AC95" s="137">
        <f t="shared" si="36"/>
        <v>341.55897066666665</v>
      </c>
      <c r="AD95" s="136">
        <f t="shared" si="37"/>
        <v>5.2508452842536144</v>
      </c>
      <c r="AE95" s="196">
        <f t="shared" si="38"/>
        <v>1.537317340547324E-2</v>
      </c>
      <c r="AF95" s="133">
        <v>194.51188700147708</v>
      </c>
      <c r="AG95" s="124">
        <f t="shared" si="33"/>
        <v>152.29792894944319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5"/>
        <v>#DIV/0!</v>
      </c>
      <c r="Q96" s="136" t="e">
        <f t="shared" si="35"/>
        <v>#DIV/0!</v>
      </c>
      <c r="R96" s="136" t="e">
        <f t="shared" si="35"/>
        <v>#DIV/0!</v>
      </c>
      <c r="S96" s="136" t="e">
        <f t="shared" si="35"/>
        <v>#DIV/0!</v>
      </c>
      <c r="T96" s="136">
        <f t="shared" si="35"/>
        <v>0</v>
      </c>
      <c r="U96" s="136" t="e">
        <f t="shared" si="35"/>
        <v>#DIV/0!</v>
      </c>
      <c r="V96" s="136" t="e">
        <f t="shared" si="35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>
        <f t="shared" si="36"/>
        <v>0</v>
      </c>
      <c r="AD96" s="136" t="e">
        <f t="shared" si="37"/>
        <v>#DIV/0!</v>
      </c>
      <c r="AE96" s="196" t="e">
        <f t="shared" si="38"/>
        <v>#DIV/0!</v>
      </c>
      <c r="AF96" s="133">
        <v>65.653765405864846</v>
      </c>
      <c r="AG96" s="124" t="e">
        <f t="shared" si="33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5"/>
        <v>#DIV/0!</v>
      </c>
      <c r="Q97" s="136" t="e">
        <f t="shared" si="35"/>
        <v>#DIV/0!</v>
      </c>
      <c r="R97" s="136" t="e">
        <f t="shared" si="35"/>
        <v>#DIV/0!</v>
      </c>
      <c r="S97" s="136" t="e">
        <f t="shared" si="35"/>
        <v>#DIV/0!</v>
      </c>
      <c r="T97" s="136">
        <f t="shared" si="35"/>
        <v>0</v>
      </c>
      <c r="U97" s="136" t="e">
        <f t="shared" si="35"/>
        <v>#DIV/0!</v>
      </c>
      <c r="V97" s="136" t="e">
        <f t="shared" si="35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>
        <f t="shared" si="36"/>
        <v>0</v>
      </c>
      <c r="AD97" s="136" t="e">
        <f t="shared" si="37"/>
        <v>#DIV/0!</v>
      </c>
      <c r="AE97" s="196" t="e">
        <f t="shared" si="38"/>
        <v>#DIV/0!</v>
      </c>
      <c r="AF97" s="133" t="e">
        <v>#DIV/0!</v>
      </c>
      <c r="AG97" s="124" t="e">
        <f t="shared" si="33"/>
        <v>#DIV/0!</v>
      </c>
    </row>
    <row r="98" spans="1:33" s="109" customFormat="1">
      <c r="C98" s="109" t="s">
        <v>463</v>
      </c>
      <c r="D98" s="137">
        <f t="shared" ref="D98:O98" si="39">D14/D90</f>
        <v>284.61538461538464</v>
      </c>
      <c r="E98" s="137">
        <f t="shared" si="39"/>
        <v>265</v>
      </c>
      <c r="F98" s="137">
        <f t="shared" si="39"/>
        <v>334.61538461538464</v>
      </c>
      <c r="G98" s="137">
        <f t="shared" si="39"/>
        <v>334.61538461538464</v>
      </c>
      <c r="H98" s="137">
        <f t="shared" si="39"/>
        <v>331.81818181818181</v>
      </c>
      <c r="I98" s="137">
        <f t="shared" si="39"/>
        <v>333.33333333333331</v>
      </c>
      <c r="J98" s="137">
        <f t="shared" si="39"/>
        <v>350</v>
      </c>
      <c r="K98" s="137">
        <f t="shared" si="39"/>
        <v>350</v>
      </c>
      <c r="L98" s="137">
        <f t="shared" si="39"/>
        <v>300</v>
      </c>
      <c r="M98" s="137">
        <f t="shared" si="39"/>
        <v>335.29411764705884</v>
      </c>
      <c r="N98" s="137">
        <f t="shared" si="39"/>
        <v>334.78260869565219</v>
      </c>
      <c r="O98" s="137">
        <f t="shared" si="39"/>
        <v>333.33333333333331</v>
      </c>
      <c r="P98" s="137">
        <f t="shared" si="35"/>
        <v>328.73873873873873</v>
      </c>
      <c r="Q98" s="137">
        <f t="shared" si="35"/>
        <v>214.22782369146006</v>
      </c>
      <c r="R98" s="137">
        <f t="shared" si="35"/>
        <v>1120.76</v>
      </c>
      <c r="S98" s="137">
        <f t="shared" si="35"/>
        <v>318.00788381742734</v>
      </c>
      <c r="T98" s="137">
        <f t="shared" si="35"/>
        <v>362.32211302211294</v>
      </c>
      <c r="U98" s="137">
        <f t="shared" si="35"/>
        <v>357.80384615384617</v>
      </c>
      <c r="V98" s="137">
        <f t="shared" si="35"/>
        <v>272.765525606469</v>
      </c>
      <c r="W98" s="137">
        <f t="shared" si="35"/>
        <v>207.70766773162939</v>
      </c>
      <c r="X98" s="137" t="e">
        <f t="shared" si="35"/>
        <v>#DIV/0!</v>
      </c>
      <c r="Y98" s="137">
        <f t="shared" si="35"/>
        <v>300</v>
      </c>
      <c r="Z98" s="137">
        <f t="shared" si="35"/>
        <v>330.76923076923077</v>
      </c>
      <c r="AA98" s="137">
        <f t="shared" si="35"/>
        <v>332.35294117647061</v>
      </c>
      <c r="AB98" s="137">
        <f t="shared" si="35"/>
        <v>333.05084745762713</v>
      </c>
      <c r="AC98" s="137">
        <f t="shared" si="36"/>
        <v>315.73039367311071</v>
      </c>
      <c r="AD98" s="137">
        <f t="shared" si="37"/>
        <v>13.008345065628021</v>
      </c>
      <c r="AE98" s="139">
        <f t="shared" si="38"/>
        <v>4.1200800829761484E-2</v>
      </c>
      <c r="AF98" s="133">
        <v>202.55302254684025</v>
      </c>
      <c r="AG98" s="129">
        <f t="shared" si="33"/>
        <v>126.18571619189848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575</v>
      </c>
      <c r="C102" s="105" t="s">
        <v>250</v>
      </c>
      <c r="D102" s="215">
        <v>8500</v>
      </c>
      <c r="E102" s="136">
        <v>8500</v>
      </c>
      <c r="F102" s="136">
        <v>8542.5</v>
      </c>
      <c r="G102" s="136">
        <v>8542.5</v>
      </c>
      <c r="H102" s="136">
        <v>8542.5</v>
      </c>
      <c r="I102" s="136">
        <v>8542.5</v>
      </c>
      <c r="J102" s="136">
        <v>8542.5</v>
      </c>
      <c r="K102" s="136">
        <v>8542.5</v>
      </c>
      <c r="L102" s="136">
        <v>8542.5</v>
      </c>
      <c r="M102" s="136">
        <v>8542.5</v>
      </c>
      <c r="N102" s="136">
        <v>8542.5</v>
      </c>
      <c r="O102" s="136">
        <v>8542.5</v>
      </c>
      <c r="P102" s="137">
        <f>SUM(D102:O102)</f>
        <v>102425</v>
      </c>
      <c r="Q102" s="136">
        <v>8500</v>
      </c>
      <c r="R102" s="136">
        <v>8500</v>
      </c>
      <c r="S102" s="136">
        <v>8500</v>
      </c>
      <c r="T102" s="136">
        <v>8500</v>
      </c>
      <c r="U102" s="136">
        <v>8500</v>
      </c>
      <c r="V102" s="136">
        <v>8500</v>
      </c>
      <c r="W102" s="72">
        <v>8500</v>
      </c>
      <c r="X102" s="72">
        <v>8500</v>
      </c>
      <c r="Y102" s="72">
        <v>8500</v>
      </c>
      <c r="Z102" s="72">
        <v>8500</v>
      </c>
      <c r="AA102" s="72">
        <v>8500</v>
      </c>
      <c r="AB102" s="72">
        <v>8500</v>
      </c>
      <c r="AC102" s="137">
        <f>SUM(Q102:AB102)</f>
        <v>102000</v>
      </c>
      <c r="AD102" s="72">
        <f t="shared" ref="AD102:AD105" si="40">P102-AC102</f>
        <v>425</v>
      </c>
      <c r="AE102" s="192">
        <f t="shared" ref="AE102:AE105" si="41">AD102/AC102</f>
        <v>4.1666666666666666E-3</v>
      </c>
      <c r="AF102" s="133">
        <v>134496</v>
      </c>
      <c r="AG102" s="124">
        <f t="shared" ref="AG102:AG136" si="42">AF102-P102</f>
        <v>32071</v>
      </c>
    </row>
    <row r="103" spans="1:33">
      <c r="A103" s="105" t="s">
        <v>251</v>
      </c>
      <c r="B103" s="105" t="s">
        <v>576</v>
      </c>
      <c r="C103" s="105" t="s">
        <v>468</v>
      </c>
      <c r="D103" s="215">
        <v>6084</v>
      </c>
      <c r="E103" s="136">
        <v>6084</v>
      </c>
      <c r="F103" s="136">
        <v>6388.2</v>
      </c>
      <c r="G103" s="136">
        <v>6388.2</v>
      </c>
      <c r="H103" s="136">
        <v>6388.2</v>
      </c>
      <c r="I103" s="136">
        <v>6388.2</v>
      </c>
      <c r="J103" s="136">
        <v>6388.2</v>
      </c>
      <c r="K103" s="136">
        <v>6388.2</v>
      </c>
      <c r="L103" s="136">
        <v>6388.2</v>
      </c>
      <c r="M103" s="136">
        <v>6388.2</v>
      </c>
      <c r="N103" s="136">
        <v>6388.2</v>
      </c>
      <c r="O103" s="136">
        <v>6388.2</v>
      </c>
      <c r="P103" s="137">
        <f>SUM(D103:O103)</f>
        <v>76049.999999999985</v>
      </c>
      <c r="Q103" s="136">
        <v>7800</v>
      </c>
      <c r="R103" s="136">
        <v>7800</v>
      </c>
      <c r="S103" s="136">
        <v>7800</v>
      </c>
      <c r="T103" s="136">
        <v>7800</v>
      </c>
      <c r="U103" s="136">
        <v>7800</v>
      </c>
      <c r="V103" s="136">
        <v>7800</v>
      </c>
      <c r="W103" s="72">
        <v>7800</v>
      </c>
      <c r="X103" s="72">
        <v>7800</v>
      </c>
      <c r="Y103" s="72">
        <v>4276</v>
      </c>
      <c r="Z103" s="72">
        <v>4276</v>
      </c>
      <c r="AA103" s="72">
        <v>4276</v>
      </c>
      <c r="AB103" s="72">
        <v>4276</v>
      </c>
      <c r="AC103" s="137">
        <f>SUM(Q103:AB103)</f>
        <v>79504</v>
      </c>
      <c r="AD103" s="72">
        <f t="shared" si="40"/>
        <v>-3454.0000000000146</v>
      </c>
      <c r="AE103" s="192">
        <f t="shared" si="41"/>
        <v>-4.3444355001006421E-2</v>
      </c>
      <c r="AF103" s="133">
        <v>131168.14000000001</v>
      </c>
      <c r="AG103" s="124">
        <f t="shared" si="42"/>
        <v>55118.140000000029</v>
      </c>
    </row>
    <row r="104" spans="1:33">
      <c r="A104" s="105" t="s">
        <v>251</v>
      </c>
      <c r="B104" s="105" t="s">
        <v>577</v>
      </c>
      <c r="C104" s="105" t="s">
        <v>470</v>
      </c>
      <c r="D104" s="215">
        <v>0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7">
        <f>SUM(D104:O104)</f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0</v>
      </c>
      <c r="Z104" s="72">
        <v>0</v>
      </c>
      <c r="AA104" s="72">
        <v>0</v>
      </c>
      <c r="AB104" s="72">
        <v>0</v>
      </c>
      <c r="AC104" s="137">
        <f>SUM(Q104:AB104)</f>
        <v>0</v>
      </c>
      <c r="AD104" s="72">
        <f t="shared" si="40"/>
        <v>0</v>
      </c>
      <c r="AE104" s="192" t="e">
        <f t="shared" si="41"/>
        <v>#DIV/0!</v>
      </c>
      <c r="AF104" s="133">
        <v>75968</v>
      </c>
      <c r="AG104" s="124">
        <f t="shared" si="42"/>
        <v>75968</v>
      </c>
    </row>
    <row r="105" spans="1:33">
      <c r="A105" s="105" t="s">
        <v>273</v>
      </c>
      <c r="C105" s="109" t="s">
        <v>520</v>
      </c>
      <c r="D105" s="137">
        <f t="shared" ref="D105:AC105" si="43">SUM(D102:D104)</f>
        <v>14584</v>
      </c>
      <c r="E105" s="137">
        <f t="shared" si="43"/>
        <v>14584</v>
      </c>
      <c r="F105" s="137">
        <f t="shared" si="43"/>
        <v>14930.7</v>
      </c>
      <c r="G105" s="137">
        <f t="shared" si="43"/>
        <v>14930.7</v>
      </c>
      <c r="H105" s="137">
        <f t="shared" si="43"/>
        <v>14930.7</v>
      </c>
      <c r="I105" s="137">
        <f t="shared" si="43"/>
        <v>14930.7</v>
      </c>
      <c r="J105" s="137">
        <f t="shared" si="43"/>
        <v>14930.7</v>
      </c>
      <c r="K105" s="137">
        <f t="shared" si="43"/>
        <v>14930.7</v>
      </c>
      <c r="L105" s="137">
        <f t="shared" si="43"/>
        <v>14930.7</v>
      </c>
      <c r="M105" s="137">
        <f t="shared" si="43"/>
        <v>14930.7</v>
      </c>
      <c r="N105" s="137">
        <f t="shared" si="43"/>
        <v>14930.7</v>
      </c>
      <c r="O105" s="137">
        <f t="shared" si="43"/>
        <v>14930.7</v>
      </c>
      <c r="P105" s="137">
        <f t="shared" si="43"/>
        <v>178475</v>
      </c>
      <c r="Q105" s="137">
        <f t="shared" si="43"/>
        <v>16300</v>
      </c>
      <c r="R105" s="137">
        <f t="shared" si="43"/>
        <v>16300</v>
      </c>
      <c r="S105" s="137">
        <f t="shared" si="43"/>
        <v>16300</v>
      </c>
      <c r="T105" s="137">
        <f t="shared" si="43"/>
        <v>16300</v>
      </c>
      <c r="U105" s="137">
        <f t="shared" si="43"/>
        <v>16300</v>
      </c>
      <c r="V105" s="137">
        <f t="shared" si="43"/>
        <v>16300</v>
      </c>
      <c r="W105" s="137">
        <f t="shared" si="43"/>
        <v>16300</v>
      </c>
      <c r="X105" s="137">
        <f t="shared" si="43"/>
        <v>16300</v>
      </c>
      <c r="Y105" s="137">
        <f t="shared" si="43"/>
        <v>12776</v>
      </c>
      <c r="Z105" s="137">
        <f t="shared" si="43"/>
        <v>12776</v>
      </c>
      <c r="AA105" s="137">
        <f t="shared" si="43"/>
        <v>12776</v>
      </c>
      <c r="AB105" s="137">
        <f t="shared" si="43"/>
        <v>12776</v>
      </c>
      <c r="AC105" s="137">
        <f t="shared" si="43"/>
        <v>181504</v>
      </c>
      <c r="AD105" s="72">
        <f t="shared" si="40"/>
        <v>-3029</v>
      </c>
      <c r="AE105" s="192">
        <f t="shared" si="41"/>
        <v>-1.6688337447108605E-2</v>
      </c>
      <c r="AF105" s="133">
        <v>341632.14</v>
      </c>
      <c r="AG105" s="124">
        <f t="shared" si="42"/>
        <v>163157.14000000001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7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2"/>
        <v>0</v>
      </c>
    </row>
    <row r="107" spans="1:33">
      <c r="A107" s="105" t="s">
        <v>119</v>
      </c>
      <c r="B107" s="105" t="s">
        <v>574</v>
      </c>
      <c r="C107" s="105" t="s">
        <v>260</v>
      </c>
      <c r="D107" s="215">
        <v>5296.55</v>
      </c>
      <c r="E107" s="215">
        <v>0</v>
      </c>
      <c r="F107" s="215">
        <v>0</v>
      </c>
      <c r="G107" s="215">
        <v>593.1</v>
      </c>
      <c r="H107" s="215">
        <v>2248.2700000000004</v>
      </c>
      <c r="I107" s="215">
        <v>0</v>
      </c>
      <c r="J107" s="215">
        <v>0</v>
      </c>
      <c r="K107" s="215">
        <v>0</v>
      </c>
      <c r="L107" s="215">
        <v>0</v>
      </c>
      <c r="M107" s="215">
        <v>6198.63</v>
      </c>
      <c r="N107" s="215">
        <v>0</v>
      </c>
      <c r="O107" s="215">
        <v>0</v>
      </c>
      <c r="P107" s="137">
        <f>SUM(D107:O107)</f>
        <v>14336.550000000001</v>
      </c>
      <c r="Q107" s="136">
        <v>0</v>
      </c>
      <c r="R107" s="136">
        <v>5572.38</v>
      </c>
      <c r="S107" s="136">
        <v>0</v>
      </c>
      <c r="T107" s="136">
        <v>0</v>
      </c>
      <c r="U107" s="136">
        <v>1075.8599999999999</v>
      </c>
      <c r="V107" s="136">
        <v>482.76</v>
      </c>
      <c r="W107" s="72">
        <v>0</v>
      </c>
      <c r="X107" s="72">
        <v>0</v>
      </c>
      <c r="Y107" s="72">
        <v>1981</v>
      </c>
      <c r="Z107" s="72">
        <v>5944</v>
      </c>
      <c r="AA107" s="72">
        <v>0</v>
      </c>
      <c r="AB107" s="72">
        <v>0</v>
      </c>
      <c r="AC107" s="137">
        <f>SUM(Q107:AB107)</f>
        <v>15056</v>
      </c>
      <c r="AD107" s="72">
        <f t="shared" ref="AD107:AD112" si="44">P107-AC107</f>
        <v>-719.44999999999891</v>
      </c>
      <c r="AE107" s="192">
        <f t="shared" ref="AE107:AE112" si="45">AD107/AC107</f>
        <v>-4.7784936238044563E-2</v>
      </c>
      <c r="AF107" s="133">
        <v>27530.300000000003</v>
      </c>
      <c r="AG107" s="124">
        <f t="shared" si="42"/>
        <v>13193.750000000002</v>
      </c>
    </row>
    <row r="108" spans="1:33">
      <c r="A108" s="105" t="s">
        <v>120</v>
      </c>
      <c r="B108" s="105" t="s">
        <v>574</v>
      </c>
      <c r="C108" s="105" t="s">
        <v>261</v>
      </c>
      <c r="D108" s="215">
        <v>2716.67</v>
      </c>
      <c r="E108" s="215">
        <v>2716.67</v>
      </c>
      <c r="F108" s="215">
        <v>2716.67</v>
      </c>
      <c r="G108" s="215">
        <v>2716.67</v>
      </c>
      <c r="H108" s="215">
        <v>2716.67</v>
      </c>
      <c r="I108" s="215">
        <v>2716.67</v>
      </c>
      <c r="J108" s="215">
        <v>2716.67</v>
      </c>
      <c r="K108" s="215">
        <v>2716.67</v>
      </c>
      <c r="L108" s="215">
        <v>2716.67</v>
      </c>
      <c r="M108" s="215">
        <v>2716.67</v>
      </c>
      <c r="N108" s="215">
        <v>2716.67</v>
      </c>
      <c r="O108" s="215">
        <v>2716.67</v>
      </c>
      <c r="P108" s="137">
        <f>SUM(D108:O108)</f>
        <v>32600.039999999994</v>
      </c>
      <c r="Q108" s="136">
        <v>4100.32</v>
      </c>
      <c r="R108" s="136">
        <v>4076.07</v>
      </c>
      <c r="S108" s="136">
        <v>4061.97</v>
      </c>
      <c r="T108" s="136">
        <v>2695.98</v>
      </c>
      <c r="U108" s="136">
        <v>2712.48</v>
      </c>
      <c r="V108" s="136">
        <v>2729.01</v>
      </c>
      <c r="W108" s="72">
        <v>2698.37</v>
      </c>
      <c r="X108" s="72">
        <v>2721.55</v>
      </c>
      <c r="Y108" s="72">
        <v>2129.33</v>
      </c>
      <c r="Z108" s="72">
        <v>2129.33</v>
      </c>
      <c r="AA108" s="72">
        <v>2129.33</v>
      </c>
      <c r="AB108" s="72">
        <v>2129.33</v>
      </c>
      <c r="AC108" s="137">
        <f>SUM(Q108:AB108)</f>
        <v>34313.070000000007</v>
      </c>
      <c r="AD108" s="72">
        <f t="shared" si="44"/>
        <v>-1713.0300000000134</v>
      </c>
      <c r="AE108" s="192">
        <f t="shared" si="45"/>
        <v>-4.9923542253724688E-2</v>
      </c>
      <c r="AF108" s="133">
        <v>58964.759999999995</v>
      </c>
      <c r="AG108" s="124">
        <f t="shared" si="42"/>
        <v>26364.720000000001</v>
      </c>
    </row>
    <row r="109" spans="1:33">
      <c r="A109" s="105" t="s">
        <v>121</v>
      </c>
      <c r="B109" s="105" t="s">
        <v>574</v>
      </c>
      <c r="C109" s="105" t="s">
        <v>262</v>
      </c>
      <c r="D109" s="215">
        <v>2390</v>
      </c>
      <c r="E109" s="215">
        <v>2390</v>
      </c>
      <c r="F109" s="215">
        <v>2390</v>
      </c>
      <c r="G109" s="215">
        <v>2390</v>
      </c>
      <c r="H109" s="215">
        <v>2390</v>
      </c>
      <c r="I109" s="215">
        <v>2390</v>
      </c>
      <c r="J109" s="215">
        <v>2390</v>
      </c>
      <c r="K109" s="215">
        <v>2190</v>
      </c>
      <c r="L109" s="215">
        <v>2190</v>
      </c>
      <c r="M109" s="215">
        <v>2190</v>
      </c>
      <c r="N109" s="215">
        <v>2190</v>
      </c>
      <c r="O109" s="215">
        <v>2190</v>
      </c>
      <c r="P109" s="137">
        <f>SUM(D109:O109)</f>
        <v>27680</v>
      </c>
      <c r="Q109" s="136">
        <v>2490</v>
      </c>
      <c r="R109" s="136">
        <v>1910.34</v>
      </c>
      <c r="S109" s="136">
        <v>2055.86</v>
      </c>
      <c r="T109" s="136">
        <v>2090</v>
      </c>
      <c r="U109" s="136">
        <v>2090</v>
      </c>
      <c r="V109" s="136">
        <v>2068.71</v>
      </c>
      <c r="W109" s="72">
        <v>2090</v>
      </c>
      <c r="X109" s="72">
        <v>2090</v>
      </c>
      <c r="Y109" s="72">
        <v>2290</v>
      </c>
      <c r="Z109" s="72">
        <v>2390</v>
      </c>
      <c r="AA109" s="72">
        <v>2390</v>
      </c>
      <c r="AB109" s="72">
        <v>2390</v>
      </c>
      <c r="AC109" s="137">
        <f>SUM(Q109:AB109)</f>
        <v>26344.91</v>
      </c>
      <c r="AD109" s="72">
        <f t="shared" si="44"/>
        <v>1335.0900000000001</v>
      </c>
      <c r="AE109" s="192">
        <f t="shared" si="45"/>
        <v>5.0677341467478924E-2</v>
      </c>
      <c r="AF109" s="133">
        <v>15353</v>
      </c>
      <c r="AG109" s="124">
        <f t="shared" si="42"/>
        <v>-12327</v>
      </c>
    </row>
    <row r="110" spans="1:33">
      <c r="A110" s="105" t="s">
        <v>122</v>
      </c>
      <c r="B110" s="105" t="s">
        <v>574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7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4"/>
        <v>0</v>
      </c>
      <c r="AE110" s="192" t="e">
        <f t="shared" si="45"/>
        <v>#DIV/0!</v>
      </c>
      <c r="AF110" s="133">
        <v>0</v>
      </c>
      <c r="AG110" s="124">
        <f t="shared" si="42"/>
        <v>0</v>
      </c>
    </row>
    <row r="111" spans="1:33">
      <c r="A111" s="105" t="s">
        <v>123</v>
      </c>
      <c r="B111" s="105" t="s">
        <v>574</v>
      </c>
      <c r="C111" s="105" t="s">
        <v>264</v>
      </c>
      <c r="D111" s="215">
        <v>200</v>
      </c>
      <c r="E111" s="215">
        <v>200</v>
      </c>
      <c r="F111" s="215">
        <v>200</v>
      </c>
      <c r="G111" s="215">
        <v>200</v>
      </c>
      <c r="H111" s="215">
        <v>200</v>
      </c>
      <c r="I111" s="215">
        <v>200</v>
      </c>
      <c r="J111" s="215">
        <v>200</v>
      </c>
      <c r="K111" s="215">
        <v>400</v>
      </c>
      <c r="L111" s="215">
        <v>400</v>
      </c>
      <c r="M111" s="215">
        <v>400</v>
      </c>
      <c r="N111" s="215">
        <v>400</v>
      </c>
      <c r="O111" s="215">
        <v>400</v>
      </c>
      <c r="P111" s="137">
        <f>SUM(D111:O111)</f>
        <v>3400</v>
      </c>
      <c r="Q111" s="136">
        <v>400</v>
      </c>
      <c r="R111" s="136">
        <v>400</v>
      </c>
      <c r="S111" s="136">
        <v>400</v>
      </c>
      <c r="T111" s="136">
        <v>397.12</v>
      </c>
      <c r="U111" s="136">
        <v>400</v>
      </c>
      <c r="V111" s="136">
        <v>400</v>
      </c>
      <c r="W111" s="72">
        <v>752.84</v>
      </c>
      <c r="X111" s="72">
        <v>382.4</v>
      </c>
      <c r="Y111" s="72">
        <v>400</v>
      </c>
      <c r="Z111" s="72">
        <v>400</v>
      </c>
      <c r="AA111" s="72">
        <v>400</v>
      </c>
      <c r="AB111" s="72">
        <v>400</v>
      </c>
      <c r="AC111" s="137">
        <f>SUM(Q111:AB111)</f>
        <v>5132.3600000000006</v>
      </c>
      <c r="AD111" s="72">
        <f t="shared" si="44"/>
        <v>-1732.3600000000006</v>
      </c>
      <c r="AE111" s="192">
        <f t="shared" si="45"/>
        <v>-0.33753672774318255</v>
      </c>
      <c r="AF111" s="133">
        <v>12359.55</v>
      </c>
      <c r="AG111" s="124">
        <f t="shared" si="42"/>
        <v>8959.5499999999993</v>
      </c>
    </row>
    <row r="112" spans="1:33">
      <c r="A112" s="105" t="s">
        <v>273</v>
      </c>
      <c r="C112" s="109" t="s">
        <v>521</v>
      </c>
      <c r="D112" s="137">
        <f t="shared" ref="D112:O112" si="46">SUM(D107:D111)</f>
        <v>10603.220000000001</v>
      </c>
      <c r="E112" s="137">
        <f t="shared" si="46"/>
        <v>5306.67</v>
      </c>
      <c r="F112" s="137">
        <f t="shared" si="46"/>
        <v>5306.67</v>
      </c>
      <c r="G112" s="137">
        <f t="shared" si="46"/>
        <v>5899.77</v>
      </c>
      <c r="H112" s="137">
        <f t="shared" si="46"/>
        <v>7554.9400000000005</v>
      </c>
      <c r="I112" s="137">
        <f t="shared" si="46"/>
        <v>5306.67</v>
      </c>
      <c r="J112" s="137">
        <f t="shared" si="46"/>
        <v>5306.67</v>
      </c>
      <c r="K112" s="137">
        <f t="shared" si="46"/>
        <v>5306.67</v>
      </c>
      <c r="L112" s="137">
        <f t="shared" si="46"/>
        <v>5306.67</v>
      </c>
      <c r="M112" s="137">
        <f t="shared" si="46"/>
        <v>11505.3</v>
      </c>
      <c r="N112" s="137">
        <f t="shared" si="46"/>
        <v>5306.67</v>
      </c>
      <c r="O112" s="137">
        <f t="shared" si="46"/>
        <v>5306.67</v>
      </c>
      <c r="P112" s="137">
        <f>SUM(P107:P111)</f>
        <v>78016.59</v>
      </c>
      <c r="Q112" s="137">
        <f t="shared" ref="Q112:AC112" si="47">SUM(Q107:Q111)</f>
        <v>6990.32</v>
      </c>
      <c r="R112" s="137">
        <f t="shared" si="47"/>
        <v>11958.79</v>
      </c>
      <c r="S112" s="137">
        <f t="shared" si="47"/>
        <v>6517.83</v>
      </c>
      <c r="T112" s="137">
        <f t="shared" si="47"/>
        <v>5183.0999999999995</v>
      </c>
      <c r="U112" s="137">
        <f t="shared" si="47"/>
        <v>6278.34</v>
      </c>
      <c r="V112" s="137">
        <f t="shared" si="47"/>
        <v>5680.4800000000005</v>
      </c>
      <c r="W112" s="137">
        <f t="shared" si="47"/>
        <v>5541.21</v>
      </c>
      <c r="X112" s="137">
        <f t="shared" si="47"/>
        <v>5193.95</v>
      </c>
      <c r="Y112" s="137">
        <f t="shared" si="47"/>
        <v>6800.33</v>
      </c>
      <c r="Z112" s="137">
        <f t="shared" si="47"/>
        <v>10863.33</v>
      </c>
      <c r="AA112" s="137">
        <f t="shared" si="47"/>
        <v>4919.33</v>
      </c>
      <c r="AB112" s="137">
        <f t="shared" si="47"/>
        <v>4919.33</v>
      </c>
      <c r="AC112" s="137">
        <f t="shared" si="47"/>
        <v>80846.340000000011</v>
      </c>
      <c r="AD112" s="72">
        <f t="shared" si="44"/>
        <v>-2829.7500000000146</v>
      </c>
      <c r="AE112" s="192">
        <f t="shared" si="45"/>
        <v>-3.5001584487312776E-2</v>
      </c>
      <c r="AF112" s="133">
        <v>114207.61</v>
      </c>
      <c r="AG112" s="124">
        <f t="shared" si="42"/>
        <v>36191.020000000004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2"/>
        <v>0</v>
      </c>
    </row>
    <row r="114" spans="1:33">
      <c r="A114" s="105" t="s">
        <v>124</v>
      </c>
      <c r="B114" s="105" t="s">
        <v>574</v>
      </c>
      <c r="C114" s="105" t="s">
        <v>266</v>
      </c>
      <c r="D114" s="215">
        <v>3713.31</v>
      </c>
      <c r="E114" s="215">
        <v>3713.31</v>
      </c>
      <c r="F114" s="215">
        <v>3713.31</v>
      </c>
      <c r="G114" s="215">
        <v>3713.31</v>
      </c>
      <c r="H114" s="215">
        <v>3713.31</v>
      </c>
      <c r="I114" s="215">
        <v>3713.31</v>
      </c>
      <c r="J114" s="215">
        <v>3767.75</v>
      </c>
      <c r="K114" s="215">
        <v>3767.75</v>
      </c>
      <c r="L114" s="215">
        <v>3767.75</v>
      </c>
      <c r="M114" s="215">
        <v>3767.75</v>
      </c>
      <c r="N114" s="215">
        <v>3767.75</v>
      </c>
      <c r="O114" s="215">
        <v>3767.75</v>
      </c>
      <c r="P114" s="137">
        <f>SUM(D114:O114)</f>
        <v>44886.36</v>
      </c>
      <c r="Q114" s="136">
        <v>3976.74</v>
      </c>
      <c r="R114" s="136">
        <v>3976.74</v>
      </c>
      <c r="S114" s="136">
        <v>3976.74</v>
      </c>
      <c r="T114" s="136">
        <v>3976.74</v>
      </c>
      <c r="U114" s="136">
        <v>3976.74</v>
      </c>
      <c r="V114" s="136">
        <v>3976.74</v>
      </c>
      <c r="W114" s="72">
        <v>3976.74</v>
      </c>
      <c r="X114" s="72">
        <v>3976.74</v>
      </c>
      <c r="Y114" s="72">
        <v>4316</v>
      </c>
      <c r="Z114" s="72">
        <v>4316</v>
      </c>
      <c r="AA114" s="72">
        <v>4316</v>
      </c>
      <c r="AB114" s="72">
        <v>4316</v>
      </c>
      <c r="AC114" s="137">
        <f t="shared" ref="AC114:AC121" si="48">SUM(Q114:AB114)</f>
        <v>49077.919999999991</v>
      </c>
      <c r="AD114" s="72">
        <f t="shared" ref="AD114:AD122" si="49">P114-AC114</f>
        <v>-4191.5599999999904</v>
      </c>
      <c r="AE114" s="192">
        <f t="shared" ref="AE114:AE122" si="50">AD114/AC114</f>
        <v>-8.5406227484783201E-2</v>
      </c>
      <c r="AF114" s="133">
        <v>56472.359999999993</v>
      </c>
      <c r="AG114" s="124">
        <f t="shared" si="42"/>
        <v>11585.999999999993</v>
      </c>
    </row>
    <row r="115" spans="1:33">
      <c r="A115" s="105" t="s">
        <v>125</v>
      </c>
      <c r="B115" s="105" t="s">
        <v>574</v>
      </c>
      <c r="C115" s="105" t="s">
        <v>267</v>
      </c>
      <c r="D115" s="215">
        <v>1505.11</v>
      </c>
      <c r="E115" s="215">
        <v>1505.11</v>
      </c>
      <c r="F115" s="215">
        <v>1505.11</v>
      </c>
      <c r="G115" s="215">
        <v>1505.11</v>
      </c>
      <c r="H115" s="215">
        <v>1505.11</v>
      </c>
      <c r="I115" s="215">
        <v>1505.11</v>
      </c>
      <c r="J115" s="215">
        <v>1523.8</v>
      </c>
      <c r="K115" s="215">
        <v>1523.8</v>
      </c>
      <c r="L115" s="215">
        <v>1523.8</v>
      </c>
      <c r="M115" s="215">
        <v>1523.8</v>
      </c>
      <c r="N115" s="215">
        <v>1523.8</v>
      </c>
      <c r="O115" s="215">
        <v>1523.8</v>
      </c>
      <c r="P115" s="137">
        <f t="shared" ref="P115:P121" si="51">SUM(D115:O115)</f>
        <v>18173.459999999995</v>
      </c>
      <c r="Q115" s="136">
        <v>2112.64</v>
      </c>
      <c r="R115" s="136">
        <v>2112.64</v>
      </c>
      <c r="S115" s="136">
        <v>2112.64</v>
      </c>
      <c r="T115" s="136">
        <v>2112.64</v>
      </c>
      <c r="U115" s="136">
        <v>2112.64</v>
      </c>
      <c r="V115" s="136">
        <v>2112.64</v>
      </c>
      <c r="W115" s="72">
        <v>1615.55</v>
      </c>
      <c r="X115" s="72">
        <v>1615.55</v>
      </c>
      <c r="Y115" s="72">
        <v>2266</v>
      </c>
      <c r="Z115" s="72">
        <v>2266</v>
      </c>
      <c r="AA115" s="72">
        <v>2266</v>
      </c>
      <c r="AB115" s="72">
        <v>2266</v>
      </c>
      <c r="AC115" s="137">
        <f t="shared" si="48"/>
        <v>24970.939999999995</v>
      </c>
      <c r="AD115" s="72">
        <f t="shared" si="49"/>
        <v>-6797.48</v>
      </c>
      <c r="AE115" s="192">
        <f t="shared" si="50"/>
        <v>-0.2722156234406875</v>
      </c>
      <c r="AF115" s="133">
        <v>25950.530000000002</v>
      </c>
      <c r="AG115" s="124">
        <f t="shared" si="42"/>
        <v>7777.070000000007</v>
      </c>
    </row>
    <row r="116" spans="1:33">
      <c r="A116" s="105" t="s">
        <v>126</v>
      </c>
      <c r="B116" s="105" t="s">
        <v>574</v>
      </c>
      <c r="C116" s="105" t="s">
        <v>268</v>
      </c>
      <c r="D116" s="215">
        <v>115.78</v>
      </c>
      <c r="E116" s="215">
        <v>115.78</v>
      </c>
      <c r="F116" s="215">
        <v>115.78</v>
      </c>
      <c r="G116" s="215">
        <v>115.78</v>
      </c>
      <c r="H116" s="215">
        <v>115.78</v>
      </c>
      <c r="I116" s="215">
        <v>115.78</v>
      </c>
      <c r="J116" s="215">
        <v>117.22</v>
      </c>
      <c r="K116" s="215">
        <v>117.22</v>
      </c>
      <c r="L116" s="215">
        <v>117.22</v>
      </c>
      <c r="M116" s="215">
        <v>117.22</v>
      </c>
      <c r="N116" s="215">
        <v>117.22</v>
      </c>
      <c r="O116" s="215">
        <v>117.22</v>
      </c>
      <c r="P116" s="137">
        <f t="shared" si="51"/>
        <v>1398</v>
      </c>
      <c r="Q116" s="136">
        <v>124.27</v>
      </c>
      <c r="R116" s="136">
        <v>124.27</v>
      </c>
      <c r="S116" s="136">
        <v>124.27</v>
      </c>
      <c r="T116" s="136">
        <v>124.27</v>
      </c>
      <c r="U116" s="136">
        <v>124.27</v>
      </c>
      <c r="V116" s="136">
        <v>124.27</v>
      </c>
      <c r="W116" s="72">
        <v>124.27</v>
      </c>
      <c r="X116" s="72">
        <v>124.27</v>
      </c>
      <c r="Y116" s="72">
        <v>135</v>
      </c>
      <c r="Z116" s="72">
        <v>135</v>
      </c>
      <c r="AA116" s="72">
        <v>135</v>
      </c>
      <c r="AB116" s="72">
        <v>135</v>
      </c>
      <c r="AC116" s="137">
        <f t="shared" si="48"/>
        <v>1534.1599999999999</v>
      </c>
      <c r="AD116" s="72">
        <f t="shared" si="49"/>
        <v>-136.15999999999985</v>
      </c>
      <c r="AE116" s="192">
        <f t="shared" si="50"/>
        <v>-8.8752151014235711E-2</v>
      </c>
      <c r="AF116" s="133">
        <v>1603.4900000000005</v>
      </c>
      <c r="AG116" s="124">
        <f t="shared" si="42"/>
        <v>205.49000000000046</v>
      </c>
    </row>
    <row r="117" spans="1:33">
      <c r="A117" s="105" t="s">
        <v>127</v>
      </c>
      <c r="B117" s="105" t="s">
        <v>574</v>
      </c>
      <c r="C117" s="105" t="s">
        <v>269</v>
      </c>
      <c r="D117" s="215">
        <v>27.79</v>
      </c>
      <c r="E117" s="215">
        <v>27.79</v>
      </c>
      <c r="F117" s="215">
        <v>27.79</v>
      </c>
      <c r="G117" s="215">
        <v>27.79</v>
      </c>
      <c r="H117" s="215">
        <v>27.79</v>
      </c>
      <c r="I117" s="215">
        <v>27.79</v>
      </c>
      <c r="J117" s="215">
        <v>28.14</v>
      </c>
      <c r="K117" s="215">
        <v>28.14</v>
      </c>
      <c r="L117" s="215">
        <v>28.14</v>
      </c>
      <c r="M117" s="215">
        <v>28.14</v>
      </c>
      <c r="N117" s="215">
        <v>28.14</v>
      </c>
      <c r="O117" s="215">
        <v>28.14</v>
      </c>
      <c r="P117" s="137">
        <f t="shared" si="51"/>
        <v>335.57999999999993</v>
      </c>
      <c r="Q117" s="136">
        <v>29.82</v>
      </c>
      <c r="R117" s="136">
        <v>29.82</v>
      </c>
      <c r="S117" s="136">
        <v>29.82</v>
      </c>
      <c r="T117" s="136">
        <v>29.82</v>
      </c>
      <c r="U117" s="136">
        <v>29.82</v>
      </c>
      <c r="V117" s="136">
        <v>29.82</v>
      </c>
      <c r="W117" s="72">
        <v>29.82</v>
      </c>
      <c r="X117" s="72">
        <v>29.82</v>
      </c>
      <c r="Y117" s="72">
        <v>50</v>
      </c>
      <c r="Z117" s="72">
        <v>50</v>
      </c>
      <c r="AA117" s="72">
        <v>50</v>
      </c>
      <c r="AB117" s="72">
        <v>50</v>
      </c>
      <c r="AC117" s="137">
        <f t="shared" si="48"/>
        <v>438.55999999999995</v>
      </c>
      <c r="AD117" s="72">
        <f t="shared" si="49"/>
        <v>-102.98000000000002</v>
      </c>
      <c r="AE117" s="192">
        <f t="shared" si="50"/>
        <v>-0.23481393651951848</v>
      </c>
      <c r="AF117" s="133">
        <v>513.19000000000005</v>
      </c>
      <c r="AG117" s="124">
        <f t="shared" si="42"/>
        <v>177.61000000000013</v>
      </c>
    </row>
    <row r="118" spans="1:33">
      <c r="A118" s="105" t="s">
        <v>128</v>
      </c>
      <c r="B118" s="105" t="s">
        <v>574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7">
        <f t="shared" si="51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8"/>
        <v>0</v>
      </c>
      <c r="AD118" s="72">
        <f t="shared" si="49"/>
        <v>0</v>
      </c>
      <c r="AE118" s="192" t="e">
        <f t="shared" si="50"/>
        <v>#DIV/0!</v>
      </c>
      <c r="AF118" s="133">
        <v>1309.93</v>
      </c>
      <c r="AG118" s="124">
        <f t="shared" si="42"/>
        <v>1309.93</v>
      </c>
    </row>
    <row r="119" spans="1:33">
      <c r="A119" s="105" t="s">
        <v>129</v>
      </c>
      <c r="B119" s="105" t="s">
        <v>574</v>
      </c>
      <c r="C119" s="105" t="s">
        <v>271</v>
      </c>
      <c r="D119" s="215">
        <v>1151.92</v>
      </c>
      <c r="E119" s="215">
        <v>1151.92</v>
      </c>
      <c r="F119" s="215">
        <v>1151.92</v>
      </c>
      <c r="G119" s="215">
        <v>1151.92</v>
      </c>
      <c r="H119" s="215">
        <v>1151.92</v>
      </c>
      <c r="I119" s="215">
        <v>1151.92</v>
      </c>
      <c r="J119" s="215">
        <v>1172.1599999999999</v>
      </c>
      <c r="K119" s="215">
        <v>1151.92</v>
      </c>
      <c r="L119" s="215">
        <v>1151.92</v>
      </c>
      <c r="M119" s="215">
        <v>1151.92</v>
      </c>
      <c r="N119" s="215">
        <v>1172.1599999999999</v>
      </c>
      <c r="O119" s="215">
        <v>1151.92</v>
      </c>
      <c r="P119" s="137">
        <f t="shared" si="51"/>
        <v>13863.52</v>
      </c>
      <c r="Q119" s="136">
        <v>1240</v>
      </c>
      <c r="R119" s="136">
        <v>1240</v>
      </c>
      <c r="S119" s="136">
        <v>1240</v>
      </c>
      <c r="T119" s="136">
        <v>1240</v>
      </c>
      <c r="U119" s="136">
        <v>1240</v>
      </c>
      <c r="V119" s="136">
        <v>1240</v>
      </c>
      <c r="W119" s="72">
        <v>1240</v>
      </c>
      <c r="X119" s="72">
        <v>1240</v>
      </c>
      <c r="Y119" s="72">
        <v>1349</v>
      </c>
      <c r="Z119" s="72">
        <v>1349</v>
      </c>
      <c r="AA119" s="72">
        <v>1349</v>
      </c>
      <c r="AB119" s="72">
        <v>1349</v>
      </c>
      <c r="AC119" s="137">
        <f t="shared" si="48"/>
        <v>15316</v>
      </c>
      <c r="AD119" s="72">
        <f t="shared" si="49"/>
        <v>-1452.4799999999996</v>
      </c>
      <c r="AE119" s="192">
        <f t="shared" si="50"/>
        <v>-9.4834160355184091E-2</v>
      </c>
      <c r="AF119" s="133">
        <v>15175</v>
      </c>
      <c r="AG119" s="124">
        <f t="shared" si="42"/>
        <v>1311.4799999999996</v>
      </c>
    </row>
    <row r="120" spans="1:33">
      <c r="A120" s="105" t="s">
        <v>130</v>
      </c>
      <c r="B120" s="105" t="s">
        <v>574</v>
      </c>
      <c r="C120" s="105" t="s">
        <v>272</v>
      </c>
      <c r="D120" s="215">
        <v>504</v>
      </c>
      <c r="E120" s="215">
        <v>398</v>
      </c>
      <c r="F120" s="215">
        <v>405</v>
      </c>
      <c r="G120" s="215">
        <v>417</v>
      </c>
      <c r="H120" s="215">
        <v>450</v>
      </c>
      <c r="I120" s="215">
        <v>405</v>
      </c>
      <c r="J120" s="215">
        <v>405</v>
      </c>
      <c r="K120" s="215">
        <v>405</v>
      </c>
      <c r="L120" s="215">
        <v>405</v>
      </c>
      <c r="M120" s="215">
        <v>529</v>
      </c>
      <c r="N120" s="215">
        <v>405</v>
      </c>
      <c r="O120" s="215">
        <v>405</v>
      </c>
      <c r="P120" s="137">
        <f t="shared" si="51"/>
        <v>5133</v>
      </c>
      <c r="Q120" s="136">
        <v>383.8</v>
      </c>
      <c r="R120" s="136">
        <v>483.65</v>
      </c>
      <c r="S120" s="136">
        <v>882.94</v>
      </c>
      <c r="T120" s="136">
        <v>714.28</v>
      </c>
      <c r="U120" s="136">
        <v>401.44</v>
      </c>
      <c r="V120" s="136">
        <v>389.19</v>
      </c>
      <c r="W120" s="72">
        <v>375.8</v>
      </c>
      <c r="X120" s="72">
        <v>383.26</v>
      </c>
      <c r="Y120" s="72">
        <v>402</v>
      </c>
      <c r="Z120" s="72">
        <v>402</v>
      </c>
      <c r="AA120" s="72">
        <v>402</v>
      </c>
      <c r="AB120" s="72">
        <v>402</v>
      </c>
      <c r="AC120" s="137">
        <f t="shared" si="48"/>
        <v>5622.3600000000006</v>
      </c>
      <c r="AD120" s="72">
        <f t="shared" si="49"/>
        <v>-489.36000000000058</v>
      </c>
      <c r="AE120" s="192">
        <f t="shared" si="50"/>
        <v>-8.7038183254007306E-2</v>
      </c>
      <c r="AF120" s="133">
        <v>8871.65</v>
      </c>
      <c r="AG120" s="124">
        <f t="shared" si="42"/>
        <v>3738.6499999999996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7">
        <f t="shared" si="51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8"/>
        <v>0</v>
      </c>
      <c r="AD121" s="72">
        <f t="shared" si="49"/>
        <v>0</v>
      </c>
      <c r="AE121" s="192" t="e">
        <f t="shared" si="50"/>
        <v>#DIV/0!</v>
      </c>
      <c r="AF121" s="133">
        <v>0</v>
      </c>
      <c r="AG121" s="124">
        <f t="shared" si="42"/>
        <v>0</v>
      </c>
    </row>
    <row r="122" spans="1:33">
      <c r="A122" s="105" t="s">
        <v>273</v>
      </c>
      <c r="C122" s="109" t="s">
        <v>522</v>
      </c>
      <c r="D122" s="137">
        <f t="shared" ref="D122:AC122" si="52">SUM(D114:D121)</f>
        <v>7017.91</v>
      </c>
      <c r="E122" s="137">
        <f t="shared" si="52"/>
        <v>6911.91</v>
      </c>
      <c r="F122" s="137">
        <f t="shared" si="52"/>
        <v>6918.91</v>
      </c>
      <c r="G122" s="137">
        <f t="shared" si="52"/>
        <v>6930.91</v>
      </c>
      <c r="H122" s="137">
        <f t="shared" si="52"/>
        <v>6963.91</v>
      </c>
      <c r="I122" s="137">
        <f t="shared" si="52"/>
        <v>6918.91</v>
      </c>
      <c r="J122" s="137">
        <f t="shared" si="52"/>
        <v>7014.0700000000006</v>
      </c>
      <c r="K122" s="137">
        <f t="shared" si="52"/>
        <v>6993.8300000000008</v>
      </c>
      <c r="L122" s="137">
        <f t="shared" si="52"/>
        <v>6993.8300000000008</v>
      </c>
      <c r="M122" s="137">
        <f t="shared" si="52"/>
        <v>7117.8300000000008</v>
      </c>
      <c r="N122" s="137">
        <f t="shared" si="52"/>
        <v>7014.0700000000006</v>
      </c>
      <c r="O122" s="137">
        <f t="shared" si="52"/>
        <v>6993.8300000000008</v>
      </c>
      <c r="P122" s="137">
        <f t="shared" si="52"/>
        <v>83789.919999999998</v>
      </c>
      <c r="Q122" s="137">
        <f t="shared" si="52"/>
        <v>7867.2699999999995</v>
      </c>
      <c r="R122" s="137">
        <f t="shared" si="52"/>
        <v>7967.119999999999</v>
      </c>
      <c r="S122" s="137">
        <f t="shared" si="52"/>
        <v>8366.41</v>
      </c>
      <c r="T122" s="137">
        <f t="shared" si="52"/>
        <v>8197.75</v>
      </c>
      <c r="U122" s="137">
        <f t="shared" si="52"/>
        <v>7884.9099999999989</v>
      </c>
      <c r="V122" s="137">
        <f t="shared" si="52"/>
        <v>7872.6599999999989</v>
      </c>
      <c r="W122" s="137">
        <f t="shared" si="52"/>
        <v>7362.18</v>
      </c>
      <c r="X122" s="137">
        <f t="shared" si="52"/>
        <v>7369.64</v>
      </c>
      <c r="Y122" s="137">
        <f t="shared" si="52"/>
        <v>8518</v>
      </c>
      <c r="Z122" s="137">
        <f t="shared" si="52"/>
        <v>8518</v>
      </c>
      <c r="AA122" s="137">
        <f t="shared" si="52"/>
        <v>8518</v>
      </c>
      <c r="AB122" s="137">
        <f t="shared" si="52"/>
        <v>8518</v>
      </c>
      <c r="AC122" s="137">
        <f t="shared" si="52"/>
        <v>96959.939999999988</v>
      </c>
      <c r="AD122" s="72">
        <f t="shared" si="49"/>
        <v>-13170.01999999999</v>
      </c>
      <c r="AE122" s="192">
        <f t="shared" si="50"/>
        <v>-0.13582949824432639</v>
      </c>
      <c r="AF122" s="133">
        <v>109896.15</v>
      </c>
      <c r="AG122" s="124">
        <f t="shared" si="42"/>
        <v>26106.229999999996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7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2"/>
        <v>0</v>
      </c>
    </row>
    <row r="124" spans="1:33">
      <c r="A124" s="105" t="s">
        <v>131</v>
      </c>
      <c r="B124" s="105" t="s">
        <v>574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16">
        <f t="shared" ref="P124:P132" si="53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4">SUM(Q124:AB124)</f>
        <v>0</v>
      </c>
      <c r="AD124" s="72">
        <f t="shared" ref="AD124:AD134" si="55">P124-AC124</f>
        <v>0</v>
      </c>
      <c r="AE124" s="192" t="e">
        <f t="shared" ref="AE124:AE134" si="56">AD124/AC124</f>
        <v>#DIV/0!</v>
      </c>
      <c r="AF124" s="133">
        <v>0</v>
      </c>
      <c r="AG124" s="124">
        <f t="shared" si="42"/>
        <v>0</v>
      </c>
    </row>
    <row r="125" spans="1:33">
      <c r="A125" s="105" t="s">
        <v>132</v>
      </c>
      <c r="B125" s="105" t="s">
        <v>574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16">
        <f t="shared" si="53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4"/>
        <v>0</v>
      </c>
      <c r="AD125" s="72">
        <f t="shared" si="55"/>
        <v>0</v>
      </c>
      <c r="AE125" s="192" t="e">
        <f t="shared" si="56"/>
        <v>#DIV/0!</v>
      </c>
      <c r="AF125" s="133">
        <v>0</v>
      </c>
      <c r="AG125" s="124">
        <f t="shared" si="42"/>
        <v>0</v>
      </c>
    </row>
    <row r="126" spans="1:33">
      <c r="A126" s="105" t="s">
        <v>133</v>
      </c>
      <c r="B126" s="105" t="s">
        <v>574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16">
        <f t="shared" si="53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4"/>
        <v>0</v>
      </c>
      <c r="AD126" s="72">
        <f t="shared" si="55"/>
        <v>0</v>
      </c>
      <c r="AE126" s="192" t="e">
        <f t="shared" si="56"/>
        <v>#DIV/0!</v>
      </c>
      <c r="AF126" s="133">
        <v>0</v>
      </c>
      <c r="AG126" s="124">
        <f t="shared" si="42"/>
        <v>0</v>
      </c>
    </row>
    <row r="127" spans="1:33">
      <c r="A127" s="105" t="s">
        <v>134</v>
      </c>
      <c r="B127" s="105" t="s">
        <v>574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16">
        <f t="shared" si="53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4"/>
        <v>0</v>
      </c>
      <c r="AD127" s="72">
        <f t="shared" si="55"/>
        <v>0</v>
      </c>
      <c r="AE127" s="192" t="e">
        <f t="shared" si="56"/>
        <v>#DIV/0!</v>
      </c>
      <c r="AF127" s="133">
        <v>0</v>
      </c>
      <c r="AG127" s="124">
        <f t="shared" si="42"/>
        <v>0</v>
      </c>
    </row>
    <row r="128" spans="1:33">
      <c r="A128" s="105" t="s">
        <v>135</v>
      </c>
      <c r="B128" s="105" t="s">
        <v>574</v>
      </c>
      <c r="C128" s="105" t="s">
        <v>280</v>
      </c>
      <c r="D128" s="215">
        <v>68.139999999999986</v>
      </c>
      <c r="E128" s="215">
        <v>68.139999999999986</v>
      </c>
      <c r="F128" s="215">
        <v>68.139999999999986</v>
      </c>
      <c r="G128" s="215">
        <v>68.139999999999986</v>
      </c>
      <c r="H128" s="215">
        <v>68.139999999999986</v>
      </c>
      <c r="I128" s="215">
        <v>68.139999999999986</v>
      </c>
      <c r="J128" s="215">
        <v>68.139999999999986</v>
      </c>
      <c r="K128" s="215">
        <v>68.139999999999986</v>
      </c>
      <c r="L128" s="215">
        <v>68.139999999999986</v>
      </c>
      <c r="M128" s="215">
        <v>68.139999999999986</v>
      </c>
      <c r="N128" s="215">
        <v>68.139999999999986</v>
      </c>
      <c r="O128" s="215">
        <v>68.14</v>
      </c>
      <c r="P128" s="216">
        <f t="shared" si="53"/>
        <v>817.67999999999984</v>
      </c>
      <c r="Q128" s="136">
        <v>56.55</v>
      </c>
      <c r="R128" s="136">
        <v>57.03</v>
      </c>
      <c r="S128" s="136">
        <v>56.55</v>
      </c>
      <c r="T128" s="136">
        <v>56.55</v>
      </c>
      <c r="U128" s="136">
        <v>59.02</v>
      </c>
      <c r="V128" s="136">
        <v>59.28</v>
      </c>
      <c r="W128" s="72">
        <v>59.94</v>
      </c>
      <c r="X128" s="72">
        <v>58.77</v>
      </c>
      <c r="Y128" s="72">
        <v>40</v>
      </c>
      <c r="Z128" s="72">
        <v>40</v>
      </c>
      <c r="AA128" s="72">
        <v>40</v>
      </c>
      <c r="AB128" s="72">
        <v>40</v>
      </c>
      <c r="AC128" s="137">
        <f t="shared" si="54"/>
        <v>623.69000000000005</v>
      </c>
      <c r="AD128" s="72">
        <f t="shared" si="55"/>
        <v>193.98999999999978</v>
      </c>
      <c r="AE128" s="192">
        <f t="shared" si="56"/>
        <v>0.31103593131202961</v>
      </c>
      <c r="AF128" s="133">
        <v>1895.9099999999999</v>
      </c>
      <c r="AG128" s="124">
        <f t="shared" si="42"/>
        <v>1078.23</v>
      </c>
    </row>
    <row r="129" spans="1:33">
      <c r="A129" s="105" t="s">
        <v>136</v>
      </c>
      <c r="B129" s="105" t="s">
        <v>574</v>
      </c>
      <c r="C129" s="105" t="s">
        <v>282</v>
      </c>
      <c r="D129" s="164">
        <v>0</v>
      </c>
      <c r="E129" s="164">
        <v>0</v>
      </c>
      <c r="F129" s="164">
        <v>0</v>
      </c>
      <c r="G129" s="164">
        <v>0</v>
      </c>
      <c r="H129" s="164">
        <v>0</v>
      </c>
      <c r="I129" s="164">
        <v>0</v>
      </c>
      <c r="J129" s="164">
        <v>0</v>
      </c>
      <c r="K129" s="164">
        <v>0</v>
      </c>
      <c r="L129" s="164">
        <v>0</v>
      </c>
      <c r="M129" s="164">
        <v>0</v>
      </c>
      <c r="N129" s="164">
        <v>0</v>
      </c>
      <c r="O129" s="164">
        <v>0</v>
      </c>
      <c r="P129" s="216">
        <f t="shared" si="53"/>
        <v>0</v>
      </c>
      <c r="Q129" s="136">
        <v>1656.47</v>
      </c>
      <c r="R129" s="136">
        <v>895.97</v>
      </c>
      <c r="S129" s="136">
        <v>784.97</v>
      </c>
      <c r="T129" s="136">
        <v>906.6</v>
      </c>
      <c r="U129" s="136">
        <v>988.5</v>
      </c>
      <c r="V129" s="136">
        <v>969.19</v>
      </c>
      <c r="W129" s="72">
        <v>829.01</v>
      </c>
      <c r="X129" s="72">
        <v>997.34</v>
      </c>
      <c r="Y129" s="72">
        <v>1742</v>
      </c>
      <c r="Z129" s="72">
        <v>1657</v>
      </c>
      <c r="AA129" s="72">
        <v>1549</v>
      </c>
      <c r="AB129" s="72">
        <v>1550</v>
      </c>
      <c r="AC129" s="137">
        <f t="shared" si="54"/>
        <v>14526.050000000001</v>
      </c>
      <c r="AD129" s="72">
        <f t="shared" si="55"/>
        <v>-14526.050000000001</v>
      </c>
      <c r="AE129" s="192">
        <f t="shared" si="56"/>
        <v>-1</v>
      </c>
      <c r="AF129" s="133">
        <v>16594.489999999998</v>
      </c>
      <c r="AG129" s="124">
        <f t="shared" si="42"/>
        <v>16594.489999999998</v>
      </c>
    </row>
    <row r="130" spans="1:33">
      <c r="A130" s="105" t="s">
        <v>137</v>
      </c>
      <c r="B130" s="105" t="s">
        <v>574</v>
      </c>
      <c r="C130" s="105" t="s">
        <v>283</v>
      </c>
      <c r="D130" s="164">
        <v>3260.18</v>
      </c>
      <c r="E130" s="164">
        <v>2760.18</v>
      </c>
      <c r="F130" s="164">
        <v>2737.37</v>
      </c>
      <c r="G130" s="164">
        <v>2737.37</v>
      </c>
      <c r="H130" s="164">
        <v>2960.18</v>
      </c>
      <c r="I130" s="164">
        <v>2765.88</v>
      </c>
      <c r="J130" s="164">
        <v>2765.88</v>
      </c>
      <c r="K130" s="164">
        <v>2765.88</v>
      </c>
      <c r="L130" s="164">
        <v>2765.88</v>
      </c>
      <c r="M130" s="164">
        <v>3094.4</v>
      </c>
      <c r="N130" s="164">
        <v>2737.37</v>
      </c>
      <c r="O130" s="164">
        <v>2737.37</v>
      </c>
      <c r="P130" s="216">
        <f t="shared" si="53"/>
        <v>34087.94</v>
      </c>
      <c r="Q130" s="136">
        <v>2328.09</v>
      </c>
      <c r="R130" s="136">
        <v>3641.32</v>
      </c>
      <c r="S130" s="136">
        <v>3480</v>
      </c>
      <c r="T130" s="136">
        <v>3353.62</v>
      </c>
      <c r="U130" s="136">
        <v>2480.64</v>
      </c>
      <c r="V130" s="136">
        <v>2813.33</v>
      </c>
      <c r="W130" s="72">
        <v>2751.16</v>
      </c>
      <c r="X130" s="72">
        <v>2863.93</v>
      </c>
      <c r="Y130" s="72">
        <v>12715</v>
      </c>
      <c r="Z130" s="72">
        <v>23014</v>
      </c>
      <c r="AA130" s="72">
        <v>32752</v>
      </c>
      <c r="AB130" s="72">
        <v>22752</v>
      </c>
      <c r="AC130" s="137">
        <f t="shared" si="54"/>
        <v>114945.09</v>
      </c>
      <c r="AD130" s="72">
        <f t="shared" si="55"/>
        <v>-80857.149999999994</v>
      </c>
      <c r="AE130" s="192">
        <f t="shared" si="56"/>
        <v>-0.7034415302123822</v>
      </c>
      <c r="AF130" s="133">
        <v>92627.209999999992</v>
      </c>
      <c r="AG130" s="124">
        <f t="shared" si="42"/>
        <v>58539.26999999999</v>
      </c>
    </row>
    <row r="131" spans="1:33">
      <c r="A131" s="105" t="s">
        <v>138</v>
      </c>
      <c r="B131" s="105" t="s">
        <v>574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16">
        <f t="shared" si="53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4"/>
        <v>0</v>
      </c>
      <c r="AD131" s="72">
        <f t="shared" si="55"/>
        <v>0</v>
      </c>
      <c r="AE131" s="192" t="e">
        <f t="shared" si="56"/>
        <v>#DIV/0!</v>
      </c>
      <c r="AF131" s="133">
        <v>0</v>
      </c>
      <c r="AG131" s="124">
        <f t="shared" si="42"/>
        <v>0</v>
      </c>
    </row>
    <row r="132" spans="1:33">
      <c r="A132" s="105" t="s">
        <v>140</v>
      </c>
      <c r="B132" s="105" t="s">
        <v>574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16">
        <f t="shared" si="53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4"/>
        <v>0</v>
      </c>
      <c r="AD132" s="72">
        <f t="shared" si="55"/>
        <v>0</v>
      </c>
      <c r="AE132" s="192" t="e">
        <f t="shared" si="56"/>
        <v>#DIV/0!</v>
      </c>
      <c r="AF132" s="133">
        <v>0</v>
      </c>
      <c r="AG132" s="124">
        <f t="shared" si="42"/>
        <v>0</v>
      </c>
    </row>
    <row r="133" spans="1:33">
      <c r="A133" s="105" t="s">
        <v>273</v>
      </c>
      <c r="C133" s="109" t="s">
        <v>523</v>
      </c>
      <c r="D133" s="137">
        <f t="shared" ref="D133:AC133" si="57">SUM(D124:D132)</f>
        <v>3328.3199999999997</v>
      </c>
      <c r="E133" s="137">
        <f t="shared" si="57"/>
        <v>2828.3199999999997</v>
      </c>
      <c r="F133" s="137">
        <f t="shared" si="57"/>
        <v>2805.5099999999998</v>
      </c>
      <c r="G133" s="137">
        <f t="shared" si="57"/>
        <v>2805.5099999999998</v>
      </c>
      <c r="H133" s="137">
        <f t="shared" si="57"/>
        <v>3028.3199999999997</v>
      </c>
      <c r="I133" s="137">
        <f t="shared" si="57"/>
        <v>2834.02</v>
      </c>
      <c r="J133" s="137">
        <f t="shared" si="57"/>
        <v>2834.02</v>
      </c>
      <c r="K133" s="137">
        <f t="shared" si="57"/>
        <v>2834.02</v>
      </c>
      <c r="L133" s="137">
        <f t="shared" si="57"/>
        <v>2834.02</v>
      </c>
      <c r="M133" s="137">
        <f t="shared" si="57"/>
        <v>3162.54</v>
      </c>
      <c r="N133" s="137">
        <f t="shared" si="57"/>
        <v>2805.5099999999998</v>
      </c>
      <c r="O133" s="137">
        <f t="shared" si="57"/>
        <v>2805.5099999999998</v>
      </c>
      <c r="P133" s="137">
        <f t="shared" si="57"/>
        <v>34905.620000000003</v>
      </c>
      <c r="Q133" s="137">
        <f t="shared" si="57"/>
        <v>4041.11</v>
      </c>
      <c r="R133" s="137">
        <f t="shared" si="57"/>
        <v>4594.32</v>
      </c>
      <c r="S133" s="137">
        <f t="shared" si="57"/>
        <v>4321.5200000000004</v>
      </c>
      <c r="T133" s="137">
        <f t="shared" si="57"/>
        <v>4316.7699999999995</v>
      </c>
      <c r="U133" s="137">
        <f t="shared" si="57"/>
        <v>3528.16</v>
      </c>
      <c r="V133" s="137">
        <f t="shared" si="57"/>
        <v>3841.8</v>
      </c>
      <c r="W133" s="137">
        <f t="shared" si="57"/>
        <v>3640.1099999999997</v>
      </c>
      <c r="X133" s="137">
        <f t="shared" si="57"/>
        <v>3920.04</v>
      </c>
      <c r="Y133" s="137">
        <f t="shared" si="57"/>
        <v>14497</v>
      </c>
      <c r="Z133" s="137">
        <f t="shared" si="57"/>
        <v>24711</v>
      </c>
      <c r="AA133" s="137">
        <f t="shared" si="57"/>
        <v>34341</v>
      </c>
      <c r="AB133" s="137">
        <f t="shared" si="57"/>
        <v>24342</v>
      </c>
      <c r="AC133" s="137">
        <f t="shared" si="57"/>
        <v>130094.83</v>
      </c>
      <c r="AD133" s="72">
        <f t="shared" si="55"/>
        <v>-95189.209999999992</v>
      </c>
      <c r="AE133" s="192">
        <f t="shared" si="56"/>
        <v>-0.73169095190024069</v>
      </c>
      <c r="AF133" s="133">
        <v>111117.60999999999</v>
      </c>
      <c r="AG133" s="124">
        <f t="shared" si="42"/>
        <v>76211.989999999991</v>
      </c>
    </row>
    <row r="134" spans="1:33">
      <c r="A134" s="105" t="s">
        <v>273</v>
      </c>
      <c r="C134" s="109" t="s">
        <v>524</v>
      </c>
      <c r="D134" s="137">
        <f t="shared" ref="D134:AC134" si="58">D105+D112+D122+D133</f>
        <v>35533.449999999997</v>
      </c>
      <c r="E134" s="137">
        <f t="shared" si="58"/>
        <v>29630.899999999998</v>
      </c>
      <c r="F134" s="137">
        <f t="shared" si="58"/>
        <v>29961.79</v>
      </c>
      <c r="G134" s="137">
        <f t="shared" si="58"/>
        <v>30566.89</v>
      </c>
      <c r="H134" s="137">
        <f t="shared" si="58"/>
        <v>32477.87</v>
      </c>
      <c r="I134" s="137">
        <f t="shared" si="58"/>
        <v>29990.300000000003</v>
      </c>
      <c r="J134" s="137">
        <f t="shared" si="58"/>
        <v>30085.460000000003</v>
      </c>
      <c r="K134" s="137">
        <f t="shared" si="58"/>
        <v>30065.220000000005</v>
      </c>
      <c r="L134" s="137">
        <f t="shared" si="58"/>
        <v>30065.220000000005</v>
      </c>
      <c r="M134" s="137">
        <f t="shared" si="58"/>
        <v>36716.370000000003</v>
      </c>
      <c r="N134" s="137">
        <f t="shared" si="58"/>
        <v>30056.95</v>
      </c>
      <c r="O134" s="137">
        <f t="shared" si="58"/>
        <v>30036.710000000003</v>
      </c>
      <c r="P134" s="137">
        <f t="shared" si="58"/>
        <v>375187.13</v>
      </c>
      <c r="Q134" s="137">
        <f t="shared" si="58"/>
        <v>35198.699999999997</v>
      </c>
      <c r="R134" s="137">
        <f t="shared" si="58"/>
        <v>40820.230000000003</v>
      </c>
      <c r="S134" s="137">
        <f t="shared" si="58"/>
        <v>35505.760000000002</v>
      </c>
      <c r="T134" s="137">
        <f t="shared" si="58"/>
        <v>33997.619999999995</v>
      </c>
      <c r="U134" s="137">
        <f t="shared" si="58"/>
        <v>33991.410000000003</v>
      </c>
      <c r="V134" s="137">
        <f t="shared" si="58"/>
        <v>33694.94</v>
      </c>
      <c r="W134" s="137">
        <f t="shared" si="58"/>
        <v>32843.5</v>
      </c>
      <c r="X134" s="137">
        <f t="shared" si="58"/>
        <v>32783.629999999997</v>
      </c>
      <c r="Y134" s="137">
        <f t="shared" si="58"/>
        <v>42591.33</v>
      </c>
      <c r="Z134" s="137">
        <f t="shared" si="58"/>
        <v>56868.33</v>
      </c>
      <c r="AA134" s="137">
        <f t="shared" si="58"/>
        <v>60554.33</v>
      </c>
      <c r="AB134" s="137">
        <f t="shared" si="58"/>
        <v>50555.33</v>
      </c>
      <c r="AC134" s="137">
        <f t="shared" si="58"/>
        <v>489405.11000000004</v>
      </c>
      <c r="AD134" s="72">
        <f t="shared" si="55"/>
        <v>-114217.98000000004</v>
      </c>
      <c r="AE134" s="192">
        <f t="shared" si="56"/>
        <v>-0.23338125750260358</v>
      </c>
      <c r="AF134" s="133">
        <v>676853.51</v>
      </c>
      <c r="AG134" s="124">
        <f t="shared" si="42"/>
        <v>301666.38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2"/>
        <v>0</v>
      </c>
    </row>
    <row r="136" spans="1:33" s="224" customFormat="1">
      <c r="A136" s="224" t="s">
        <v>141</v>
      </c>
      <c r="B136" s="224" t="s">
        <v>574</v>
      </c>
      <c r="C136" s="224" t="s">
        <v>142</v>
      </c>
      <c r="D136" s="215">
        <v>3</v>
      </c>
      <c r="E136" s="215">
        <v>3</v>
      </c>
      <c r="F136" s="215">
        <v>3</v>
      </c>
      <c r="G136" s="215">
        <v>3</v>
      </c>
      <c r="H136" s="215">
        <v>3</v>
      </c>
      <c r="I136" s="215">
        <v>3</v>
      </c>
      <c r="J136" s="215">
        <v>3</v>
      </c>
      <c r="K136" s="215">
        <v>3</v>
      </c>
      <c r="L136" s="215">
        <v>3</v>
      </c>
      <c r="M136" s="215">
        <v>3</v>
      </c>
      <c r="N136" s="215">
        <v>3</v>
      </c>
      <c r="O136" s="215">
        <v>3</v>
      </c>
      <c r="P136" s="225">
        <f>SUM(D136:O136)/12</f>
        <v>3</v>
      </c>
      <c r="Q136" s="225">
        <v>3</v>
      </c>
      <c r="R136" s="225">
        <v>3</v>
      </c>
      <c r="S136" s="225">
        <v>3</v>
      </c>
      <c r="T136" s="225">
        <v>3</v>
      </c>
      <c r="U136" s="225">
        <v>3</v>
      </c>
      <c r="V136" s="225">
        <v>3</v>
      </c>
      <c r="W136" s="127">
        <v>3</v>
      </c>
      <c r="X136" s="127">
        <v>3</v>
      </c>
      <c r="Y136" s="127">
        <v>3</v>
      </c>
      <c r="Z136" s="127">
        <v>3</v>
      </c>
      <c r="AA136" s="127">
        <v>3</v>
      </c>
      <c r="AB136" s="127">
        <v>3</v>
      </c>
      <c r="AC136" s="225">
        <f>SUM(Q136:AB136)/12</f>
        <v>3</v>
      </c>
      <c r="AD136" s="225">
        <f t="shared" ref="AD136" si="59">P136-AC136</f>
        <v>0</v>
      </c>
      <c r="AE136" s="226">
        <f t="shared" ref="AE136" si="60">AD136/AC136</f>
        <v>0</v>
      </c>
      <c r="AF136" s="227">
        <v>5.75</v>
      </c>
      <c r="AG136" s="228">
        <f t="shared" si="42"/>
        <v>2.75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>
        <f>P134/P136</f>
        <v>125062.37666666666</v>
      </c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>
        <f>AC134/AC136</f>
        <v>163135.03666666668</v>
      </c>
      <c r="AD137" s="136"/>
      <c r="AG137" s="123"/>
    </row>
    <row r="138" spans="1:33">
      <c r="C138" s="151" t="s">
        <v>292</v>
      </c>
      <c r="D138" s="136">
        <v>389</v>
      </c>
      <c r="E138" s="136">
        <v>389</v>
      </c>
      <c r="F138" s="136">
        <v>389</v>
      </c>
      <c r="G138" s="136">
        <v>389</v>
      </c>
      <c r="H138" s="136">
        <v>389</v>
      </c>
      <c r="I138" s="136">
        <v>389</v>
      </c>
      <c r="J138" s="136">
        <v>389</v>
      </c>
      <c r="K138" s="136">
        <v>389</v>
      </c>
      <c r="L138" s="136">
        <v>389</v>
      </c>
      <c r="M138" s="136">
        <v>389</v>
      </c>
      <c r="N138" s="136">
        <v>389</v>
      </c>
      <c r="O138" s="136">
        <v>389</v>
      </c>
      <c r="P138" s="216">
        <f t="shared" ref="P138:P140" si="61">SUM(D138:O138)</f>
        <v>4668</v>
      </c>
      <c r="Q138" s="140"/>
      <c r="R138" s="140"/>
      <c r="S138" s="140"/>
      <c r="T138" s="140"/>
      <c r="U138" s="140"/>
      <c r="V138" s="140"/>
      <c r="W138" s="140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0</v>
      </c>
      <c r="E139" s="136">
        <v>0</v>
      </c>
      <c r="F139" s="136">
        <v>0</v>
      </c>
      <c r="G139" s="136">
        <v>0</v>
      </c>
      <c r="H139" s="136">
        <v>0</v>
      </c>
      <c r="I139" s="136">
        <v>0</v>
      </c>
      <c r="J139" s="136">
        <v>0</v>
      </c>
      <c r="K139" s="136">
        <v>0</v>
      </c>
      <c r="L139" s="136">
        <v>0</v>
      </c>
      <c r="M139" s="136">
        <v>0</v>
      </c>
      <c r="N139" s="136">
        <v>0</v>
      </c>
      <c r="O139" s="136">
        <v>0</v>
      </c>
      <c r="P139" s="216">
        <f t="shared" si="61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0</v>
      </c>
      <c r="E140" s="136">
        <v>0</v>
      </c>
      <c r="F140" s="136">
        <v>0</v>
      </c>
      <c r="G140" s="136">
        <v>0</v>
      </c>
      <c r="H140" s="136">
        <v>0</v>
      </c>
      <c r="I140" s="136">
        <v>0</v>
      </c>
      <c r="J140" s="136">
        <v>0</v>
      </c>
      <c r="K140" s="136">
        <v>0</v>
      </c>
      <c r="L140" s="136">
        <v>0</v>
      </c>
      <c r="M140" s="136">
        <v>0</v>
      </c>
      <c r="N140" s="136">
        <v>0</v>
      </c>
      <c r="O140" s="136">
        <v>0</v>
      </c>
      <c r="P140" s="216">
        <f t="shared" si="61"/>
        <v>0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389</v>
      </c>
      <c r="E141" s="117">
        <f t="shared" ref="E141:P141" si="62">SUM(E138:E140)</f>
        <v>389</v>
      </c>
      <c r="F141" s="117">
        <f t="shared" si="62"/>
        <v>389</v>
      </c>
      <c r="G141" s="117">
        <f t="shared" si="62"/>
        <v>389</v>
      </c>
      <c r="H141" s="117">
        <f t="shared" si="62"/>
        <v>389</v>
      </c>
      <c r="I141" s="117">
        <f t="shared" si="62"/>
        <v>389</v>
      </c>
      <c r="J141" s="117">
        <f t="shared" si="62"/>
        <v>389</v>
      </c>
      <c r="K141" s="117">
        <f t="shared" si="62"/>
        <v>389</v>
      </c>
      <c r="L141" s="117">
        <f t="shared" si="62"/>
        <v>389</v>
      </c>
      <c r="M141" s="117">
        <f t="shared" si="62"/>
        <v>389</v>
      </c>
      <c r="N141" s="117">
        <f t="shared" si="62"/>
        <v>389</v>
      </c>
      <c r="O141" s="117">
        <f t="shared" si="62"/>
        <v>389</v>
      </c>
      <c r="P141" s="117">
        <f t="shared" si="62"/>
        <v>4668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177">
    <dataValidation type="textLength" errorStyle="information" allowBlank="1" showInputMessage="1" showErrorMessage="1" error="XLBVal:6=397.12_x000d__x000a_" sqref="T111">
      <formula1>0</formula1>
      <formula2>300</formula2>
    </dataValidation>
    <dataValidation type="textLength" errorStyle="information" allowBlank="1" showInputMessage="1" showErrorMessage="1" error="XLBVal:6=2055.86_x000d__x000a_" sqref="S109">
      <formula1>0</formula1>
      <formula2>300</formula2>
    </dataValidation>
    <dataValidation type="textLength" errorStyle="information" allowBlank="1" showInputMessage="1" showErrorMessage="1" error="XLBVal:6=1910.34_x000d__x000a_" sqref="R109">
      <formula1>0</formula1>
      <formula2>300</formula2>
    </dataValidation>
    <dataValidation type="textLength" errorStyle="information" allowBlank="1" showInputMessage="1" showErrorMessage="1" error="XLBVal:6=2490_x000d__x000a_" sqref="Q109">
      <formula1>0</formula1>
      <formula2>300</formula2>
    </dataValidation>
    <dataValidation type="textLength" errorStyle="information" allowBlank="1" showInputMessage="1" showErrorMessage="1" error="XLBVal:6=4100.32_x000d__x000a_" sqref="Q108">
      <formula1>0</formula1>
      <formula2>300</formula2>
    </dataValidation>
    <dataValidation type="textLength" errorStyle="information" allowBlank="1" showInputMessage="1" showErrorMessage="1" error="XLBVal:6=482.76_x000d__x000a_" sqref="V107">
      <formula1>0</formula1>
      <formula2>300</formula2>
    </dataValidation>
    <dataValidation type="textLength" errorStyle="information" allowBlank="1" showInputMessage="1" showErrorMessage="1" error="XLBVal:6=37_x000d__x000a_" sqref="T88">
      <formula1>0</formula1>
      <formula2>300</formula2>
    </dataValidation>
    <dataValidation type="textLength" errorStyle="information" allowBlank="1" showInputMessage="1" showErrorMessage="1" error="XLBVal:6=270_x000d__x000a_" sqref="V86">
      <formula1>0</formula1>
      <formula2>300</formula2>
    </dataValidation>
    <dataValidation type="textLength" errorStyle="information" allowBlank="1" showInputMessage="1" showErrorMessage="1" error="XLBVal:6=54.25_x000d__x000a_" sqref="V64">
      <formula1>0</formula1>
      <formula2>300</formula2>
    </dataValidation>
    <dataValidation type="textLength" errorStyle="information" allowBlank="1" showInputMessage="1" showErrorMessage="1" error="XLBVal:6=613.21_x000d__x000a_" sqref="U61:V61">
      <formula1>0</formula1>
      <formula2>300</formula2>
    </dataValidation>
    <dataValidation type="textLength" errorStyle="information" allowBlank="1" showInputMessage="1" showErrorMessage="1" error="XLBVal:6=1226.42_x000d__x000a_" sqref="T61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92_x000d__x000a_" sqref="Q59:S59">
      <formula1>0</formula1>
      <formula2>300</formula2>
    </dataValidation>
    <dataValidation type="textLength" errorStyle="information" allowBlank="1" showInputMessage="1" showErrorMessage="1" error="XLBVal:6=426.99_x000d__x000a_" sqref="Q56">
      <formula1>0</formula1>
      <formula2>300</formula2>
    </dataValidation>
    <dataValidation type="textLength" errorStyle="information" allowBlank="1" showInputMessage="1" showErrorMessage="1" error="XLBVal:6=4000_x000d__x000a_" sqref="Q54:S55">
      <formula1>0</formula1>
      <formula2>300</formula2>
    </dataValidation>
    <dataValidation type="textLength" errorStyle="information" allowBlank="1" showInputMessage="1" showErrorMessage="1" error="XLBVal:6=1500_x000d__x000a_" sqref="Q53:S53">
      <formula1>0</formula1>
      <formula2>300</formula2>
    </dataValidation>
    <dataValidation type="textLength" errorStyle="information" allowBlank="1" showInputMessage="1" showErrorMessage="1" error="XLBVal:6=2558.3_x000d__x000a_" sqref="T19">
      <formula1>0</formula1>
      <formula2>300</formula2>
    </dataValidation>
    <dataValidation type="textLength" errorStyle="information" allowBlank="1" showInputMessage="1" showErrorMessage="1" error="XLBVal:6=34143_x000d__x000a_" sqref="D102:D104 D107:O111 D114:O121 D124:O128 D136:O136">
      <formula1>0</formula1>
      <formula2>300</formula2>
    </dataValidation>
    <dataValidation type="textLength" errorStyle="information" allowBlank="1" showInputMessage="1" showErrorMessage="1" error="XLBVal:6=2729.01_x000d__x000a_" sqref="V108">
      <formula1>0</formula1>
      <formula2>300</formula2>
    </dataValidation>
    <dataValidation type="textLength" errorStyle="information" allowBlank="1" showInputMessage="1" showErrorMessage="1" error="XLBVal:6=2712.48_x000d__x000a_" sqref="U108">
      <formula1>0</formula1>
      <formula2>300</formula2>
    </dataValidation>
    <dataValidation type="textLength" errorStyle="information" allowBlank="1" showInputMessage="1" showErrorMessage="1" error="XLBVal:6=2695.98_x000d__x000a_" sqref="T108">
      <formula1>0</formula1>
      <formula2>300</formula2>
    </dataValidation>
    <dataValidation type="textLength" errorStyle="information" allowBlank="1" showInputMessage="1" showErrorMessage="1" error="XLBVal:6=4061.97_x000d__x000a_" sqref="S108">
      <formula1>0</formula1>
      <formula2>300</formula2>
    </dataValidation>
    <dataValidation type="textLength" errorStyle="information" allowBlank="1" showInputMessage="1" showErrorMessage="1" error="XLBVal:6=4_x000d__x000a_" sqref="T89">
      <formula1>0</formula1>
      <formula2>300</formula2>
    </dataValidation>
    <dataValidation type="textLength" errorStyle="information" allowBlank="1" showInputMessage="1" showErrorMessage="1" error="XLBVal:6=101_x000d__x000a_" sqref="V87">
      <formula1>0</formula1>
      <formula2>300</formula2>
    </dataValidation>
    <dataValidation type="textLength" errorStyle="information" allowBlank="1" showInputMessage="1" showErrorMessage="1" error="XLBVal:6=269_x000d__x000a_" sqref="T87">
      <formula1>0</formula1>
      <formula2>300</formula2>
    </dataValidation>
    <dataValidation type="textLength" errorStyle="information" allowBlank="1" showInputMessage="1" showErrorMessage="1" error="XLBVal:6=150_x000d__x000a_" sqref="U86">
      <formula1>0</formula1>
      <formula2>300</formula2>
    </dataValidation>
    <dataValidation type="textLength" errorStyle="information" allowBlank="1" showInputMessage="1" showErrorMessage="1" error="XLBVal:6=97_x000d__x000a_" sqref="T86">
      <formula1>0</formula1>
      <formula2>300</formula2>
    </dataValidation>
    <dataValidation type="textLength" errorStyle="information" allowBlank="1" showInputMessage="1" showErrorMessage="1" error="XLBVal:6=160_x000d__x000a_" sqref="S86">
      <formula1>0</formula1>
      <formula2>300</formula2>
    </dataValidation>
    <dataValidation type="textLength" errorStyle="information" allowBlank="1" showInputMessage="1" showErrorMessage="1" error="XLBVal:6=19205.84_x000d__x000a_" sqref="T79">
      <formula1>0</formula1>
      <formula2>300</formula2>
    </dataValidation>
    <dataValidation type="textLength" errorStyle="information" allowBlank="1" showInputMessage="1" showErrorMessage="1" error="XLBVal:6=113.4_x000d__x000a_" sqref="Q71">
      <formula1>0</formula1>
      <formula2>300</formula2>
    </dataValidation>
    <dataValidation type="textLength" errorStyle="information" allowBlank="1" showInputMessage="1" showErrorMessage="1" error="XLBVal:6=2093.66_x000d__x000a_" sqref="T63">
      <formula1>0</formula1>
      <formula2>300</formula2>
    </dataValidation>
    <dataValidation type="textLength" errorStyle="information" allowBlank="1" showInputMessage="1" showErrorMessage="1" error="XLBVal:6=-18.25_x000d__x000a_" sqref="V43">
      <formula1>0</formula1>
      <formula2>300</formula2>
    </dataValidation>
    <dataValidation type="textLength" errorStyle="information" allowBlank="1" showInputMessage="1" showErrorMessage="1" error="XLBVal:6=833.21_x000d__x000a_" sqref="U43">
      <formula1>0</formula1>
      <formula2>300</formula2>
    </dataValidation>
    <dataValidation type="textLength" errorStyle="information" allowBlank="1" showInputMessage="1" showErrorMessage="1" error="XLBVal:6=393.87_x000d__x000a_" sqref="T43">
      <formula1>0</formula1>
      <formula2>300</formula2>
    </dataValidation>
    <dataValidation type="textLength" errorStyle="information" allowBlank="1" showInputMessage="1" showErrorMessage="1" error="XLBVal:6=-298.33_x000d__x000a_" sqref="S43">
      <formula1>0</formula1>
      <formula2>300</formula2>
    </dataValidation>
    <dataValidation type="textLength" errorStyle="information" allowBlank="1" showInputMessage="1" showErrorMessage="1" error="XLBVal:6=310.08_x000d__x000a_" sqref="U31">
      <formula1>0</formula1>
      <formula2>300</formula2>
    </dataValidation>
    <dataValidation type="textLength" errorStyle="information" allowBlank="1" showInputMessage="1" showErrorMessage="1" error="XLBVal:6=407.52_x000d__x000a_" sqref="T31">
      <formula1>0</formula1>
      <formula2>300</formula2>
    </dataValidation>
    <dataValidation type="textLength" errorStyle="information" allowBlank="1" showInputMessage="1" showErrorMessage="1" error="XLBVal:6=40382.74_x000d__x000a_" sqref="T30">
      <formula1>0</formula1>
      <formula2>300</formula2>
    </dataValidation>
    <dataValidation type="textLength" errorStyle="information" allowBlank="1" showInputMessage="1" showErrorMessage="1" error="XLBVal:6=12.6_x000d__x000a_" sqref="T26">
      <formula1>0</formula1>
      <formula2>300</formula2>
    </dataValidation>
    <dataValidation type="textLength" errorStyle="information" allowBlank="1" showInputMessage="1" showErrorMessage="1" error="XLBVal:6=3773.6_x000d__x000a_" sqref="U19">
      <formula1>0</formula1>
      <formula2>300</formula2>
    </dataValidation>
    <dataValidation type="textLength" errorStyle="information" allowBlank="1" showInputMessage="1" showErrorMessage="1" error="XLBVal:6=28931.81_x000d__x000a_" sqref="V11">
      <formula1>0</formula1>
      <formula2>300</formula2>
    </dataValidation>
    <dataValidation type="textLength" errorStyle="information" allowBlank="1" showInputMessage="1" showErrorMessage="1" error="XLBVal:6=134610.8_x000d__x000a_" sqref="T11">
      <formula1>0</formula1>
      <formula2>300</formula2>
    </dataValidation>
    <dataValidation type="textLength" errorStyle="information" allowBlank="1" showInputMessage="1" showErrorMessage="1" error="XLBVal:6=12854.3_x000d__x000a_" sqref="T10">
      <formula1>0</formula1>
      <formula2>300</formula2>
    </dataValidation>
    <dataValidation type="textLength" errorStyle="information" allowBlank="1" showInputMessage="1" showErrorMessage="1" error="XLBVal:6=219945.64_x000d__x000a_" sqref="AB11">
      <formula1>0</formula1>
      <formula2>300</formula2>
    </dataValidation>
    <dataValidation type="textLength" errorStyle="information" allowBlank="1" showInputMessage="1" showErrorMessage="1" error="XLBVal:6=111924.7_x000d__x000a_" sqref="AB10">
      <formula1>0</formula1>
      <formula2>300</formula2>
    </dataValidation>
    <dataValidation type="textLength" errorStyle="information" allowBlank="1" showInputMessage="1" showErrorMessage="1" error="XLBVal:6=87505.8_x000d__x000a_" sqref="AA11">
      <formula1>0</formula1>
      <formula2>300</formula2>
    </dataValidation>
    <dataValidation type="textLength" errorStyle="information" allowBlank="1" showInputMessage="1" showErrorMessage="1" error="XLBVal:6=38739.5_x000d__x000a_" sqref="Z11">
      <formula1>0</formula1>
      <formula2>300</formula2>
    </dataValidation>
    <dataValidation type="textLength" errorStyle="information" allowBlank="1" showInputMessage="1" showErrorMessage="1" error="XLBVal:6=50717.5_x000d__x000a_" sqref="AA10">
      <formula1>0</formula1>
      <formula2>300</formula2>
    </dataValidation>
    <dataValidation type="textLength" errorStyle="information" allowBlank="1" showInputMessage="1" showErrorMessage="1" error="XLBVal:6=8362.3_x000d__x000a_" sqref="Y10">
      <formula1>0</formula1>
      <formula2>300</formula2>
    </dataValidation>
    <dataValidation type="textLength" errorStyle="information" allowBlank="1" showInputMessage="1" showErrorMessage="1" error="XLBVal:6=114.35_x000d__x000a_" sqref="Q64:U64">
      <formula1>0</formula1>
      <formula2>300</formula2>
    </dataValidation>
    <dataValidation type="textLength" errorStyle="information" allowBlank="1" showInputMessage="1" showErrorMessage="1" error="XLBVal:6=1086.49_x000d__x000a_" sqref="V31">
      <formula1>0</formula1>
      <formula2>300</formula2>
    </dataValidation>
    <dataValidation type="textLength" errorStyle="information" allowBlank="1" showInputMessage="1" showErrorMessage="1" error="XLBVal:6=991.92_x000d__x000a_" sqref="Q31">
      <formula1>0</formula1>
      <formula2>300</formula2>
    </dataValidation>
    <dataValidation type="textLength" errorStyle="information" allowBlank="1" showInputMessage="1" showErrorMessage="1" error="XLBVal:6=18067.9_x000d__x000a_" sqref="W10">
      <formula1>0</formula1>
      <formula2>300</formula2>
    </dataValidation>
    <dataValidation type="textLength" errorStyle="information" allowBlank="1" showInputMessage="1" showErrorMessage="1" error="XLBVal:6=53182.7_x000d__x000a_" sqref="W11 W17:AB21 W24:AB26 W30:AB32 W38:AB79 W85:AB89 W93:AB97 W102:AB104 W107:AB111 W114:AB121 W124:AB132 W136:AB136">
      <formula1>0</formula1>
      <formula2>300</formula2>
    </dataValidation>
    <dataValidation type="textLength" errorStyle="information" allowBlank="1" showInputMessage="1" showErrorMessage="1" error="XLBVal:6=74_x000d__x000a_" sqref="I86">
      <formula1>0</formula1>
      <formula2>300</formula2>
    </dataValidation>
    <dataValidation type="textLength" errorStyle="information" allowBlank="1" showInputMessage="1" showErrorMessage="1" error="XLBVal:6=15_x000d__x000a_" sqref="I85">
      <formula1>0</formula1>
      <formula2>300</formula2>
    </dataValidation>
    <dataValidation type="textLength" errorStyle="information" allowBlank="1" showInputMessage="1" showErrorMessage="1" error="XLBVal:6=4630.59_x000d__x000a_" sqref="I31">
      <formula1>0</formula1>
      <formula2>300</formula2>
    </dataValidation>
    <dataValidation type="textLength" errorStyle="information" allowBlank="1" showInputMessage="1" showErrorMessage="1" error="XLBVal:6=126038.11_x000d__x000a_" sqref="I24">
      <formula1>0</formula1>
      <formula2>300</formula2>
    </dataValidation>
    <dataValidation type="textLength" errorStyle="information" allowBlank="1" showInputMessage="1" showErrorMessage="1" error="XLBVal:6=11154.3_x000d__x000a_" sqref="I19">
      <formula1>0</formula1>
      <formula2>300</formula2>
    </dataValidation>
    <dataValidation type="textLength" errorStyle="information" allowBlank="1" showInputMessage="1" showErrorMessage="1" error="XLBVal:6=520_x000d__x000a_" sqref="H87">
      <formula1>0</formula1>
      <formula2>300</formula2>
    </dataValidation>
    <dataValidation type="textLength" errorStyle="information" allowBlank="1" showInputMessage="1" showErrorMessage="1" error="XLBVal:6=1063.2_x000d__x000a_" sqref="H31">
      <formula1>0</formula1>
      <formula2>300</formula2>
    </dataValidation>
    <dataValidation type="textLength" errorStyle="information" allowBlank="1" showInputMessage="1" showErrorMessage="1" error="XLBVal:6=127925_x000d__x000a_" sqref="H24">
      <formula1>0</formula1>
      <formula2>300</formula2>
    </dataValidation>
    <dataValidation type="textLength" errorStyle="information" allowBlank="1" showInputMessage="1" showErrorMessage="1" error="XLBVal:6=7131.6_x000d__x000a_" sqref="H19">
      <formula1>0</formula1>
      <formula2>300</formula2>
    </dataValidation>
    <dataValidation type="textLength" errorStyle="information" allowBlank="1" showInputMessage="1" showErrorMessage="1" error="XLBVal:6=1478_x000d__x000a_" sqref="G87">
      <formula1>0</formula1>
      <formula2>300</formula2>
    </dataValidation>
    <dataValidation type="textLength" errorStyle="information" allowBlank="1" showInputMessage="1" showErrorMessage="1" error="XLBVal:6=572_x000d__x000a_" sqref="G86">
      <formula1>0</formula1>
      <formula2>300</formula2>
    </dataValidation>
    <dataValidation type="textLength" errorStyle="information" allowBlank="1" showInputMessage="1" showErrorMessage="1" error="XLBVal:6=2581.69_x000d__x000a_" sqref="G31">
      <formula1>0</formula1>
      <formula2>300</formula2>
    </dataValidation>
    <dataValidation type="textLength" errorStyle="information" allowBlank="1" showInputMessage="1" showErrorMessage="1" error="XLBVal:6=263788.43_x000d__x000a_" sqref="G24">
      <formula1>0</formula1>
      <formula2>300</formula2>
    </dataValidation>
    <dataValidation type="textLength" errorStyle="information" allowBlank="1" showInputMessage="1" showErrorMessage="1" error="XLBVal:6=16129.5_x000d__x000a_" sqref="G19">
      <formula1>0</formula1>
      <formula2>300</formula2>
    </dataValidation>
    <dataValidation type="textLength" errorStyle="information" allowBlank="1" showInputMessage="1" showErrorMessage="1" error="XLBVal:6=2829_x000d__x000a_" sqref="G18">
      <formula1>0</formula1>
      <formula2>300</formula2>
    </dataValidation>
    <dataValidation type="textLength" errorStyle="information" allowBlank="1" showInputMessage="1" showErrorMessage="1" error="XLBVal:6=4076.07_x000d__x000a_" sqref="R108">
      <formula1>0</formula1>
      <formula2>300</formula2>
    </dataValidation>
    <dataValidation type="textLength" errorStyle="information" allowBlank="1" showInputMessage="1" showErrorMessage="1" error="XLBVal:6=553_x000d__x000a_" sqref="F87">
      <formula1>0</formula1>
      <formula2>300</formula2>
    </dataValidation>
    <dataValidation type="textLength" errorStyle="information" allowBlank="1" showInputMessage="1" showErrorMessage="1" error="XLBVal:6=3134_x000d__x000a_" sqref="D87">
      <formula1>0</formula1>
      <formula2>300</formula2>
    </dataValidation>
    <dataValidation type="textLength" errorStyle="information" allowBlank="1" showInputMessage="1" showErrorMessage="1" error="XLBVal:6=285_x000d__x000a_" sqref="F86">
      <formula1>0</formula1>
      <formula2>300</formula2>
    </dataValidation>
    <dataValidation type="textLength" errorStyle="information" allowBlank="1" showInputMessage="1" showErrorMessage="1" error="XLBVal:6=45_x000d__x000a_" sqref="E86">
      <formula1>0</formula1>
      <formula2>300</formula2>
    </dataValidation>
    <dataValidation type="textLength" errorStyle="information" allowBlank="1" showInputMessage="1" showErrorMessage="1" error="XLBVal:6=4137_x000d__x000a_" sqref="D86">
      <formula1>0</formula1>
      <formula2>300</formula2>
    </dataValidation>
    <dataValidation type="textLength" errorStyle="information" allowBlank="1" showInputMessage="1" showErrorMessage="1" error="XLBVal:6=18_x000d__x000a_" sqref="F85">
      <formula1>0</formula1>
      <formula2>300</formula2>
    </dataValidation>
    <dataValidation type="textLength" errorStyle="information" allowBlank="1" showInputMessage="1" showErrorMessage="1" error="XLBVal:6=10_x000d__x000a_" sqref="E85">
      <formula1>0</formula1>
      <formula2>300</formula2>
    </dataValidation>
    <dataValidation type="textLength" errorStyle="information" allowBlank="1" showInputMessage="1" showErrorMessage="1" error="XLBVal:6=858_x000d__x000a_" sqref="F31">
      <formula1>0</formula1>
      <formula2>300</formula2>
    </dataValidation>
    <dataValidation type="textLength" errorStyle="information" allowBlank="1" showInputMessage="1" showErrorMessage="1" error="XLBVal:6=106.2_x000d__x000a_" sqref="E31">
      <formula1>0</formula1>
      <formula2>300</formula2>
    </dataValidation>
    <dataValidation type="textLength" errorStyle="information" allowBlank="1" showInputMessage="1" showErrorMessage="1" error="XLBVal:6=669.06_x000d__x000a_" sqref="D31">
      <formula1>0</formula1>
      <formula2>300</formula2>
    </dataValidation>
    <dataValidation type="textLength" errorStyle="information" allowBlank="1" showInputMessage="1" showErrorMessage="1" error="XLBVal:6=47.2_x000d__x000a_" sqref="F26">
      <formula1>0</formula1>
      <formula2>300</formula2>
    </dataValidation>
    <dataValidation type="textLength" errorStyle="information" allowBlank="1" showInputMessage="1" showErrorMessage="1" error="XLBVal:6=471.7_x000d__x000a_" sqref="F25">
      <formula1>0</formula1>
      <formula2>300</formula2>
    </dataValidation>
    <dataValidation type="textLength" errorStyle="information" allowBlank="1" showInputMessage="1" showErrorMessage="1" error="XLBVal:6=153207.9_x000d__x000a_" sqref="F24">
      <formula1>0</formula1>
      <formula2>300</formula2>
    </dataValidation>
    <dataValidation type="textLength" errorStyle="information" allowBlank="1" showInputMessage="1" showErrorMessage="1" error="XLBVal:6=70755_x000d__x000a_" sqref="E24">
      <formula1>0</formula1>
      <formula2>300</formula2>
    </dataValidation>
    <dataValidation type="textLength" errorStyle="information" allowBlank="1" showInputMessage="1" showErrorMessage="1" error="XLBVal:6=596888.1_x000d__x000a_" sqref="D24">
      <formula1>0</formula1>
      <formula2>300</formula2>
    </dataValidation>
    <dataValidation type="textLength" errorStyle="information" allowBlank="1" showInputMessage="1" showErrorMessage="1" error="XLBVal:6=7622.4_x000d__x000a_" sqref="F19">
      <formula1>0</formula1>
      <formula2>300</formula2>
    </dataValidation>
    <dataValidation type="textLength" errorStyle="information" allowBlank="1" showInputMessage="1" showErrorMessage="1" error="XLBVal:6=4717_x000d__x000a_" sqref="E19 D25 V18">
      <formula1>0</formula1>
      <formula2>300</formula2>
    </dataValidation>
    <dataValidation type="textLength" errorStyle="information" allowBlank="1" showInputMessage="1" showErrorMessage="1" error="XLBVal:6=7273.1_x000d__x000a_" sqref="D19">
      <formula1>0</formula1>
      <formula2>300</formula2>
    </dataValidation>
    <dataValidation type="textLength" errorStyle="information" allowBlank="1" showInputMessage="1" showErrorMessage="1" error="XLBVal:6=528.2_x000d__x000a_" sqref="D18">
      <formula1>0</formula1>
      <formula2>300</formula2>
    </dataValidation>
    <dataValidation type="textLength" errorStyle="information" allowBlank="1" showInputMessage="1" showErrorMessage="1" error="XLBVal:6=124.27_x000d__x000a_" sqref="Q116:V116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2813.33_x000d__x000a_" sqref="V130">
      <formula1>0</formula1>
      <formula2>300</formula2>
    </dataValidation>
    <dataValidation type="textLength" errorStyle="information" allowBlank="1" showInputMessage="1" showErrorMessage="1" error="XLBVal:6=2480.64_x000d__x000a_" sqref="U130">
      <formula1>0</formula1>
      <formula2>300</formula2>
    </dataValidation>
    <dataValidation type="textLength" errorStyle="information" allowBlank="1" showInputMessage="1" showErrorMessage="1" error="XLBVal:6=3353.62_x000d__x000a_" sqref="T130">
      <formula1>0</formula1>
      <formula2>300</formula2>
    </dataValidation>
    <dataValidation type="textLength" errorStyle="information" allowBlank="1" showInputMessage="1" showErrorMessage="1" error="XLBVal:6=3480_x000d__x000a_" sqref="S130">
      <formula1>0</formula1>
      <formula2>300</formula2>
    </dataValidation>
    <dataValidation type="textLength" errorStyle="information" allowBlank="1" showInputMessage="1" showErrorMessage="1" error="XLBVal:6=3641.32_x000d__x000a_" sqref="R130">
      <formula1>0</formula1>
      <formula2>300</formula2>
    </dataValidation>
    <dataValidation type="textLength" errorStyle="information" allowBlank="1" showInputMessage="1" showErrorMessage="1" error="XLBVal:6=2328.09_x000d__x000a_" sqref="Q130">
      <formula1>0</formula1>
      <formula2>300</formula2>
    </dataValidation>
    <dataValidation type="textLength" errorStyle="information" allowBlank="1" showInputMessage="1" showErrorMessage="1" error="XLBVal:6=969.19_x000d__x000a_" sqref="V129">
      <formula1>0</formula1>
      <formula2>300</formula2>
    </dataValidation>
    <dataValidation type="textLength" errorStyle="information" allowBlank="1" showInputMessage="1" showErrorMessage="1" error="XLBVal:6=988.5_x000d__x000a_" sqref="U129">
      <formula1>0</formula1>
      <formula2>300</formula2>
    </dataValidation>
    <dataValidation type="textLength" errorStyle="information" allowBlank="1" showInputMessage="1" showErrorMessage="1" error="XLBVal:6=906.6_x000d__x000a_" sqref="T129">
      <formula1>0</formula1>
      <formula2>300</formula2>
    </dataValidation>
    <dataValidation type="textLength" errorStyle="information" allowBlank="1" showInputMessage="1" showErrorMessage="1" error="XLBVal:6=784.97_x000d__x000a_" sqref="S129">
      <formula1>0</formula1>
      <formula2>300</formula2>
    </dataValidation>
    <dataValidation type="textLength" errorStyle="information" allowBlank="1" showInputMessage="1" showErrorMessage="1" error="XLBVal:6=895.97_x000d__x000a_" sqref="R129">
      <formula1>0</formula1>
      <formula2>300</formula2>
    </dataValidation>
    <dataValidation type="textLength" errorStyle="information" allowBlank="1" showInputMessage="1" showErrorMessage="1" error="XLBVal:6=1656.47_x000d__x000a_" sqref="Q129">
      <formula1>0</formula1>
      <formula2>300</formula2>
    </dataValidation>
    <dataValidation type="textLength" errorStyle="information" allowBlank="1" showInputMessage="1" showErrorMessage="1" error="XLBVal:6=59.28_x000d__x000a_" sqref="V128">
      <formula1>0</formula1>
      <formula2>300</formula2>
    </dataValidation>
    <dataValidation type="textLength" errorStyle="information" allowBlank="1" showInputMessage="1" showErrorMessage="1" error="XLBVal:6=59.02_x000d__x000a_" sqref="U128">
      <formula1>0</formula1>
      <formula2>300</formula2>
    </dataValidation>
    <dataValidation type="textLength" errorStyle="information" allowBlank="1" showInputMessage="1" showErrorMessage="1" error="XLBVal:6=56.55_x000d__x000a_" sqref="S128:T128 Q128">
      <formula1>0</formula1>
      <formula2>300</formula2>
    </dataValidation>
    <dataValidation type="textLength" errorStyle="information" allowBlank="1" showInputMessage="1" showErrorMessage="1" error="XLBVal:6=57.03_x000d__x000a_" sqref="R128">
      <formula1>0</formula1>
      <formula2>300</formula2>
    </dataValidation>
    <dataValidation type="textLength" errorStyle="information" allowBlank="1" showInputMessage="1" showErrorMessage="1" error="XLBVal:6=389.19_x000d__x000a_" sqref="V120">
      <formula1>0</formula1>
      <formula2>300</formula2>
    </dataValidation>
    <dataValidation type="textLength" errorStyle="information" allowBlank="1" showInputMessage="1" showErrorMessage="1" error="XLBVal:6=401.44_x000d__x000a_" sqref="U120">
      <formula1>0</formula1>
      <formula2>300</formula2>
    </dataValidation>
    <dataValidation type="textLength" errorStyle="information" allowBlank="1" showInputMessage="1" showErrorMessage="1" error="XLBVal:6=714.28_x000d__x000a_" sqref="T120">
      <formula1>0</formula1>
      <formula2>300</formula2>
    </dataValidation>
    <dataValidation type="textLength" errorStyle="information" allowBlank="1" showInputMessage="1" showErrorMessage="1" error="XLBVal:6=882.94_x000d__x000a_" sqref="S120">
      <formula1>0</formula1>
      <formula2>300</formula2>
    </dataValidation>
    <dataValidation type="textLength" errorStyle="information" allowBlank="1" showInputMessage="1" showErrorMessage="1" error="XLBVal:6=483.65_x000d__x000a_" sqref="R120">
      <formula1>0</formula1>
      <formula2>300</formula2>
    </dataValidation>
    <dataValidation type="textLength" errorStyle="information" allowBlank="1" showInputMessage="1" showErrorMessage="1" error="XLBVal:6=383.8_x000d__x000a_" sqref="Q120">
      <formula1>0</formula1>
      <formula2>300</formula2>
    </dataValidation>
    <dataValidation type="textLength" errorStyle="information" allowBlank="1" showInputMessage="1" showErrorMessage="1" error="XLBVal:6=1240_x000d__x000a_" sqref="Q119:V119">
      <formula1>0</formula1>
      <formula2>300</formula2>
    </dataValidation>
    <dataValidation type="textLength" errorStyle="information" allowBlank="1" showInputMessage="1" showErrorMessage="1" error="XLBVal:6=29.82_x000d__x000a_" sqref="Q117:V117">
      <formula1>0</formula1>
      <formula2>300</formula2>
    </dataValidation>
    <dataValidation type="textLength" errorStyle="information" allowBlank="1" showInputMessage="1" showErrorMessage="1" error="XLBVal:6=2112.64_x000d__x000a_" sqref="Q115:V115">
      <formula1>0</formula1>
      <formula2>300</formula2>
    </dataValidation>
    <dataValidation type="textLength" errorStyle="information" allowBlank="1" showInputMessage="1" showErrorMessage="1" error="XLBVal:6=3976.74_x000d__x000a_" sqref="Q114:V114">
      <formula1>0</formula1>
      <formula2>300</formula2>
    </dataValidation>
    <dataValidation type="textLength" errorStyle="information" allowBlank="1" showInputMessage="1" showErrorMessage="1" error="XLBVal:6=400_x000d__x000a_" sqref="U111:V111 Q111:S111">
      <formula1>0</formula1>
      <formula2>300</formula2>
    </dataValidation>
    <dataValidation type="textLength" errorStyle="information" allowBlank="1" showInputMessage="1" showErrorMessage="1" error="XLBVal:6=2068.71_x000d__x000a_" sqref="V109">
      <formula1>0</formula1>
      <formula2>300</formula2>
    </dataValidation>
    <dataValidation type="textLength" errorStyle="information" allowBlank="1" showInputMessage="1" showErrorMessage="1" error="XLBVal:6=2090_x000d__x000a_" sqref="T109:U109">
      <formula1>0</formula1>
      <formula2>300</formula2>
    </dataValidation>
    <dataValidation type="textLength" errorStyle="information" allowBlank="1" showInputMessage="1" showErrorMessage="1" error="XLBVal:6=1075.86_x000d__x000a_" sqref="U107">
      <formula1>0</formula1>
      <formula2>300</formula2>
    </dataValidation>
    <dataValidation type="textLength" errorStyle="information" allowBlank="1" showInputMessage="1" showErrorMessage="1" error="XLBVal:6=5572.38_x000d__x000a_" sqref="R107">
      <formula1>0</formula1>
      <formula2>300</formula2>
    </dataValidation>
    <dataValidation type="textLength" errorStyle="information" allowBlank="1" showInputMessage="1" showErrorMessage="1" error="XLBVal:6=7800_x000d__x000a_" sqref="Q103:V103">
      <formula1>0</formula1>
      <formula2>300</formula2>
    </dataValidation>
    <dataValidation type="textLength" errorStyle="information" allowBlank="1" showInputMessage="1" showErrorMessage="1" error="XLBVal:6=8500_x000d__x000a_" sqref="Q102:V102">
      <formula1>0</formula1>
      <formula2>300</formula2>
    </dataValidation>
    <dataValidation type="textLength" errorStyle="information" allowBlank="1" showInputMessage="1" showErrorMessage="1" error="XLBVal:6=180_x000d__x000a_" sqref="I87">
      <formula1>0</formula1>
      <formula2>300</formula2>
    </dataValidation>
    <dataValidation type="textLength" errorStyle="information" allowBlank="1" showInputMessage="1" showErrorMessage="1" error="XLBVal:6=396_x000d__x000a_" sqref="U87">
      <formula1>0</formula1>
      <formula2>300</formula2>
    </dataValidation>
    <dataValidation type="textLength" errorStyle="information" allowBlank="1" showInputMessage="1" showErrorMessage="1" error="XLBVal:6=322_x000d__x000a_" sqref="S87">
      <formula1>0</formula1>
      <formula2>300</formula2>
    </dataValidation>
    <dataValidation type="textLength" errorStyle="information" allowBlank="1" showInputMessage="1" showErrorMessage="1" error="XLBVal:6=20_x000d__x000a_" sqref="R87">
      <formula1>0</formula1>
      <formula2>300</formula2>
    </dataValidation>
    <dataValidation type="textLength" errorStyle="information" allowBlank="1" showInputMessage="1" showErrorMessage="1" error="XLBVal:6=696_x000d__x000a_" sqref="Q87">
      <formula1>0</formula1>
      <formula2>300</formula2>
    </dataValidation>
    <dataValidation type="textLength" errorStyle="information" allowBlank="1" showInputMessage="1" showErrorMessage="1" error="XLBVal:6=55_x000d__x000a_" sqref="H86">
      <formula1>0</formula1>
      <formula2>300</formula2>
    </dataValidation>
    <dataValidation type="textLength" errorStyle="information" allowBlank="1" showInputMessage="1" showErrorMessage="1" error="XLBVal:6=14107.06_x000d__x000a_" sqref="V79">
      <formula1>0</formula1>
      <formula2>300</formula2>
    </dataValidation>
    <dataValidation type="textLength" errorStyle="information" allowBlank="1" showInputMessage="1" showErrorMessage="1" error="XLBVal:6=20668.07_x000d__x000a_" sqref="U79">
      <formula1>0</formula1>
      <formula2>300</formula2>
    </dataValidation>
    <dataValidation type="textLength" errorStyle="information" allowBlank="1" showInputMessage="1" showErrorMessage="1" error="XLBVal:6=16155.37_x000d__x000a_" sqref="S79">
      <formula1>0</formula1>
      <formula2>300</formula2>
    </dataValidation>
    <dataValidation type="textLength" errorStyle="information" allowBlank="1" showInputMessage="1" showErrorMessage="1" error="XLBVal:6=2332.65_x000d__x000a_" sqref="R79">
      <formula1>0</formula1>
      <formula2>300</formula2>
    </dataValidation>
    <dataValidation type="textLength" errorStyle="information" allowBlank="1" showInputMessage="1" showErrorMessage="1" error="XLBVal:6=19965.71_x000d__x000a_" sqref="Q79">
      <formula1>0</formula1>
      <formula2>300</formula2>
    </dataValidation>
    <dataValidation type="textLength" errorStyle="information" allowBlank="1" showInputMessage="1" showErrorMessage="1" error="XLBVal:6=141_x000d__x000a_" sqref="Q74:V74">
      <formula1>0</formula1>
      <formula2>300</formula2>
    </dataValidation>
    <dataValidation type="textLength" errorStyle="information" allowBlank="1" showInputMessage="1" showErrorMessage="1" error="XLBVal:6=451.56_x000d__x000a_" sqref="V72">
      <formula1>0</formula1>
      <formula2>300</formula2>
    </dataValidation>
    <dataValidation type="textLength" errorStyle="information" allowBlank="1" showInputMessage="1" showErrorMessage="1" error="XLBVal:6=231.79_x000d__x000a_" sqref="U72">
      <formula1>0</formula1>
      <formula2>300</formula2>
    </dataValidation>
    <dataValidation type="textLength" errorStyle="information" allowBlank="1" showInputMessage="1" showErrorMessage="1" error="XLBVal:6=808.23_x000d__x000a_" sqref="T72">
      <formula1>0</formula1>
      <formula2>300</formula2>
    </dataValidation>
    <dataValidation type="textLength" errorStyle="information" allowBlank="1" showInputMessage="1" showErrorMessage="1" error="XLBVal:6=691.2_x000d__x000a_" sqref="S72">
      <formula1>0</formula1>
      <formula2>300</formula2>
    </dataValidation>
    <dataValidation type="textLength" errorStyle="information" allowBlank="1" showInputMessage="1" showErrorMessage="1" error="XLBVal:6=667.49_x000d__x000a_" sqref="R72">
      <formula1>0</formula1>
      <formula2>300</formula2>
    </dataValidation>
    <dataValidation type="textLength" errorStyle="information" allowBlank="1" showInputMessage="1" showErrorMessage="1" error="XLBVal:6=1247.36_x000d__x000a_" sqref="Q72">
      <formula1>0</formula1>
      <formula2>300</formula2>
    </dataValidation>
    <dataValidation type="textLength" errorStyle="information" allowBlank="1" showInputMessage="1" showErrorMessage="1" error="XLBVal:6=1281.95_x000d__x000a_" sqref="V63">
      <formula1>0</formula1>
      <formula2>300</formula2>
    </dataValidation>
    <dataValidation type="textLength" errorStyle="information" allowBlank="1" showInputMessage="1" showErrorMessage="1" error="XLBVal:6=2085.78_x000d__x000a_" sqref="U63">
      <formula1>0</formula1>
      <formula2>300</formula2>
    </dataValidation>
    <dataValidation type="textLength" errorStyle="information" allowBlank="1" showInputMessage="1" showErrorMessage="1" error="XLBVal:6=591.44_x000d__x000a_" sqref="S63">
      <formula1>0</formula1>
      <formula2>300</formula2>
    </dataValidation>
    <dataValidation type="textLength" errorStyle="information" allowBlank="1" showInputMessage="1" showErrorMessage="1" error="XLBVal:6=1619.42_x000d__x000a_" sqref="R63">
      <formula1>0</formula1>
      <formula2>300</formula2>
    </dataValidation>
    <dataValidation type="textLength" errorStyle="information" allowBlank="1" showInputMessage="1" showErrorMessage="1" error="XLBVal:6=507.97_x000d__x000a_" sqref="Q63">
      <formula1>0</formula1>
      <formula2>300</formula2>
    </dataValidation>
    <dataValidation type="textLength" errorStyle="information" allowBlank="1" showInputMessage="1" showErrorMessage="1" error="XLBVal:6=708_x000d__x000a_" sqref="S49:V49">
      <formula1>0</formula1>
      <formula2>300</formula2>
    </dataValidation>
    <dataValidation type="textLength" errorStyle="information" allowBlank="1" showInputMessage="1" showErrorMessage="1" error="XLBVal:6=908.5_x000d__x000a_" sqref="Q49">
      <formula1>0</formula1>
      <formula2>300</formula2>
    </dataValidation>
    <dataValidation type="textLength" errorStyle="information" allowBlank="1" showInputMessage="1" showErrorMessage="1" error="XLBVal:6=1864.08_x000d__x000a_" sqref="Q43">
      <formula1>0</formula1>
      <formula2>300</formula2>
    </dataValidation>
    <dataValidation type="textLength" errorStyle="information" allowBlank="1" showInputMessage="1" showErrorMessage="1" error="XLBVal:6=1419.84_x000d__x000a_" sqref="S31">
      <formula1>0</formula1>
      <formula2>300</formula2>
    </dataValidation>
    <dataValidation type="textLength" errorStyle="information" allowBlank="1" showInputMessage="1" showErrorMessage="1" error="XLBVal:6=28333.97_x000d__x000a_" sqref="V30">
      <formula1>0</formula1>
      <formula2>300</formula2>
    </dataValidation>
    <dataValidation type="textLength" errorStyle="information" allowBlank="1" showInputMessage="1" showErrorMessage="1" error="XLBVal:6=56115.19_x000d__x000a_" sqref="U30">
      <formula1>0</formula1>
      <formula2>300</formula2>
    </dataValidation>
    <dataValidation type="textLength" errorStyle="information" allowBlank="1" showInputMessage="1" showErrorMessage="1" error="XLBVal:6=37938.15_x000d__x000a_" sqref="S30">
      <formula1>0</formula1>
      <formula2>300</formula2>
    </dataValidation>
    <dataValidation type="textLength" errorStyle="information" allowBlank="1" showInputMessage="1" showErrorMessage="1" error="XLBVal:6=6273.78_x000d__x000a_" sqref="R30">
      <formula1>0</formula1>
      <formula2>300</formula2>
    </dataValidation>
    <dataValidation type="textLength" errorStyle="information" allowBlank="1" showInputMessage="1" showErrorMessage="1" error="XLBVal:6=43270.34_x000d__x000a_" sqref="Q30">
      <formula1>0</formula1>
      <formula2>300</formula2>
    </dataValidation>
    <dataValidation type="textLength" errorStyle="information" allowBlank="1" showInputMessage="1" showErrorMessage="1" error="XLBVal:6=46226.6_x000d__x000a_" sqref="V24">
      <formula1>0</formula1>
      <formula2>300</formula2>
    </dataValidation>
    <dataValidation type="textLength" errorStyle="information" allowBlank="1" showInputMessage="1" showErrorMessage="1" error="XLBVal:6=78302.2_x000d__x000a_" sqref="U24">
      <formula1>0</formula1>
      <formula2>300</formula2>
    </dataValidation>
    <dataValidation type="textLength" errorStyle="information" allowBlank="1" showInputMessage="1" showErrorMessage="1" error="XLBVal:6=117594.6_x000d__x000a_" sqref="T24">
      <formula1>0</formula1>
      <formula2>300</formula2>
    </dataValidation>
    <dataValidation type="textLength" errorStyle="information" allowBlank="1" showInputMessage="1" showErrorMessage="1" error="XLBVal:6=109151.3_x000d__x000a_" sqref="S24">
      <formula1>0</formula1>
      <formula2>300</formula2>
    </dataValidation>
    <dataValidation type="textLength" errorStyle="information" allowBlank="1" showInputMessage="1" showErrorMessage="1" error="XLBVal:6=47169.8_x000d__x000a_" sqref="R24">
      <formula1>0</formula1>
      <formula2>300</formula2>
    </dataValidation>
    <dataValidation type="textLength" errorStyle="information" allowBlank="1" showInputMessage="1" showErrorMessage="1" error="XLBVal:6=123585.4_x000d__x000a_" sqref="Q24">
      <formula1>0</formula1>
      <formula2>300</formula2>
    </dataValidation>
    <dataValidation type="textLength" errorStyle="information" allowBlank="1" showInputMessage="1" showErrorMessage="1" error="XLBVal:6=8301.9_x000d__x000a_" sqref="S19">
      <formula1>0</formula1>
      <formula2>300</formula2>
    </dataValidation>
    <dataValidation type="textLength" errorStyle="information" allowBlank="1" showInputMessage="1" showErrorMessage="1" error="XLBVal:6=7179.4_x000d__x000a_" sqref="Q19">
      <formula1>0</formula1>
      <formula2>300</formula2>
    </dataValidation>
    <dataValidation type="textLength" errorStyle="information" allowBlank="1" showInputMessage="1" showErrorMessage="1" error="XLBVal:6=139436.5_x000d__x000a_" sqref="U11">
      <formula1>0</formula1>
      <formula2>300</formula2>
    </dataValidation>
    <dataValidation type="textLength" errorStyle="information" allowBlank="1" showInputMessage="1" showErrorMessage="1" error="XLBVal:6=107544_x000d__x000a_" sqref="S11">
      <formula1>0</formula1>
      <formula2>300</formula2>
    </dataValidation>
    <dataValidation type="textLength" errorStyle="information" allowBlank="1" showInputMessage="1" showErrorMessage="1" error="XLBVal:6=22415.2_x000d__x000a_" sqref="R11">
      <formula1>0</formula1>
      <formula2>300</formula2>
    </dataValidation>
    <dataValidation type="textLength" errorStyle="information" allowBlank="1" showInputMessage="1" showErrorMessage="1" error="XLBVal:6=155529.4_x000d__x000a_" sqref="Q11">
      <formula1>0</formula1>
      <formula2>300</formula2>
    </dataValidation>
    <dataValidation type="textLength" errorStyle="information" allowBlank="1" showInputMessage="1" showErrorMessage="1" error="XLBVal:6=72264.2_x000d__x000a_" sqref="V10">
      <formula1>0</formula1>
      <formula2>300</formula2>
    </dataValidation>
    <dataValidation type="textLength" errorStyle="information" allowBlank="1" showInputMessage="1" showErrorMessage="1" error="XLBVal:6=55924.4_x000d__x000a_" sqref="U10">
      <formula1>0</formula1>
      <formula2>300</formula2>
    </dataValidation>
    <dataValidation type="textLength" errorStyle="information" allowBlank="1" showInputMessage="1" showErrorMessage="1" error="XLBVal:6=45735.8_x000d__x000a_" sqref="S10">
      <formula1>0</formula1>
      <formula2>300</formula2>
    </dataValidation>
    <dataValidation type="textLength" errorStyle="information" allowBlank="1" showInputMessage="1" showErrorMessage="1" error="XLBVal:6=7500_x000d__x000a_" sqref="E102:O104">
      <formula1>0</formula1>
      <formula2>300</formula2>
    </dataValidation>
    <dataValidation type="textLength" errorStyle="information" allowBlank="1" showInputMessage="1" showErrorMessage="1" error="XLBVal:6=3_x000d__x000a_" sqref="Q136:V136">
      <formula1>0</formula1>
      <formula2>300</formula2>
    </dataValidation>
    <dataValidation type="textLength" errorStyle="information" allowBlank="1" showInputMessage="1" showErrorMessage="1" error="XLBVal:6=30_x000d__x000a_" sqref="E87 Q85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2=0_x000d__x000a_" sqref="Q12:AB13 G85:H85 H18:I18 R49 D26:E26 Q20:V21 Q38:R41 G25:I26 Q25:S26 T25 E25 Q124:V127 U88:V89 G17:I17 Q51:S52 D32:I32 D85 D20:I21 R56:S57 Q88:S89 Q50:V50 D88:I89 D17 Q57 Q60:S62 D131:I132 D9:O13 T62:V62 Q73:V73 E17:F18 D73:O78 Q58:V58 S107:T107 Q110:V110 T60:V60 Q10:R10 Q65:V70 Y11 Q44:V48 Q131:V132 X10:X11 Q32:V32 Q118:V118 Q17:V17 Z10 Q104:V104 Q121:V121 S38:V42 D38:O42 Q107 Q75:V78 R71:V71 T51:V57 Q42 R31 U25:V26 V19 R19 Q18:U18 Q9:AB9 R85:V85 U59:V59 Q86:R86 R42:R43 D44:O71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AG161"/>
  <sheetViews>
    <sheetView view="pageBreakPreview" zoomScaleNormal="100" zoomScaleSheetLayoutView="100" workbookViewId="0">
      <pane xSplit="4" ySplit="7" topLeftCell="M95" activePane="bottomRight" state="frozen"/>
      <selection activeCell="AP43" sqref="AP43"/>
      <selection pane="topRight" activeCell="AP43" sqref="AP43"/>
      <selection pane="bottomLeft" activeCell="AP43" sqref="AP43"/>
      <selection pane="bottomRight" activeCell="D108" sqref="D108:O108"/>
    </sheetView>
  </sheetViews>
  <sheetFormatPr defaultColWidth="9" defaultRowHeight="14.25" outlineLevelCol="2"/>
  <cols>
    <col min="1" max="2" width="9" style="105" hidden="1" customWidth="1" outlineLevel="1"/>
    <col min="3" max="3" width="53.125" style="105" customWidth="1" collapsed="1"/>
    <col min="4" max="15" width="14.5" style="72" bestFit="1" customWidth="1"/>
    <col min="16" max="16" width="15.75" style="127" bestFit="1" customWidth="1"/>
    <col min="17" max="23" width="15.75" style="72" hidden="1" customWidth="1" outlineLevel="1"/>
    <col min="24" max="24" width="15.75" style="72" hidden="1" customWidth="1" outlineLevel="2"/>
    <col min="25" max="28" width="14.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5.75" style="109" hidden="1" customWidth="1"/>
    <col min="33" max="33" width="1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396</v>
      </c>
      <c r="D3" s="2" t="s">
        <v>578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578</v>
      </c>
      <c r="J3" s="2" t="s">
        <v>579</v>
      </c>
      <c r="K3" s="2" t="s">
        <v>151</v>
      </c>
      <c r="L3" s="2" t="s">
        <v>151</v>
      </c>
      <c r="M3" s="2" t="s">
        <v>579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578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395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2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0.12</v>
      </c>
      <c r="AG9" s="124">
        <f t="shared" ref="AG9:AG27" si="3">P9-AF9</f>
        <v>-0.12</v>
      </c>
    </row>
    <row r="10" spans="1:33">
      <c r="A10" s="105" t="s">
        <v>482</v>
      </c>
      <c r="B10" s="105" t="s">
        <v>395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27">
        <f>SUM(D10:O10)</f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0</v>
      </c>
      <c r="AD10" s="72">
        <f t="shared" si="1"/>
        <v>0</v>
      </c>
      <c r="AE10" s="192" t="e">
        <f t="shared" si="2"/>
        <v>#DIV/0!</v>
      </c>
      <c r="AF10" s="129">
        <v>1.4551915228366852E-11</v>
      </c>
      <c r="AG10" s="124">
        <f t="shared" si="3"/>
        <v>-1.4551915228366852E-11</v>
      </c>
    </row>
    <row r="11" spans="1:33">
      <c r="A11" s="105" t="s">
        <v>484</v>
      </c>
      <c r="B11" s="105" t="s">
        <v>395</v>
      </c>
      <c r="C11" s="105" t="s">
        <v>485</v>
      </c>
      <c r="D11" s="210">
        <f t="shared" si="4"/>
        <v>0</v>
      </c>
      <c r="E11" s="210">
        <f t="shared" si="4"/>
        <v>0</v>
      </c>
      <c r="F11" s="210">
        <f t="shared" si="4"/>
        <v>0</v>
      </c>
      <c r="G11" s="210">
        <f t="shared" si="4"/>
        <v>0</v>
      </c>
      <c r="H11" s="210">
        <f t="shared" si="4"/>
        <v>0</v>
      </c>
      <c r="I11" s="210">
        <f t="shared" si="4"/>
        <v>0</v>
      </c>
      <c r="J11" s="210">
        <f t="shared" si="4"/>
        <v>0</v>
      </c>
      <c r="K11" s="210">
        <f t="shared" si="4"/>
        <v>0</v>
      </c>
      <c r="L11" s="210">
        <f t="shared" si="4"/>
        <v>0</v>
      </c>
      <c r="M11" s="210">
        <f t="shared" si="4"/>
        <v>0</v>
      </c>
      <c r="N11" s="210">
        <f t="shared" si="4"/>
        <v>0</v>
      </c>
      <c r="O11" s="210">
        <f t="shared" si="4"/>
        <v>0</v>
      </c>
      <c r="P11" s="127">
        <f>SUM(D11:O11)</f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127">
        <f>SUM(Q11:AB11)</f>
        <v>0</v>
      </c>
      <c r="AD11" s="72">
        <f t="shared" si="1"/>
        <v>0</v>
      </c>
      <c r="AE11" s="192" t="e">
        <f t="shared" si="2"/>
        <v>#DIV/0!</v>
      </c>
      <c r="AF11" s="129">
        <v>0.37000000000363797</v>
      </c>
      <c r="AG11" s="124">
        <f t="shared" si="3"/>
        <v>-0.37000000000363797</v>
      </c>
    </row>
    <row r="12" spans="1:33">
      <c r="A12" s="105" t="s">
        <v>486</v>
      </c>
      <c r="B12" s="105" t="s">
        <v>395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395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0</v>
      </c>
      <c r="E14" s="127">
        <f t="shared" si="5"/>
        <v>0</v>
      </c>
      <c r="F14" s="127">
        <f t="shared" si="5"/>
        <v>0</v>
      </c>
      <c r="G14" s="127">
        <f t="shared" si="5"/>
        <v>0</v>
      </c>
      <c r="H14" s="127">
        <f t="shared" si="5"/>
        <v>0</v>
      </c>
      <c r="I14" s="127">
        <f t="shared" si="5"/>
        <v>0</v>
      </c>
      <c r="J14" s="127">
        <f t="shared" si="5"/>
        <v>0</v>
      </c>
      <c r="K14" s="127">
        <f t="shared" si="5"/>
        <v>0</v>
      </c>
      <c r="L14" s="127">
        <f t="shared" si="5"/>
        <v>0</v>
      </c>
      <c r="M14" s="127">
        <f t="shared" si="5"/>
        <v>0</v>
      </c>
      <c r="N14" s="127">
        <f t="shared" si="5"/>
        <v>0</v>
      </c>
      <c r="O14" s="127">
        <f t="shared" si="5"/>
        <v>0</v>
      </c>
      <c r="P14" s="127">
        <f t="shared" si="5"/>
        <v>0</v>
      </c>
      <c r="Q14" s="127">
        <f t="shared" si="5"/>
        <v>0</v>
      </c>
      <c r="R14" s="127">
        <f t="shared" si="5"/>
        <v>0</v>
      </c>
      <c r="S14" s="127">
        <f t="shared" si="5"/>
        <v>0</v>
      </c>
      <c r="T14" s="127">
        <f t="shared" si="5"/>
        <v>0</v>
      </c>
      <c r="U14" s="127">
        <f t="shared" si="5"/>
        <v>0</v>
      </c>
      <c r="V14" s="127">
        <f t="shared" si="5"/>
        <v>0</v>
      </c>
      <c r="W14" s="127">
        <f t="shared" si="5"/>
        <v>0</v>
      </c>
      <c r="X14" s="127">
        <f t="shared" si="5"/>
        <v>0</v>
      </c>
      <c r="Y14" s="127">
        <f t="shared" si="5"/>
        <v>0</v>
      </c>
      <c r="Z14" s="127">
        <f t="shared" si="5"/>
        <v>0</v>
      </c>
      <c r="AA14" s="127">
        <f t="shared" si="5"/>
        <v>0</v>
      </c>
      <c r="AB14" s="127">
        <f t="shared" si="5"/>
        <v>0</v>
      </c>
      <c r="AC14" s="127">
        <f t="shared" si="5"/>
        <v>0</v>
      </c>
      <c r="AD14" s="72">
        <f t="shared" si="1"/>
        <v>0</v>
      </c>
      <c r="AE14" s="192" t="e">
        <f t="shared" si="2"/>
        <v>#DIV/0!</v>
      </c>
      <c r="AF14" s="129">
        <v>0.49000000001818989</v>
      </c>
      <c r="AG14" s="124">
        <f t="shared" si="3"/>
        <v>-0.49000000001818989</v>
      </c>
    </row>
    <row r="15" spans="1:33">
      <c r="C15" s="105" t="s">
        <v>154</v>
      </c>
      <c r="AF15" s="129"/>
      <c r="AG15" s="124">
        <f t="shared" si="3"/>
        <v>0</v>
      </c>
    </row>
    <row r="16" spans="1:33">
      <c r="C16" s="105" t="s">
        <v>491</v>
      </c>
      <c r="AF16" s="129"/>
      <c r="AG16" s="124">
        <f t="shared" si="3"/>
        <v>0</v>
      </c>
    </row>
    <row r="17" spans="1:33">
      <c r="A17" s="105" t="s">
        <v>580</v>
      </c>
      <c r="B17" s="105" t="s">
        <v>395</v>
      </c>
      <c r="C17" s="105" t="s">
        <v>481</v>
      </c>
      <c r="P17" s="12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0</v>
      </c>
      <c r="AG17" s="124">
        <f t="shared" si="3"/>
        <v>0</v>
      </c>
    </row>
    <row r="18" spans="1:33">
      <c r="A18" s="105" t="s">
        <v>493</v>
      </c>
      <c r="B18" s="105" t="s">
        <v>395</v>
      </c>
      <c r="C18" s="105" t="s">
        <v>483</v>
      </c>
      <c r="P18" s="12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0</v>
      </c>
      <c r="AG18" s="124">
        <f t="shared" si="3"/>
        <v>0</v>
      </c>
    </row>
    <row r="19" spans="1:33">
      <c r="A19" s="105" t="s">
        <v>581</v>
      </c>
      <c r="B19" s="105" t="s">
        <v>395</v>
      </c>
      <c r="C19" s="105" t="s">
        <v>485</v>
      </c>
      <c r="P19" s="127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0</v>
      </c>
      <c r="AG19" s="124">
        <f t="shared" si="3"/>
        <v>0</v>
      </c>
    </row>
    <row r="20" spans="1:33">
      <c r="A20" s="105" t="s">
        <v>495</v>
      </c>
      <c r="B20" s="105" t="s">
        <v>395</v>
      </c>
      <c r="C20" s="105" t="s">
        <v>487</v>
      </c>
      <c r="P20" s="12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</row>
    <row r="21" spans="1:33">
      <c r="A21" s="105" t="s">
        <v>548</v>
      </c>
      <c r="B21" s="105" t="s">
        <v>395</v>
      </c>
      <c r="C21" s="105" t="s">
        <v>489</v>
      </c>
      <c r="P21" s="12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7">
        <f t="shared" si="8"/>
        <v>0</v>
      </c>
      <c r="K22" s="127">
        <f t="shared" si="8"/>
        <v>0</v>
      </c>
      <c r="L22" s="127">
        <f t="shared" si="8"/>
        <v>0</v>
      </c>
      <c r="M22" s="127">
        <f t="shared" si="8"/>
        <v>0</v>
      </c>
      <c r="N22" s="127">
        <f t="shared" si="8"/>
        <v>0</v>
      </c>
      <c r="O22" s="127">
        <f t="shared" si="8"/>
        <v>0</v>
      </c>
      <c r="P22" s="127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0</v>
      </c>
      <c r="AG22" s="124">
        <f t="shared" si="3"/>
        <v>0</v>
      </c>
    </row>
    <row r="23" spans="1:33">
      <c r="C23" s="105" t="s">
        <v>154</v>
      </c>
      <c r="AF23" s="129"/>
      <c r="AG23" s="124">
        <f t="shared" si="3"/>
        <v>0</v>
      </c>
    </row>
    <row r="24" spans="1:33">
      <c r="A24" s="105" t="s">
        <v>406</v>
      </c>
      <c r="B24" s="105" t="s">
        <v>395</v>
      </c>
      <c r="C24" s="105" t="s">
        <v>408</v>
      </c>
      <c r="J24" s="123"/>
      <c r="K24" s="123"/>
      <c r="L24" s="123"/>
      <c r="M24" s="123"/>
      <c r="N24" s="123"/>
      <c r="O24" s="123"/>
      <c r="P24" s="12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395</v>
      </c>
      <c r="C25" s="105" t="s">
        <v>499</v>
      </c>
      <c r="P25" s="12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349914.58999999997</v>
      </c>
      <c r="AG25" s="124">
        <f t="shared" si="3"/>
        <v>-349914.58999999997</v>
      </c>
    </row>
    <row r="26" spans="1:33">
      <c r="A26" s="105" t="s">
        <v>169</v>
      </c>
      <c r="B26" s="105" t="s">
        <v>395</v>
      </c>
      <c r="C26" s="105" t="s">
        <v>170</v>
      </c>
      <c r="P26" s="127">
        <f>SUM(D26:O26)</f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0</v>
      </c>
      <c r="AD26" s="72">
        <f>P26-AC26</f>
        <v>0</v>
      </c>
      <c r="AE26" s="192" t="e">
        <f>AD26/AC26</f>
        <v>#DIV/0!</v>
      </c>
      <c r="AF26" s="129">
        <v>-0.06</v>
      </c>
      <c r="AG26" s="124">
        <f t="shared" si="3"/>
        <v>0.06</v>
      </c>
    </row>
    <row r="27" spans="1:33">
      <c r="C27" s="109" t="s">
        <v>500</v>
      </c>
      <c r="D27" s="127">
        <f t="shared" ref="D27:P27" si="10">SUM(D24:D26)+D14+D22</f>
        <v>0</v>
      </c>
      <c r="E27" s="127">
        <f t="shared" si="10"/>
        <v>0</v>
      </c>
      <c r="F27" s="127">
        <f t="shared" si="10"/>
        <v>0</v>
      </c>
      <c r="G27" s="127">
        <f t="shared" si="10"/>
        <v>0</v>
      </c>
      <c r="H27" s="127">
        <f t="shared" si="10"/>
        <v>0</v>
      </c>
      <c r="I27" s="127">
        <f t="shared" si="10"/>
        <v>0</v>
      </c>
      <c r="J27" s="127">
        <f t="shared" si="10"/>
        <v>0</v>
      </c>
      <c r="K27" s="127">
        <f t="shared" si="10"/>
        <v>0</v>
      </c>
      <c r="L27" s="127">
        <f t="shared" si="10"/>
        <v>0</v>
      </c>
      <c r="M27" s="127">
        <f t="shared" si="10"/>
        <v>0</v>
      </c>
      <c r="N27" s="127">
        <f t="shared" si="10"/>
        <v>0</v>
      </c>
      <c r="O27" s="127">
        <f t="shared" si="10"/>
        <v>0</v>
      </c>
      <c r="P27" s="127">
        <f t="shared" si="10"/>
        <v>0</v>
      </c>
      <c r="Q27" s="127">
        <f t="shared" ref="Q27:V27" si="11">SUM(Q24:Q26)+Q14+Q22</f>
        <v>0</v>
      </c>
      <c r="R27" s="127">
        <f t="shared" si="11"/>
        <v>0</v>
      </c>
      <c r="S27" s="127">
        <f t="shared" si="11"/>
        <v>0</v>
      </c>
      <c r="T27" s="127">
        <f t="shared" si="11"/>
        <v>0</v>
      </c>
      <c r="U27" s="127">
        <f t="shared" si="11"/>
        <v>0</v>
      </c>
      <c r="V27" s="127">
        <f t="shared" si="11"/>
        <v>0</v>
      </c>
      <c r="W27" s="127">
        <f t="shared" ref="W27:AC27" si="12">SUM(W24:W26)+W14+W22</f>
        <v>0</v>
      </c>
      <c r="X27" s="127">
        <f t="shared" si="12"/>
        <v>0</v>
      </c>
      <c r="Y27" s="127">
        <f t="shared" si="12"/>
        <v>0</v>
      </c>
      <c r="Z27" s="127">
        <f t="shared" si="12"/>
        <v>0</v>
      </c>
      <c r="AA27" s="127">
        <f t="shared" si="12"/>
        <v>0</v>
      </c>
      <c r="AB27" s="127">
        <f t="shared" si="12"/>
        <v>0</v>
      </c>
      <c r="AC27" s="127">
        <f t="shared" si="12"/>
        <v>0</v>
      </c>
      <c r="AD27" s="72">
        <f>P27-AC27</f>
        <v>0</v>
      </c>
      <c r="AE27" s="192" t="e">
        <f>AD27/AC27</f>
        <v>#DIV/0!</v>
      </c>
      <c r="AF27" s="129">
        <v>349915.01999999996</v>
      </c>
      <c r="AG27" s="124">
        <f t="shared" si="3"/>
        <v>-349915.01999999996</v>
      </c>
    </row>
    <row r="28" spans="1:33">
      <c r="C28" s="105" t="s">
        <v>154</v>
      </c>
      <c r="AF28" s="129"/>
    </row>
    <row r="29" spans="1:33">
      <c r="C29" s="105" t="s">
        <v>414</v>
      </c>
      <c r="AF29" s="129"/>
    </row>
    <row r="30" spans="1:33">
      <c r="A30" s="105" t="s">
        <v>415</v>
      </c>
      <c r="B30" s="105" t="s">
        <v>395</v>
      </c>
      <c r="C30" s="105" t="s">
        <v>416</v>
      </c>
      <c r="P30" s="127">
        <f>SUM(D30:O30)</f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127">
        <f>SUM(Q30:AB30)</f>
        <v>0</v>
      </c>
      <c r="AD30" s="72">
        <f t="shared" ref="AD30:AD33" si="13">P30-AC30</f>
        <v>0</v>
      </c>
      <c r="AE30" s="192" t="e">
        <f t="shared" ref="AE30:AE33" si="14">AD30/AC30</f>
        <v>#DIV/0!</v>
      </c>
      <c r="AF30" s="129">
        <v>0</v>
      </c>
      <c r="AG30" s="124">
        <f t="shared" ref="AG30:AG80" si="15">AF30-P30</f>
        <v>0</v>
      </c>
    </row>
    <row r="31" spans="1:33">
      <c r="A31" s="105" t="s">
        <v>417</v>
      </c>
      <c r="B31" s="105" t="s">
        <v>395</v>
      </c>
      <c r="C31" s="105" t="s">
        <v>418</v>
      </c>
      <c r="P31" s="127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3"/>
        <v>0</v>
      </c>
      <c r="AE31" s="192" t="e">
        <f t="shared" si="14"/>
        <v>#DIV/0!</v>
      </c>
      <c r="AF31" s="129">
        <v>0</v>
      </c>
      <c r="AG31" s="124">
        <f t="shared" si="15"/>
        <v>0</v>
      </c>
    </row>
    <row r="32" spans="1:33">
      <c r="A32" s="105" t="s">
        <v>421</v>
      </c>
      <c r="B32" s="105" t="s">
        <v>395</v>
      </c>
      <c r="C32" s="105" t="s">
        <v>422</v>
      </c>
      <c r="P32" s="12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3"/>
        <v>0</v>
      </c>
      <c r="AE32" s="192" t="e">
        <f t="shared" si="14"/>
        <v>#DIV/0!</v>
      </c>
      <c r="AF32" s="129">
        <v>71529.81</v>
      </c>
      <c r="AG32" s="124">
        <f t="shared" si="15"/>
        <v>71529.81</v>
      </c>
    </row>
    <row r="33" spans="1:33">
      <c r="C33" s="109" t="s">
        <v>501</v>
      </c>
      <c r="D33" s="127">
        <f t="shared" ref="D33:AC33" si="16">SUM(D30:D32)</f>
        <v>0</v>
      </c>
      <c r="E33" s="127">
        <f t="shared" si="16"/>
        <v>0</v>
      </c>
      <c r="F33" s="127">
        <f t="shared" si="16"/>
        <v>0</v>
      </c>
      <c r="G33" s="127">
        <f t="shared" si="16"/>
        <v>0</v>
      </c>
      <c r="H33" s="127">
        <f t="shared" si="16"/>
        <v>0</v>
      </c>
      <c r="I33" s="127">
        <f t="shared" si="16"/>
        <v>0</v>
      </c>
      <c r="J33" s="127">
        <f t="shared" si="16"/>
        <v>0</v>
      </c>
      <c r="K33" s="127">
        <f t="shared" si="16"/>
        <v>0</v>
      </c>
      <c r="L33" s="127">
        <f t="shared" si="16"/>
        <v>0</v>
      </c>
      <c r="M33" s="127">
        <f t="shared" si="16"/>
        <v>0</v>
      </c>
      <c r="N33" s="127">
        <f t="shared" si="16"/>
        <v>0</v>
      </c>
      <c r="O33" s="127">
        <f t="shared" si="16"/>
        <v>0</v>
      </c>
      <c r="P33" s="127">
        <f t="shared" si="16"/>
        <v>0</v>
      </c>
      <c r="Q33" s="127">
        <f t="shared" si="16"/>
        <v>0</v>
      </c>
      <c r="R33" s="127">
        <f t="shared" si="16"/>
        <v>0</v>
      </c>
      <c r="S33" s="127">
        <f t="shared" si="16"/>
        <v>0</v>
      </c>
      <c r="T33" s="127">
        <f t="shared" si="16"/>
        <v>0</v>
      </c>
      <c r="U33" s="127">
        <f t="shared" si="16"/>
        <v>0</v>
      </c>
      <c r="V33" s="127">
        <f t="shared" si="16"/>
        <v>0</v>
      </c>
      <c r="W33" s="127">
        <f t="shared" si="16"/>
        <v>0</v>
      </c>
      <c r="X33" s="127">
        <f t="shared" si="16"/>
        <v>0</v>
      </c>
      <c r="Y33" s="127">
        <f t="shared" si="16"/>
        <v>0</v>
      </c>
      <c r="Z33" s="127">
        <f t="shared" si="16"/>
        <v>0</v>
      </c>
      <c r="AA33" s="127">
        <f t="shared" si="16"/>
        <v>0</v>
      </c>
      <c r="AB33" s="127">
        <f t="shared" si="16"/>
        <v>0</v>
      </c>
      <c r="AC33" s="127">
        <f t="shared" si="16"/>
        <v>0</v>
      </c>
      <c r="AD33" s="72">
        <f t="shared" si="13"/>
        <v>0</v>
      </c>
      <c r="AE33" s="192" t="e">
        <f t="shared" si="14"/>
        <v>#DIV/0!</v>
      </c>
      <c r="AF33" s="129">
        <v>71529.81</v>
      </c>
      <c r="AG33" s="124">
        <f t="shared" si="15"/>
        <v>71529.81</v>
      </c>
    </row>
    <row r="34" spans="1:33">
      <c r="C34" s="105" t="s">
        <v>154</v>
      </c>
      <c r="AF34" s="129"/>
      <c r="AG34" s="124">
        <f t="shared" si="15"/>
        <v>0</v>
      </c>
    </row>
    <row r="35" spans="1:33">
      <c r="C35" s="105" t="s">
        <v>289</v>
      </c>
      <c r="D35" s="72">
        <f>D134</f>
        <v>0</v>
      </c>
      <c r="E35" s="72">
        <f t="shared" ref="E35:AB35" si="17">E134</f>
        <v>0</v>
      </c>
      <c r="F35" s="72">
        <f t="shared" si="17"/>
        <v>0</v>
      </c>
      <c r="G35" s="72">
        <f t="shared" si="17"/>
        <v>0</v>
      </c>
      <c r="H35" s="72">
        <f t="shared" si="17"/>
        <v>0</v>
      </c>
      <c r="I35" s="72">
        <f t="shared" si="17"/>
        <v>0</v>
      </c>
      <c r="J35" s="72">
        <f t="shared" si="17"/>
        <v>0</v>
      </c>
      <c r="K35" s="72">
        <f t="shared" si="17"/>
        <v>0</v>
      </c>
      <c r="L35" s="72">
        <f t="shared" si="17"/>
        <v>0</v>
      </c>
      <c r="M35" s="72">
        <f t="shared" si="17"/>
        <v>0</v>
      </c>
      <c r="N35" s="72">
        <f t="shared" si="17"/>
        <v>0</v>
      </c>
      <c r="O35" s="72">
        <f t="shared" si="17"/>
        <v>0</v>
      </c>
      <c r="P35" s="127">
        <f t="shared" si="17"/>
        <v>0</v>
      </c>
      <c r="Q35" s="72">
        <f t="shared" si="17"/>
        <v>0</v>
      </c>
      <c r="R35" s="72">
        <f t="shared" si="17"/>
        <v>0</v>
      </c>
      <c r="S35" s="72">
        <f t="shared" si="17"/>
        <v>0</v>
      </c>
      <c r="T35" s="72">
        <f t="shared" si="17"/>
        <v>0</v>
      </c>
      <c r="U35" s="72">
        <f t="shared" si="17"/>
        <v>0</v>
      </c>
      <c r="V35" s="72">
        <f t="shared" si="17"/>
        <v>0</v>
      </c>
      <c r="W35" s="72">
        <f t="shared" si="17"/>
        <v>0</v>
      </c>
      <c r="X35" s="72">
        <f t="shared" si="17"/>
        <v>0</v>
      </c>
      <c r="Y35" s="72">
        <f t="shared" si="17"/>
        <v>0</v>
      </c>
      <c r="Z35" s="72">
        <f t="shared" si="17"/>
        <v>0</v>
      </c>
      <c r="AA35" s="72">
        <f t="shared" si="17"/>
        <v>0</v>
      </c>
      <c r="AB35" s="72">
        <f t="shared" si="17"/>
        <v>0</v>
      </c>
      <c r="AC35" s="127">
        <f>SUM(Q35:AB35)</f>
        <v>0</v>
      </c>
      <c r="AD35" s="72">
        <f t="shared" ref="AD35" si="18">P35-AC35</f>
        <v>0</v>
      </c>
      <c r="AE35" s="192" t="e">
        <f t="shared" ref="AE35" si="19">AD35/AC35</f>
        <v>#DIV/0!</v>
      </c>
      <c r="AF35" s="129">
        <v>30</v>
      </c>
      <c r="AG35" s="124">
        <f t="shared" si="15"/>
        <v>30</v>
      </c>
    </row>
    <row r="36" spans="1:33">
      <c r="C36" s="105" t="s">
        <v>154</v>
      </c>
      <c r="AF36" s="129"/>
      <c r="AG36" s="124">
        <f t="shared" si="15"/>
        <v>0</v>
      </c>
    </row>
    <row r="37" spans="1:33">
      <c r="C37" s="109" t="s">
        <v>502</v>
      </c>
      <c r="AF37" s="129"/>
      <c r="AG37" s="124">
        <f t="shared" si="15"/>
        <v>0</v>
      </c>
    </row>
    <row r="38" spans="1:33">
      <c r="A38" s="105" t="s">
        <v>424</v>
      </c>
      <c r="B38" s="105" t="s">
        <v>395</v>
      </c>
      <c r="C38" s="105" t="s">
        <v>425</v>
      </c>
      <c r="J38" s="231"/>
      <c r="K38" s="231"/>
      <c r="L38" s="231"/>
      <c r="M38" s="231"/>
      <c r="N38" s="231"/>
      <c r="O38" s="231"/>
      <c r="P38" s="133">
        <f t="shared" ref="P38:P78" si="20">SUM(D38:O38)</f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ref="AC38:AC79" si="21">SUM(Q38:AB38)</f>
        <v>0</v>
      </c>
      <c r="AD38" s="72">
        <f t="shared" ref="AD38:AD82" si="22">P38-AC38</f>
        <v>0</v>
      </c>
      <c r="AE38" s="192" t="e">
        <f t="shared" ref="AE38:AE82" si="23">AD38/AC38</f>
        <v>#DIV/0!</v>
      </c>
      <c r="AF38" s="129">
        <v>0</v>
      </c>
      <c r="AG38" s="124">
        <f t="shared" si="15"/>
        <v>0</v>
      </c>
    </row>
    <row r="39" spans="1:33">
      <c r="A39" s="105" t="s">
        <v>273</v>
      </c>
      <c r="C39" s="105" t="s">
        <v>426</v>
      </c>
      <c r="J39" s="231"/>
      <c r="K39" s="231"/>
      <c r="L39" s="231"/>
      <c r="M39" s="231"/>
      <c r="N39" s="231"/>
      <c r="O39" s="231"/>
      <c r="P39" s="133">
        <f t="shared" si="20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1"/>
        <v>0</v>
      </c>
      <c r="AD39" s="72">
        <f t="shared" si="22"/>
        <v>0</v>
      </c>
      <c r="AE39" s="192" t="e">
        <f t="shared" si="23"/>
        <v>#DIV/0!</v>
      </c>
      <c r="AF39" s="129">
        <v>0</v>
      </c>
      <c r="AG39" s="124">
        <f t="shared" si="15"/>
        <v>0</v>
      </c>
    </row>
    <row r="40" spans="1:33">
      <c r="A40" s="105" t="s">
        <v>551</v>
      </c>
      <c r="C40" s="105" t="s">
        <v>427</v>
      </c>
      <c r="J40" s="231"/>
      <c r="K40" s="231"/>
      <c r="L40" s="231"/>
      <c r="M40" s="231"/>
      <c r="N40" s="231"/>
      <c r="O40" s="231"/>
      <c r="P40" s="133">
        <f t="shared" si="20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1"/>
        <v>0</v>
      </c>
      <c r="AD40" s="72">
        <f t="shared" si="22"/>
        <v>0</v>
      </c>
      <c r="AE40" s="192" t="e">
        <f t="shared" si="23"/>
        <v>#DIV/0!</v>
      </c>
      <c r="AF40" s="129">
        <v>0</v>
      </c>
      <c r="AG40" s="124">
        <f t="shared" si="15"/>
        <v>0</v>
      </c>
    </row>
    <row r="41" spans="1:33">
      <c r="A41" s="105" t="s">
        <v>273</v>
      </c>
      <c r="C41" s="105" t="s">
        <v>428</v>
      </c>
      <c r="J41" s="231"/>
      <c r="K41" s="231"/>
      <c r="L41" s="231"/>
      <c r="M41" s="231"/>
      <c r="N41" s="231"/>
      <c r="O41" s="231"/>
      <c r="P41" s="133">
        <f t="shared" si="20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1"/>
        <v>0</v>
      </c>
      <c r="AD41" s="72">
        <f t="shared" si="22"/>
        <v>0</v>
      </c>
      <c r="AE41" s="192" t="e">
        <f t="shared" si="23"/>
        <v>#DIV/0!</v>
      </c>
      <c r="AF41" s="129">
        <v>0</v>
      </c>
      <c r="AG41" s="124">
        <f t="shared" si="15"/>
        <v>0</v>
      </c>
    </row>
    <row r="42" spans="1:33">
      <c r="A42" s="105" t="s">
        <v>582</v>
      </c>
      <c r="B42" s="105" t="s">
        <v>395</v>
      </c>
      <c r="C42" s="105" t="s">
        <v>143</v>
      </c>
      <c r="J42" s="231"/>
      <c r="K42" s="231"/>
      <c r="L42" s="231"/>
      <c r="M42" s="231"/>
      <c r="N42" s="231"/>
      <c r="O42" s="231"/>
      <c r="P42" s="133">
        <f t="shared" si="20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1"/>
        <v>0</v>
      </c>
      <c r="AD42" s="72">
        <f t="shared" si="22"/>
        <v>0</v>
      </c>
      <c r="AE42" s="192" t="e">
        <f t="shared" si="23"/>
        <v>#DIV/0!</v>
      </c>
      <c r="AF42" s="129">
        <v>0</v>
      </c>
      <c r="AG42" s="124">
        <f t="shared" si="15"/>
        <v>0</v>
      </c>
    </row>
    <row r="43" spans="1:33">
      <c r="A43" s="105" t="s">
        <v>180</v>
      </c>
      <c r="B43" s="105" t="s">
        <v>395</v>
      </c>
      <c r="C43" s="105" t="s">
        <v>144</v>
      </c>
      <c r="D43" s="174">
        <f t="shared" ref="D43:O43" si="24">+D138+D139+D140</f>
        <v>0</v>
      </c>
      <c r="E43" s="174">
        <f t="shared" si="24"/>
        <v>0</v>
      </c>
      <c r="F43" s="174">
        <f t="shared" si="24"/>
        <v>0</v>
      </c>
      <c r="G43" s="174">
        <f t="shared" si="24"/>
        <v>0</v>
      </c>
      <c r="H43" s="174">
        <f t="shared" si="24"/>
        <v>0</v>
      </c>
      <c r="I43" s="174">
        <f t="shared" si="24"/>
        <v>0</v>
      </c>
      <c r="J43" s="174">
        <f t="shared" si="24"/>
        <v>0</v>
      </c>
      <c r="K43" s="174">
        <f t="shared" si="24"/>
        <v>0</v>
      </c>
      <c r="L43" s="174">
        <f t="shared" si="24"/>
        <v>0</v>
      </c>
      <c r="M43" s="174">
        <f t="shared" si="24"/>
        <v>0</v>
      </c>
      <c r="N43" s="174">
        <f t="shared" si="24"/>
        <v>0</v>
      </c>
      <c r="O43" s="174">
        <f t="shared" si="24"/>
        <v>0</v>
      </c>
      <c r="P43" s="133">
        <f t="shared" si="20"/>
        <v>0</v>
      </c>
      <c r="Q43" s="72">
        <v>0</v>
      </c>
      <c r="R43" s="72">
        <v>0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127">
        <f t="shared" si="21"/>
        <v>0</v>
      </c>
      <c r="AD43" s="72">
        <f t="shared" si="22"/>
        <v>0</v>
      </c>
      <c r="AE43" s="192" t="e">
        <f t="shared" si="23"/>
        <v>#DIV/0!</v>
      </c>
      <c r="AF43" s="129">
        <v>800</v>
      </c>
      <c r="AG43" s="124">
        <f t="shared" si="15"/>
        <v>800</v>
      </c>
    </row>
    <row r="44" spans="1:33">
      <c r="A44" s="105" t="s">
        <v>181</v>
      </c>
      <c r="B44" s="105" t="s">
        <v>395</v>
      </c>
      <c r="C44" s="105" t="s">
        <v>182</v>
      </c>
      <c r="J44" s="231"/>
      <c r="K44" s="231"/>
      <c r="L44" s="231"/>
      <c r="M44" s="231"/>
      <c r="N44" s="231"/>
      <c r="O44" s="231"/>
      <c r="P44" s="133">
        <f t="shared" si="20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1"/>
        <v>0</v>
      </c>
      <c r="AD44" s="72">
        <f t="shared" si="22"/>
        <v>0</v>
      </c>
      <c r="AE44" s="192" t="e">
        <f t="shared" si="23"/>
        <v>#DIV/0!</v>
      </c>
      <c r="AF44" s="129">
        <v>0</v>
      </c>
      <c r="AG44" s="124">
        <f t="shared" si="15"/>
        <v>0</v>
      </c>
    </row>
    <row r="45" spans="1:33">
      <c r="A45" s="105" t="s">
        <v>430</v>
      </c>
      <c r="B45" s="105" t="s">
        <v>395</v>
      </c>
      <c r="C45" s="105" t="s">
        <v>431</v>
      </c>
      <c r="J45" s="231"/>
      <c r="K45" s="231"/>
      <c r="L45" s="231"/>
      <c r="M45" s="231"/>
      <c r="N45" s="231"/>
      <c r="O45" s="231"/>
      <c r="P45" s="133">
        <f t="shared" si="20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1"/>
        <v>0</v>
      </c>
      <c r="AD45" s="72">
        <f t="shared" si="22"/>
        <v>0</v>
      </c>
      <c r="AE45" s="192" t="e">
        <f t="shared" si="23"/>
        <v>#DIV/0!</v>
      </c>
      <c r="AF45" s="129">
        <v>0</v>
      </c>
      <c r="AG45" s="124">
        <f t="shared" si="15"/>
        <v>0</v>
      </c>
    </row>
    <row r="46" spans="1:33">
      <c r="A46" s="105" t="s">
        <v>183</v>
      </c>
      <c r="B46" s="105" t="s">
        <v>395</v>
      </c>
      <c r="C46" s="105" t="s">
        <v>184</v>
      </c>
      <c r="J46" s="231"/>
      <c r="K46" s="231"/>
      <c r="L46" s="231"/>
      <c r="M46" s="231"/>
      <c r="N46" s="231"/>
      <c r="O46" s="231"/>
      <c r="P46" s="133">
        <f t="shared" si="20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1"/>
        <v>0</v>
      </c>
      <c r="AD46" s="72">
        <f t="shared" si="22"/>
        <v>0</v>
      </c>
      <c r="AE46" s="192" t="e">
        <f t="shared" si="23"/>
        <v>#DIV/0!</v>
      </c>
      <c r="AF46" s="129">
        <v>0</v>
      </c>
      <c r="AG46" s="124">
        <f t="shared" si="15"/>
        <v>0</v>
      </c>
    </row>
    <row r="47" spans="1:33">
      <c r="A47" s="105" t="s">
        <v>273</v>
      </c>
      <c r="C47" s="105" t="s">
        <v>432</v>
      </c>
      <c r="J47" s="231"/>
      <c r="K47" s="231"/>
      <c r="L47" s="231"/>
      <c r="M47" s="231"/>
      <c r="N47" s="231"/>
      <c r="O47" s="231"/>
      <c r="P47" s="133">
        <f t="shared" si="20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1"/>
        <v>0</v>
      </c>
      <c r="AD47" s="72">
        <f t="shared" si="22"/>
        <v>0</v>
      </c>
      <c r="AE47" s="192" t="e">
        <f t="shared" si="23"/>
        <v>#DIV/0!</v>
      </c>
      <c r="AF47" s="129">
        <v>0</v>
      </c>
      <c r="AG47" s="124">
        <f t="shared" si="15"/>
        <v>0</v>
      </c>
    </row>
    <row r="48" spans="1:33">
      <c r="A48" s="105" t="s">
        <v>185</v>
      </c>
      <c r="B48" s="105" t="s">
        <v>395</v>
      </c>
      <c r="C48" s="105" t="s">
        <v>186</v>
      </c>
      <c r="J48" s="231"/>
      <c r="K48" s="231"/>
      <c r="L48" s="231"/>
      <c r="M48" s="231"/>
      <c r="N48" s="231"/>
      <c r="O48" s="231"/>
      <c r="P48" s="133">
        <f t="shared" si="20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1"/>
        <v>0</v>
      </c>
      <c r="AD48" s="72">
        <f t="shared" si="22"/>
        <v>0</v>
      </c>
      <c r="AE48" s="192" t="e">
        <f t="shared" si="23"/>
        <v>#DIV/0!</v>
      </c>
      <c r="AF48" s="129">
        <v>0</v>
      </c>
      <c r="AG48" s="124">
        <f t="shared" si="15"/>
        <v>0</v>
      </c>
    </row>
    <row r="49" spans="1:33">
      <c r="A49" s="105" t="s">
        <v>187</v>
      </c>
      <c r="B49" s="105" t="s">
        <v>395</v>
      </c>
      <c r="C49" s="105" t="s">
        <v>188</v>
      </c>
      <c r="J49" s="231"/>
      <c r="K49" s="231"/>
      <c r="L49" s="231"/>
      <c r="M49" s="231"/>
      <c r="N49" s="231"/>
      <c r="O49" s="231"/>
      <c r="P49" s="133">
        <f t="shared" si="20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127">
        <f t="shared" si="21"/>
        <v>0</v>
      </c>
      <c r="AD49" s="72">
        <f t="shared" si="22"/>
        <v>0</v>
      </c>
      <c r="AE49" s="192" t="e">
        <f t="shared" si="23"/>
        <v>#DIV/0!</v>
      </c>
      <c r="AF49" s="129">
        <v>0</v>
      </c>
      <c r="AG49" s="124">
        <f t="shared" si="15"/>
        <v>0</v>
      </c>
    </row>
    <row r="50" spans="1:33">
      <c r="A50" s="105" t="s">
        <v>195</v>
      </c>
      <c r="B50" s="105" t="s">
        <v>395</v>
      </c>
      <c r="C50" s="105" t="s">
        <v>196</v>
      </c>
      <c r="J50" s="141"/>
      <c r="K50" s="141"/>
      <c r="L50" s="141"/>
      <c r="M50" s="141"/>
      <c r="N50" s="141"/>
      <c r="O50" s="141"/>
      <c r="P50" s="133">
        <f t="shared" si="20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1"/>
        <v>0</v>
      </c>
      <c r="AD50" s="72">
        <f t="shared" si="22"/>
        <v>0</v>
      </c>
      <c r="AE50" s="192" t="e">
        <f t="shared" si="23"/>
        <v>#DIV/0!</v>
      </c>
      <c r="AF50" s="129">
        <v>0</v>
      </c>
      <c r="AG50" s="124">
        <f t="shared" si="15"/>
        <v>0</v>
      </c>
    </row>
    <row r="51" spans="1:33">
      <c r="A51" s="105" t="s">
        <v>197</v>
      </c>
      <c r="B51" s="105" t="s">
        <v>395</v>
      </c>
      <c r="C51" s="105" t="s">
        <v>305</v>
      </c>
      <c r="J51" s="231"/>
      <c r="K51" s="231"/>
      <c r="L51" s="231"/>
      <c r="M51" s="231"/>
      <c r="N51" s="231"/>
      <c r="O51" s="231"/>
      <c r="P51" s="133">
        <f t="shared" si="20"/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21"/>
        <v>0</v>
      </c>
      <c r="AD51" s="72">
        <f t="shared" si="22"/>
        <v>0</v>
      </c>
      <c r="AE51" s="192" t="e">
        <f t="shared" si="23"/>
        <v>#DIV/0!</v>
      </c>
      <c r="AF51" s="129">
        <v>0</v>
      </c>
      <c r="AG51" s="124">
        <f t="shared" si="15"/>
        <v>0</v>
      </c>
    </row>
    <row r="52" spans="1:33">
      <c r="A52" s="105" t="s">
        <v>434</v>
      </c>
      <c r="B52" s="105" t="s">
        <v>395</v>
      </c>
      <c r="C52" s="105" t="s">
        <v>435</v>
      </c>
      <c r="J52" s="231"/>
      <c r="K52" s="231"/>
      <c r="L52" s="231"/>
      <c r="M52" s="231"/>
      <c r="N52" s="231"/>
      <c r="O52" s="231"/>
      <c r="P52" s="133">
        <f t="shared" si="20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1"/>
        <v>0</v>
      </c>
      <c r="AD52" s="72">
        <f t="shared" si="22"/>
        <v>0</v>
      </c>
      <c r="AE52" s="192" t="e">
        <f t="shared" si="23"/>
        <v>#DIV/0!</v>
      </c>
      <c r="AF52" s="129">
        <v>0</v>
      </c>
      <c r="AG52" s="124">
        <f t="shared" si="15"/>
        <v>0</v>
      </c>
    </row>
    <row r="53" spans="1:33">
      <c r="A53" s="105" t="s">
        <v>436</v>
      </c>
      <c r="B53" s="105" t="s">
        <v>395</v>
      </c>
      <c r="C53" s="105" t="s">
        <v>437</v>
      </c>
      <c r="J53" s="231"/>
      <c r="K53" s="231"/>
      <c r="L53" s="231"/>
      <c r="M53" s="231"/>
      <c r="N53" s="231"/>
      <c r="O53" s="231"/>
      <c r="P53" s="133">
        <f t="shared" si="20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1"/>
        <v>0</v>
      </c>
      <c r="AD53" s="72">
        <f t="shared" si="22"/>
        <v>0</v>
      </c>
      <c r="AE53" s="192" t="e">
        <f t="shared" si="23"/>
        <v>#DIV/0!</v>
      </c>
      <c r="AF53" s="129">
        <v>0</v>
      </c>
      <c r="AG53" s="124">
        <f t="shared" si="15"/>
        <v>0</v>
      </c>
    </row>
    <row r="54" spans="1:33">
      <c r="A54" s="105" t="s">
        <v>199</v>
      </c>
      <c r="B54" s="105" t="s">
        <v>395</v>
      </c>
      <c r="C54" s="105" t="s">
        <v>200</v>
      </c>
      <c r="J54" s="231"/>
      <c r="K54" s="231"/>
      <c r="L54" s="231"/>
      <c r="M54" s="231"/>
      <c r="N54" s="231"/>
      <c r="O54" s="231"/>
      <c r="P54" s="133">
        <f t="shared" si="20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1"/>
        <v>0</v>
      </c>
      <c r="AD54" s="72">
        <f t="shared" si="22"/>
        <v>0</v>
      </c>
      <c r="AE54" s="192" t="e">
        <f t="shared" si="23"/>
        <v>#DIV/0!</v>
      </c>
      <c r="AF54" s="129">
        <v>0</v>
      </c>
      <c r="AG54" s="124">
        <f t="shared" si="15"/>
        <v>0</v>
      </c>
    </row>
    <row r="55" spans="1:33">
      <c r="A55" s="105" t="s">
        <v>438</v>
      </c>
      <c r="B55" s="105" t="s">
        <v>395</v>
      </c>
      <c r="C55" s="105" t="s">
        <v>439</v>
      </c>
      <c r="J55" s="231"/>
      <c r="K55" s="231"/>
      <c r="L55" s="231"/>
      <c r="M55" s="231"/>
      <c r="N55" s="231"/>
      <c r="O55" s="231"/>
      <c r="P55" s="133">
        <f t="shared" si="20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1"/>
        <v>0</v>
      </c>
      <c r="AD55" s="72">
        <f t="shared" si="22"/>
        <v>0</v>
      </c>
      <c r="AE55" s="192" t="e">
        <f t="shared" si="23"/>
        <v>#DIV/0!</v>
      </c>
      <c r="AF55" s="129">
        <v>0</v>
      </c>
      <c r="AG55" s="124">
        <f t="shared" si="15"/>
        <v>0</v>
      </c>
    </row>
    <row r="56" spans="1:33">
      <c r="A56" s="105" t="s">
        <v>201</v>
      </c>
      <c r="B56" s="105" t="s">
        <v>395</v>
      </c>
      <c r="C56" s="105" t="s">
        <v>202</v>
      </c>
      <c r="J56" s="231"/>
      <c r="K56" s="231"/>
      <c r="L56" s="231"/>
      <c r="M56" s="231"/>
      <c r="N56" s="231"/>
      <c r="O56" s="231"/>
      <c r="P56" s="133">
        <f t="shared" si="20"/>
        <v>0</v>
      </c>
      <c r="Q56" s="72"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21"/>
        <v>0</v>
      </c>
      <c r="AD56" s="72">
        <f t="shared" si="22"/>
        <v>0</v>
      </c>
      <c r="AE56" s="192" t="e">
        <f t="shared" si="23"/>
        <v>#DIV/0!</v>
      </c>
      <c r="AF56" s="129">
        <v>0</v>
      </c>
      <c r="AG56" s="124">
        <f t="shared" si="15"/>
        <v>0</v>
      </c>
    </row>
    <row r="57" spans="1:33">
      <c r="A57" s="105" t="s">
        <v>440</v>
      </c>
      <c r="B57" s="105" t="s">
        <v>395</v>
      </c>
      <c r="C57" s="105" t="s">
        <v>441</v>
      </c>
      <c r="J57" s="231"/>
      <c r="K57" s="231"/>
      <c r="L57" s="231"/>
      <c r="M57" s="231"/>
      <c r="N57" s="231"/>
      <c r="O57" s="231"/>
      <c r="P57" s="133">
        <f t="shared" si="20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1"/>
        <v>0</v>
      </c>
      <c r="AD57" s="72">
        <f t="shared" si="22"/>
        <v>0</v>
      </c>
      <c r="AE57" s="192" t="e">
        <f t="shared" si="23"/>
        <v>#DIV/0!</v>
      </c>
      <c r="AF57" s="129">
        <v>0</v>
      </c>
      <c r="AG57" s="124">
        <f t="shared" si="15"/>
        <v>0</v>
      </c>
    </row>
    <row r="58" spans="1:33">
      <c r="A58" s="105" t="s">
        <v>442</v>
      </c>
      <c r="B58" s="105" t="s">
        <v>395</v>
      </c>
      <c r="C58" s="105" t="s">
        <v>443</v>
      </c>
      <c r="J58" s="231"/>
      <c r="K58" s="231"/>
      <c r="L58" s="231"/>
      <c r="M58" s="231"/>
      <c r="N58" s="231"/>
      <c r="O58" s="231"/>
      <c r="P58" s="133">
        <f t="shared" si="20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1"/>
        <v>0</v>
      </c>
      <c r="AD58" s="72">
        <f t="shared" si="22"/>
        <v>0</v>
      </c>
      <c r="AE58" s="192" t="e">
        <f t="shared" si="23"/>
        <v>#DIV/0!</v>
      </c>
      <c r="AF58" s="129">
        <v>0</v>
      </c>
      <c r="AG58" s="124">
        <f t="shared" si="15"/>
        <v>0</v>
      </c>
    </row>
    <row r="59" spans="1:33">
      <c r="A59" s="105" t="s">
        <v>203</v>
      </c>
      <c r="B59" s="105" t="s">
        <v>395</v>
      </c>
      <c r="C59" s="105" t="s">
        <v>204</v>
      </c>
      <c r="J59" s="141"/>
      <c r="K59" s="141"/>
      <c r="L59" s="141"/>
      <c r="M59" s="141"/>
      <c r="N59" s="141"/>
      <c r="O59" s="141"/>
      <c r="P59" s="133">
        <f t="shared" si="20"/>
        <v>0</v>
      </c>
      <c r="Q59" s="72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1"/>
        <v>0</v>
      </c>
      <c r="AD59" s="72">
        <f t="shared" si="22"/>
        <v>0</v>
      </c>
      <c r="AE59" s="192" t="e">
        <f t="shared" si="23"/>
        <v>#DIV/0!</v>
      </c>
      <c r="AF59" s="129">
        <v>0</v>
      </c>
      <c r="AG59" s="124">
        <f t="shared" si="15"/>
        <v>0</v>
      </c>
    </row>
    <row r="60" spans="1:33">
      <c r="A60" s="105" t="s">
        <v>444</v>
      </c>
      <c r="B60" s="105" t="s">
        <v>395</v>
      </c>
      <c r="C60" s="105" t="s">
        <v>445</v>
      </c>
      <c r="J60" s="231"/>
      <c r="K60" s="231"/>
      <c r="L60" s="231"/>
      <c r="M60" s="231"/>
      <c r="N60" s="231"/>
      <c r="O60" s="231"/>
      <c r="P60" s="133">
        <f t="shared" si="20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1"/>
        <v>0</v>
      </c>
      <c r="AD60" s="72">
        <f t="shared" si="22"/>
        <v>0</v>
      </c>
      <c r="AE60" s="192" t="e">
        <f t="shared" si="23"/>
        <v>#DIV/0!</v>
      </c>
      <c r="AF60" s="129">
        <v>0</v>
      </c>
      <c r="AG60" s="124">
        <f t="shared" si="15"/>
        <v>0</v>
      </c>
    </row>
    <row r="61" spans="1:33">
      <c r="A61" s="105" t="s">
        <v>446</v>
      </c>
      <c r="B61" s="105" t="s">
        <v>395</v>
      </c>
      <c r="C61" s="105" t="s">
        <v>447</v>
      </c>
      <c r="J61" s="231"/>
      <c r="K61" s="231"/>
      <c r="L61" s="231"/>
      <c r="M61" s="231"/>
      <c r="N61" s="231"/>
      <c r="O61" s="231"/>
      <c r="P61" s="133">
        <f t="shared" si="20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1"/>
        <v>0</v>
      </c>
      <c r="AD61" s="72">
        <f t="shared" si="22"/>
        <v>0</v>
      </c>
      <c r="AE61" s="192" t="e">
        <f t="shared" si="23"/>
        <v>#DIV/0!</v>
      </c>
      <c r="AF61" s="129">
        <v>0</v>
      </c>
      <c r="AG61" s="124">
        <f t="shared" si="15"/>
        <v>0</v>
      </c>
    </row>
    <row r="62" spans="1:33">
      <c r="A62" s="105" t="s">
        <v>566</v>
      </c>
      <c r="C62" s="105" t="s">
        <v>448</v>
      </c>
      <c r="J62" s="231"/>
      <c r="K62" s="231"/>
      <c r="L62" s="231"/>
      <c r="M62" s="231"/>
      <c r="N62" s="231"/>
      <c r="O62" s="231"/>
      <c r="P62" s="133">
        <f t="shared" si="20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1"/>
        <v>0</v>
      </c>
      <c r="AD62" s="72">
        <f t="shared" si="22"/>
        <v>0</v>
      </c>
      <c r="AE62" s="192" t="e">
        <f t="shared" si="23"/>
        <v>#DIV/0!</v>
      </c>
      <c r="AF62" s="129">
        <v>0</v>
      </c>
      <c r="AG62" s="124">
        <f t="shared" si="15"/>
        <v>0</v>
      </c>
    </row>
    <row r="63" spans="1:33">
      <c r="A63" s="105" t="s">
        <v>207</v>
      </c>
      <c r="B63" s="105" t="s">
        <v>395</v>
      </c>
      <c r="C63" s="105" t="s">
        <v>208</v>
      </c>
      <c r="J63" s="231"/>
      <c r="K63" s="231"/>
      <c r="L63" s="231"/>
      <c r="M63" s="231"/>
      <c r="N63" s="231"/>
      <c r="O63" s="231"/>
      <c r="P63" s="133">
        <f t="shared" si="20"/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21"/>
        <v>0</v>
      </c>
      <c r="AD63" s="72">
        <f t="shared" si="22"/>
        <v>0</v>
      </c>
      <c r="AE63" s="192" t="e">
        <f t="shared" si="23"/>
        <v>#DIV/0!</v>
      </c>
      <c r="AF63" s="129">
        <v>0</v>
      </c>
      <c r="AG63" s="124">
        <f t="shared" si="15"/>
        <v>0</v>
      </c>
    </row>
    <row r="64" spans="1:33">
      <c r="A64" s="105" t="s">
        <v>449</v>
      </c>
      <c r="B64" s="105" t="s">
        <v>395</v>
      </c>
      <c r="C64" s="105" t="s">
        <v>450</v>
      </c>
      <c r="J64" s="231"/>
      <c r="K64" s="231"/>
      <c r="L64" s="231"/>
      <c r="M64" s="231"/>
      <c r="N64" s="231"/>
      <c r="O64" s="231"/>
      <c r="P64" s="133">
        <f t="shared" si="20"/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21"/>
        <v>0</v>
      </c>
      <c r="AD64" s="72">
        <f t="shared" si="22"/>
        <v>0</v>
      </c>
      <c r="AE64" s="192" t="e">
        <f t="shared" si="23"/>
        <v>#DIV/0!</v>
      </c>
      <c r="AF64" s="129">
        <v>0</v>
      </c>
      <c r="AG64" s="124">
        <f t="shared" si="15"/>
        <v>0</v>
      </c>
    </row>
    <row r="65" spans="1:33">
      <c r="A65" s="105" t="s">
        <v>273</v>
      </c>
      <c r="C65" s="105" t="s">
        <v>451</v>
      </c>
      <c r="J65" s="231"/>
      <c r="K65" s="231"/>
      <c r="L65" s="231"/>
      <c r="M65" s="231"/>
      <c r="N65" s="231"/>
      <c r="O65" s="231"/>
      <c r="P65" s="133">
        <f t="shared" si="20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1"/>
        <v>0</v>
      </c>
      <c r="AD65" s="72">
        <f t="shared" si="22"/>
        <v>0</v>
      </c>
      <c r="AE65" s="192" t="e">
        <f t="shared" si="23"/>
        <v>#DIV/0!</v>
      </c>
      <c r="AF65" s="129">
        <v>0</v>
      </c>
      <c r="AG65" s="124">
        <f t="shared" si="15"/>
        <v>0</v>
      </c>
    </row>
    <row r="66" spans="1:33">
      <c r="A66" s="105" t="s">
        <v>452</v>
      </c>
      <c r="B66" s="105" t="s">
        <v>395</v>
      </c>
      <c r="C66" s="105" t="s">
        <v>453</v>
      </c>
      <c r="J66" s="231"/>
      <c r="K66" s="231"/>
      <c r="L66" s="231"/>
      <c r="M66" s="231"/>
      <c r="N66" s="231"/>
      <c r="O66" s="231"/>
      <c r="P66" s="133">
        <f t="shared" si="20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1"/>
        <v>0</v>
      </c>
      <c r="AD66" s="72">
        <f t="shared" si="22"/>
        <v>0</v>
      </c>
      <c r="AE66" s="192" t="e">
        <f t="shared" si="23"/>
        <v>#DIV/0!</v>
      </c>
      <c r="AF66" s="129">
        <v>0</v>
      </c>
      <c r="AG66" s="124">
        <f t="shared" si="15"/>
        <v>0</v>
      </c>
    </row>
    <row r="67" spans="1:33">
      <c r="A67" s="105" t="s">
        <v>454</v>
      </c>
      <c r="B67" s="105" t="s">
        <v>395</v>
      </c>
      <c r="C67" s="105" t="s">
        <v>455</v>
      </c>
      <c r="D67" s="136"/>
      <c r="E67" s="136"/>
      <c r="F67" s="136"/>
      <c r="G67" s="136"/>
      <c r="H67" s="136"/>
      <c r="I67" s="136"/>
      <c r="J67" s="231"/>
      <c r="K67" s="231"/>
      <c r="L67" s="231"/>
      <c r="M67" s="231"/>
      <c r="N67" s="231"/>
      <c r="O67" s="231"/>
      <c r="P67" s="133">
        <f t="shared" si="20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1"/>
        <v>0</v>
      </c>
      <c r="AD67" s="72">
        <f t="shared" si="22"/>
        <v>0</v>
      </c>
      <c r="AE67" s="192" t="e">
        <f t="shared" si="23"/>
        <v>#DIV/0!</v>
      </c>
      <c r="AF67" s="133">
        <v>0</v>
      </c>
      <c r="AG67" s="124">
        <f t="shared" si="15"/>
        <v>0</v>
      </c>
    </row>
    <row r="68" spans="1:33">
      <c r="A68" s="105" t="s">
        <v>456</v>
      </c>
      <c r="B68" s="105" t="s">
        <v>395</v>
      </c>
      <c r="C68" s="105" t="s">
        <v>457</v>
      </c>
      <c r="D68" s="136"/>
      <c r="E68" s="136"/>
      <c r="F68" s="136"/>
      <c r="G68" s="136"/>
      <c r="H68" s="136"/>
      <c r="I68" s="136"/>
      <c r="J68" s="231"/>
      <c r="K68" s="231"/>
      <c r="L68" s="231"/>
      <c r="M68" s="231"/>
      <c r="N68" s="231"/>
      <c r="O68" s="231"/>
      <c r="P68" s="133">
        <f t="shared" si="20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1"/>
        <v>0</v>
      </c>
      <c r="AD68" s="72">
        <f t="shared" si="22"/>
        <v>0</v>
      </c>
      <c r="AE68" s="192" t="e">
        <f t="shared" si="23"/>
        <v>#DIV/0!</v>
      </c>
      <c r="AF68" s="133">
        <v>0</v>
      </c>
      <c r="AG68" s="124">
        <f t="shared" si="15"/>
        <v>0</v>
      </c>
    </row>
    <row r="69" spans="1:33">
      <c r="A69" s="105" t="s">
        <v>549</v>
      </c>
      <c r="C69" s="105" t="s">
        <v>458</v>
      </c>
      <c r="D69" s="136"/>
      <c r="E69" s="136"/>
      <c r="F69" s="136"/>
      <c r="G69" s="136"/>
      <c r="H69" s="136"/>
      <c r="I69" s="136"/>
      <c r="J69" s="231"/>
      <c r="K69" s="231"/>
      <c r="L69" s="231"/>
      <c r="M69" s="231"/>
      <c r="N69" s="231"/>
      <c r="O69" s="231"/>
      <c r="P69" s="133">
        <f t="shared" si="20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1"/>
        <v>0</v>
      </c>
      <c r="AD69" s="72">
        <f t="shared" si="22"/>
        <v>0</v>
      </c>
      <c r="AE69" s="192" t="e">
        <f t="shared" si="23"/>
        <v>#DIV/0!</v>
      </c>
      <c r="AF69" s="133">
        <v>0</v>
      </c>
      <c r="AG69" s="124">
        <f t="shared" si="15"/>
        <v>0</v>
      </c>
    </row>
    <row r="70" spans="1:33">
      <c r="A70" s="105" t="s">
        <v>209</v>
      </c>
      <c r="B70" s="105" t="s">
        <v>395</v>
      </c>
      <c r="C70" s="105" t="s">
        <v>210</v>
      </c>
      <c r="D70" s="136"/>
      <c r="E70" s="136"/>
      <c r="F70" s="136"/>
      <c r="G70" s="136"/>
      <c r="H70" s="136"/>
      <c r="I70" s="136"/>
      <c r="J70" s="231"/>
      <c r="K70" s="231"/>
      <c r="L70" s="231"/>
      <c r="M70" s="231"/>
      <c r="N70" s="231"/>
      <c r="O70" s="231"/>
      <c r="P70" s="133">
        <f t="shared" si="20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1"/>
        <v>0</v>
      </c>
      <c r="AD70" s="72">
        <f t="shared" si="22"/>
        <v>0</v>
      </c>
      <c r="AE70" s="192" t="e">
        <f t="shared" si="23"/>
        <v>#DIV/0!</v>
      </c>
      <c r="AF70" s="133">
        <v>0</v>
      </c>
      <c r="AG70" s="124">
        <f t="shared" si="15"/>
        <v>0</v>
      </c>
    </row>
    <row r="71" spans="1:33">
      <c r="A71" s="105" t="s">
        <v>211</v>
      </c>
      <c r="B71" s="105" t="s">
        <v>395</v>
      </c>
      <c r="C71" s="105" t="s">
        <v>212</v>
      </c>
      <c r="D71" s="136"/>
      <c r="E71" s="136"/>
      <c r="F71" s="136"/>
      <c r="G71" s="136"/>
      <c r="H71" s="136"/>
      <c r="I71" s="136"/>
      <c r="J71" s="231"/>
      <c r="K71" s="231"/>
      <c r="L71" s="231"/>
      <c r="M71" s="231"/>
      <c r="N71" s="231"/>
      <c r="O71" s="231"/>
      <c r="P71" s="133">
        <f t="shared" si="20"/>
        <v>0</v>
      </c>
      <c r="Q71" s="136">
        <v>0</v>
      </c>
      <c r="R71" s="136">
        <v>0</v>
      </c>
      <c r="S71" s="136">
        <v>0</v>
      </c>
      <c r="T71" s="136">
        <v>0</v>
      </c>
      <c r="U71" s="136">
        <v>0</v>
      </c>
      <c r="V71" s="136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137">
        <f t="shared" si="21"/>
        <v>0</v>
      </c>
      <c r="AD71" s="72">
        <f t="shared" si="22"/>
        <v>0</v>
      </c>
      <c r="AE71" s="192" t="e">
        <f t="shared" si="23"/>
        <v>#DIV/0!</v>
      </c>
      <c r="AF71" s="133">
        <v>0</v>
      </c>
      <c r="AG71" s="124">
        <f t="shared" si="15"/>
        <v>0</v>
      </c>
    </row>
    <row r="72" spans="1:33">
      <c r="A72" s="105" t="s">
        <v>213</v>
      </c>
      <c r="B72" s="105" t="s">
        <v>395</v>
      </c>
      <c r="C72" s="105" t="s">
        <v>214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133">
        <f t="shared" si="20"/>
        <v>0</v>
      </c>
      <c r="Q72" s="136">
        <v>0</v>
      </c>
      <c r="R72" s="136">
        <v>0</v>
      </c>
      <c r="S72" s="136">
        <v>0</v>
      </c>
      <c r="T72" s="136">
        <v>0</v>
      </c>
      <c r="U72" s="136">
        <v>0</v>
      </c>
      <c r="V72" s="136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137">
        <f t="shared" si="21"/>
        <v>0</v>
      </c>
      <c r="AD72" s="72">
        <f t="shared" si="22"/>
        <v>0</v>
      </c>
      <c r="AE72" s="192" t="e">
        <f t="shared" si="23"/>
        <v>#DIV/0!</v>
      </c>
      <c r="AF72" s="133">
        <v>0</v>
      </c>
      <c r="AG72" s="124">
        <f t="shared" si="15"/>
        <v>0</v>
      </c>
    </row>
    <row r="73" spans="1:33">
      <c r="A73" s="105" t="s">
        <v>306</v>
      </c>
      <c r="B73" s="105" t="s">
        <v>395</v>
      </c>
      <c r="C73" s="105" t="s">
        <v>206</v>
      </c>
      <c r="D73" s="136"/>
      <c r="E73" s="136"/>
      <c r="F73" s="136"/>
      <c r="G73" s="136"/>
      <c r="H73" s="136"/>
      <c r="I73" s="136"/>
      <c r="J73" s="231"/>
      <c r="K73" s="231"/>
      <c r="L73" s="231"/>
      <c r="M73" s="231"/>
      <c r="N73" s="231"/>
      <c r="O73" s="231"/>
      <c r="P73" s="133">
        <f t="shared" si="20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1"/>
        <v>0</v>
      </c>
      <c r="AD73" s="72">
        <f t="shared" si="22"/>
        <v>0</v>
      </c>
      <c r="AE73" s="192" t="e">
        <f t="shared" si="23"/>
        <v>#DIV/0!</v>
      </c>
      <c r="AF73" s="133">
        <v>0</v>
      </c>
      <c r="AG73" s="124">
        <f t="shared" si="15"/>
        <v>0</v>
      </c>
    </row>
    <row r="74" spans="1:33">
      <c r="A74" s="105" t="s">
        <v>215</v>
      </c>
      <c r="B74" s="105" t="s">
        <v>395</v>
      </c>
      <c r="C74" s="105" t="s">
        <v>216</v>
      </c>
      <c r="D74" s="136"/>
      <c r="E74" s="136"/>
      <c r="F74" s="136"/>
      <c r="G74" s="136"/>
      <c r="H74" s="136"/>
      <c r="I74" s="136"/>
      <c r="J74" s="231"/>
      <c r="K74" s="231"/>
      <c r="L74" s="231"/>
      <c r="M74" s="231"/>
      <c r="N74" s="231"/>
      <c r="O74" s="231"/>
      <c r="P74" s="133">
        <f t="shared" si="20"/>
        <v>0</v>
      </c>
      <c r="Q74" s="136">
        <v>2.58</v>
      </c>
      <c r="R74" s="136">
        <v>3</v>
      </c>
      <c r="S74" s="136">
        <v>3</v>
      </c>
      <c r="T74" s="136">
        <v>3</v>
      </c>
      <c r="U74" s="136">
        <v>3</v>
      </c>
      <c r="V74" s="136">
        <v>3</v>
      </c>
      <c r="W74" s="72">
        <v>3</v>
      </c>
      <c r="X74" s="72">
        <v>3</v>
      </c>
      <c r="Y74" s="72">
        <v>0</v>
      </c>
      <c r="Z74" s="72">
        <v>0</v>
      </c>
      <c r="AA74" s="72">
        <v>0</v>
      </c>
      <c r="AB74" s="72">
        <v>0</v>
      </c>
      <c r="AC74" s="137">
        <f t="shared" si="21"/>
        <v>23.58</v>
      </c>
      <c r="AD74" s="72">
        <f t="shared" si="22"/>
        <v>-23.58</v>
      </c>
      <c r="AE74" s="192">
        <f t="shared" si="23"/>
        <v>-1</v>
      </c>
      <c r="AF74" s="133">
        <v>67.919999999999987</v>
      </c>
      <c r="AG74" s="124">
        <f t="shared" si="15"/>
        <v>67.919999999999987</v>
      </c>
    </row>
    <row r="75" spans="1:33">
      <c r="A75" s="105" t="s">
        <v>217</v>
      </c>
      <c r="B75" s="105" t="s">
        <v>395</v>
      </c>
      <c r="C75" s="105" t="s">
        <v>218</v>
      </c>
      <c r="D75" s="136"/>
      <c r="E75" s="136"/>
      <c r="F75" s="136"/>
      <c r="G75" s="136"/>
      <c r="H75" s="136"/>
      <c r="I75" s="136"/>
      <c r="J75" s="231"/>
      <c r="K75" s="231"/>
      <c r="L75" s="231"/>
      <c r="M75" s="231"/>
      <c r="N75" s="231"/>
      <c r="O75" s="231"/>
      <c r="P75" s="133">
        <f t="shared" si="20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21"/>
        <v>0</v>
      </c>
      <c r="AD75" s="72">
        <f t="shared" si="22"/>
        <v>0</v>
      </c>
      <c r="AE75" s="192" t="e">
        <f t="shared" si="23"/>
        <v>#DIV/0!</v>
      </c>
      <c r="AF75" s="133">
        <v>0</v>
      </c>
      <c r="AG75" s="124">
        <f t="shared" si="15"/>
        <v>0</v>
      </c>
    </row>
    <row r="76" spans="1:33">
      <c r="A76" s="105" t="s">
        <v>219</v>
      </c>
      <c r="B76" s="105" t="s">
        <v>395</v>
      </c>
      <c r="C76" s="105" t="s">
        <v>220</v>
      </c>
      <c r="D76" s="136"/>
      <c r="E76" s="136"/>
      <c r="F76" s="136"/>
      <c r="G76" s="136"/>
      <c r="H76" s="136"/>
      <c r="I76" s="136"/>
      <c r="J76" s="231"/>
      <c r="K76" s="231"/>
      <c r="L76" s="231"/>
      <c r="M76" s="231"/>
      <c r="N76" s="231"/>
      <c r="O76" s="231"/>
      <c r="P76" s="133">
        <f t="shared" si="20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1"/>
        <v>0</v>
      </c>
      <c r="AD76" s="72">
        <f t="shared" si="22"/>
        <v>0</v>
      </c>
      <c r="AE76" s="192" t="e">
        <f t="shared" si="23"/>
        <v>#DIV/0!</v>
      </c>
      <c r="AF76" s="133">
        <v>0</v>
      </c>
      <c r="AG76" s="124">
        <f t="shared" si="15"/>
        <v>0</v>
      </c>
    </row>
    <row r="77" spans="1:33">
      <c r="A77" s="105" t="s">
        <v>273</v>
      </c>
      <c r="C77" s="105" t="s">
        <v>459</v>
      </c>
      <c r="D77" s="136"/>
      <c r="E77" s="136"/>
      <c r="F77" s="136"/>
      <c r="G77" s="136"/>
      <c r="H77" s="136"/>
      <c r="I77" s="136"/>
      <c r="J77" s="231"/>
      <c r="K77" s="231"/>
      <c r="L77" s="231"/>
      <c r="M77" s="231"/>
      <c r="N77" s="231"/>
      <c r="O77" s="231"/>
      <c r="P77" s="133">
        <f t="shared" si="20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1"/>
        <v>0</v>
      </c>
      <c r="AD77" s="72">
        <f t="shared" si="22"/>
        <v>0</v>
      </c>
      <c r="AE77" s="192" t="e">
        <f t="shared" si="23"/>
        <v>#DIV/0!</v>
      </c>
      <c r="AF77" s="133">
        <v>0</v>
      </c>
      <c r="AG77" s="124">
        <f t="shared" si="15"/>
        <v>0</v>
      </c>
    </row>
    <row r="78" spans="1:33">
      <c r="A78" s="105" t="s">
        <v>221</v>
      </c>
      <c r="B78" s="105" t="s">
        <v>395</v>
      </c>
      <c r="C78" s="105" t="s">
        <v>222</v>
      </c>
      <c r="D78" s="136"/>
      <c r="E78" s="136"/>
      <c r="F78" s="136"/>
      <c r="G78" s="136"/>
      <c r="H78" s="136"/>
      <c r="I78" s="136"/>
      <c r="J78" s="231"/>
      <c r="K78" s="231"/>
      <c r="L78" s="231"/>
      <c r="M78" s="231"/>
      <c r="N78" s="231"/>
      <c r="O78" s="231"/>
      <c r="P78" s="133">
        <f t="shared" si="20"/>
        <v>0</v>
      </c>
      <c r="Q78" s="136">
        <v>0</v>
      </c>
      <c r="R78" s="136">
        <v>0</v>
      </c>
      <c r="S78" s="136">
        <v>0</v>
      </c>
      <c r="T78" s="136">
        <v>0</v>
      </c>
      <c r="U78" s="136">
        <v>0</v>
      </c>
      <c r="V78" s="136">
        <v>0</v>
      </c>
      <c r="W78" s="72">
        <v>0</v>
      </c>
      <c r="X78" s="72">
        <v>0</v>
      </c>
      <c r="Y78" s="72">
        <v>0</v>
      </c>
      <c r="Z78" s="72">
        <v>0</v>
      </c>
      <c r="AA78" s="72">
        <v>0</v>
      </c>
      <c r="AB78" s="72">
        <v>0</v>
      </c>
      <c r="AC78" s="137">
        <f t="shared" si="21"/>
        <v>0</v>
      </c>
      <c r="AD78" s="72">
        <f t="shared" si="22"/>
        <v>0</v>
      </c>
      <c r="AE78" s="192" t="e">
        <f t="shared" si="23"/>
        <v>#DIV/0!</v>
      </c>
      <c r="AF78" s="133">
        <v>-291.26</v>
      </c>
      <c r="AG78" s="124">
        <f t="shared" si="15"/>
        <v>-291.26</v>
      </c>
    </row>
    <row r="79" spans="1:33">
      <c r="A79" s="105" t="s">
        <v>505</v>
      </c>
      <c r="B79" s="105" t="s">
        <v>395</v>
      </c>
      <c r="C79" s="105" t="s">
        <v>506</v>
      </c>
      <c r="D79" s="223">
        <f>SUM('F&amp;B Admin:Main Kichen'!D167)</f>
        <v>0</v>
      </c>
      <c r="E79" s="223">
        <f>SUM('F&amp;B Admin:Main Kichen'!E167)</f>
        <v>0</v>
      </c>
      <c r="F79" s="223">
        <f>SUM('F&amp;B Admin:Main Kichen'!F167)</f>
        <v>0</v>
      </c>
      <c r="G79" s="223">
        <f>SUM('F&amp;B Admin:Main Kichen'!G167)</f>
        <v>0</v>
      </c>
      <c r="H79" s="223">
        <f>SUM('F&amp;B Admin:Main Kichen'!H167)</f>
        <v>0</v>
      </c>
      <c r="I79" s="223">
        <f>SUM('F&amp;B Admin:Main Kichen'!I167)</f>
        <v>0</v>
      </c>
      <c r="J79" s="223">
        <f>SUM('F&amp;B Admin:Main Kichen'!J167)</f>
        <v>0</v>
      </c>
      <c r="K79" s="223">
        <f>SUM('F&amp;B Admin:Main Kichen'!K167)</f>
        <v>0</v>
      </c>
      <c r="L79" s="223">
        <f>SUM('F&amp;B Admin:Main Kichen'!L167)</f>
        <v>0</v>
      </c>
      <c r="M79" s="223">
        <f>SUM('F&amp;B Admin:Main Kichen'!M167)</f>
        <v>0</v>
      </c>
      <c r="N79" s="223">
        <f>SUM('F&amp;B Admin:Main Kichen'!N167)</f>
        <v>0</v>
      </c>
      <c r="O79" s="223">
        <f>SUM('F&amp;B Admin:Main Kichen'!O167)</f>
        <v>0</v>
      </c>
      <c r="P79" s="137">
        <f>SUM(D79:O79)</f>
        <v>0</v>
      </c>
      <c r="Q79" s="136">
        <v>0</v>
      </c>
      <c r="R79" s="136">
        <v>0</v>
      </c>
      <c r="S79" s="136">
        <v>0</v>
      </c>
      <c r="T79" s="136">
        <v>0</v>
      </c>
      <c r="U79" s="136">
        <v>0</v>
      </c>
      <c r="V79" s="136">
        <v>0</v>
      </c>
      <c r="W79" s="72">
        <v>0</v>
      </c>
      <c r="X79" s="72">
        <v>0</v>
      </c>
      <c r="Y79" s="72">
        <v>0</v>
      </c>
      <c r="Z79" s="72">
        <v>0</v>
      </c>
      <c r="AA79" s="72">
        <v>0</v>
      </c>
      <c r="AB79" s="72">
        <v>0</v>
      </c>
      <c r="AC79" s="137">
        <f t="shared" si="21"/>
        <v>0</v>
      </c>
      <c r="AD79" s="72">
        <f t="shared" si="22"/>
        <v>0</v>
      </c>
      <c r="AE79" s="192" t="e">
        <f t="shared" si="23"/>
        <v>#DIV/0!</v>
      </c>
      <c r="AF79" s="133">
        <v>-8510.36</v>
      </c>
      <c r="AG79" s="124">
        <f t="shared" si="15"/>
        <v>-8510.36</v>
      </c>
    </row>
    <row r="80" spans="1:33">
      <c r="C80" s="109" t="s">
        <v>507</v>
      </c>
      <c r="D80" s="137">
        <f t="shared" ref="D80:O80" si="25">SUM(D38:D79)</f>
        <v>0</v>
      </c>
      <c r="E80" s="137">
        <f t="shared" si="25"/>
        <v>0</v>
      </c>
      <c r="F80" s="137">
        <f t="shared" si="25"/>
        <v>0</v>
      </c>
      <c r="G80" s="137">
        <f t="shared" si="25"/>
        <v>0</v>
      </c>
      <c r="H80" s="137">
        <f t="shared" si="25"/>
        <v>0</v>
      </c>
      <c r="I80" s="137">
        <f t="shared" si="25"/>
        <v>0</v>
      </c>
      <c r="J80" s="137">
        <f t="shared" si="25"/>
        <v>0</v>
      </c>
      <c r="K80" s="137">
        <f t="shared" si="25"/>
        <v>0</v>
      </c>
      <c r="L80" s="137">
        <f t="shared" si="25"/>
        <v>0</v>
      </c>
      <c r="M80" s="137">
        <f t="shared" si="25"/>
        <v>0</v>
      </c>
      <c r="N80" s="137">
        <f t="shared" si="25"/>
        <v>0</v>
      </c>
      <c r="O80" s="137">
        <f t="shared" si="25"/>
        <v>0</v>
      </c>
      <c r="P80" s="137">
        <f>SUM(P38:P79)</f>
        <v>0</v>
      </c>
      <c r="Q80" s="137">
        <f t="shared" ref="Q80:AC80" si="26">SUM(Q38:Q79)</f>
        <v>2.58</v>
      </c>
      <c r="R80" s="137">
        <f t="shared" si="26"/>
        <v>3</v>
      </c>
      <c r="S80" s="137">
        <f t="shared" si="26"/>
        <v>3</v>
      </c>
      <c r="T80" s="137">
        <f t="shared" si="26"/>
        <v>3</v>
      </c>
      <c r="U80" s="137">
        <f t="shared" si="26"/>
        <v>3</v>
      </c>
      <c r="V80" s="137">
        <f t="shared" si="26"/>
        <v>3</v>
      </c>
      <c r="W80" s="137">
        <f t="shared" si="26"/>
        <v>3</v>
      </c>
      <c r="X80" s="137">
        <f t="shared" si="26"/>
        <v>3</v>
      </c>
      <c r="Y80" s="137">
        <f t="shared" si="26"/>
        <v>0</v>
      </c>
      <c r="Z80" s="137">
        <f t="shared" si="26"/>
        <v>0</v>
      </c>
      <c r="AA80" s="137">
        <f t="shared" si="26"/>
        <v>0</v>
      </c>
      <c r="AB80" s="137">
        <f t="shared" si="26"/>
        <v>0</v>
      </c>
      <c r="AC80" s="137">
        <f t="shared" si="26"/>
        <v>23.58</v>
      </c>
      <c r="AD80" s="72">
        <f t="shared" si="22"/>
        <v>-23.58</v>
      </c>
      <c r="AE80" s="192">
        <f t="shared" si="23"/>
        <v>-1</v>
      </c>
      <c r="AF80" s="133">
        <v>-7933.7000000000007</v>
      </c>
      <c r="AG80" s="124">
        <f t="shared" si="15"/>
        <v>-7933.7000000000007</v>
      </c>
    </row>
    <row r="81" spans="1:33">
      <c r="C81" s="109" t="s">
        <v>508</v>
      </c>
      <c r="D81" s="137">
        <f>D27-D33-D35-D80</f>
        <v>0</v>
      </c>
      <c r="E81" s="137">
        <f t="shared" ref="E81:AC81" si="27">E27-E33-E35-E80</f>
        <v>0</v>
      </c>
      <c r="F81" s="137">
        <f t="shared" si="27"/>
        <v>0</v>
      </c>
      <c r="G81" s="137">
        <f t="shared" si="27"/>
        <v>0</v>
      </c>
      <c r="H81" s="137">
        <f t="shared" si="27"/>
        <v>0</v>
      </c>
      <c r="I81" s="137">
        <f t="shared" si="27"/>
        <v>0</v>
      </c>
      <c r="J81" s="137">
        <f t="shared" si="27"/>
        <v>0</v>
      </c>
      <c r="K81" s="137">
        <f t="shared" si="27"/>
        <v>0</v>
      </c>
      <c r="L81" s="137">
        <f t="shared" si="27"/>
        <v>0</v>
      </c>
      <c r="M81" s="137">
        <f t="shared" si="27"/>
        <v>0</v>
      </c>
      <c r="N81" s="137">
        <f t="shared" si="27"/>
        <v>0</v>
      </c>
      <c r="O81" s="137">
        <f t="shared" si="27"/>
        <v>0</v>
      </c>
      <c r="P81" s="137">
        <f t="shared" si="27"/>
        <v>0</v>
      </c>
      <c r="Q81" s="137">
        <f t="shared" si="27"/>
        <v>-2.58</v>
      </c>
      <c r="R81" s="137">
        <f t="shared" si="27"/>
        <v>-3</v>
      </c>
      <c r="S81" s="137">
        <f t="shared" si="27"/>
        <v>-3</v>
      </c>
      <c r="T81" s="137">
        <f t="shared" si="27"/>
        <v>-3</v>
      </c>
      <c r="U81" s="137">
        <f t="shared" si="27"/>
        <v>-3</v>
      </c>
      <c r="V81" s="137">
        <f t="shared" si="27"/>
        <v>-3</v>
      </c>
      <c r="W81" s="137">
        <f t="shared" si="27"/>
        <v>-3</v>
      </c>
      <c r="X81" s="137">
        <f t="shared" si="27"/>
        <v>-3</v>
      </c>
      <c r="Y81" s="137">
        <f t="shared" si="27"/>
        <v>0</v>
      </c>
      <c r="Z81" s="137">
        <f t="shared" si="27"/>
        <v>0</v>
      </c>
      <c r="AA81" s="137">
        <f t="shared" si="27"/>
        <v>0</v>
      </c>
      <c r="AB81" s="137">
        <f t="shared" si="27"/>
        <v>0</v>
      </c>
      <c r="AC81" s="137">
        <f t="shared" si="27"/>
        <v>-23.58</v>
      </c>
      <c r="AD81" s="72">
        <f t="shared" si="22"/>
        <v>23.58</v>
      </c>
      <c r="AE81" s="192">
        <f t="shared" si="23"/>
        <v>-1</v>
      </c>
      <c r="AF81" s="133">
        <v>286288.90999999997</v>
      </c>
      <c r="AG81" s="124">
        <f>P81-AF81</f>
        <v>-286288.90999999997</v>
      </c>
    </row>
    <row r="82" spans="1:33">
      <c r="C82" s="109" t="s">
        <v>509</v>
      </c>
      <c r="D82" s="213" t="e">
        <f t="shared" ref="D82:AC82" si="28">D81/D27</f>
        <v>#DIV/0!</v>
      </c>
      <c r="E82" s="213" t="e">
        <f t="shared" si="28"/>
        <v>#DIV/0!</v>
      </c>
      <c r="F82" s="213" t="e">
        <f t="shared" si="28"/>
        <v>#DIV/0!</v>
      </c>
      <c r="G82" s="213" t="e">
        <f t="shared" si="28"/>
        <v>#DIV/0!</v>
      </c>
      <c r="H82" s="213" t="e">
        <f t="shared" si="28"/>
        <v>#DIV/0!</v>
      </c>
      <c r="I82" s="213" t="e">
        <f t="shared" si="28"/>
        <v>#DIV/0!</v>
      </c>
      <c r="J82" s="213" t="e">
        <f t="shared" si="28"/>
        <v>#DIV/0!</v>
      </c>
      <c r="K82" s="213" t="e">
        <f t="shared" si="28"/>
        <v>#DIV/0!</v>
      </c>
      <c r="L82" s="213" t="e">
        <f t="shared" si="28"/>
        <v>#DIV/0!</v>
      </c>
      <c r="M82" s="213" t="e">
        <f t="shared" si="28"/>
        <v>#DIV/0!</v>
      </c>
      <c r="N82" s="213" t="e">
        <f t="shared" si="28"/>
        <v>#DIV/0!</v>
      </c>
      <c r="O82" s="213" t="e">
        <f t="shared" si="28"/>
        <v>#DIV/0!</v>
      </c>
      <c r="P82" s="213" t="e">
        <f t="shared" si="28"/>
        <v>#DIV/0!</v>
      </c>
      <c r="Q82" s="213" t="e">
        <f t="shared" si="28"/>
        <v>#DIV/0!</v>
      </c>
      <c r="R82" s="213" t="e">
        <f t="shared" si="28"/>
        <v>#DIV/0!</v>
      </c>
      <c r="S82" s="213" t="e">
        <f t="shared" si="28"/>
        <v>#DIV/0!</v>
      </c>
      <c r="T82" s="213" t="e">
        <f t="shared" si="28"/>
        <v>#DIV/0!</v>
      </c>
      <c r="U82" s="213" t="e">
        <f t="shared" si="28"/>
        <v>#DIV/0!</v>
      </c>
      <c r="V82" s="213" t="e">
        <f t="shared" si="28"/>
        <v>#DIV/0!</v>
      </c>
      <c r="W82" s="213" t="e">
        <f t="shared" si="28"/>
        <v>#DIV/0!</v>
      </c>
      <c r="X82" s="213" t="e">
        <f t="shared" si="28"/>
        <v>#DIV/0!</v>
      </c>
      <c r="Y82" s="213" t="e">
        <f t="shared" si="28"/>
        <v>#DIV/0!</v>
      </c>
      <c r="Z82" s="213" t="e">
        <f t="shared" si="28"/>
        <v>#DIV/0!</v>
      </c>
      <c r="AA82" s="213" t="e">
        <f t="shared" si="28"/>
        <v>#DIV/0!</v>
      </c>
      <c r="AB82" s="213" t="e">
        <f t="shared" si="28"/>
        <v>#DIV/0!</v>
      </c>
      <c r="AC82" s="213" t="e">
        <f t="shared" si="28"/>
        <v>#DIV/0!</v>
      </c>
      <c r="AD82" s="72" t="e">
        <f t="shared" si="22"/>
        <v>#DIV/0!</v>
      </c>
      <c r="AE82" s="192" t="e">
        <f t="shared" si="23"/>
        <v>#DIV/0!</v>
      </c>
      <c r="AF82" s="133">
        <v>0.81816696522487087</v>
      </c>
      <c r="AG82" s="124" t="e">
        <f>P82-AF82</f>
        <v>#DIV/0!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395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72">
        <f t="shared" ref="AD85:AD90" si="29">P85-AC85</f>
        <v>0</v>
      </c>
      <c r="AE85" s="192" t="e">
        <f t="shared" ref="AE85:AE90" si="30">AD85/AC85</f>
        <v>#DIV/0!</v>
      </c>
      <c r="AF85" s="133">
        <v>0</v>
      </c>
      <c r="AG85" s="124">
        <f t="shared" ref="AG85:AG98" si="31">P85-AF85</f>
        <v>0</v>
      </c>
    </row>
    <row r="86" spans="1:33">
      <c r="A86" s="105" t="s">
        <v>511</v>
      </c>
      <c r="B86" s="105" t="s">
        <v>395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0</v>
      </c>
      <c r="S86" s="136">
        <v>0</v>
      </c>
      <c r="T86" s="136">
        <v>0</v>
      </c>
      <c r="U86" s="136">
        <v>0</v>
      </c>
      <c r="V86" s="136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0</v>
      </c>
      <c r="AD86" s="72">
        <f t="shared" si="29"/>
        <v>0</v>
      </c>
      <c r="AE86" s="192" t="e">
        <f t="shared" si="30"/>
        <v>#DIV/0!</v>
      </c>
      <c r="AF86" s="133">
        <v>15</v>
      </c>
      <c r="AG86" s="124">
        <f t="shared" si="31"/>
        <v>-15</v>
      </c>
    </row>
    <row r="87" spans="1:33">
      <c r="A87" s="105" t="s">
        <v>512</v>
      </c>
      <c r="B87" s="105" t="s">
        <v>395</v>
      </c>
      <c r="C87" s="105" t="s">
        <v>485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>
        <f>SUM(D87:O87)</f>
        <v>0</v>
      </c>
      <c r="Q87" s="136">
        <v>0</v>
      </c>
      <c r="R87" s="136">
        <v>0</v>
      </c>
      <c r="S87" s="136">
        <v>0</v>
      </c>
      <c r="T87" s="136">
        <v>0</v>
      </c>
      <c r="U87" s="136">
        <v>0</v>
      </c>
      <c r="V87" s="136">
        <v>0</v>
      </c>
      <c r="W87" s="72">
        <v>0</v>
      </c>
      <c r="X87" s="72">
        <v>0</v>
      </c>
      <c r="Y87" s="72">
        <v>0</v>
      </c>
      <c r="Z87" s="72">
        <v>0</v>
      </c>
      <c r="AA87" s="72">
        <v>0</v>
      </c>
      <c r="AB87" s="72">
        <v>0</v>
      </c>
      <c r="AC87" s="137">
        <f>SUM(Q87:AB87)</f>
        <v>0</v>
      </c>
      <c r="AD87" s="72">
        <f t="shared" si="29"/>
        <v>0</v>
      </c>
      <c r="AE87" s="192" t="e">
        <f t="shared" si="30"/>
        <v>#DIV/0!</v>
      </c>
      <c r="AF87" s="133">
        <v>78</v>
      </c>
      <c r="AG87" s="124">
        <f t="shared" si="31"/>
        <v>-78</v>
      </c>
    </row>
    <row r="88" spans="1:33">
      <c r="A88" s="105" t="s">
        <v>513</v>
      </c>
      <c r="B88" s="105" t="s">
        <v>395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29"/>
        <v>0</v>
      </c>
      <c r="AE88" s="192" t="e">
        <f t="shared" si="30"/>
        <v>#DIV/0!</v>
      </c>
      <c r="AF88" s="133">
        <v>282</v>
      </c>
      <c r="AG88" s="124">
        <f t="shared" si="31"/>
        <v>-282</v>
      </c>
    </row>
    <row r="89" spans="1:33">
      <c r="A89" s="105" t="s">
        <v>514</v>
      </c>
      <c r="B89" s="105" t="s">
        <v>395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72">
        <f t="shared" si="29"/>
        <v>0</v>
      </c>
      <c r="AE89" s="192" t="e">
        <f t="shared" si="30"/>
        <v>#DIV/0!</v>
      </c>
      <c r="AF89" s="133">
        <v>0</v>
      </c>
      <c r="AG89" s="124">
        <f t="shared" si="31"/>
        <v>0</v>
      </c>
    </row>
    <row r="90" spans="1:33">
      <c r="C90" s="109" t="s">
        <v>462</v>
      </c>
      <c r="D90" s="137">
        <f t="shared" ref="D90:AC90" si="32">SUM(D85:D89)</f>
        <v>0</v>
      </c>
      <c r="E90" s="137">
        <f t="shared" si="32"/>
        <v>0</v>
      </c>
      <c r="F90" s="137">
        <f t="shared" si="32"/>
        <v>0</v>
      </c>
      <c r="G90" s="137">
        <f t="shared" si="32"/>
        <v>0</v>
      </c>
      <c r="H90" s="137">
        <f t="shared" si="32"/>
        <v>0</v>
      </c>
      <c r="I90" s="137">
        <f t="shared" si="32"/>
        <v>0</v>
      </c>
      <c r="J90" s="137">
        <f t="shared" si="32"/>
        <v>0</v>
      </c>
      <c r="K90" s="137">
        <f t="shared" si="32"/>
        <v>0</v>
      </c>
      <c r="L90" s="137">
        <f t="shared" si="32"/>
        <v>0</v>
      </c>
      <c r="M90" s="137">
        <f t="shared" si="32"/>
        <v>0</v>
      </c>
      <c r="N90" s="137">
        <f t="shared" si="32"/>
        <v>0</v>
      </c>
      <c r="O90" s="137">
        <f t="shared" si="32"/>
        <v>0</v>
      </c>
      <c r="P90" s="137">
        <f t="shared" si="32"/>
        <v>0</v>
      </c>
      <c r="Q90" s="137">
        <f t="shared" si="32"/>
        <v>0</v>
      </c>
      <c r="R90" s="137">
        <f t="shared" si="32"/>
        <v>0</v>
      </c>
      <c r="S90" s="137">
        <f t="shared" si="32"/>
        <v>0</v>
      </c>
      <c r="T90" s="137">
        <f t="shared" si="32"/>
        <v>0</v>
      </c>
      <c r="U90" s="137">
        <f t="shared" si="32"/>
        <v>0</v>
      </c>
      <c r="V90" s="137">
        <f t="shared" si="32"/>
        <v>0</v>
      </c>
      <c r="W90" s="137">
        <f t="shared" si="32"/>
        <v>0</v>
      </c>
      <c r="X90" s="137">
        <f t="shared" si="32"/>
        <v>0</v>
      </c>
      <c r="Y90" s="137">
        <f t="shared" si="32"/>
        <v>0</v>
      </c>
      <c r="Z90" s="137">
        <f t="shared" si="32"/>
        <v>0</v>
      </c>
      <c r="AA90" s="137">
        <f t="shared" si="32"/>
        <v>0</v>
      </c>
      <c r="AB90" s="137">
        <f t="shared" si="32"/>
        <v>0</v>
      </c>
      <c r="AC90" s="137">
        <f t="shared" si="32"/>
        <v>0</v>
      </c>
      <c r="AD90" s="72">
        <f t="shared" si="29"/>
        <v>0</v>
      </c>
      <c r="AE90" s="192" t="e">
        <f t="shared" si="30"/>
        <v>#DIV/0!</v>
      </c>
      <c r="AF90" s="133">
        <v>375</v>
      </c>
      <c r="AG90" s="124">
        <f t="shared" si="31"/>
        <v>-375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1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1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3">P9/P85</f>
        <v>#DIV/0!</v>
      </c>
      <c r="Q93" s="136" t="e">
        <f t="shared" si="33"/>
        <v>#DIV/0!</v>
      </c>
      <c r="R93" s="136" t="e">
        <f t="shared" si="33"/>
        <v>#DIV/0!</v>
      </c>
      <c r="S93" s="136" t="e">
        <f t="shared" si="33"/>
        <v>#DIV/0!</v>
      </c>
      <c r="T93" s="136" t="e">
        <f t="shared" si="33"/>
        <v>#DIV/0!</v>
      </c>
      <c r="U93" s="136" t="e">
        <f t="shared" si="33"/>
        <v>#DIV/0!</v>
      </c>
      <c r="V93" s="136" t="e">
        <f t="shared" si="33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4">AC9/AC85</f>
        <v>#DIV/0!</v>
      </c>
      <c r="AD93" s="72" t="e">
        <f t="shared" ref="AD93:AD98" si="35">P93-AC93</f>
        <v>#DIV/0!</v>
      </c>
      <c r="AE93" s="192" t="e">
        <f t="shared" ref="AE93:AE98" si="36">AD93/AC93</f>
        <v>#DIV/0!</v>
      </c>
      <c r="AF93" s="133" t="e">
        <v>#DIV/0!</v>
      </c>
      <c r="AG93" s="124" t="e">
        <f t="shared" si="31"/>
        <v>#DIV/0!</v>
      </c>
    </row>
    <row r="94" spans="1:33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3"/>
        <v>#DIV/0!</v>
      </c>
      <c r="Q94" s="136" t="e">
        <f t="shared" si="33"/>
        <v>#DIV/0!</v>
      </c>
      <c r="R94" s="136" t="e">
        <f t="shared" si="33"/>
        <v>#DIV/0!</v>
      </c>
      <c r="S94" s="136" t="e">
        <f t="shared" si="33"/>
        <v>#DIV/0!</v>
      </c>
      <c r="T94" s="136" t="e">
        <f t="shared" si="33"/>
        <v>#DIV/0!</v>
      </c>
      <c r="U94" s="136" t="e">
        <f t="shared" si="33"/>
        <v>#DIV/0!</v>
      </c>
      <c r="V94" s="136" t="e">
        <f t="shared" si="33"/>
        <v>#DIV/0!</v>
      </c>
      <c r="W94" s="72" t="e">
        <v>#DIV/0!</v>
      </c>
      <c r="X94" s="72" t="e">
        <v>#DIV/0!</v>
      </c>
      <c r="Y94" s="72">
        <v>0</v>
      </c>
      <c r="Z94" s="72">
        <v>0</v>
      </c>
      <c r="AA94" s="72">
        <v>0</v>
      </c>
      <c r="AB94" s="72">
        <v>0</v>
      </c>
      <c r="AC94" s="137" t="e">
        <f t="shared" si="34"/>
        <v>#DIV/0!</v>
      </c>
      <c r="AD94" s="72" t="e">
        <f t="shared" si="35"/>
        <v>#DIV/0!</v>
      </c>
      <c r="AE94" s="192" t="e">
        <f t="shared" si="36"/>
        <v>#DIV/0!</v>
      </c>
      <c r="AF94" s="133">
        <v>9.7012768189112344E-13</v>
      </c>
      <c r="AG94" s="124" t="e">
        <f t="shared" si="31"/>
        <v>#DIV/0!</v>
      </c>
    </row>
    <row r="95" spans="1:33">
      <c r="C95" s="105" t="s">
        <v>485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 t="e">
        <f t="shared" si="33"/>
        <v>#DIV/0!</v>
      </c>
      <c r="Q95" s="136" t="e">
        <f t="shared" si="33"/>
        <v>#DIV/0!</v>
      </c>
      <c r="R95" s="136" t="e">
        <f t="shared" si="33"/>
        <v>#DIV/0!</v>
      </c>
      <c r="S95" s="136" t="e">
        <f t="shared" si="33"/>
        <v>#DIV/0!</v>
      </c>
      <c r="T95" s="136" t="e">
        <f t="shared" si="33"/>
        <v>#DIV/0!</v>
      </c>
      <c r="U95" s="136" t="e">
        <f t="shared" si="33"/>
        <v>#DIV/0!</v>
      </c>
      <c r="V95" s="136" t="e">
        <f t="shared" si="33"/>
        <v>#DIV/0!</v>
      </c>
      <c r="W95" s="72" t="e">
        <v>#DIV/0!</v>
      </c>
      <c r="X95" s="72" t="e">
        <v>#DIV/0!</v>
      </c>
      <c r="Y95" s="72">
        <v>0</v>
      </c>
      <c r="Z95" s="72">
        <v>0</v>
      </c>
      <c r="AA95" s="72">
        <v>0</v>
      </c>
      <c r="AB95" s="72">
        <v>0</v>
      </c>
      <c r="AC95" s="137" t="e">
        <f t="shared" si="34"/>
        <v>#DIV/0!</v>
      </c>
      <c r="AD95" s="72" t="e">
        <f t="shared" si="35"/>
        <v>#DIV/0!</v>
      </c>
      <c r="AE95" s="192" t="e">
        <f t="shared" si="36"/>
        <v>#DIV/0!</v>
      </c>
      <c r="AF95" s="133">
        <v>4.7435897436363846E-3</v>
      </c>
      <c r="AG95" s="124" t="e">
        <f t="shared" si="31"/>
        <v>#DIV/0!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3"/>
        <v>#DIV/0!</v>
      </c>
      <c r="Q96" s="136" t="e">
        <f t="shared" si="33"/>
        <v>#DIV/0!</v>
      </c>
      <c r="R96" s="136" t="e">
        <f t="shared" si="33"/>
        <v>#DIV/0!</v>
      </c>
      <c r="S96" s="136" t="e">
        <f t="shared" si="33"/>
        <v>#DIV/0!</v>
      </c>
      <c r="T96" s="136" t="e">
        <f t="shared" si="33"/>
        <v>#DIV/0!</v>
      </c>
      <c r="U96" s="136" t="e">
        <f t="shared" si="33"/>
        <v>#DIV/0!</v>
      </c>
      <c r="V96" s="136" t="e">
        <f t="shared" si="33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4"/>
        <v>#DIV/0!</v>
      </c>
      <c r="AD96" s="72" t="e">
        <f t="shared" si="35"/>
        <v>#DIV/0!</v>
      </c>
      <c r="AE96" s="192" t="e">
        <f t="shared" si="36"/>
        <v>#DIV/0!</v>
      </c>
      <c r="AF96" s="133">
        <v>0</v>
      </c>
      <c r="AG96" s="124" t="e">
        <f t="shared" si="31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3"/>
        <v>#DIV/0!</v>
      </c>
      <c r="Q97" s="136" t="e">
        <f t="shared" si="33"/>
        <v>#DIV/0!</v>
      </c>
      <c r="R97" s="136" t="e">
        <f t="shared" si="33"/>
        <v>#DIV/0!</v>
      </c>
      <c r="S97" s="136" t="e">
        <f t="shared" si="33"/>
        <v>#DIV/0!</v>
      </c>
      <c r="T97" s="136" t="e">
        <f t="shared" si="33"/>
        <v>#DIV/0!</v>
      </c>
      <c r="U97" s="136" t="e">
        <f t="shared" si="33"/>
        <v>#DIV/0!</v>
      </c>
      <c r="V97" s="136" t="e">
        <f t="shared" si="33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4"/>
        <v>#DIV/0!</v>
      </c>
      <c r="AD97" s="72" t="e">
        <f t="shared" si="35"/>
        <v>#DIV/0!</v>
      </c>
      <c r="AE97" s="192" t="e">
        <f t="shared" si="36"/>
        <v>#DIV/0!</v>
      </c>
      <c r="AF97" s="133" t="e">
        <v>#DIV/0!</v>
      </c>
      <c r="AG97" s="124" t="e">
        <f t="shared" si="31"/>
        <v>#DIV/0!</v>
      </c>
    </row>
    <row r="98" spans="1:33">
      <c r="C98" s="109" t="s">
        <v>463</v>
      </c>
      <c r="D98" s="136" t="e">
        <f t="shared" ref="D98:O98" si="37">D14/D90</f>
        <v>#DIV/0!</v>
      </c>
      <c r="E98" s="136" t="e">
        <f t="shared" si="37"/>
        <v>#DIV/0!</v>
      </c>
      <c r="F98" s="136" t="e">
        <f t="shared" si="37"/>
        <v>#DIV/0!</v>
      </c>
      <c r="G98" s="136" t="e">
        <f t="shared" si="37"/>
        <v>#DIV/0!</v>
      </c>
      <c r="H98" s="136" t="e">
        <f t="shared" si="37"/>
        <v>#DIV/0!</v>
      </c>
      <c r="I98" s="136" t="e">
        <f t="shared" si="37"/>
        <v>#DIV/0!</v>
      </c>
      <c r="J98" s="136" t="e">
        <f t="shared" si="37"/>
        <v>#DIV/0!</v>
      </c>
      <c r="K98" s="136" t="e">
        <f t="shared" si="37"/>
        <v>#DIV/0!</v>
      </c>
      <c r="L98" s="136" t="e">
        <f t="shared" si="37"/>
        <v>#DIV/0!</v>
      </c>
      <c r="M98" s="136" t="e">
        <f t="shared" si="37"/>
        <v>#DIV/0!</v>
      </c>
      <c r="N98" s="136" t="e">
        <f t="shared" si="37"/>
        <v>#DIV/0!</v>
      </c>
      <c r="O98" s="136" t="e">
        <f t="shared" si="37"/>
        <v>#DIV/0!</v>
      </c>
      <c r="P98" s="137" t="e">
        <f t="shared" si="33"/>
        <v>#DIV/0!</v>
      </c>
      <c r="Q98" s="136" t="e">
        <f t="shared" si="33"/>
        <v>#DIV/0!</v>
      </c>
      <c r="R98" s="136" t="e">
        <f t="shared" si="33"/>
        <v>#DIV/0!</v>
      </c>
      <c r="S98" s="136" t="e">
        <f t="shared" si="33"/>
        <v>#DIV/0!</v>
      </c>
      <c r="T98" s="136" t="e">
        <f t="shared" si="33"/>
        <v>#DIV/0!</v>
      </c>
      <c r="U98" s="136" t="e">
        <f t="shared" si="33"/>
        <v>#DIV/0!</v>
      </c>
      <c r="V98" s="136" t="e">
        <f t="shared" si="33"/>
        <v>#DIV/0!</v>
      </c>
      <c r="W98" s="136" t="e">
        <f t="shared" si="33"/>
        <v>#DIV/0!</v>
      </c>
      <c r="X98" s="136" t="e">
        <f t="shared" si="33"/>
        <v>#DIV/0!</v>
      </c>
      <c r="Y98" s="136" t="e">
        <f t="shared" si="33"/>
        <v>#DIV/0!</v>
      </c>
      <c r="Z98" s="136" t="e">
        <f t="shared" si="33"/>
        <v>#DIV/0!</v>
      </c>
      <c r="AA98" s="136" t="e">
        <f t="shared" si="33"/>
        <v>#DIV/0!</v>
      </c>
      <c r="AB98" s="136" t="e">
        <f t="shared" si="33"/>
        <v>#DIV/0!</v>
      </c>
      <c r="AC98" s="137" t="e">
        <f t="shared" si="34"/>
        <v>#DIV/0!</v>
      </c>
      <c r="AD98" s="72" t="e">
        <f t="shared" si="35"/>
        <v>#DIV/0!</v>
      </c>
      <c r="AE98" s="192" t="e">
        <f t="shared" si="36"/>
        <v>#DIV/0!</v>
      </c>
      <c r="AF98" s="133">
        <v>1.306666666715173E-3</v>
      </c>
      <c r="AG98" s="124" t="e">
        <f t="shared" si="31"/>
        <v>#DIV/0!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395</v>
      </c>
      <c r="C102" s="105" t="s">
        <v>250</v>
      </c>
      <c r="D102" s="136"/>
      <c r="E102" s="136">
        <f>D102</f>
        <v>0</v>
      </c>
      <c r="F102" s="136">
        <f t="shared" ref="F102:O102" si="38">E102</f>
        <v>0</v>
      </c>
      <c r="G102" s="136">
        <f t="shared" si="38"/>
        <v>0</v>
      </c>
      <c r="H102" s="136">
        <f t="shared" si="38"/>
        <v>0</v>
      </c>
      <c r="I102" s="136">
        <f t="shared" si="38"/>
        <v>0</v>
      </c>
      <c r="J102" s="136">
        <f t="shared" si="38"/>
        <v>0</v>
      </c>
      <c r="K102" s="136">
        <f t="shared" si="38"/>
        <v>0</v>
      </c>
      <c r="L102" s="136">
        <f t="shared" si="38"/>
        <v>0</v>
      </c>
      <c r="M102" s="136">
        <f t="shared" si="38"/>
        <v>0</v>
      </c>
      <c r="N102" s="136">
        <f t="shared" si="38"/>
        <v>0</v>
      </c>
      <c r="O102" s="136">
        <f t="shared" si="38"/>
        <v>0</v>
      </c>
      <c r="P102" s="137">
        <f>SUM(D102:O102)</f>
        <v>0</v>
      </c>
      <c r="Q102" s="136">
        <v>0</v>
      </c>
      <c r="R102" s="136">
        <v>0</v>
      </c>
      <c r="S102" s="136">
        <v>0</v>
      </c>
      <c r="T102" s="136">
        <v>0</v>
      </c>
      <c r="U102" s="136">
        <v>0</v>
      </c>
      <c r="V102" s="136">
        <v>0</v>
      </c>
      <c r="W102" s="72">
        <v>0</v>
      </c>
      <c r="X102" s="72">
        <v>0</v>
      </c>
      <c r="Y102" s="72">
        <v>0</v>
      </c>
      <c r="Z102" s="72">
        <v>0</v>
      </c>
      <c r="AA102" s="72">
        <v>0</v>
      </c>
      <c r="AB102" s="72">
        <v>0</v>
      </c>
      <c r="AC102" s="137">
        <f>SUM(Q102:AB102)</f>
        <v>0</v>
      </c>
      <c r="AD102" s="72">
        <f t="shared" ref="AD102:AD105" si="39">P102-AC102</f>
        <v>0</v>
      </c>
      <c r="AE102" s="192" t="e">
        <f t="shared" ref="AE102:AE105" si="40">AD102/AC102</f>
        <v>#DIV/0!</v>
      </c>
      <c r="AF102" s="133">
        <v>0</v>
      </c>
      <c r="AG102" s="124">
        <f t="shared" ref="AG102:AG136" si="41">AF102-P102</f>
        <v>0</v>
      </c>
    </row>
    <row r="103" spans="1:33">
      <c r="A103" s="105" t="s">
        <v>251</v>
      </c>
      <c r="B103" s="105" t="s">
        <v>395</v>
      </c>
      <c r="C103" s="105" t="s">
        <v>468</v>
      </c>
      <c r="D103" s="136"/>
      <c r="E103" s="136">
        <f t="shared" ref="E103:O104" si="42">D103</f>
        <v>0</v>
      </c>
      <c r="F103" s="136">
        <f t="shared" si="42"/>
        <v>0</v>
      </c>
      <c r="G103" s="136">
        <f t="shared" si="42"/>
        <v>0</v>
      </c>
      <c r="H103" s="136">
        <f t="shared" si="42"/>
        <v>0</v>
      </c>
      <c r="I103" s="136">
        <f t="shared" si="42"/>
        <v>0</v>
      </c>
      <c r="J103" s="136">
        <f t="shared" si="42"/>
        <v>0</v>
      </c>
      <c r="K103" s="136">
        <f t="shared" si="42"/>
        <v>0</v>
      </c>
      <c r="L103" s="136">
        <f t="shared" si="42"/>
        <v>0</v>
      </c>
      <c r="M103" s="136">
        <f t="shared" si="42"/>
        <v>0</v>
      </c>
      <c r="N103" s="136">
        <f t="shared" si="42"/>
        <v>0</v>
      </c>
      <c r="O103" s="136">
        <f t="shared" si="42"/>
        <v>0</v>
      </c>
      <c r="P103" s="137">
        <f>SUM(D103:O103)</f>
        <v>0</v>
      </c>
      <c r="Q103" s="136">
        <v>0</v>
      </c>
      <c r="R103" s="136">
        <v>0</v>
      </c>
      <c r="S103" s="136">
        <v>0</v>
      </c>
      <c r="T103" s="136">
        <v>0</v>
      </c>
      <c r="U103" s="136">
        <v>0</v>
      </c>
      <c r="V103" s="136">
        <v>0</v>
      </c>
      <c r="W103" s="72">
        <v>0</v>
      </c>
      <c r="X103" s="72">
        <v>0</v>
      </c>
      <c r="Y103" s="72">
        <v>0</v>
      </c>
      <c r="Z103" s="72">
        <v>0</v>
      </c>
      <c r="AA103" s="72">
        <v>0</v>
      </c>
      <c r="AB103" s="72">
        <v>0</v>
      </c>
      <c r="AC103" s="137">
        <f>SUM(Q103:AB103)</f>
        <v>0</v>
      </c>
      <c r="AD103" s="72">
        <f t="shared" si="39"/>
        <v>0</v>
      </c>
      <c r="AE103" s="192" t="e">
        <f t="shared" si="40"/>
        <v>#DIV/0!</v>
      </c>
      <c r="AF103" s="133">
        <v>0</v>
      </c>
      <c r="AG103" s="124">
        <f t="shared" si="41"/>
        <v>0</v>
      </c>
    </row>
    <row r="104" spans="1:33">
      <c r="A104" s="105" t="s">
        <v>273</v>
      </c>
      <c r="C104" s="105" t="s">
        <v>470</v>
      </c>
      <c r="D104" s="136"/>
      <c r="E104" s="136">
        <f t="shared" si="42"/>
        <v>0</v>
      </c>
      <c r="F104" s="136">
        <f t="shared" si="42"/>
        <v>0</v>
      </c>
      <c r="G104" s="136">
        <f t="shared" si="42"/>
        <v>0</v>
      </c>
      <c r="H104" s="136">
        <f t="shared" si="42"/>
        <v>0</v>
      </c>
      <c r="I104" s="136">
        <f t="shared" si="42"/>
        <v>0</v>
      </c>
      <c r="J104" s="136">
        <f t="shared" si="42"/>
        <v>0</v>
      </c>
      <c r="K104" s="136">
        <f t="shared" si="42"/>
        <v>0</v>
      </c>
      <c r="L104" s="136">
        <f t="shared" si="42"/>
        <v>0</v>
      </c>
      <c r="M104" s="136">
        <f t="shared" si="42"/>
        <v>0</v>
      </c>
      <c r="N104" s="136">
        <f t="shared" si="42"/>
        <v>0</v>
      </c>
      <c r="O104" s="136">
        <f t="shared" si="42"/>
        <v>0</v>
      </c>
      <c r="P104" s="137">
        <f>SUM(D104:O104)</f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0</v>
      </c>
      <c r="Z104" s="72">
        <v>0</v>
      </c>
      <c r="AA104" s="72">
        <v>0</v>
      </c>
      <c r="AB104" s="72">
        <v>0</v>
      </c>
      <c r="AC104" s="137">
        <f>SUM(Q104:AB104)</f>
        <v>0</v>
      </c>
      <c r="AD104" s="72">
        <f t="shared" si="39"/>
        <v>0</v>
      </c>
      <c r="AE104" s="192" t="e">
        <f t="shared" si="40"/>
        <v>#DIV/0!</v>
      </c>
      <c r="AF104" s="133">
        <v>0</v>
      </c>
      <c r="AG104" s="124">
        <f t="shared" si="41"/>
        <v>0</v>
      </c>
    </row>
    <row r="105" spans="1:33">
      <c r="A105" s="105" t="s">
        <v>273</v>
      </c>
      <c r="C105" s="109" t="s">
        <v>520</v>
      </c>
      <c r="D105" s="137">
        <f t="shared" ref="D105:AC105" si="43">SUM(D102:D104)</f>
        <v>0</v>
      </c>
      <c r="E105" s="137">
        <f t="shared" si="43"/>
        <v>0</v>
      </c>
      <c r="F105" s="137">
        <f t="shared" si="43"/>
        <v>0</v>
      </c>
      <c r="G105" s="137">
        <f t="shared" si="43"/>
        <v>0</v>
      </c>
      <c r="H105" s="137">
        <f t="shared" si="43"/>
        <v>0</v>
      </c>
      <c r="I105" s="137">
        <f t="shared" si="43"/>
        <v>0</v>
      </c>
      <c r="J105" s="137">
        <f t="shared" si="43"/>
        <v>0</v>
      </c>
      <c r="K105" s="137">
        <f t="shared" si="43"/>
        <v>0</v>
      </c>
      <c r="L105" s="137">
        <f t="shared" si="43"/>
        <v>0</v>
      </c>
      <c r="M105" s="137">
        <f t="shared" si="43"/>
        <v>0</v>
      </c>
      <c r="N105" s="137">
        <f t="shared" si="43"/>
        <v>0</v>
      </c>
      <c r="O105" s="137">
        <f t="shared" si="43"/>
        <v>0</v>
      </c>
      <c r="P105" s="137">
        <f t="shared" si="43"/>
        <v>0</v>
      </c>
      <c r="Q105" s="137">
        <f t="shared" si="43"/>
        <v>0</v>
      </c>
      <c r="R105" s="137">
        <f t="shared" si="43"/>
        <v>0</v>
      </c>
      <c r="S105" s="137">
        <f t="shared" si="43"/>
        <v>0</v>
      </c>
      <c r="T105" s="137">
        <f t="shared" si="43"/>
        <v>0</v>
      </c>
      <c r="U105" s="137">
        <f t="shared" si="43"/>
        <v>0</v>
      </c>
      <c r="V105" s="137">
        <f t="shared" si="43"/>
        <v>0</v>
      </c>
      <c r="W105" s="137">
        <f t="shared" si="43"/>
        <v>0</v>
      </c>
      <c r="X105" s="137">
        <f t="shared" si="43"/>
        <v>0</v>
      </c>
      <c r="Y105" s="137">
        <f t="shared" si="43"/>
        <v>0</v>
      </c>
      <c r="Z105" s="137">
        <f t="shared" si="43"/>
        <v>0</v>
      </c>
      <c r="AA105" s="137">
        <f t="shared" si="43"/>
        <v>0</v>
      </c>
      <c r="AB105" s="137">
        <f t="shared" si="43"/>
        <v>0</v>
      </c>
      <c r="AC105" s="137">
        <f t="shared" si="43"/>
        <v>0</v>
      </c>
      <c r="AD105" s="72">
        <f t="shared" si="39"/>
        <v>0</v>
      </c>
      <c r="AE105" s="192" t="e">
        <f t="shared" si="40"/>
        <v>#DIV/0!</v>
      </c>
      <c r="AF105" s="133">
        <v>0</v>
      </c>
      <c r="AG105" s="124">
        <f t="shared" si="41"/>
        <v>0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7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1"/>
        <v>0</v>
      </c>
    </row>
    <row r="107" spans="1:33">
      <c r="A107" s="105" t="s">
        <v>119</v>
      </c>
      <c r="B107" s="105" t="s">
        <v>395</v>
      </c>
      <c r="C107" s="105" t="s">
        <v>260</v>
      </c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7">
        <f>SUM(D107:O107)</f>
        <v>0</v>
      </c>
      <c r="Q107" s="136">
        <v>0</v>
      </c>
      <c r="R107" s="136">
        <v>0</v>
      </c>
      <c r="S107" s="136">
        <v>0</v>
      </c>
      <c r="T107" s="136">
        <v>0</v>
      </c>
      <c r="U107" s="136">
        <v>0</v>
      </c>
      <c r="V107" s="136">
        <v>0</v>
      </c>
      <c r="W107" s="72">
        <v>0</v>
      </c>
      <c r="X107" s="72">
        <v>0</v>
      </c>
      <c r="Y107" s="72">
        <v>0</v>
      </c>
      <c r="Z107" s="72">
        <v>0</v>
      </c>
      <c r="AA107" s="72">
        <v>0</v>
      </c>
      <c r="AB107" s="72">
        <v>0</v>
      </c>
      <c r="AC107" s="137">
        <f>SUM(Q107:AB107)</f>
        <v>0</v>
      </c>
      <c r="AD107" s="72">
        <f t="shared" ref="AD107:AD112" si="44">P107-AC107</f>
        <v>0</v>
      </c>
      <c r="AE107" s="192" t="e">
        <f t="shared" ref="AE107:AE112" si="45">AD107/AC107</f>
        <v>#DIV/0!</v>
      </c>
      <c r="AF107" s="133">
        <v>0</v>
      </c>
      <c r="AG107" s="124">
        <f t="shared" si="41"/>
        <v>0</v>
      </c>
    </row>
    <row r="108" spans="1:33">
      <c r="A108" s="105" t="s">
        <v>120</v>
      </c>
      <c r="B108" s="105" t="s">
        <v>395</v>
      </c>
      <c r="C108" s="105" t="s">
        <v>261</v>
      </c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37">
        <f>SUM(D108:O108)</f>
        <v>0</v>
      </c>
      <c r="Q108" s="136">
        <v>0</v>
      </c>
      <c r="R108" s="136">
        <v>0</v>
      </c>
      <c r="S108" s="136">
        <v>0</v>
      </c>
      <c r="T108" s="136">
        <v>0</v>
      </c>
      <c r="U108" s="136">
        <v>0</v>
      </c>
      <c r="V108" s="136">
        <v>0</v>
      </c>
      <c r="W108" s="72">
        <v>0</v>
      </c>
      <c r="X108" s="72">
        <v>0</v>
      </c>
      <c r="Y108" s="72">
        <v>0</v>
      </c>
      <c r="Z108" s="72">
        <v>0</v>
      </c>
      <c r="AA108" s="72">
        <v>0</v>
      </c>
      <c r="AB108" s="72">
        <v>0</v>
      </c>
      <c r="AC108" s="137">
        <f>SUM(Q108:AB108)</f>
        <v>0</v>
      </c>
      <c r="AD108" s="72">
        <f t="shared" si="44"/>
        <v>0</v>
      </c>
      <c r="AE108" s="192" t="e">
        <f t="shared" si="45"/>
        <v>#DIV/0!</v>
      </c>
      <c r="AF108" s="133">
        <v>0</v>
      </c>
      <c r="AG108" s="124">
        <f t="shared" si="41"/>
        <v>0</v>
      </c>
    </row>
    <row r="109" spans="1:33">
      <c r="A109" s="105" t="s">
        <v>121</v>
      </c>
      <c r="B109" s="105" t="s">
        <v>395</v>
      </c>
      <c r="C109" s="105" t="s">
        <v>262</v>
      </c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7">
        <f>SUM(D109:O109)</f>
        <v>0</v>
      </c>
      <c r="Q109" s="136">
        <v>0</v>
      </c>
      <c r="R109" s="136">
        <v>0</v>
      </c>
      <c r="S109" s="136">
        <v>0</v>
      </c>
      <c r="T109" s="136">
        <v>0</v>
      </c>
      <c r="U109" s="136">
        <v>0</v>
      </c>
      <c r="V109" s="136">
        <v>0</v>
      </c>
      <c r="W109" s="72">
        <v>0</v>
      </c>
      <c r="X109" s="72">
        <v>0</v>
      </c>
      <c r="Y109" s="72">
        <v>0</v>
      </c>
      <c r="Z109" s="72">
        <v>0</v>
      </c>
      <c r="AA109" s="72">
        <v>0</v>
      </c>
      <c r="AB109" s="72">
        <v>0</v>
      </c>
      <c r="AC109" s="137">
        <f>SUM(Q109:AB109)</f>
        <v>0</v>
      </c>
      <c r="AD109" s="72">
        <f t="shared" si="44"/>
        <v>0</v>
      </c>
      <c r="AE109" s="192" t="e">
        <f t="shared" si="45"/>
        <v>#DIV/0!</v>
      </c>
      <c r="AF109" s="133">
        <v>0</v>
      </c>
      <c r="AG109" s="124">
        <f t="shared" si="41"/>
        <v>0</v>
      </c>
    </row>
    <row r="110" spans="1:33">
      <c r="A110" s="105" t="s">
        <v>122</v>
      </c>
      <c r="B110" s="105" t="s">
        <v>395</v>
      </c>
      <c r="C110" s="105" t="s">
        <v>263</v>
      </c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7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4"/>
        <v>0</v>
      </c>
      <c r="AE110" s="192" t="e">
        <f t="shared" si="45"/>
        <v>#DIV/0!</v>
      </c>
      <c r="AF110" s="133">
        <v>0</v>
      </c>
      <c r="AG110" s="124">
        <f t="shared" si="41"/>
        <v>0</v>
      </c>
    </row>
    <row r="111" spans="1:33">
      <c r="A111" s="105" t="s">
        <v>123</v>
      </c>
      <c r="B111" s="105" t="s">
        <v>395</v>
      </c>
      <c r="C111" s="105" t="s">
        <v>264</v>
      </c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7">
        <f>SUM(D111:O111)</f>
        <v>0</v>
      </c>
      <c r="Q111" s="136">
        <v>0</v>
      </c>
      <c r="R111" s="136">
        <v>0</v>
      </c>
      <c r="S111" s="136">
        <v>0</v>
      </c>
      <c r="T111" s="136">
        <v>0</v>
      </c>
      <c r="U111" s="136">
        <v>0</v>
      </c>
      <c r="V111" s="136">
        <v>0</v>
      </c>
      <c r="W111" s="72">
        <v>0</v>
      </c>
      <c r="X111" s="72">
        <v>0</v>
      </c>
      <c r="Y111" s="72">
        <v>0</v>
      </c>
      <c r="Z111" s="72">
        <v>0</v>
      </c>
      <c r="AA111" s="72">
        <v>0</v>
      </c>
      <c r="AB111" s="72">
        <v>0</v>
      </c>
      <c r="AC111" s="137">
        <f>SUM(Q111:AB111)</f>
        <v>0</v>
      </c>
      <c r="AD111" s="72">
        <f t="shared" si="44"/>
        <v>0</v>
      </c>
      <c r="AE111" s="192" t="e">
        <f t="shared" si="45"/>
        <v>#DIV/0!</v>
      </c>
      <c r="AF111" s="133">
        <v>0</v>
      </c>
      <c r="AG111" s="124">
        <f t="shared" si="41"/>
        <v>0</v>
      </c>
    </row>
    <row r="112" spans="1:33">
      <c r="A112" s="105" t="s">
        <v>273</v>
      </c>
      <c r="C112" s="109" t="s">
        <v>521</v>
      </c>
      <c r="D112" s="137">
        <f t="shared" ref="D112:O112" si="46">SUM(D107:D111)</f>
        <v>0</v>
      </c>
      <c r="E112" s="137">
        <f t="shared" si="46"/>
        <v>0</v>
      </c>
      <c r="F112" s="137">
        <f t="shared" si="46"/>
        <v>0</v>
      </c>
      <c r="G112" s="137">
        <f t="shared" si="46"/>
        <v>0</v>
      </c>
      <c r="H112" s="137">
        <f t="shared" si="46"/>
        <v>0</v>
      </c>
      <c r="I112" s="137">
        <f t="shared" si="46"/>
        <v>0</v>
      </c>
      <c r="J112" s="137">
        <f t="shared" si="46"/>
        <v>0</v>
      </c>
      <c r="K112" s="137">
        <f t="shared" si="46"/>
        <v>0</v>
      </c>
      <c r="L112" s="137">
        <f t="shared" si="46"/>
        <v>0</v>
      </c>
      <c r="M112" s="137">
        <f t="shared" si="46"/>
        <v>0</v>
      </c>
      <c r="N112" s="137">
        <f t="shared" si="46"/>
        <v>0</v>
      </c>
      <c r="O112" s="137">
        <f t="shared" si="46"/>
        <v>0</v>
      </c>
      <c r="P112" s="137">
        <f>SUM(P107:P111)</f>
        <v>0</v>
      </c>
      <c r="Q112" s="137">
        <f t="shared" ref="Q112:AC112" si="47">SUM(Q107:Q111)</f>
        <v>0</v>
      </c>
      <c r="R112" s="137">
        <f t="shared" si="47"/>
        <v>0</v>
      </c>
      <c r="S112" s="137">
        <f t="shared" si="47"/>
        <v>0</v>
      </c>
      <c r="T112" s="137">
        <f t="shared" si="47"/>
        <v>0</v>
      </c>
      <c r="U112" s="137">
        <f t="shared" si="47"/>
        <v>0</v>
      </c>
      <c r="V112" s="137">
        <f t="shared" si="47"/>
        <v>0</v>
      </c>
      <c r="W112" s="137">
        <f t="shared" si="47"/>
        <v>0</v>
      </c>
      <c r="X112" s="137">
        <f t="shared" si="47"/>
        <v>0</v>
      </c>
      <c r="Y112" s="137">
        <f t="shared" si="47"/>
        <v>0</v>
      </c>
      <c r="Z112" s="137">
        <f t="shared" si="47"/>
        <v>0</v>
      </c>
      <c r="AA112" s="137">
        <f t="shared" si="47"/>
        <v>0</v>
      </c>
      <c r="AB112" s="137">
        <f t="shared" si="47"/>
        <v>0</v>
      </c>
      <c r="AC112" s="137">
        <f t="shared" si="47"/>
        <v>0</v>
      </c>
      <c r="AD112" s="72">
        <f t="shared" si="44"/>
        <v>0</v>
      </c>
      <c r="AE112" s="192" t="e">
        <f t="shared" si="45"/>
        <v>#DIV/0!</v>
      </c>
      <c r="AF112" s="133">
        <v>0</v>
      </c>
      <c r="AG112" s="124">
        <f t="shared" si="41"/>
        <v>0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1"/>
        <v>0</v>
      </c>
    </row>
    <row r="114" spans="1:33">
      <c r="A114" s="105" t="s">
        <v>124</v>
      </c>
      <c r="B114" s="105" t="s">
        <v>395</v>
      </c>
      <c r="C114" s="105" t="s">
        <v>266</v>
      </c>
      <c r="D114" s="136"/>
      <c r="E114" s="136">
        <f t="shared" ref="E114:O121" si="48">D114</f>
        <v>0</v>
      </c>
      <c r="F114" s="136">
        <f t="shared" si="48"/>
        <v>0</v>
      </c>
      <c r="G114" s="136">
        <f t="shared" si="48"/>
        <v>0</v>
      </c>
      <c r="H114" s="136">
        <f t="shared" si="48"/>
        <v>0</v>
      </c>
      <c r="I114" s="136">
        <f t="shared" si="48"/>
        <v>0</v>
      </c>
      <c r="J114" s="136">
        <f t="shared" si="48"/>
        <v>0</v>
      </c>
      <c r="K114" s="136">
        <f t="shared" si="48"/>
        <v>0</v>
      </c>
      <c r="L114" s="136">
        <f t="shared" si="48"/>
        <v>0</v>
      </c>
      <c r="M114" s="136">
        <f t="shared" si="48"/>
        <v>0</v>
      </c>
      <c r="N114" s="136">
        <f t="shared" si="48"/>
        <v>0</v>
      </c>
      <c r="O114" s="136">
        <f t="shared" si="48"/>
        <v>0</v>
      </c>
      <c r="P114" s="137">
        <f>SUM(D114:O114)</f>
        <v>0</v>
      </c>
      <c r="Q114" s="136">
        <v>0</v>
      </c>
      <c r="R114" s="136">
        <v>0</v>
      </c>
      <c r="S114" s="136">
        <v>0</v>
      </c>
      <c r="T114" s="136">
        <v>0</v>
      </c>
      <c r="U114" s="136">
        <v>0</v>
      </c>
      <c r="V114" s="136">
        <v>0</v>
      </c>
      <c r="W114" s="72">
        <v>0</v>
      </c>
      <c r="X114" s="72">
        <v>0</v>
      </c>
      <c r="Y114" s="72">
        <v>0</v>
      </c>
      <c r="Z114" s="72">
        <v>0</v>
      </c>
      <c r="AA114" s="72">
        <v>0</v>
      </c>
      <c r="AB114" s="72">
        <v>0</v>
      </c>
      <c r="AC114" s="137">
        <f t="shared" ref="AC114:AC121" si="49">SUM(Q114:AB114)</f>
        <v>0</v>
      </c>
      <c r="AD114" s="72">
        <f t="shared" ref="AD114:AD122" si="50">P114-AC114</f>
        <v>0</v>
      </c>
      <c r="AE114" s="192" t="e">
        <f t="shared" ref="AE114:AE122" si="51">AD114/AC114</f>
        <v>#DIV/0!</v>
      </c>
      <c r="AF114" s="133">
        <v>0</v>
      </c>
      <c r="AG114" s="124">
        <f t="shared" si="41"/>
        <v>0</v>
      </c>
    </row>
    <row r="115" spans="1:33">
      <c r="A115" s="105" t="s">
        <v>125</v>
      </c>
      <c r="B115" s="105" t="s">
        <v>395</v>
      </c>
      <c r="C115" s="105" t="s">
        <v>267</v>
      </c>
      <c r="D115" s="136"/>
      <c r="E115" s="136">
        <f t="shared" si="48"/>
        <v>0</v>
      </c>
      <c r="F115" s="136">
        <f t="shared" si="48"/>
        <v>0</v>
      </c>
      <c r="G115" s="136">
        <f t="shared" si="48"/>
        <v>0</v>
      </c>
      <c r="H115" s="136">
        <f t="shared" si="48"/>
        <v>0</v>
      </c>
      <c r="I115" s="136">
        <f t="shared" si="48"/>
        <v>0</v>
      </c>
      <c r="J115" s="136">
        <f t="shared" si="48"/>
        <v>0</v>
      </c>
      <c r="K115" s="136">
        <f t="shared" si="48"/>
        <v>0</v>
      </c>
      <c r="L115" s="136">
        <f t="shared" si="48"/>
        <v>0</v>
      </c>
      <c r="M115" s="136">
        <f t="shared" si="48"/>
        <v>0</v>
      </c>
      <c r="N115" s="136">
        <f t="shared" si="48"/>
        <v>0</v>
      </c>
      <c r="O115" s="136">
        <f t="shared" si="48"/>
        <v>0</v>
      </c>
      <c r="P115" s="137">
        <f t="shared" ref="P115:P121" si="52">SUM(D115:O115)</f>
        <v>0</v>
      </c>
      <c r="Q115" s="136">
        <v>0</v>
      </c>
      <c r="R115" s="136">
        <v>0</v>
      </c>
      <c r="S115" s="136">
        <v>0</v>
      </c>
      <c r="T115" s="136">
        <v>0</v>
      </c>
      <c r="U115" s="136">
        <v>0</v>
      </c>
      <c r="V115" s="136">
        <v>0</v>
      </c>
      <c r="W115" s="72">
        <v>0</v>
      </c>
      <c r="X115" s="72">
        <v>0</v>
      </c>
      <c r="Y115" s="72">
        <v>0</v>
      </c>
      <c r="Z115" s="72">
        <v>0</v>
      </c>
      <c r="AA115" s="72">
        <v>0</v>
      </c>
      <c r="AB115" s="72">
        <v>0</v>
      </c>
      <c r="AC115" s="137">
        <f t="shared" si="49"/>
        <v>0</v>
      </c>
      <c r="AD115" s="72">
        <f t="shared" si="50"/>
        <v>0</v>
      </c>
      <c r="AE115" s="192" t="e">
        <f t="shared" si="51"/>
        <v>#DIV/0!</v>
      </c>
      <c r="AF115" s="133">
        <v>0</v>
      </c>
      <c r="AG115" s="124">
        <f t="shared" si="41"/>
        <v>0</v>
      </c>
    </row>
    <row r="116" spans="1:33">
      <c r="A116" s="105" t="s">
        <v>126</v>
      </c>
      <c r="B116" s="105" t="s">
        <v>395</v>
      </c>
      <c r="C116" s="105" t="s">
        <v>268</v>
      </c>
      <c r="D116" s="136"/>
      <c r="E116" s="136">
        <f t="shared" si="48"/>
        <v>0</v>
      </c>
      <c r="F116" s="136">
        <f t="shared" si="48"/>
        <v>0</v>
      </c>
      <c r="G116" s="136">
        <f t="shared" si="48"/>
        <v>0</v>
      </c>
      <c r="H116" s="136">
        <f t="shared" si="48"/>
        <v>0</v>
      </c>
      <c r="I116" s="136">
        <f t="shared" si="48"/>
        <v>0</v>
      </c>
      <c r="J116" s="136">
        <f t="shared" si="48"/>
        <v>0</v>
      </c>
      <c r="K116" s="136">
        <f t="shared" si="48"/>
        <v>0</v>
      </c>
      <c r="L116" s="136">
        <f t="shared" si="48"/>
        <v>0</v>
      </c>
      <c r="M116" s="136">
        <f t="shared" si="48"/>
        <v>0</v>
      </c>
      <c r="N116" s="136">
        <f t="shared" si="48"/>
        <v>0</v>
      </c>
      <c r="O116" s="136">
        <f t="shared" si="48"/>
        <v>0</v>
      </c>
      <c r="P116" s="137">
        <f t="shared" si="52"/>
        <v>0</v>
      </c>
      <c r="Q116" s="136">
        <v>0</v>
      </c>
      <c r="R116" s="136">
        <v>0</v>
      </c>
      <c r="S116" s="136">
        <v>0</v>
      </c>
      <c r="T116" s="136">
        <v>0</v>
      </c>
      <c r="U116" s="136">
        <v>0</v>
      </c>
      <c r="V116" s="136">
        <v>0</v>
      </c>
      <c r="W116" s="72">
        <v>0</v>
      </c>
      <c r="X116" s="72">
        <v>0</v>
      </c>
      <c r="Y116" s="72">
        <v>0</v>
      </c>
      <c r="Z116" s="72">
        <v>0</v>
      </c>
      <c r="AA116" s="72">
        <v>0</v>
      </c>
      <c r="AB116" s="72">
        <v>0</v>
      </c>
      <c r="AC116" s="137">
        <f t="shared" si="49"/>
        <v>0</v>
      </c>
      <c r="AD116" s="72">
        <f t="shared" si="50"/>
        <v>0</v>
      </c>
      <c r="AE116" s="192" t="e">
        <f t="shared" si="51"/>
        <v>#DIV/0!</v>
      </c>
      <c r="AF116" s="133">
        <v>0</v>
      </c>
      <c r="AG116" s="124">
        <f t="shared" si="41"/>
        <v>0</v>
      </c>
    </row>
    <row r="117" spans="1:33">
      <c r="A117" s="105" t="s">
        <v>127</v>
      </c>
      <c r="B117" s="105" t="s">
        <v>395</v>
      </c>
      <c r="C117" s="105" t="s">
        <v>269</v>
      </c>
      <c r="D117" s="136"/>
      <c r="E117" s="136">
        <f t="shared" si="48"/>
        <v>0</v>
      </c>
      <c r="F117" s="136">
        <f t="shared" si="48"/>
        <v>0</v>
      </c>
      <c r="G117" s="136">
        <f t="shared" si="48"/>
        <v>0</v>
      </c>
      <c r="H117" s="136">
        <f t="shared" si="48"/>
        <v>0</v>
      </c>
      <c r="I117" s="136">
        <f t="shared" si="48"/>
        <v>0</v>
      </c>
      <c r="J117" s="136">
        <f t="shared" si="48"/>
        <v>0</v>
      </c>
      <c r="K117" s="136">
        <f t="shared" si="48"/>
        <v>0</v>
      </c>
      <c r="L117" s="136">
        <f t="shared" si="48"/>
        <v>0</v>
      </c>
      <c r="M117" s="136">
        <f t="shared" si="48"/>
        <v>0</v>
      </c>
      <c r="N117" s="136">
        <f t="shared" si="48"/>
        <v>0</v>
      </c>
      <c r="O117" s="136">
        <f t="shared" si="48"/>
        <v>0</v>
      </c>
      <c r="P117" s="137">
        <f t="shared" si="52"/>
        <v>0</v>
      </c>
      <c r="Q117" s="136">
        <v>0</v>
      </c>
      <c r="R117" s="136">
        <v>0</v>
      </c>
      <c r="S117" s="136">
        <v>0</v>
      </c>
      <c r="T117" s="136">
        <v>0</v>
      </c>
      <c r="U117" s="136">
        <v>0</v>
      </c>
      <c r="V117" s="136">
        <v>0</v>
      </c>
      <c r="W117" s="72">
        <v>0</v>
      </c>
      <c r="X117" s="72">
        <v>0</v>
      </c>
      <c r="Y117" s="72">
        <v>0</v>
      </c>
      <c r="Z117" s="72">
        <v>0</v>
      </c>
      <c r="AA117" s="72">
        <v>0</v>
      </c>
      <c r="AB117" s="72">
        <v>0</v>
      </c>
      <c r="AC117" s="137">
        <f t="shared" si="49"/>
        <v>0</v>
      </c>
      <c r="AD117" s="72">
        <f t="shared" si="50"/>
        <v>0</v>
      </c>
      <c r="AE117" s="192" t="e">
        <f t="shared" si="51"/>
        <v>#DIV/0!</v>
      </c>
      <c r="AF117" s="133">
        <v>0</v>
      </c>
      <c r="AG117" s="124">
        <f t="shared" si="41"/>
        <v>0</v>
      </c>
    </row>
    <row r="118" spans="1:33">
      <c r="A118" s="105" t="s">
        <v>128</v>
      </c>
      <c r="B118" s="105" t="s">
        <v>395</v>
      </c>
      <c r="C118" s="105" t="s">
        <v>270</v>
      </c>
      <c r="D118" s="136"/>
      <c r="E118" s="136">
        <f t="shared" si="48"/>
        <v>0</v>
      </c>
      <c r="F118" s="136">
        <f t="shared" si="48"/>
        <v>0</v>
      </c>
      <c r="G118" s="136">
        <f t="shared" si="48"/>
        <v>0</v>
      </c>
      <c r="H118" s="136">
        <f t="shared" si="48"/>
        <v>0</v>
      </c>
      <c r="I118" s="136">
        <f t="shared" si="48"/>
        <v>0</v>
      </c>
      <c r="J118" s="136">
        <f t="shared" si="48"/>
        <v>0</v>
      </c>
      <c r="K118" s="136">
        <f t="shared" si="48"/>
        <v>0</v>
      </c>
      <c r="L118" s="136">
        <f t="shared" si="48"/>
        <v>0</v>
      </c>
      <c r="M118" s="136">
        <f t="shared" si="48"/>
        <v>0</v>
      </c>
      <c r="N118" s="136">
        <f t="shared" si="48"/>
        <v>0</v>
      </c>
      <c r="O118" s="136">
        <f t="shared" si="48"/>
        <v>0</v>
      </c>
      <c r="P118" s="137">
        <f t="shared" si="52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9"/>
        <v>0</v>
      </c>
      <c r="AD118" s="72">
        <f t="shared" si="50"/>
        <v>0</v>
      </c>
      <c r="AE118" s="192" t="e">
        <f t="shared" si="51"/>
        <v>#DIV/0!</v>
      </c>
      <c r="AF118" s="133">
        <v>0</v>
      </c>
      <c r="AG118" s="124">
        <f t="shared" si="41"/>
        <v>0</v>
      </c>
    </row>
    <row r="119" spans="1:33">
      <c r="A119" s="105" t="s">
        <v>129</v>
      </c>
      <c r="B119" s="105" t="s">
        <v>395</v>
      </c>
      <c r="C119" s="105" t="s">
        <v>271</v>
      </c>
      <c r="D119" s="136"/>
      <c r="E119" s="136">
        <f t="shared" si="48"/>
        <v>0</v>
      </c>
      <c r="F119" s="136">
        <f t="shared" si="48"/>
        <v>0</v>
      </c>
      <c r="G119" s="136">
        <f t="shared" si="48"/>
        <v>0</v>
      </c>
      <c r="H119" s="136">
        <f t="shared" si="48"/>
        <v>0</v>
      </c>
      <c r="I119" s="136">
        <f t="shared" si="48"/>
        <v>0</v>
      </c>
      <c r="J119" s="136">
        <f t="shared" si="48"/>
        <v>0</v>
      </c>
      <c r="K119" s="136">
        <f t="shared" si="48"/>
        <v>0</v>
      </c>
      <c r="L119" s="136">
        <f t="shared" si="48"/>
        <v>0</v>
      </c>
      <c r="M119" s="136">
        <f t="shared" si="48"/>
        <v>0</v>
      </c>
      <c r="N119" s="136">
        <f t="shared" si="48"/>
        <v>0</v>
      </c>
      <c r="O119" s="136">
        <f t="shared" si="48"/>
        <v>0</v>
      </c>
      <c r="P119" s="137">
        <f t="shared" si="52"/>
        <v>0</v>
      </c>
      <c r="Q119" s="136">
        <v>0</v>
      </c>
      <c r="R119" s="136">
        <v>0</v>
      </c>
      <c r="S119" s="136">
        <v>0</v>
      </c>
      <c r="T119" s="136">
        <v>0</v>
      </c>
      <c r="U119" s="136">
        <v>0</v>
      </c>
      <c r="V119" s="136">
        <v>0</v>
      </c>
      <c r="W119" s="72">
        <v>0</v>
      </c>
      <c r="X119" s="72">
        <v>0</v>
      </c>
      <c r="Y119" s="72">
        <v>0</v>
      </c>
      <c r="Z119" s="72">
        <v>0</v>
      </c>
      <c r="AA119" s="72">
        <v>0</v>
      </c>
      <c r="AB119" s="72">
        <v>0</v>
      </c>
      <c r="AC119" s="137">
        <f t="shared" si="49"/>
        <v>0</v>
      </c>
      <c r="AD119" s="72">
        <f t="shared" si="50"/>
        <v>0</v>
      </c>
      <c r="AE119" s="192" t="e">
        <f t="shared" si="51"/>
        <v>#DIV/0!</v>
      </c>
      <c r="AF119" s="133">
        <v>0</v>
      </c>
      <c r="AG119" s="124">
        <f t="shared" si="41"/>
        <v>0</v>
      </c>
    </row>
    <row r="120" spans="1:33">
      <c r="A120" s="105" t="s">
        <v>130</v>
      </c>
      <c r="B120" s="105" t="s">
        <v>395</v>
      </c>
      <c r="C120" s="105" t="s">
        <v>272</v>
      </c>
      <c r="D120" s="136">
        <f>ROUND((D105+D112)*0.02,0)</f>
        <v>0</v>
      </c>
      <c r="E120" s="136">
        <f t="shared" si="48"/>
        <v>0</v>
      </c>
      <c r="F120" s="136">
        <f t="shared" si="48"/>
        <v>0</v>
      </c>
      <c r="G120" s="136">
        <f t="shared" si="48"/>
        <v>0</v>
      </c>
      <c r="H120" s="136">
        <f t="shared" si="48"/>
        <v>0</v>
      </c>
      <c r="I120" s="136">
        <f t="shared" si="48"/>
        <v>0</v>
      </c>
      <c r="J120" s="136">
        <f t="shared" si="48"/>
        <v>0</v>
      </c>
      <c r="K120" s="136">
        <f t="shared" si="48"/>
        <v>0</v>
      </c>
      <c r="L120" s="136">
        <f t="shared" si="48"/>
        <v>0</v>
      </c>
      <c r="M120" s="136">
        <f t="shared" si="48"/>
        <v>0</v>
      </c>
      <c r="N120" s="136">
        <f t="shared" si="48"/>
        <v>0</v>
      </c>
      <c r="O120" s="136">
        <f t="shared" si="48"/>
        <v>0</v>
      </c>
      <c r="P120" s="137">
        <f t="shared" si="52"/>
        <v>0</v>
      </c>
      <c r="Q120" s="136">
        <v>0</v>
      </c>
      <c r="R120" s="136">
        <v>0</v>
      </c>
      <c r="S120" s="136">
        <v>0</v>
      </c>
      <c r="T120" s="136">
        <v>0</v>
      </c>
      <c r="U120" s="136">
        <v>0</v>
      </c>
      <c r="V120" s="136">
        <v>0</v>
      </c>
      <c r="W120" s="72">
        <v>0</v>
      </c>
      <c r="X120" s="72">
        <v>0</v>
      </c>
      <c r="Y120" s="72">
        <v>0</v>
      </c>
      <c r="Z120" s="72">
        <v>0</v>
      </c>
      <c r="AA120" s="72">
        <v>0</v>
      </c>
      <c r="AB120" s="72">
        <v>0</v>
      </c>
      <c r="AC120" s="137">
        <f t="shared" si="49"/>
        <v>0</v>
      </c>
      <c r="AD120" s="72">
        <f t="shared" si="50"/>
        <v>0</v>
      </c>
      <c r="AE120" s="192" t="e">
        <f t="shared" si="51"/>
        <v>#DIV/0!</v>
      </c>
      <c r="AF120" s="133">
        <v>0</v>
      </c>
      <c r="AG120" s="124">
        <f t="shared" si="41"/>
        <v>0</v>
      </c>
    </row>
    <row r="121" spans="1:33">
      <c r="A121" s="105" t="s">
        <v>273</v>
      </c>
      <c r="C121" s="105" t="s">
        <v>274</v>
      </c>
      <c r="D121" s="136"/>
      <c r="E121" s="136">
        <f t="shared" si="48"/>
        <v>0</v>
      </c>
      <c r="F121" s="136">
        <f t="shared" si="48"/>
        <v>0</v>
      </c>
      <c r="G121" s="136">
        <f t="shared" si="48"/>
        <v>0</v>
      </c>
      <c r="H121" s="136">
        <f t="shared" si="48"/>
        <v>0</v>
      </c>
      <c r="I121" s="136">
        <f t="shared" si="48"/>
        <v>0</v>
      </c>
      <c r="J121" s="136">
        <f t="shared" si="48"/>
        <v>0</v>
      </c>
      <c r="K121" s="136">
        <f t="shared" si="48"/>
        <v>0</v>
      </c>
      <c r="L121" s="136">
        <f t="shared" si="48"/>
        <v>0</v>
      </c>
      <c r="M121" s="136">
        <f t="shared" si="48"/>
        <v>0</v>
      </c>
      <c r="N121" s="136">
        <f t="shared" si="48"/>
        <v>0</v>
      </c>
      <c r="O121" s="136">
        <f t="shared" si="48"/>
        <v>0</v>
      </c>
      <c r="P121" s="137">
        <f t="shared" si="52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9"/>
        <v>0</v>
      </c>
      <c r="AD121" s="72">
        <f t="shared" si="50"/>
        <v>0</v>
      </c>
      <c r="AE121" s="192" t="e">
        <f t="shared" si="51"/>
        <v>#DIV/0!</v>
      </c>
      <c r="AF121" s="133">
        <v>0</v>
      </c>
      <c r="AG121" s="124">
        <f t="shared" si="41"/>
        <v>0</v>
      </c>
    </row>
    <row r="122" spans="1:33">
      <c r="A122" s="105" t="s">
        <v>273</v>
      </c>
      <c r="C122" s="109" t="s">
        <v>522</v>
      </c>
      <c r="D122" s="137">
        <f t="shared" ref="D122:P122" si="53">SUM(D114:D121)</f>
        <v>0</v>
      </c>
      <c r="E122" s="137">
        <f t="shared" si="53"/>
        <v>0</v>
      </c>
      <c r="F122" s="137">
        <f t="shared" si="53"/>
        <v>0</v>
      </c>
      <c r="G122" s="137">
        <f t="shared" si="53"/>
        <v>0</v>
      </c>
      <c r="H122" s="137">
        <f t="shared" si="53"/>
        <v>0</v>
      </c>
      <c r="I122" s="137">
        <f t="shared" si="53"/>
        <v>0</v>
      </c>
      <c r="J122" s="137">
        <f t="shared" si="53"/>
        <v>0</v>
      </c>
      <c r="K122" s="137">
        <f t="shared" si="53"/>
        <v>0</v>
      </c>
      <c r="L122" s="137">
        <f t="shared" si="53"/>
        <v>0</v>
      </c>
      <c r="M122" s="137">
        <f t="shared" si="53"/>
        <v>0</v>
      </c>
      <c r="N122" s="137">
        <f t="shared" si="53"/>
        <v>0</v>
      </c>
      <c r="O122" s="137">
        <f t="shared" si="53"/>
        <v>0</v>
      </c>
      <c r="P122" s="137">
        <f t="shared" si="53"/>
        <v>0</v>
      </c>
      <c r="Q122" s="137">
        <f t="shared" ref="Q122:AC122" si="54">SUM(Q114:Q121)</f>
        <v>0</v>
      </c>
      <c r="R122" s="137">
        <f t="shared" si="54"/>
        <v>0</v>
      </c>
      <c r="S122" s="137">
        <f t="shared" si="54"/>
        <v>0</v>
      </c>
      <c r="T122" s="137">
        <f t="shared" si="54"/>
        <v>0</v>
      </c>
      <c r="U122" s="137">
        <f t="shared" si="54"/>
        <v>0</v>
      </c>
      <c r="V122" s="137">
        <f t="shared" si="54"/>
        <v>0</v>
      </c>
      <c r="W122" s="137">
        <f t="shared" si="54"/>
        <v>0</v>
      </c>
      <c r="X122" s="137">
        <f t="shared" si="54"/>
        <v>0</v>
      </c>
      <c r="Y122" s="137">
        <f t="shared" si="54"/>
        <v>0</v>
      </c>
      <c r="Z122" s="137">
        <f t="shared" si="54"/>
        <v>0</v>
      </c>
      <c r="AA122" s="137">
        <f t="shared" si="54"/>
        <v>0</v>
      </c>
      <c r="AB122" s="137">
        <f t="shared" si="54"/>
        <v>0</v>
      </c>
      <c r="AC122" s="137">
        <f t="shared" si="54"/>
        <v>0</v>
      </c>
      <c r="AD122" s="72">
        <f t="shared" si="50"/>
        <v>0</v>
      </c>
      <c r="AE122" s="192" t="e">
        <f t="shared" si="51"/>
        <v>#DIV/0!</v>
      </c>
      <c r="AF122" s="133">
        <v>0</v>
      </c>
      <c r="AG122" s="124">
        <f t="shared" si="41"/>
        <v>0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7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1"/>
        <v>0</v>
      </c>
    </row>
    <row r="124" spans="1:33">
      <c r="A124" s="105" t="s">
        <v>131</v>
      </c>
      <c r="B124" s="105" t="s">
        <v>395</v>
      </c>
      <c r="C124" s="105" t="s">
        <v>276</v>
      </c>
      <c r="D124" s="136"/>
      <c r="E124" s="136"/>
      <c r="F124" s="136"/>
      <c r="G124" s="136"/>
      <c r="H124" s="136"/>
      <c r="I124" s="136"/>
      <c r="J124" s="123"/>
      <c r="K124" s="123"/>
      <c r="L124" s="123"/>
      <c r="M124" s="123"/>
      <c r="N124" s="123"/>
      <c r="O124" s="123"/>
      <c r="P124" s="133"/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5">SUM(Q124:AB124)</f>
        <v>0</v>
      </c>
      <c r="AD124" s="72">
        <f t="shared" ref="AD124:AD134" si="56">P124-AC124</f>
        <v>0</v>
      </c>
      <c r="AE124" s="192" t="e">
        <f t="shared" ref="AE124:AE134" si="57">AD124/AC124</f>
        <v>#DIV/0!</v>
      </c>
      <c r="AF124" s="133">
        <v>0</v>
      </c>
      <c r="AG124" s="124">
        <f t="shared" si="41"/>
        <v>0</v>
      </c>
    </row>
    <row r="125" spans="1:33">
      <c r="A125" s="105" t="s">
        <v>132</v>
      </c>
      <c r="B125" s="105" t="s">
        <v>395</v>
      </c>
      <c r="C125" s="105" t="s">
        <v>277</v>
      </c>
      <c r="D125" s="136"/>
      <c r="E125" s="136"/>
      <c r="F125" s="136"/>
      <c r="G125" s="136"/>
      <c r="H125" s="136"/>
      <c r="I125" s="136"/>
      <c r="J125" s="123"/>
      <c r="K125" s="123"/>
      <c r="L125" s="123"/>
      <c r="M125" s="123"/>
      <c r="N125" s="123"/>
      <c r="O125" s="123"/>
      <c r="P125" s="133">
        <f t="shared" ref="P125:P132" si="58">SUM(D125:O125)</f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5"/>
        <v>0</v>
      </c>
      <c r="AD125" s="72">
        <f t="shared" si="56"/>
        <v>0</v>
      </c>
      <c r="AE125" s="192" t="e">
        <f t="shared" si="57"/>
        <v>#DIV/0!</v>
      </c>
      <c r="AF125" s="133">
        <v>0</v>
      </c>
      <c r="AG125" s="124">
        <f t="shared" si="41"/>
        <v>0</v>
      </c>
    </row>
    <row r="126" spans="1:33">
      <c r="A126" s="105" t="s">
        <v>133</v>
      </c>
      <c r="B126" s="105" t="s">
        <v>395</v>
      </c>
      <c r="C126" s="105" t="s">
        <v>278</v>
      </c>
      <c r="D126" s="136"/>
      <c r="E126" s="136"/>
      <c r="F126" s="136"/>
      <c r="G126" s="136"/>
      <c r="H126" s="136"/>
      <c r="I126" s="136"/>
      <c r="J126" s="123"/>
      <c r="K126" s="123"/>
      <c r="L126" s="123"/>
      <c r="M126" s="123"/>
      <c r="N126" s="123"/>
      <c r="O126" s="123"/>
      <c r="P126" s="133">
        <f t="shared" si="58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5"/>
        <v>0</v>
      </c>
      <c r="AD126" s="72">
        <f t="shared" si="56"/>
        <v>0</v>
      </c>
      <c r="AE126" s="192" t="e">
        <f t="shared" si="57"/>
        <v>#DIV/0!</v>
      </c>
      <c r="AF126" s="133">
        <v>0</v>
      </c>
      <c r="AG126" s="124">
        <f t="shared" si="41"/>
        <v>0</v>
      </c>
    </row>
    <row r="127" spans="1:33">
      <c r="A127" s="105" t="s">
        <v>134</v>
      </c>
      <c r="B127" s="105" t="s">
        <v>395</v>
      </c>
      <c r="C127" s="105" t="s">
        <v>279</v>
      </c>
      <c r="D127" s="136"/>
      <c r="E127" s="136"/>
      <c r="F127" s="136"/>
      <c r="G127" s="136"/>
      <c r="H127" s="136"/>
      <c r="I127" s="136"/>
      <c r="J127" s="123"/>
      <c r="K127" s="123"/>
      <c r="L127" s="123"/>
      <c r="M127" s="123"/>
      <c r="N127" s="123"/>
      <c r="O127" s="123"/>
      <c r="P127" s="133">
        <f t="shared" si="58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5"/>
        <v>0</v>
      </c>
      <c r="AD127" s="72">
        <f t="shared" si="56"/>
        <v>0</v>
      </c>
      <c r="AE127" s="192" t="e">
        <f t="shared" si="57"/>
        <v>#DIV/0!</v>
      </c>
      <c r="AF127" s="133">
        <v>0</v>
      </c>
      <c r="AG127" s="124">
        <f t="shared" si="41"/>
        <v>0</v>
      </c>
    </row>
    <row r="128" spans="1:33">
      <c r="A128" s="105" t="s">
        <v>135</v>
      </c>
      <c r="B128" s="105" t="s">
        <v>395</v>
      </c>
      <c r="C128" s="105" t="s">
        <v>280</v>
      </c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7">
        <f t="shared" si="58"/>
        <v>0</v>
      </c>
      <c r="Q128" s="136">
        <v>0</v>
      </c>
      <c r="R128" s="136">
        <v>0</v>
      </c>
      <c r="S128" s="136">
        <v>0</v>
      </c>
      <c r="T128" s="136">
        <v>0</v>
      </c>
      <c r="U128" s="136">
        <v>0</v>
      </c>
      <c r="V128" s="136">
        <v>0</v>
      </c>
      <c r="W128" s="72">
        <v>0</v>
      </c>
      <c r="X128" s="72">
        <v>0</v>
      </c>
      <c r="Y128" s="72">
        <v>0</v>
      </c>
      <c r="Z128" s="72">
        <v>0</v>
      </c>
      <c r="AA128" s="72">
        <v>0</v>
      </c>
      <c r="AB128" s="72">
        <v>0</v>
      </c>
      <c r="AC128" s="137">
        <f t="shared" si="55"/>
        <v>0</v>
      </c>
      <c r="AD128" s="72">
        <f t="shared" si="56"/>
        <v>0</v>
      </c>
      <c r="AE128" s="192" t="e">
        <f t="shared" si="57"/>
        <v>#DIV/0!</v>
      </c>
      <c r="AF128" s="133">
        <v>30</v>
      </c>
      <c r="AG128" s="124">
        <f t="shared" si="41"/>
        <v>30</v>
      </c>
    </row>
    <row r="129" spans="1:33">
      <c r="A129" s="105" t="s">
        <v>136</v>
      </c>
      <c r="B129" s="105" t="s">
        <v>395</v>
      </c>
      <c r="C129" s="105" t="s">
        <v>282</v>
      </c>
      <c r="D129" s="164">
        <f>+'Dormitory+&amp;+Shuttle+Bus'!D142</f>
        <v>0</v>
      </c>
      <c r="E129" s="164">
        <f>+'Dormitory+&amp;+Shuttle+Bus'!E142</f>
        <v>0</v>
      </c>
      <c r="F129" s="164">
        <f>+'Dormitory+&amp;+Shuttle+Bus'!F142</f>
        <v>0</v>
      </c>
      <c r="G129" s="164">
        <f>+'Dormitory+&amp;+Shuttle+Bus'!G142</f>
        <v>0</v>
      </c>
      <c r="H129" s="164">
        <f>+'Dormitory+&amp;+Shuttle+Bus'!H142</f>
        <v>0</v>
      </c>
      <c r="I129" s="164">
        <f>+'Dormitory+&amp;+Shuttle+Bus'!I142</f>
        <v>0</v>
      </c>
      <c r="J129" s="164">
        <f>+'Dormitory+&amp;+Shuttle+Bus'!J142</f>
        <v>0</v>
      </c>
      <c r="K129" s="164">
        <f>+'Dormitory+&amp;+Shuttle+Bus'!K142</f>
        <v>0</v>
      </c>
      <c r="L129" s="164">
        <f>+'Dormitory+&amp;+Shuttle+Bus'!L142</f>
        <v>0</v>
      </c>
      <c r="M129" s="164">
        <f>+'Dormitory+&amp;+Shuttle+Bus'!M142</f>
        <v>0</v>
      </c>
      <c r="N129" s="164">
        <f>+'Dormitory+&amp;+Shuttle+Bus'!N142</f>
        <v>0</v>
      </c>
      <c r="O129" s="164">
        <f>+'Dormitory+&amp;+Shuttle+Bus'!O142</f>
        <v>0</v>
      </c>
      <c r="P129" s="137">
        <f t="shared" si="58"/>
        <v>0</v>
      </c>
      <c r="Q129" s="136">
        <v>0</v>
      </c>
      <c r="R129" s="136">
        <v>0</v>
      </c>
      <c r="S129" s="136">
        <v>0</v>
      </c>
      <c r="T129" s="136">
        <v>0</v>
      </c>
      <c r="U129" s="136">
        <v>0</v>
      </c>
      <c r="V129" s="136">
        <v>0</v>
      </c>
      <c r="W129" s="72">
        <v>0</v>
      </c>
      <c r="X129" s="72">
        <v>0</v>
      </c>
      <c r="Y129" s="72">
        <v>0</v>
      </c>
      <c r="Z129" s="72">
        <v>0</v>
      </c>
      <c r="AA129" s="72">
        <v>0</v>
      </c>
      <c r="AB129" s="72">
        <v>0</v>
      </c>
      <c r="AC129" s="137">
        <f t="shared" si="55"/>
        <v>0</v>
      </c>
      <c r="AD129" s="72">
        <f t="shared" si="56"/>
        <v>0</v>
      </c>
      <c r="AE129" s="192" t="e">
        <f t="shared" si="57"/>
        <v>#DIV/0!</v>
      </c>
      <c r="AF129" s="133">
        <v>0</v>
      </c>
      <c r="AG129" s="124">
        <f t="shared" si="41"/>
        <v>0</v>
      </c>
    </row>
    <row r="130" spans="1:33">
      <c r="A130" s="105" t="s">
        <v>137</v>
      </c>
      <c r="B130" s="105" t="s">
        <v>395</v>
      </c>
      <c r="C130" s="105" t="s">
        <v>283</v>
      </c>
      <c r="D130" s="164">
        <f>'Staff+Canteen'!D280</f>
        <v>0</v>
      </c>
      <c r="E130" s="164">
        <f>'Staff+Canteen'!E280</f>
        <v>0</v>
      </c>
      <c r="F130" s="164">
        <f>'Staff+Canteen'!F280</f>
        <v>0</v>
      </c>
      <c r="G130" s="164">
        <f>'Staff+Canteen'!G280</f>
        <v>0</v>
      </c>
      <c r="H130" s="164">
        <f>'Staff+Canteen'!H280</f>
        <v>0</v>
      </c>
      <c r="I130" s="164">
        <f>'Staff+Canteen'!I280</f>
        <v>0</v>
      </c>
      <c r="J130" s="164">
        <f>'Staff+Canteen'!J280</f>
        <v>0</v>
      </c>
      <c r="K130" s="164">
        <f>'Staff+Canteen'!K280</f>
        <v>0</v>
      </c>
      <c r="L130" s="164">
        <f>'Staff+Canteen'!L280</f>
        <v>0</v>
      </c>
      <c r="M130" s="164">
        <f>'Staff+Canteen'!M280</f>
        <v>0</v>
      </c>
      <c r="N130" s="164">
        <f>'Staff+Canteen'!N280</f>
        <v>0</v>
      </c>
      <c r="O130" s="164">
        <f>'Staff+Canteen'!O280</f>
        <v>0</v>
      </c>
      <c r="P130" s="137">
        <f t="shared" si="58"/>
        <v>0</v>
      </c>
      <c r="Q130" s="136">
        <v>0</v>
      </c>
      <c r="R130" s="136">
        <v>0</v>
      </c>
      <c r="S130" s="136">
        <v>0</v>
      </c>
      <c r="T130" s="136">
        <v>0</v>
      </c>
      <c r="U130" s="136">
        <v>0</v>
      </c>
      <c r="V130" s="136">
        <v>0</v>
      </c>
      <c r="W130" s="72">
        <v>0</v>
      </c>
      <c r="X130" s="72">
        <v>0</v>
      </c>
      <c r="Y130" s="72">
        <v>0</v>
      </c>
      <c r="Z130" s="72">
        <v>0</v>
      </c>
      <c r="AA130" s="72">
        <v>0</v>
      </c>
      <c r="AB130" s="72">
        <v>0</v>
      </c>
      <c r="AC130" s="137">
        <f t="shared" si="55"/>
        <v>0</v>
      </c>
      <c r="AD130" s="72">
        <f t="shared" si="56"/>
        <v>0</v>
      </c>
      <c r="AE130" s="192" t="e">
        <f t="shared" si="57"/>
        <v>#DIV/0!</v>
      </c>
      <c r="AF130" s="133">
        <v>0</v>
      </c>
      <c r="AG130" s="124">
        <f t="shared" si="41"/>
        <v>0</v>
      </c>
    </row>
    <row r="131" spans="1:33">
      <c r="A131" s="105" t="s">
        <v>138</v>
      </c>
      <c r="B131" s="105" t="s">
        <v>395</v>
      </c>
      <c r="C131" s="105" t="s">
        <v>472</v>
      </c>
      <c r="D131" s="136"/>
      <c r="E131" s="136"/>
      <c r="F131" s="136"/>
      <c r="G131" s="136"/>
      <c r="H131" s="136"/>
      <c r="I131" s="136"/>
      <c r="J131" s="140"/>
      <c r="K131" s="140"/>
      <c r="L131" s="140"/>
      <c r="M131" s="140"/>
      <c r="N131" s="140"/>
      <c r="O131" s="140"/>
      <c r="P131" s="137">
        <f t="shared" si="58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5"/>
        <v>0</v>
      </c>
      <c r="AD131" s="72">
        <f t="shared" si="56"/>
        <v>0</v>
      </c>
      <c r="AE131" s="192" t="e">
        <f t="shared" si="57"/>
        <v>#DIV/0!</v>
      </c>
      <c r="AF131" s="133">
        <v>0</v>
      </c>
      <c r="AG131" s="124">
        <f t="shared" si="41"/>
        <v>0</v>
      </c>
    </row>
    <row r="132" spans="1:33">
      <c r="A132" s="105" t="s">
        <v>140</v>
      </c>
      <c r="B132" s="105" t="s">
        <v>395</v>
      </c>
      <c r="C132" s="105" t="s">
        <v>583</v>
      </c>
      <c r="D132" s="136"/>
      <c r="E132" s="136"/>
      <c r="F132" s="136"/>
      <c r="G132" s="136"/>
      <c r="H132" s="136"/>
      <c r="I132" s="136"/>
      <c r="J132" s="140"/>
      <c r="K132" s="140"/>
      <c r="L132" s="140"/>
      <c r="M132" s="140"/>
      <c r="N132" s="140"/>
      <c r="O132" s="140"/>
      <c r="P132" s="137">
        <f t="shared" si="58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5"/>
        <v>0</v>
      </c>
      <c r="AD132" s="72">
        <f t="shared" si="56"/>
        <v>0</v>
      </c>
      <c r="AE132" s="192" t="e">
        <f t="shared" si="57"/>
        <v>#DIV/0!</v>
      </c>
      <c r="AF132" s="133">
        <v>0</v>
      </c>
      <c r="AG132" s="124">
        <f t="shared" si="41"/>
        <v>0</v>
      </c>
    </row>
    <row r="133" spans="1:33">
      <c r="A133" s="105" t="s">
        <v>273</v>
      </c>
      <c r="C133" s="109" t="s">
        <v>523</v>
      </c>
      <c r="D133" s="137">
        <f t="shared" ref="D133:AC133" si="59">SUM(D124:D132)</f>
        <v>0</v>
      </c>
      <c r="E133" s="137">
        <f t="shared" si="59"/>
        <v>0</v>
      </c>
      <c r="F133" s="137">
        <f t="shared" si="59"/>
        <v>0</v>
      </c>
      <c r="G133" s="137">
        <f t="shared" si="59"/>
        <v>0</v>
      </c>
      <c r="H133" s="137">
        <f t="shared" si="59"/>
        <v>0</v>
      </c>
      <c r="I133" s="137">
        <f t="shared" si="59"/>
        <v>0</v>
      </c>
      <c r="J133" s="137">
        <f t="shared" si="59"/>
        <v>0</v>
      </c>
      <c r="K133" s="137">
        <f t="shared" si="59"/>
        <v>0</v>
      </c>
      <c r="L133" s="137">
        <f t="shared" si="59"/>
        <v>0</v>
      </c>
      <c r="M133" s="137">
        <f t="shared" si="59"/>
        <v>0</v>
      </c>
      <c r="N133" s="137">
        <f t="shared" si="59"/>
        <v>0</v>
      </c>
      <c r="O133" s="137">
        <f t="shared" si="59"/>
        <v>0</v>
      </c>
      <c r="P133" s="137">
        <f t="shared" si="59"/>
        <v>0</v>
      </c>
      <c r="Q133" s="137">
        <f t="shared" si="59"/>
        <v>0</v>
      </c>
      <c r="R133" s="137">
        <f t="shared" si="59"/>
        <v>0</v>
      </c>
      <c r="S133" s="137">
        <f t="shared" si="59"/>
        <v>0</v>
      </c>
      <c r="T133" s="137">
        <f t="shared" si="59"/>
        <v>0</v>
      </c>
      <c r="U133" s="137">
        <f t="shared" si="59"/>
        <v>0</v>
      </c>
      <c r="V133" s="137">
        <f t="shared" si="59"/>
        <v>0</v>
      </c>
      <c r="W133" s="137">
        <f t="shared" si="59"/>
        <v>0</v>
      </c>
      <c r="X133" s="137">
        <f t="shared" si="59"/>
        <v>0</v>
      </c>
      <c r="Y133" s="137">
        <f t="shared" si="59"/>
        <v>0</v>
      </c>
      <c r="Z133" s="137">
        <f t="shared" si="59"/>
        <v>0</v>
      </c>
      <c r="AA133" s="137">
        <f t="shared" si="59"/>
        <v>0</v>
      </c>
      <c r="AB133" s="137">
        <f t="shared" si="59"/>
        <v>0</v>
      </c>
      <c r="AC133" s="137">
        <f t="shared" si="59"/>
        <v>0</v>
      </c>
      <c r="AD133" s="72">
        <f t="shared" si="56"/>
        <v>0</v>
      </c>
      <c r="AE133" s="192" t="e">
        <f t="shared" si="57"/>
        <v>#DIV/0!</v>
      </c>
      <c r="AF133" s="133">
        <v>30</v>
      </c>
      <c r="AG133" s="124">
        <f t="shared" si="41"/>
        <v>30</v>
      </c>
    </row>
    <row r="134" spans="1:33">
      <c r="A134" s="105" t="s">
        <v>273</v>
      </c>
      <c r="C134" s="109" t="s">
        <v>524</v>
      </c>
      <c r="D134" s="137">
        <f t="shared" ref="D134:AC134" si="60">D105+D112+D122+D133</f>
        <v>0</v>
      </c>
      <c r="E134" s="137">
        <f t="shared" si="60"/>
        <v>0</v>
      </c>
      <c r="F134" s="137">
        <f t="shared" si="60"/>
        <v>0</v>
      </c>
      <c r="G134" s="137">
        <f t="shared" si="60"/>
        <v>0</v>
      </c>
      <c r="H134" s="137">
        <f t="shared" si="60"/>
        <v>0</v>
      </c>
      <c r="I134" s="137">
        <f t="shared" si="60"/>
        <v>0</v>
      </c>
      <c r="J134" s="137">
        <f t="shared" si="60"/>
        <v>0</v>
      </c>
      <c r="K134" s="137">
        <f t="shared" si="60"/>
        <v>0</v>
      </c>
      <c r="L134" s="137">
        <f t="shared" si="60"/>
        <v>0</v>
      </c>
      <c r="M134" s="137">
        <f t="shared" si="60"/>
        <v>0</v>
      </c>
      <c r="N134" s="137">
        <f t="shared" si="60"/>
        <v>0</v>
      </c>
      <c r="O134" s="137">
        <f t="shared" si="60"/>
        <v>0</v>
      </c>
      <c r="P134" s="137">
        <f t="shared" si="60"/>
        <v>0</v>
      </c>
      <c r="Q134" s="137">
        <f t="shared" si="60"/>
        <v>0</v>
      </c>
      <c r="R134" s="137">
        <f t="shared" si="60"/>
        <v>0</v>
      </c>
      <c r="S134" s="137">
        <f t="shared" si="60"/>
        <v>0</v>
      </c>
      <c r="T134" s="137">
        <f t="shared" si="60"/>
        <v>0</v>
      </c>
      <c r="U134" s="137">
        <f t="shared" si="60"/>
        <v>0</v>
      </c>
      <c r="V134" s="137">
        <f t="shared" si="60"/>
        <v>0</v>
      </c>
      <c r="W134" s="137">
        <f t="shared" si="60"/>
        <v>0</v>
      </c>
      <c r="X134" s="137">
        <f t="shared" si="60"/>
        <v>0</v>
      </c>
      <c r="Y134" s="137">
        <f t="shared" si="60"/>
        <v>0</v>
      </c>
      <c r="Z134" s="137">
        <f t="shared" si="60"/>
        <v>0</v>
      </c>
      <c r="AA134" s="137">
        <f t="shared" si="60"/>
        <v>0</v>
      </c>
      <c r="AB134" s="137">
        <f t="shared" si="60"/>
        <v>0</v>
      </c>
      <c r="AC134" s="137">
        <f t="shared" si="60"/>
        <v>0</v>
      </c>
      <c r="AD134" s="72">
        <f t="shared" si="56"/>
        <v>0</v>
      </c>
      <c r="AE134" s="192" t="e">
        <f t="shared" si="57"/>
        <v>#DIV/0!</v>
      </c>
      <c r="AF134" s="133">
        <v>30</v>
      </c>
      <c r="AG134" s="124">
        <f t="shared" si="41"/>
        <v>30</v>
      </c>
    </row>
    <row r="135" spans="1:33">
      <c r="A135" s="105" t="s">
        <v>551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1"/>
        <v>0</v>
      </c>
    </row>
    <row r="136" spans="1:33" s="224" customFormat="1">
      <c r="A136" s="224" t="s">
        <v>141</v>
      </c>
      <c r="B136" s="224" t="s">
        <v>395</v>
      </c>
      <c r="C136" s="224" t="s">
        <v>142</v>
      </c>
      <c r="D136" s="225"/>
      <c r="E136" s="225"/>
      <c r="F136" s="225"/>
      <c r="G136" s="225"/>
      <c r="H136" s="225"/>
      <c r="I136" s="225"/>
      <c r="J136" s="225"/>
      <c r="K136" s="225"/>
      <c r="L136" s="225"/>
      <c r="M136" s="225"/>
      <c r="N136" s="225"/>
      <c r="O136" s="225"/>
      <c r="P136" s="225">
        <f>SUM(D136:O136)/12</f>
        <v>0</v>
      </c>
      <c r="Q136" s="225">
        <v>0</v>
      </c>
      <c r="R136" s="225">
        <v>0</v>
      </c>
      <c r="S136" s="225">
        <v>0</v>
      </c>
      <c r="T136" s="225">
        <v>0</v>
      </c>
      <c r="U136" s="225">
        <v>0</v>
      </c>
      <c r="V136" s="225">
        <v>0</v>
      </c>
      <c r="W136" s="127">
        <v>0</v>
      </c>
      <c r="X136" s="127">
        <v>0</v>
      </c>
      <c r="Y136" s="127">
        <v>0</v>
      </c>
      <c r="Z136" s="127">
        <v>0</v>
      </c>
      <c r="AA136" s="127">
        <v>0</v>
      </c>
      <c r="AB136" s="127">
        <v>0</v>
      </c>
      <c r="AC136" s="225">
        <f>SUM(Q136:AB136)/12</f>
        <v>0</v>
      </c>
      <c r="AD136" s="225">
        <f t="shared" ref="AD136" si="61">P136-AC136</f>
        <v>0</v>
      </c>
      <c r="AE136" s="226" t="e">
        <f t="shared" ref="AE136" si="62">AD136/AC136</f>
        <v>#DIV/0!</v>
      </c>
      <c r="AF136" s="227">
        <v>0</v>
      </c>
      <c r="AG136" s="228">
        <f t="shared" si="41"/>
        <v>0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584</v>
      </c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7">
        <f t="shared" ref="P138:P140" si="63">SUM(D138:O138)</f>
        <v>0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293</v>
      </c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7">
        <f t="shared" si="63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294</v>
      </c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7">
        <f t="shared" si="63"/>
        <v>0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0</v>
      </c>
      <c r="E141" s="117">
        <f t="shared" ref="E141:P141" si="64">SUM(E138:E140)</f>
        <v>0</v>
      </c>
      <c r="F141" s="117">
        <f t="shared" si="64"/>
        <v>0</v>
      </c>
      <c r="G141" s="117">
        <f t="shared" si="64"/>
        <v>0</v>
      </c>
      <c r="H141" s="117">
        <f t="shared" si="64"/>
        <v>0</v>
      </c>
      <c r="I141" s="117">
        <f t="shared" si="64"/>
        <v>0</v>
      </c>
      <c r="J141" s="117">
        <f t="shared" si="64"/>
        <v>0</v>
      </c>
      <c r="K141" s="117">
        <f t="shared" si="64"/>
        <v>0</v>
      </c>
      <c r="L141" s="117">
        <f t="shared" si="64"/>
        <v>0</v>
      </c>
      <c r="M141" s="117">
        <f t="shared" si="64"/>
        <v>0</v>
      </c>
      <c r="N141" s="117">
        <f t="shared" si="64"/>
        <v>0</v>
      </c>
      <c r="O141" s="117">
        <f t="shared" si="64"/>
        <v>0</v>
      </c>
      <c r="P141" s="117">
        <f t="shared" si="64"/>
        <v>0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19">
    <dataValidation type="textLength" errorStyle="information" allowBlank="1" showInputMessage="1" showErrorMessage="1" error="XLBVal:6=2.58_x000d__x000a_" sqref="Q74">
      <formula1>0</formula1>
      <formula2>300</formula2>
    </dataValidation>
    <dataValidation type="textLength" errorStyle="information" allowBlank="1" showInputMessage="1" showErrorMessage="1" error="XLBVal:6=89900.92_x000d__x000a_" sqref="D120">
      <formula1>0</formula1>
      <formula2>300</formula2>
    </dataValidation>
    <dataValidation type="textLength" errorStyle="information" allowBlank="1" showInputMessage="1" showErrorMessage="1" error="XLBVal:6=2161.57_x000d__x000a_" sqref="I32">
      <formula1>0</formula1>
      <formula2>300</formula2>
    </dataValidation>
    <dataValidation type="textLength" errorStyle="information" allowBlank="1" showInputMessage="1" showErrorMessage="1" error="XLBVal:6=3368_x000d__x000a_" sqref="I25">
      <formula1>0</formula1>
      <formula2>300</formula2>
    </dataValidation>
    <dataValidation type="textLength" errorStyle="information" allowBlank="1" showInputMessage="1" showErrorMessage="1" error="XLBVal:6=2604_x000d__x000a_" sqref="H32">
      <formula1>0</formula1>
      <formula2>300</formula2>
    </dataValidation>
    <dataValidation type="textLength" errorStyle="information" allowBlank="1" showInputMessage="1" showErrorMessage="1" error="XLBVal:6=2918.9_x000d__x000a_" sqref="H25">
      <formula1>0</formula1>
      <formula2>300</formula2>
    </dataValidation>
    <dataValidation type="textLength" errorStyle="information" allowBlank="1" showInputMessage="1" showErrorMessage="1" error="XLBVal:6=2166.12_x000d__x000a_" sqref="G32">
      <formula1>0</formula1>
      <formula2>300</formula2>
    </dataValidation>
    <dataValidation type="textLength" errorStyle="information" allowBlank="1" showInputMessage="1" showErrorMessage="1" error="XLBVal:6=4966.1_x000d__x000a_" sqref="G25">
      <formula1>0</formula1>
      <formula2>300</formula2>
    </dataValidation>
    <dataValidation type="textLength" errorStyle="information" allowBlank="1" showInputMessage="1" showErrorMessage="1" error="XLBVal:6=2338.99_x000d__x000a_" sqref="F32">
      <formula1>0</formula1>
      <formula2>300</formula2>
    </dataValidation>
    <dataValidation type="textLength" errorStyle="information" allowBlank="1" showInputMessage="1" showErrorMessage="1" error="XLBVal:6=5951_x000d__x000a_" sqref="E32">
      <formula1>0</formula1>
      <formula2>300</formula2>
    </dataValidation>
    <dataValidation type="textLength" errorStyle="information" allowBlank="1" showInputMessage="1" showErrorMessage="1" error="XLBVal:6=30965_x000d__x000a_" sqref="D32">
      <formula1>0</formula1>
      <formula2>300</formula2>
    </dataValidation>
    <dataValidation type="textLength" errorStyle="information" allowBlank="1" showInputMessage="1" showErrorMessage="1" error="XLBVal:6=6511.3_x000d__x000a_" sqref="F25">
      <formula1>0</formula1>
      <formula2>300</formula2>
    </dataValidation>
    <dataValidation type="textLength" errorStyle="information" allowBlank="1" showInputMessage="1" showErrorMessage="1" error="XLBVal:6=2466_x000d__x000a_" sqref="E25">
      <formula1>0</formula1>
      <formula2>300</formula2>
    </dataValidation>
    <dataValidation type="textLength" errorStyle="information" allowBlank="1" showInputMessage="1" showErrorMessage="1" error="XLBVal:6=2245.2_x000d__x000a_" sqref="D25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3_x000d__x000a_" sqref="D74:I74 R74:V7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2=0_x000d__x000a_" sqref="D85:I89 D131:I132 D17:I21 D9:O13 D136:I136 D73:I73 Q124:AB132 D109:I111 D24:I24 D31:I31 E114:O120 D107:I107 D124:I128 D75:I78 D121:O121 D102:O104 D114:D119 Q24:AB26 Q85:AB89 Q75:V79 D26:I26 Q9:AB13 Q17:AB21 W38:AB79 W93:AB97 Q102:AB104 Q107:AB111 Q114:AB121 Q136:AB136 Q38:V73 D38:I42 D44:I71 Q30:AB32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AG161"/>
  <sheetViews>
    <sheetView view="pageBreakPreview" zoomScaleNormal="100" zoomScaleSheetLayoutView="100" workbookViewId="0">
      <pane xSplit="4" ySplit="7" topLeftCell="N23" activePane="bottomRight" state="frozen"/>
      <selection activeCell="AP43" sqref="AP43"/>
      <selection pane="topRight" activeCell="AP43" sqref="AP43"/>
      <selection pane="bottomLeft" activeCell="AP43" sqref="AP43"/>
      <selection pane="bottomRight" activeCell="P80" sqref="P80"/>
    </sheetView>
  </sheetViews>
  <sheetFormatPr defaultColWidth="9" defaultRowHeight="14.25" outlineLevelCol="2"/>
  <cols>
    <col min="1" max="1" width="9" style="105" hidden="1" customWidth="1" outlineLevel="1"/>
    <col min="2" max="2" width="13.5" style="105" hidden="1" customWidth="1" outlineLevel="1"/>
    <col min="3" max="3" width="55.625" style="105" customWidth="1" collapsed="1"/>
    <col min="4" max="15" width="14.5" style="72" bestFit="1" customWidth="1"/>
    <col min="16" max="16" width="19.5" style="127" bestFit="1" customWidth="1"/>
    <col min="17" max="25" width="14.625" style="72" hidden="1" customWidth="1" outlineLevel="1"/>
    <col min="26" max="28" width="14.625" style="72" hidden="1" customWidth="1" outlineLevel="2"/>
    <col min="29" max="29" width="16.125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585</v>
      </c>
      <c r="D3" s="2" t="s">
        <v>0</v>
      </c>
      <c r="E3" s="2" t="s">
        <v>0</v>
      </c>
      <c r="F3" s="2" t="s">
        <v>556</v>
      </c>
      <c r="G3" s="2" t="s">
        <v>556</v>
      </c>
      <c r="H3" s="2" t="s">
        <v>0</v>
      </c>
      <c r="I3" s="2" t="s">
        <v>0</v>
      </c>
      <c r="J3" s="2" t="s">
        <v>151</v>
      </c>
      <c r="K3" s="2" t="s">
        <v>572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556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155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397</v>
      </c>
      <c r="C9" s="105" t="s">
        <v>481</v>
      </c>
      <c r="D9" s="210">
        <f>ROUND(D85*D93,0)</f>
        <v>29400</v>
      </c>
      <c r="E9" s="210">
        <f t="shared" ref="E9:O9" si="0">ROUND(E85*E93,0)</f>
        <v>29400</v>
      </c>
      <c r="F9" s="210">
        <f t="shared" si="0"/>
        <v>29400</v>
      </c>
      <c r="G9" s="210">
        <f t="shared" si="0"/>
        <v>26460</v>
      </c>
      <c r="H9" s="210">
        <f t="shared" si="0"/>
        <v>26460</v>
      </c>
      <c r="I9" s="210">
        <f t="shared" si="0"/>
        <v>26460</v>
      </c>
      <c r="J9" s="210">
        <f t="shared" si="0"/>
        <v>29400</v>
      </c>
      <c r="K9" s="210">
        <f t="shared" si="0"/>
        <v>29400</v>
      </c>
      <c r="L9" s="210">
        <f t="shared" si="0"/>
        <v>26460</v>
      </c>
      <c r="M9" s="210">
        <f t="shared" si="0"/>
        <v>26460</v>
      </c>
      <c r="N9" s="210">
        <f t="shared" si="0"/>
        <v>29400</v>
      </c>
      <c r="O9" s="210">
        <f t="shared" si="0"/>
        <v>29400</v>
      </c>
      <c r="P9" s="127">
        <f>SUM(D9:O9)</f>
        <v>338100</v>
      </c>
      <c r="Q9" s="72">
        <v>42469.95</v>
      </c>
      <c r="R9" s="72">
        <v>27549.09</v>
      </c>
      <c r="S9" s="72">
        <v>48701.05</v>
      </c>
      <c r="T9" s="72">
        <v>50009.23</v>
      </c>
      <c r="U9" s="72">
        <v>62424.23</v>
      </c>
      <c r="V9" s="72">
        <v>45343.51</v>
      </c>
      <c r="W9" s="72">
        <v>46018.95</v>
      </c>
      <c r="X9" s="72">
        <v>37985.49</v>
      </c>
      <c r="Y9" s="72">
        <v>26460</v>
      </c>
      <c r="Z9" s="72">
        <v>26460</v>
      </c>
      <c r="AA9" s="72">
        <v>29400</v>
      </c>
      <c r="AB9" s="72">
        <v>29400</v>
      </c>
      <c r="AC9" s="127">
        <f>SUM(Q9:AB9)</f>
        <v>472221.5</v>
      </c>
      <c r="AD9" s="72">
        <f t="shared" ref="AD9:AD14" si="1">P9-AC9</f>
        <v>-134121.5</v>
      </c>
      <c r="AE9" s="192">
        <f t="shared" ref="AE9:AE14" si="2">AD9/AC9</f>
        <v>-0.28402243438725261</v>
      </c>
      <c r="AF9" s="129">
        <v>183877.11000000004</v>
      </c>
      <c r="AG9" s="124">
        <f t="shared" ref="AG9:AG27" si="3">P9-AF9</f>
        <v>154222.88999999996</v>
      </c>
    </row>
    <row r="10" spans="1:33">
      <c r="A10" s="105" t="s">
        <v>482</v>
      </c>
      <c r="B10" s="105" t="s">
        <v>397</v>
      </c>
      <c r="C10" s="105" t="s">
        <v>483</v>
      </c>
      <c r="D10" s="210">
        <f t="shared" ref="D10:O13" si="4">ROUND(D86*D94,0)</f>
        <v>75000</v>
      </c>
      <c r="E10" s="210">
        <f t="shared" si="4"/>
        <v>94500</v>
      </c>
      <c r="F10" s="210">
        <f t="shared" si="4"/>
        <v>49500</v>
      </c>
      <c r="G10" s="210">
        <f t="shared" si="4"/>
        <v>44000</v>
      </c>
      <c r="H10" s="210">
        <f t="shared" si="4"/>
        <v>38500</v>
      </c>
      <c r="I10" s="210">
        <f t="shared" si="4"/>
        <v>38500</v>
      </c>
      <c r="J10" s="210">
        <f t="shared" si="4"/>
        <v>44000</v>
      </c>
      <c r="K10" s="210">
        <f t="shared" si="4"/>
        <v>44000</v>
      </c>
      <c r="L10" s="210">
        <f t="shared" si="4"/>
        <v>48000</v>
      </c>
      <c r="M10" s="210">
        <f t="shared" si="4"/>
        <v>56250</v>
      </c>
      <c r="N10" s="210">
        <f t="shared" si="4"/>
        <v>56250</v>
      </c>
      <c r="O10" s="210">
        <f t="shared" si="4"/>
        <v>71500</v>
      </c>
      <c r="P10" s="127">
        <f>SUM(D10:O10)</f>
        <v>660000</v>
      </c>
      <c r="Q10" s="72">
        <v>69288.399999999994</v>
      </c>
      <c r="R10" s="72">
        <v>85798.8</v>
      </c>
      <c r="S10" s="72">
        <v>53767.62</v>
      </c>
      <c r="T10" s="72">
        <v>38347.68</v>
      </c>
      <c r="U10" s="72">
        <v>46307.74</v>
      </c>
      <c r="V10" s="72">
        <v>24553.66</v>
      </c>
      <c r="W10" s="72">
        <v>45149.36</v>
      </c>
      <c r="X10" s="72">
        <v>50013.4</v>
      </c>
      <c r="Y10" s="72">
        <v>48000</v>
      </c>
      <c r="Z10" s="72">
        <v>56250</v>
      </c>
      <c r="AA10" s="72">
        <v>56250</v>
      </c>
      <c r="AB10" s="72">
        <v>71500</v>
      </c>
      <c r="AC10" s="127">
        <f>SUM(Q10:AB10)</f>
        <v>645226.65999999992</v>
      </c>
      <c r="AD10" s="72">
        <f t="shared" si="1"/>
        <v>14773.340000000084</v>
      </c>
      <c r="AE10" s="192">
        <f t="shared" si="2"/>
        <v>2.2896357072412485E-2</v>
      </c>
      <c r="AF10" s="129">
        <v>1145404.96</v>
      </c>
      <c r="AG10" s="124">
        <f t="shared" si="3"/>
        <v>-485404.95999999996</v>
      </c>
    </row>
    <row r="11" spans="1:33">
      <c r="A11" s="105" t="s">
        <v>484</v>
      </c>
      <c r="B11" s="105" t="s">
        <v>397</v>
      </c>
      <c r="C11" s="105" t="s">
        <v>485</v>
      </c>
      <c r="D11" s="210">
        <f t="shared" si="4"/>
        <v>75000</v>
      </c>
      <c r="E11" s="210">
        <f t="shared" si="4"/>
        <v>100800</v>
      </c>
      <c r="F11" s="210">
        <f t="shared" si="4"/>
        <v>62500</v>
      </c>
      <c r="G11" s="210">
        <f t="shared" si="4"/>
        <v>50000</v>
      </c>
      <c r="H11" s="210">
        <f t="shared" si="4"/>
        <v>50000</v>
      </c>
      <c r="I11" s="210">
        <f t="shared" si="4"/>
        <v>47500</v>
      </c>
      <c r="J11" s="210">
        <f t="shared" si="4"/>
        <v>56250</v>
      </c>
      <c r="K11" s="210">
        <f t="shared" si="4"/>
        <v>65000</v>
      </c>
      <c r="L11" s="210">
        <f t="shared" si="4"/>
        <v>54000</v>
      </c>
      <c r="M11" s="210">
        <f t="shared" si="4"/>
        <v>68750</v>
      </c>
      <c r="N11" s="210">
        <f t="shared" si="4"/>
        <v>68750</v>
      </c>
      <c r="O11" s="210">
        <f t="shared" si="4"/>
        <v>87750</v>
      </c>
      <c r="P11" s="127">
        <f>SUM(D11:O11)</f>
        <v>786300</v>
      </c>
      <c r="Q11" s="72">
        <v>64376.2</v>
      </c>
      <c r="R11" s="72">
        <v>105835.1</v>
      </c>
      <c r="S11" s="72">
        <v>41864.300000000003</v>
      </c>
      <c r="T11" s="72">
        <v>43638.2</v>
      </c>
      <c r="U11" s="72">
        <v>15860.06</v>
      </c>
      <c r="V11" s="72">
        <v>26421.8</v>
      </c>
      <c r="W11" s="72">
        <v>44317.2</v>
      </c>
      <c r="X11" s="72">
        <v>34250.199999999997</v>
      </c>
      <c r="Y11" s="72">
        <v>54000</v>
      </c>
      <c r="Z11" s="72">
        <v>68750</v>
      </c>
      <c r="AA11" s="72">
        <v>68750</v>
      </c>
      <c r="AB11" s="72">
        <v>87750</v>
      </c>
      <c r="AC11" s="127">
        <f>SUM(Q11:AB11)</f>
        <v>655813.06000000006</v>
      </c>
      <c r="AD11" s="72">
        <f t="shared" si="1"/>
        <v>130486.93999999994</v>
      </c>
      <c r="AE11" s="192">
        <f t="shared" si="2"/>
        <v>0.19896971859633283</v>
      </c>
      <c r="AF11" s="129">
        <v>1135547.5900000001</v>
      </c>
      <c r="AG11" s="124">
        <f t="shared" si="3"/>
        <v>-349247.59000000008</v>
      </c>
    </row>
    <row r="12" spans="1:33">
      <c r="A12" s="105" t="s">
        <v>486</v>
      </c>
      <c r="B12" s="105" t="s">
        <v>397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-90.5</v>
      </c>
      <c r="AG12" s="124">
        <f t="shared" si="3"/>
        <v>90.5</v>
      </c>
    </row>
    <row r="13" spans="1:33">
      <c r="A13" s="105" t="s">
        <v>488</v>
      </c>
      <c r="B13" s="105" t="s">
        <v>397</v>
      </c>
      <c r="C13" s="105" t="s">
        <v>489</v>
      </c>
      <c r="D13" s="210">
        <f t="shared" si="4"/>
        <v>7200</v>
      </c>
      <c r="E13" s="210">
        <f t="shared" si="4"/>
        <v>10000</v>
      </c>
      <c r="F13" s="210">
        <f t="shared" si="4"/>
        <v>6000</v>
      </c>
      <c r="G13" s="210">
        <f t="shared" si="4"/>
        <v>6000</v>
      </c>
      <c r="H13" s="210">
        <f t="shared" si="4"/>
        <v>6000</v>
      </c>
      <c r="I13" s="210">
        <f t="shared" si="4"/>
        <v>6000</v>
      </c>
      <c r="J13" s="210">
        <f t="shared" si="4"/>
        <v>6000</v>
      </c>
      <c r="K13" s="210">
        <f t="shared" si="4"/>
        <v>6000</v>
      </c>
      <c r="L13" s="210">
        <f t="shared" si="4"/>
        <v>7200</v>
      </c>
      <c r="M13" s="210">
        <f t="shared" si="4"/>
        <v>8000</v>
      </c>
      <c r="N13" s="210">
        <f t="shared" si="4"/>
        <v>8000</v>
      </c>
      <c r="O13" s="210">
        <f t="shared" si="4"/>
        <v>8000</v>
      </c>
      <c r="P13" s="127">
        <f>SUM(D13:O13)</f>
        <v>84400</v>
      </c>
      <c r="Q13" s="72">
        <v>8068</v>
      </c>
      <c r="R13" s="72">
        <v>16307.4</v>
      </c>
      <c r="S13" s="72">
        <v>6777</v>
      </c>
      <c r="T13" s="72">
        <v>10142</v>
      </c>
      <c r="U13" s="72">
        <v>12441</v>
      </c>
      <c r="V13" s="72">
        <v>16668.8</v>
      </c>
      <c r="W13" s="72">
        <v>7634.5</v>
      </c>
      <c r="X13" s="72">
        <v>13319.7</v>
      </c>
      <c r="Y13" s="72">
        <v>7200</v>
      </c>
      <c r="Z13" s="72">
        <v>8000</v>
      </c>
      <c r="AA13" s="72">
        <v>8000</v>
      </c>
      <c r="AB13" s="72">
        <v>8000</v>
      </c>
      <c r="AC13" s="127">
        <f>SUM(Q13:AB13)</f>
        <v>122558.39999999999</v>
      </c>
      <c r="AD13" s="72">
        <f t="shared" si="1"/>
        <v>-38158.399999999994</v>
      </c>
      <c r="AE13" s="192">
        <f t="shared" si="2"/>
        <v>-0.31134871212417914</v>
      </c>
      <c r="AF13" s="129">
        <v>313602.79000000004</v>
      </c>
      <c r="AG13" s="124">
        <f t="shared" si="3"/>
        <v>-229202.79000000004</v>
      </c>
    </row>
    <row r="14" spans="1:33">
      <c r="C14" s="109" t="s">
        <v>490</v>
      </c>
      <c r="D14" s="127">
        <f t="shared" ref="D14:AC14" si="5">SUM(D9:D13)</f>
        <v>186600</v>
      </c>
      <c r="E14" s="127">
        <f t="shared" si="5"/>
        <v>234700</v>
      </c>
      <c r="F14" s="127">
        <f t="shared" si="5"/>
        <v>147400</v>
      </c>
      <c r="G14" s="127">
        <f t="shared" si="5"/>
        <v>126460</v>
      </c>
      <c r="H14" s="127">
        <f t="shared" si="5"/>
        <v>120960</v>
      </c>
      <c r="I14" s="127">
        <f t="shared" si="5"/>
        <v>118460</v>
      </c>
      <c r="J14" s="127">
        <f t="shared" si="5"/>
        <v>135650</v>
      </c>
      <c r="K14" s="127">
        <f t="shared" si="5"/>
        <v>144400</v>
      </c>
      <c r="L14" s="127">
        <f t="shared" si="5"/>
        <v>135660</v>
      </c>
      <c r="M14" s="127">
        <f t="shared" si="5"/>
        <v>159460</v>
      </c>
      <c r="N14" s="127">
        <f t="shared" si="5"/>
        <v>162400</v>
      </c>
      <c r="O14" s="127">
        <f t="shared" si="5"/>
        <v>196650</v>
      </c>
      <c r="P14" s="127">
        <f t="shared" si="5"/>
        <v>1868800</v>
      </c>
      <c r="Q14" s="127">
        <f t="shared" si="5"/>
        <v>184202.55</v>
      </c>
      <c r="R14" s="127">
        <f t="shared" si="5"/>
        <v>235490.38999999998</v>
      </c>
      <c r="S14" s="127">
        <f t="shared" si="5"/>
        <v>151109.97000000003</v>
      </c>
      <c r="T14" s="127">
        <f t="shared" si="5"/>
        <v>142137.10999999999</v>
      </c>
      <c r="U14" s="127">
        <f t="shared" si="5"/>
        <v>137033.03</v>
      </c>
      <c r="V14" s="127">
        <f t="shared" si="5"/>
        <v>112987.77</v>
      </c>
      <c r="W14" s="127">
        <f t="shared" si="5"/>
        <v>143120.01</v>
      </c>
      <c r="X14" s="127">
        <f t="shared" si="5"/>
        <v>135568.79</v>
      </c>
      <c r="Y14" s="127">
        <f t="shared" si="5"/>
        <v>135660</v>
      </c>
      <c r="Z14" s="127">
        <f t="shared" si="5"/>
        <v>159460</v>
      </c>
      <c r="AA14" s="127">
        <f t="shared" si="5"/>
        <v>162400</v>
      </c>
      <c r="AB14" s="127">
        <f t="shared" si="5"/>
        <v>196650</v>
      </c>
      <c r="AC14" s="127">
        <f t="shared" si="5"/>
        <v>1895819.6199999999</v>
      </c>
      <c r="AD14" s="72">
        <f t="shared" si="1"/>
        <v>-27019.619999999879</v>
      </c>
      <c r="AE14" s="192">
        <f t="shared" si="2"/>
        <v>-1.4252210344779468E-2</v>
      </c>
      <c r="AF14" s="129">
        <v>2778341.95</v>
      </c>
      <c r="AG14" s="124">
        <f t="shared" si="3"/>
        <v>-909541.95000000019</v>
      </c>
    </row>
    <row r="15" spans="1:33">
      <c r="C15" s="105" t="s">
        <v>154</v>
      </c>
      <c r="AF15" s="129"/>
      <c r="AG15" s="124">
        <f t="shared" si="3"/>
        <v>0</v>
      </c>
    </row>
    <row r="16" spans="1:33">
      <c r="C16" s="105" t="s">
        <v>491</v>
      </c>
      <c r="AF16" s="129"/>
      <c r="AG16" s="124">
        <f t="shared" si="3"/>
        <v>0</v>
      </c>
    </row>
    <row r="17" spans="1:33">
      <c r="A17" s="105" t="s">
        <v>492</v>
      </c>
      <c r="B17" s="105" t="s">
        <v>397</v>
      </c>
      <c r="C17" s="105" t="s">
        <v>481</v>
      </c>
      <c r="P17" s="12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71.7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71.7</v>
      </c>
      <c r="AD17" s="72">
        <f t="shared" ref="AD17:AD22" si="6">P17-AC17</f>
        <v>-71.7</v>
      </c>
      <c r="AE17" s="192">
        <f t="shared" ref="AE17:AE22" si="7">AD17/AC17</f>
        <v>-1</v>
      </c>
      <c r="AF17" s="129">
        <v>2257.25</v>
      </c>
      <c r="AG17" s="124">
        <f t="shared" si="3"/>
        <v>-2257.25</v>
      </c>
    </row>
    <row r="18" spans="1:33">
      <c r="A18" s="105" t="s">
        <v>493</v>
      </c>
      <c r="B18" s="105" t="s">
        <v>397</v>
      </c>
      <c r="C18" s="105" t="s">
        <v>483</v>
      </c>
      <c r="D18" s="72">
        <v>2000</v>
      </c>
      <c r="E18" s="72">
        <v>3000</v>
      </c>
      <c r="F18" s="72">
        <v>1500</v>
      </c>
      <c r="G18" s="72">
        <v>1500</v>
      </c>
      <c r="H18" s="72">
        <v>1500</v>
      </c>
      <c r="I18" s="72">
        <v>1500</v>
      </c>
      <c r="J18" s="72">
        <v>2000</v>
      </c>
      <c r="K18" s="72">
        <v>2000</v>
      </c>
      <c r="L18" s="72">
        <v>1500</v>
      </c>
      <c r="M18" s="72">
        <v>1500</v>
      </c>
      <c r="N18" s="72">
        <v>2000</v>
      </c>
      <c r="O18" s="72">
        <v>2000</v>
      </c>
      <c r="P18" s="127">
        <f>SUM(D18:O18)</f>
        <v>22000</v>
      </c>
      <c r="Q18" s="72">
        <v>650</v>
      </c>
      <c r="R18" s="72">
        <v>6674</v>
      </c>
      <c r="S18" s="72">
        <v>744</v>
      </c>
      <c r="T18" s="72">
        <v>84</v>
      </c>
      <c r="U18" s="72">
        <v>844</v>
      </c>
      <c r="V18" s="72">
        <v>270.8</v>
      </c>
      <c r="W18" s="72">
        <v>56</v>
      </c>
      <c r="X18" s="72">
        <v>358.2</v>
      </c>
      <c r="Y18" s="72">
        <v>1500</v>
      </c>
      <c r="Z18" s="72">
        <v>1500</v>
      </c>
      <c r="AA18" s="72">
        <v>2000</v>
      </c>
      <c r="AB18" s="72">
        <v>2000</v>
      </c>
      <c r="AC18" s="127">
        <f>SUM(Q18:AB18)</f>
        <v>16681</v>
      </c>
      <c r="AD18" s="72">
        <f t="shared" si="6"/>
        <v>5319</v>
      </c>
      <c r="AE18" s="192">
        <f t="shared" si="7"/>
        <v>0.3188657754331275</v>
      </c>
      <c r="AF18" s="129">
        <v>11980.93</v>
      </c>
      <c r="AG18" s="124">
        <f t="shared" si="3"/>
        <v>10019.07</v>
      </c>
    </row>
    <row r="19" spans="1:33">
      <c r="A19" s="105" t="s">
        <v>586</v>
      </c>
      <c r="B19" s="105" t="s">
        <v>397</v>
      </c>
      <c r="C19" s="105" t="s">
        <v>485</v>
      </c>
      <c r="D19" s="72">
        <v>4000</v>
      </c>
      <c r="E19" s="72">
        <v>4000</v>
      </c>
      <c r="F19" s="72">
        <v>3000</v>
      </c>
      <c r="G19" s="72">
        <v>3000</v>
      </c>
      <c r="H19" s="72">
        <v>3000</v>
      </c>
      <c r="I19" s="72">
        <v>3000</v>
      </c>
      <c r="J19" s="72">
        <v>4000</v>
      </c>
      <c r="K19" s="72">
        <v>4000</v>
      </c>
      <c r="L19" s="72">
        <v>3000</v>
      </c>
      <c r="M19" s="72">
        <v>3000</v>
      </c>
      <c r="N19" s="72">
        <v>4000</v>
      </c>
      <c r="O19" s="72">
        <v>4000</v>
      </c>
      <c r="P19" s="127">
        <f>SUM(D19:O19)</f>
        <v>42000</v>
      </c>
      <c r="Q19" s="72">
        <v>2278</v>
      </c>
      <c r="R19" s="72">
        <v>1938</v>
      </c>
      <c r="S19" s="72">
        <v>4452</v>
      </c>
      <c r="T19" s="72">
        <v>434</v>
      </c>
      <c r="U19" s="72">
        <v>3006</v>
      </c>
      <c r="V19" s="72">
        <v>1613.5</v>
      </c>
      <c r="W19" s="72">
        <v>751.4</v>
      </c>
      <c r="X19" s="72">
        <v>744.6</v>
      </c>
      <c r="Y19" s="72">
        <v>1000</v>
      </c>
      <c r="Z19" s="72">
        <v>3000</v>
      </c>
      <c r="AA19" s="72">
        <v>4000</v>
      </c>
      <c r="AB19" s="72">
        <v>4000</v>
      </c>
      <c r="AC19" s="127">
        <f>SUM(Q19:AB19)</f>
        <v>27217.5</v>
      </c>
      <c r="AD19" s="72">
        <f t="shared" si="6"/>
        <v>14782.5</v>
      </c>
      <c r="AE19" s="192">
        <f t="shared" si="7"/>
        <v>0.54312482777624693</v>
      </c>
      <c r="AF19" s="129">
        <v>84858.87999999999</v>
      </c>
      <c r="AG19" s="124">
        <f t="shared" si="3"/>
        <v>-42858.87999999999</v>
      </c>
    </row>
    <row r="20" spans="1:33">
      <c r="A20" s="105" t="s">
        <v>495</v>
      </c>
      <c r="B20" s="105" t="s">
        <v>397</v>
      </c>
      <c r="C20" s="105" t="s">
        <v>487</v>
      </c>
      <c r="D20" s="72">
        <v>0</v>
      </c>
      <c r="E20" s="72">
        <v>0</v>
      </c>
      <c r="P20" s="12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13593.669999999998</v>
      </c>
      <c r="AG20" s="124">
        <f t="shared" si="3"/>
        <v>-13593.669999999998</v>
      </c>
    </row>
    <row r="21" spans="1:33">
      <c r="A21" s="105" t="s">
        <v>497</v>
      </c>
      <c r="B21" s="105" t="s">
        <v>397</v>
      </c>
      <c r="C21" s="105" t="s">
        <v>489</v>
      </c>
      <c r="D21" s="72">
        <v>1000</v>
      </c>
      <c r="E21" s="72">
        <v>1000</v>
      </c>
      <c r="F21" s="72">
        <v>500</v>
      </c>
      <c r="G21" s="72">
        <v>500</v>
      </c>
      <c r="H21" s="72">
        <v>500</v>
      </c>
      <c r="I21" s="72">
        <v>500</v>
      </c>
      <c r="J21" s="72">
        <v>500</v>
      </c>
      <c r="K21" s="72">
        <v>500</v>
      </c>
      <c r="L21" s="72">
        <v>500</v>
      </c>
      <c r="M21" s="72">
        <v>500</v>
      </c>
      <c r="N21" s="72">
        <v>500</v>
      </c>
      <c r="O21" s="72">
        <v>1000</v>
      </c>
      <c r="P21" s="127">
        <f>SUM(D21:O21)</f>
        <v>7500</v>
      </c>
      <c r="Q21" s="72">
        <v>2470</v>
      </c>
      <c r="R21" s="72">
        <v>2146</v>
      </c>
      <c r="S21" s="72">
        <v>2242</v>
      </c>
      <c r="T21" s="72">
        <v>1584</v>
      </c>
      <c r="U21" s="72">
        <v>2502</v>
      </c>
      <c r="V21" s="72">
        <v>2005.3</v>
      </c>
      <c r="W21" s="72">
        <v>531.5</v>
      </c>
      <c r="X21" s="72">
        <v>1466.8</v>
      </c>
      <c r="Y21" s="72">
        <v>500</v>
      </c>
      <c r="Z21" s="72">
        <v>500</v>
      </c>
      <c r="AA21" s="72">
        <v>500</v>
      </c>
      <c r="AB21" s="72">
        <v>1000</v>
      </c>
      <c r="AC21" s="127">
        <f>SUM(Q21:AB21)</f>
        <v>17447.599999999999</v>
      </c>
      <c r="AD21" s="72">
        <f t="shared" si="6"/>
        <v>-9947.5999999999985</v>
      </c>
      <c r="AE21" s="192">
        <f t="shared" si="7"/>
        <v>-0.57014145211948919</v>
      </c>
      <c r="AF21" s="129">
        <v>96415.19</v>
      </c>
      <c r="AG21" s="124">
        <f t="shared" si="3"/>
        <v>-88915.19</v>
      </c>
    </row>
    <row r="22" spans="1:33">
      <c r="C22" s="109" t="s">
        <v>498</v>
      </c>
      <c r="D22" s="127">
        <f t="shared" ref="D22:O22" si="8">SUM(D17:D21)</f>
        <v>7000</v>
      </c>
      <c r="E22" s="127">
        <f t="shared" si="8"/>
        <v>8000</v>
      </c>
      <c r="F22" s="127">
        <f t="shared" si="8"/>
        <v>5000</v>
      </c>
      <c r="G22" s="127">
        <f t="shared" si="8"/>
        <v>5000</v>
      </c>
      <c r="H22" s="127">
        <f t="shared" si="8"/>
        <v>5000</v>
      </c>
      <c r="I22" s="127">
        <f t="shared" si="8"/>
        <v>5000</v>
      </c>
      <c r="J22" s="127">
        <f t="shared" si="8"/>
        <v>6500</v>
      </c>
      <c r="K22" s="127">
        <f t="shared" si="8"/>
        <v>6500</v>
      </c>
      <c r="L22" s="127">
        <f t="shared" si="8"/>
        <v>5000</v>
      </c>
      <c r="M22" s="127">
        <f t="shared" si="8"/>
        <v>5000</v>
      </c>
      <c r="N22" s="127">
        <f t="shared" si="8"/>
        <v>6500</v>
      </c>
      <c r="O22" s="127">
        <f t="shared" si="8"/>
        <v>7000</v>
      </c>
      <c r="P22" s="127">
        <f>SUM(P17:P21)</f>
        <v>71500</v>
      </c>
      <c r="Q22" s="127">
        <f t="shared" ref="Q22:AC22" si="9">SUM(Q17:Q21)</f>
        <v>5398</v>
      </c>
      <c r="R22" s="127">
        <f t="shared" si="9"/>
        <v>10758</v>
      </c>
      <c r="S22" s="127">
        <f t="shared" si="9"/>
        <v>7438</v>
      </c>
      <c r="T22" s="127">
        <f t="shared" si="9"/>
        <v>2102</v>
      </c>
      <c r="U22" s="127">
        <f t="shared" si="9"/>
        <v>6352</v>
      </c>
      <c r="V22" s="127">
        <f t="shared" si="9"/>
        <v>3961.3</v>
      </c>
      <c r="W22" s="127">
        <f t="shared" si="9"/>
        <v>1338.9</v>
      </c>
      <c r="X22" s="127">
        <f t="shared" si="9"/>
        <v>2569.6</v>
      </c>
      <c r="Y22" s="127">
        <f t="shared" si="9"/>
        <v>3000</v>
      </c>
      <c r="Z22" s="127">
        <f t="shared" si="9"/>
        <v>5000</v>
      </c>
      <c r="AA22" s="127">
        <f t="shared" si="9"/>
        <v>6500</v>
      </c>
      <c r="AB22" s="127">
        <f t="shared" si="9"/>
        <v>7000</v>
      </c>
      <c r="AC22" s="127">
        <f t="shared" si="9"/>
        <v>61417.799999999996</v>
      </c>
      <c r="AD22" s="72">
        <f t="shared" si="6"/>
        <v>10082.200000000004</v>
      </c>
      <c r="AE22" s="192">
        <f t="shared" si="7"/>
        <v>0.16415762205744922</v>
      </c>
      <c r="AF22" s="129">
        <v>209105.91999999998</v>
      </c>
      <c r="AG22" s="124">
        <f t="shared" si="3"/>
        <v>-137605.91999999998</v>
      </c>
    </row>
    <row r="23" spans="1:33">
      <c r="C23" s="105" t="s">
        <v>154</v>
      </c>
      <c r="AF23" s="129"/>
      <c r="AG23" s="124">
        <f t="shared" si="3"/>
        <v>0</v>
      </c>
    </row>
    <row r="24" spans="1:33">
      <c r="A24" s="105" t="s">
        <v>406</v>
      </c>
      <c r="B24" s="105" t="s">
        <v>397</v>
      </c>
      <c r="C24" s="105" t="s">
        <v>408</v>
      </c>
      <c r="J24" s="123"/>
      <c r="K24" s="123"/>
      <c r="L24" s="123"/>
      <c r="M24" s="123"/>
      <c r="N24" s="123"/>
      <c r="O24" s="123"/>
      <c r="P24" s="12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397</v>
      </c>
      <c r="C25" s="105" t="s">
        <v>499</v>
      </c>
      <c r="P25" s="12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2699.25</v>
      </c>
      <c r="AG25" s="124">
        <f t="shared" si="3"/>
        <v>-2699.25</v>
      </c>
    </row>
    <row r="26" spans="1:33">
      <c r="A26" s="105" t="s">
        <v>169</v>
      </c>
      <c r="B26" s="105" t="s">
        <v>397</v>
      </c>
      <c r="C26" s="105" t="s">
        <v>170</v>
      </c>
      <c r="D26" s="230">
        <f>ROUND((D14+D22)*0.03,0)</f>
        <v>5808</v>
      </c>
      <c r="E26" s="230">
        <f t="shared" ref="E26:O26" si="10">ROUND((E14+E22)*0.03,0)</f>
        <v>7281</v>
      </c>
      <c r="F26" s="230">
        <f t="shared" si="10"/>
        <v>4572</v>
      </c>
      <c r="G26" s="230">
        <f t="shared" si="10"/>
        <v>3944</v>
      </c>
      <c r="H26" s="230">
        <f t="shared" si="10"/>
        <v>3779</v>
      </c>
      <c r="I26" s="230">
        <f t="shared" si="10"/>
        <v>3704</v>
      </c>
      <c r="J26" s="230">
        <f t="shared" si="10"/>
        <v>4265</v>
      </c>
      <c r="K26" s="230">
        <f t="shared" si="10"/>
        <v>4527</v>
      </c>
      <c r="L26" s="230">
        <f t="shared" si="10"/>
        <v>4220</v>
      </c>
      <c r="M26" s="230">
        <f t="shared" si="10"/>
        <v>4934</v>
      </c>
      <c r="N26" s="230">
        <f t="shared" si="10"/>
        <v>5067</v>
      </c>
      <c r="O26" s="230">
        <f t="shared" si="10"/>
        <v>6110</v>
      </c>
      <c r="P26" s="127">
        <f>SUM(D26:O26)</f>
        <v>58211</v>
      </c>
      <c r="Q26" s="72">
        <v>8164.5</v>
      </c>
      <c r="R26" s="72">
        <v>15698.6</v>
      </c>
      <c r="S26" s="72">
        <v>6428.7</v>
      </c>
      <c r="T26" s="72">
        <v>3868.6</v>
      </c>
      <c r="U26" s="72">
        <v>6013.2</v>
      </c>
      <c r="V26" s="72">
        <v>7210.6</v>
      </c>
      <c r="W26" s="72">
        <v>7012.28</v>
      </c>
      <c r="X26" s="72">
        <v>9799.1</v>
      </c>
      <c r="Y26" s="72">
        <v>3257</v>
      </c>
      <c r="Z26" s="72">
        <v>4934</v>
      </c>
      <c r="AA26" s="72">
        <v>5067</v>
      </c>
      <c r="AB26" s="72">
        <v>6110</v>
      </c>
      <c r="AC26" s="127">
        <f>SUM(Q26:AB26)</f>
        <v>83563.579999999987</v>
      </c>
      <c r="AD26" s="72">
        <f>P26-AC26</f>
        <v>-25352.579999999987</v>
      </c>
      <c r="AE26" s="192">
        <f>AD26/AC26</f>
        <v>-0.30339269811082759</v>
      </c>
      <c r="AF26" s="129">
        <v>253566.24</v>
      </c>
      <c r="AG26" s="124">
        <f t="shared" si="3"/>
        <v>-195355.24</v>
      </c>
    </row>
    <row r="27" spans="1:33">
      <c r="C27" s="109" t="s">
        <v>500</v>
      </c>
      <c r="D27" s="127">
        <f t="shared" ref="D27:P27" si="11">SUM(D24:D26)+D14+D22</f>
        <v>199408</v>
      </c>
      <c r="E27" s="127">
        <f t="shared" si="11"/>
        <v>249981</v>
      </c>
      <c r="F27" s="127">
        <f t="shared" si="11"/>
        <v>156972</v>
      </c>
      <c r="G27" s="127">
        <f t="shared" si="11"/>
        <v>135404</v>
      </c>
      <c r="H27" s="127">
        <f t="shared" si="11"/>
        <v>129739</v>
      </c>
      <c r="I27" s="127">
        <f t="shared" si="11"/>
        <v>127164</v>
      </c>
      <c r="J27" s="127">
        <f t="shared" si="11"/>
        <v>146415</v>
      </c>
      <c r="K27" s="127">
        <f t="shared" si="11"/>
        <v>155427</v>
      </c>
      <c r="L27" s="127">
        <f t="shared" si="11"/>
        <v>144880</v>
      </c>
      <c r="M27" s="127">
        <f t="shared" si="11"/>
        <v>169394</v>
      </c>
      <c r="N27" s="127">
        <f t="shared" si="11"/>
        <v>173967</v>
      </c>
      <c r="O27" s="127">
        <f t="shared" si="11"/>
        <v>209760</v>
      </c>
      <c r="P27" s="127">
        <f t="shared" si="11"/>
        <v>1998511</v>
      </c>
      <c r="Q27" s="127">
        <f t="shared" ref="Q27:V27" si="12">SUM(Q24:Q26)+Q14+Q22</f>
        <v>197765.05</v>
      </c>
      <c r="R27" s="127">
        <f t="shared" si="12"/>
        <v>261946.99</v>
      </c>
      <c r="S27" s="127">
        <f t="shared" si="12"/>
        <v>164976.67000000004</v>
      </c>
      <c r="T27" s="127">
        <f t="shared" si="12"/>
        <v>148107.71</v>
      </c>
      <c r="U27" s="127">
        <f t="shared" si="12"/>
        <v>149398.23000000001</v>
      </c>
      <c r="V27" s="127">
        <f t="shared" si="12"/>
        <v>124159.67000000001</v>
      </c>
      <c r="W27" s="127">
        <f t="shared" ref="W27:AC27" si="13">SUM(W24:W26)+W14+W22</f>
        <v>151471.19</v>
      </c>
      <c r="X27" s="127">
        <f t="shared" si="13"/>
        <v>147937.49000000002</v>
      </c>
      <c r="Y27" s="127">
        <f t="shared" si="13"/>
        <v>141917</v>
      </c>
      <c r="Z27" s="127">
        <f t="shared" si="13"/>
        <v>169394</v>
      </c>
      <c r="AA27" s="127">
        <f t="shared" si="13"/>
        <v>173967</v>
      </c>
      <c r="AB27" s="127">
        <f t="shared" si="13"/>
        <v>209760</v>
      </c>
      <c r="AC27" s="127">
        <f t="shared" si="13"/>
        <v>2040801</v>
      </c>
      <c r="AD27" s="72">
        <f>P27-AC27</f>
        <v>-42290</v>
      </c>
      <c r="AE27" s="192">
        <f>AD27/AC27</f>
        <v>-2.0722255624139738E-2</v>
      </c>
      <c r="AF27" s="129">
        <v>3243713.3600000003</v>
      </c>
      <c r="AG27" s="124">
        <f t="shared" si="3"/>
        <v>-1245202.3600000003</v>
      </c>
    </row>
    <row r="28" spans="1:33">
      <c r="C28" s="105" t="s">
        <v>154</v>
      </c>
      <c r="P28" s="211">
        <f>P30/P14</f>
        <v>0.25524989297945205</v>
      </c>
      <c r="AF28" s="129"/>
    </row>
    <row r="29" spans="1:33">
      <c r="C29" s="105" t="s">
        <v>414</v>
      </c>
      <c r="D29" s="211">
        <f t="shared" ref="D29:O29" si="14">D31/D22</f>
        <v>0.2</v>
      </c>
      <c r="E29" s="211">
        <f t="shared" si="14"/>
        <v>0.2</v>
      </c>
      <c r="F29" s="211">
        <f t="shared" si="14"/>
        <v>0.2</v>
      </c>
      <c r="G29" s="211">
        <f t="shared" si="14"/>
        <v>0.2</v>
      </c>
      <c r="H29" s="211">
        <f t="shared" si="14"/>
        <v>0.2</v>
      </c>
      <c r="I29" s="211">
        <f t="shared" si="14"/>
        <v>0.2</v>
      </c>
      <c r="J29" s="211">
        <f t="shared" si="14"/>
        <v>0.2</v>
      </c>
      <c r="K29" s="211">
        <f t="shared" si="14"/>
        <v>0.2</v>
      </c>
      <c r="L29" s="211">
        <f t="shared" si="14"/>
        <v>0.2</v>
      </c>
      <c r="M29" s="211">
        <f t="shared" si="14"/>
        <v>0.2</v>
      </c>
      <c r="N29" s="211">
        <f t="shared" si="14"/>
        <v>0.2</v>
      </c>
      <c r="O29" s="211">
        <f t="shared" si="14"/>
        <v>0.2</v>
      </c>
      <c r="P29" s="211">
        <f>P31/P22</f>
        <v>0.2</v>
      </c>
      <c r="AC29" s="211">
        <f>AC31/AC22</f>
        <v>0.24263812770890528</v>
      </c>
      <c r="AF29" s="211">
        <f>AF31/AF22</f>
        <v>0.20232110119120494</v>
      </c>
    </row>
    <row r="30" spans="1:33">
      <c r="A30" s="105" t="s">
        <v>415</v>
      </c>
      <c r="B30" s="105" t="s">
        <v>397</v>
      </c>
      <c r="C30" s="105" t="s">
        <v>416</v>
      </c>
      <c r="D30" s="72">
        <f>ROUND(D14*0.263,0)</f>
        <v>49076</v>
      </c>
      <c r="E30" s="72">
        <f>ROUND(E14*0.231,0)</f>
        <v>54216</v>
      </c>
      <c r="F30" s="72">
        <f>ROUND(F14*0.238,0)</f>
        <v>35081</v>
      </c>
      <c r="G30" s="72">
        <f>ROUND(G14*0.255,0)</f>
        <v>32247</v>
      </c>
      <c r="H30" s="72">
        <f>ROUND(H14*0.259,0)</f>
        <v>31329</v>
      </c>
      <c r="I30" s="72">
        <f>ROUND(I14*0.255,0)</f>
        <v>30207</v>
      </c>
      <c r="J30" s="72">
        <f>ROUND(J14*0.266,0)</f>
        <v>36083</v>
      </c>
      <c r="K30" s="72">
        <f>ROUND(K14*0.266,0)</f>
        <v>38410</v>
      </c>
      <c r="L30" s="72">
        <f>ROUND(L14*0.255,0)</f>
        <v>34593</v>
      </c>
      <c r="M30" s="72">
        <f>ROUND(M14*0.266,0)</f>
        <v>42416</v>
      </c>
      <c r="N30" s="72">
        <f>ROUND(N14*0.26,0)</f>
        <v>42224</v>
      </c>
      <c r="O30" s="72">
        <f>ROUND(O14*0.26,0)</f>
        <v>51129</v>
      </c>
      <c r="P30" s="129">
        <f>SUM(D30:O30)</f>
        <v>477011</v>
      </c>
      <c r="Q30" s="72">
        <v>48523.19</v>
      </c>
      <c r="R30" s="72">
        <v>54345.45</v>
      </c>
      <c r="S30" s="72">
        <v>35980.11</v>
      </c>
      <c r="T30" s="72">
        <v>36266.78</v>
      </c>
      <c r="U30" s="72">
        <v>35426.839999999997</v>
      </c>
      <c r="V30" s="72">
        <v>28788.98</v>
      </c>
      <c r="W30" s="72">
        <v>38128.160000000003</v>
      </c>
      <c r="X30" s="72">
        <v>35106.68</v>
      </c>
      <c r="Y30" s="72">
        <v>35272</v>
      </c>
      <c r="Z30" s="72">
        <v>41460</v>
      </c>
      <c r="AA30" s="72">
        <v>42224</v>
      </c>
      <c r="AB30" s="72">
        <v>51129</v>
      </c>
      <c r="AC30" s="127">
        <f>SUM(Q30:AB30)</f>
        <v>482651.19</v>
      </c>
      <c r="AD30" s="72">
        <f t="shared" ref="AD30:AD33" si="15">P30-AC30</f>
        <v>-5640.1900000000023</v>
      </c>
      <c r="AE30" s="192">
        <f t="shared" ref="AE30:AE33" si="16">AD30/AC30</f>
        <v>-1.1685851225188117E-2</v>
      </c>
      <c r="AF30" s="129">
        <v>644485.1399999999</v>
      </c>
      <c r="AG30" s="124">
        <f t="shared" ref="AG30:AG80" si="17">AF30-P30</f>
        <v>167474.1399999999</v>
      </c>
    </row>
    <row r="31" spans="1:33">
      <c r="A31" s="105" t="s">
        <v>417</v>
      </c>
      <c r="B31" s="105" t="s">
        <v>397</v>
      </c>
      <c r="C31" s="105" t="s">
        <v>418</v>
      </c>
      <c r="D31" s="72">
        <f>ROUND(D22*0.2,0)</f>
        <v>1400</v>
      </c>
      <c r="E31" s="72">
        <f t="shared" ref="E31:O31" si="18">ROUND(E22*0.2,0)</f>
        <v>1600</v>
      </c>
      <c r="F31" s="72">
        <f t="shared" si="18"/>
        <v>1000</v>
      </c>
      <c r="G31" s="72">
        <f t="shared" si="18"/>
        <v>1000</v>
      </c>
      <c r="H31" s="72">
        <f t="shared" si="18"/>
        <v>1000</v>
      </c>
      <c r="I31" s="72">
        <f t="shared" si="18"/>
        <v>1000</v>
      </c>
      <c r="J31" s="72">
        <f t="shared" si="18"/>
        <v>1300</v>
      </c>
      <c r="K31" s="72">
        <f t="shared" si="18"/>
        <v>1300</v>
      </c>
      <c r="L31" s="72">
        <f t="shared" si="18"/>
        <v>1000</v>
      </c>
      <c r="M31" s="72">
        <f t="shared" si="18"/>
        <v>1000</v>
      </c>
      <c r="N31" s="72">
        <f t="shared" si="18"/>
        <v>1300</v>
      </c>
      <c r="O31" s="72">
        <f t="shared" si="18"/>
        <v>1400</v>
      </c>
      <c r="P31" s="129">
        <f>SUM(D31:O31)</f>
        <v>14300</v>
      </c>
      <c r="Q31" s="72">
        <v>1418.07</v>
      </c>
      <c r="R31" s="72">
        <v>3996.53</v>
      </c>
      <c r="S31" s="72">
        <v>1994.19</v>
      </c>
      <c r="T31" s="72">
        <v>328.87</v>
      </c>
      <c r="U31" s="72">
        <v>1373.47</v>
      </c>
      <c r="V31" s="72">
        <v>893.88</v>
      </c>
      <c r="W31" s="72">
        <v>211.67</v>
      </c>
      <c r="X31" s="72">
        <v>385.62</v>
      </c>
      <c r="Y31" s="72">
        <v>600</v>
      </c>
      <c r="Z31" s="72">
        <v>1000</v>
      </c>
      <c r="AA31" s="72">
        <v>1300</v>
      </c>
      <c r="AB31" s="72">
        <v>1400</v>
      </c>
      <c r="AC31" s="127">
        <f>SUM(Q31:AB31)</f>
        <v>14902.300000000001</v>
      </c>
      <c r="AD31" s="72">
        <f t="shared" si="15"/>
        <v>-602.30000000000109</v>
      </c>
      <c r="AE31" s="192">
        <f t="shared" si="16"/>
        <v>-4.0416579991008172E-2</v>
      </c>
      <c r="AF31" s="129">
        <v>42306.54</v>
      </c>
      <c r="AG31" s="124">
        <f t="shared" si="17"/>
        <v>28006.54</v>
      </c>
    </row>
    <row r="32" spans="1:33">
      <c r="A32" s="105" t="s">
        <v>421</v>
      </c>
      <c r="B32" s="105" t="s">
        <v>397</v>
      </c>
      <c r="C32" s="105" t="s">
        <v>422</v>
      </c>
      <c r="P32" s="129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5"/>
        <v>0</v>
      </c>
      <c r="AE32" s="192" t="e">
        <f t="shared" si="16"/>
        <v>#DIV/0!</v>
      </c>
      <c r="AF32" s="129">
        <v>1492.62</v>
      </c>
      <c r="AG32" s="124">
        <f t="shared" si="17"/>
        <v>1492.62</v>
      </c>
    </row>
    <row r="33" spans="1:33">
      <c r="C33" s="109" t="s">
        <v>501</v>
      </c>
      <c r="D33" s="127">
        <f t="shared" ref="D33:AC33" si="19">SUM(D30:D32)</f>
        <v>50476</v>
      </c>
      <c r="E33" s="127">
        <f t="shared" si="19"/>
        <v>55816</v>
      </c>
      <c r="F33" s="127">
        <f t="shared" si="19"/>
        <v>36081</v>
      </c>
      <c r="G33" s="127">
        <f t="shared" si="19"/>
        <v>33247</v>
      </c>
      <c r="H33" s="127">
        <f t="shared" si="19"/>
        <v>32329</v>
      </c>
      <c r="I33" s="127">
        <f t="shared" si="19"/>
        <v>31207</v>
      </c>
      <c r="J33" s="127">
        <f t="shared" si="19"/>
        <v>37383</v>
      </c>
      <c r="K33" s="127">
        <f t="shared" si="19"/>
        <v>39710</v>
      </c>
      <c r="L33" s="127">
        <f t="shared" si="19"/>
        <v>35593</v>
      </c>
      <c r="M33" s="127">
        <f t="shared" si="19"/>
        <v>43416</v>
      </c>
      <c r="N33" s="127">
        <f t="shared" si="19"/>
        <v>43524</v>
      </c>
      <c r="O33" s="127">
        <f t="shared" si="19"/>
        <v>52529</v>
      </c>
      <c r="P33" s="129">
        <f t="shared" si="19"/>
        <v>491311</v>
      </c>
      <c r="Q33" s="127">
        <f t="shared" si="19"/>
        <v>49941.26</v>
      </c>
      <c r="R33" s="127">
        <f t="shared" si="19"/>
        <v>58341.979999999996</v>
      </c>
      <c r="S33" s="127">
        <f t="shared" si="19"/>
        <v>37974.300000000003</v>
      </c>
      <c r="T33" s="127">
        <f t="shared" si="19"/>
        <v>36595.65</v>
      </c>
      <c r="U33" s="127">
        <f t="shared" si="19"/>
        <v>36800.31</v>
      </c>
      <c r="V33" s="127">
        <f t="shared" si="19"/>
        <v>29682.86</v>
      </c>
      <c r="W33" s="127">
        <f t="shared" si="19"/>
        <v>38339.83</v>
      </c>
      <c r="X33" s="127">
        <f t="shared" si="19"/>
        <v>35492.300000000003</v>
      </c>
      <c r="Y33" s="127">
        <f t="shared" si="19"/>
        <v>35872</v>
      </c>
      <c r="Z33" s="127">
        <f t="shared" si="19"/>
        <v>42460</v>
      </c>
      <c r="AA33" s="127">
        <f t="shared" si="19"/>
        <v>43524</v>
      </c>
      <c r="AB33" s="127">
        <f t="shared" si="19"/>
        <v>52529</v>
      </c>
      <c r="AC33" s="127">
        <f t="shared" si="19"/>
        <v>497553.49</v>
      </c>
      <c r="AD33" s="72">
        <f t="shared" si="15"/>
        <v>-6242.4899999999907</v>
      </c>
      <c r="AE33" s="192">
        <f t="shared" si="16"/>
        <v>-1.2546369637563975E-2</v>
      </c>
      <c r="AF33" s="129">
        <v>688284.29999999993</v>
      </c>
      <c r="AG33" s="124">
        <f t="shared" si="17"/>
        <v>196973.29999999993</v>
      </c>
    </row>
    <row r="34" spans="1:33">
      <c r="C34" s="105" t="s">
        <v>154</v>
      </c>
      <c r="P34" s="129"/>
      <c r="AF34" s="129"/>
      <c r="AG34" s="124">
        <f t="shared" si="17"/>
        <v>0</v>
      </c>
    </row>
    <row r="35" spans="1:33" s="109" customFormat="1">
      <c r="C35" s="109" t="s">
        <v>289</v>
      </c>
      <c r="D35" s="127">
        <f t="shared" ref="D35:AB35" si="20">D134</f>
        <v>156190.58000000002</v>
      </c>
      <c r="E35" s="127">
        <f t="shared" si="20"/>
        <v>126366.03</v>
      </c>
      <c r="F35" s="127">
        <f t="shared" si="20"/>
        <v>128446.06</v>
      </c>
      <c r="G35" s="127">
        <f t="shared" si="20"/>
        <v>135672.84</v>
      </c>
      <c r="H35" s="127">
        <f t="shared" si="20"/>
        <v>147262.41</v>
      </c>
      <c r="I35" s="127">
        <f t="shared" si="20"/>
        <v>134618.28</v>
      </c>
      <c r="J35" s="127">
        <f t="shared" si="20"/>
        <v>135930.18</v>
      </c>
      <c r="K35" s="127">
        <f t="shared" si="20"/>
        <v>135336.48000000001</v>
      </c>
      <c r="L35" s="127">
        <f t="shared" si="20"/>
        <v>135452.48000000001</v>
      </c>
      <c r="M35" s="127">
        <f t="shared" si="20"/>
        <v>170534.97</v>
      </c>
      <c r="N35" s="127">
        <f t="shared" si="20"/>
        <v>135780.12</v>
      </c>
      <c r="O35" s="127">
        <f t="shared" si="20"/>
        <v>135101.42000000001</v>
      </c>
      <c r="P35" s="129">
        <f t="shared" si="20"/>
        <v>1676691.85</v>
      </c>
      <c r="Q35" s="127">
        <f t="shared" si="20"/>
        <v>161819.37999999998</v>
      </c>
      <c r="R35" s="127">
        <f t="shared" si="20"/>
        <v>182181.75</v>
      </c>
      <c r="S35" s="127">
        <f t="shared" si="20"/>
        <v>158917.01999999999</v>
      </c>
      <c r="T35" s="127">
        <f t="shared" si="20"/>
        <v>150577.16999999998</v>
      </c>
      <c r="U35" s="127">
        <f t="shared" si="20"/>
        <v>137372.41999999998</v>
      </c>
      <c r="V35" s="127">
        <f t="shared" si="20"/>
        <v>144016.90999999997</v>
      </c>
      <c r="W35" s="127">
        <f t="shared" si="20"/>
        <v>123916.18999999999</v>
      </c>
      <c r="X35" s="127">
        <f t="shared" si="20"/>
        <v>132166.97</v>
      </c>
      <c r="Y35" s="127">
        <f t="shared" si="20"/>
        <v>141530</v>
      </c>
      <c r="Z35" s="127">
        <f t="shared" si="20"/>
        <v>158574</v>
      </c>
      <c r="AA35" s="127">
        <f t="shared" si="20"/>
        <v>133202</v>
      </c>
      <c r="AB35" s="127">
        <f t="shared" si="20"/>
        <v>133204</v>
      </c>
      <c r="AC35" s="127">
        <f>SUM(Q35:AB35)</f>
        <v>1757477.8099999998</v>
      </c>
      <c r="AD35" s="127">
        <f t="shared" ref="AD35" si="21">P35-AC35</f>
        <v>-80785.95999999973</v>
      </c>
      <c r="AE35" s="132">
        <f t="shared" ref="AE35" si="22">AD35/AC35</f>
        <v>-4.5966987201960595E-2</v>
      </c>
      <c r="AF35" s="129">
        <v>1645868.4000000001</v>
      </c>
      <c r="AG35" s="124">
        <f t="shared" si="17"/>
        <v>-30823.449999999953</v>
      </c>
    </row>
    <row r="36" spans="1:33">
      <c r="C36" s="105" t="s">
        <v>154</v>
      </c>
      <c r="P36" s="129"/>
      <c r="AF36" s="129"/>
      <c r="AG36" s="124">
        <f t="shared" si="17"/>
        <v>0</v>
      </c>
    </row>
    <row r="37" spans="1:33">
      <c r="C37" s="109" t="s">
        <v>502</v>
      </c>
      <c r="P37" s="129"/>
      <c r="AF37" s="129"/>
      <c r="AG37" s="124">
        <f t="shared" si="17"/>
        <v>0</v>
      </c>
    </row>
    <row r="38" spans="1:33">
      <c r="A38" s="105" t="s">
        <v>424</v>
      </c>
      <c r="B38" s="105" t="s">
        <v>397</v>
      </c>
      <c r="C38" s="105" t="s">
        <v>425</v>
      </c>
      <c r="D38" s="72">
        <v>1000</v>
      </c>
      <c r="E38" s="72">
        <v>1000</v>
      </c>
      <c r="F38" s="72">
        <v>1000</v>
      </c>
      <c r="G38" s="72">
        <v>1000</v>
      </c>
      <c r="H38" s="72">
        <v>1000</v>
      </c>
      <c r="I38" s="72">
        <v>1000</v>
      </c>
      <c r="J38" s="72">
        <v>1000</v>
      </c>
      <c r="K38" s="72">
        <v>1000</v>
      </c>
      <c r="L38" s="72">
        <v>1000</v>
      </c>
      <c r="M38" s="72">
        <v>1000</v>
      </c>
      <c r="N38" s="72">
        <v>1000</v>
      </c>
      <c r="O38" s="72">
        <v>1000</v>
      </c>
      <c r="P38" s="133">
        <f t="shared" ref="P38:P78" si="23">SUM(D38:O38)</f>
        <v>12000</v>
      </c>
      <c r="Q38" s="72">
        <v>752.15</v>
      </c>
      <c r="R38" s="72">
        <v>1562.46</v>
      </c>
      <c r="S38" s="72">
        <v>1067.18</v>
      </c>
      <c r="T38" s="72">
        <v>770.53</v>
      </c>
      <c r="U38" s="72">
        <v>80.64</v>
      </c>
      <c r="V38" s="72">
        <v>463.14</v>
      </c>
      <c r="W38" s="72">
        <v>626.76</v>
      </c>
      <c r="X38" s="72">
        <v>1666.53</v>
      </c>
      <c r="Y38" s="72">
        <v>600</v>
      </c>
      <c r="Z38" s="72">
        <v>600</v>
      </c>
      <c r="AA38" s="72">
        <v>600</v>
      </c>
      <c r="AB38" s="72">
        <v>700</v>
      </c>
      <c r="AC38" s="127">
        <f t="shared" ref="AC38:AC79" si="24">SUM(Q38:AB38)</f>
        <v>9489.39</v>
      </c>
      <c r="AD38" s="72">
        <f t="shared" ref="AD38:AD82" si="25">P38-AC38</f>
        <v>2510.6100000000006</v>
      </c>
      <c r="AE38" s="192">
        <f t="shared" ref="AE38:AE82" si="26">AD38/AC38</f>
        <v>0.26457022000360408</v>
      </c>
      <c r="AF38" s="129">
        <v>20433.510000000002</v>
      </c>
      <c r="AG38" s="124">
        <f t="shared" si="17"/>
        <v>8433.510000000002</v>
      </c>
    </row>
    <row r="39" spans="1:33">
      <c r="A39" s="105" t="s">
        <v>273</v>
      </c>
      <c r="C39" s="105" t="s">
        <v>426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133">
        <f t="shared" si="23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4"/>
        <v>0</v>
      </c>
      <c r="AD39" s="72">
        <f t="shared" si="25"/>
        <v>0</v>
      </c>
      <c r="AE39" s="192" t="e">
        <f t="shared" si="26"/>
        <v>#DIV/0!</v>
      </c>
      <c r="AF39" s="129">
        <v>0</v>
      </c>
      <c r="AG39" s="124">
        <f t="shared" si="17"/>
        <v>0</v>
      </c>
    </row>
    <row r="40" spans="1:33">
      <c r="A40" s="105" t="s">
        <v>273</v>
      </c>
      <c r="C40" s="105" t="s">
        <v>427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133">
        <f t="shared" si="23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4"/>
        <v>0</v>
      </c>
      <c r="AD40" s="72">
        <f t="shared" si="25"/>
        <v>0</v>
      </c>
      <c r="AE40" s="192" t="e">
        <f t="shared" si="26"/>
        <v>#DIV/0!</v>
      </c>
      <c r="AF40" s="129">
        <v>0</v>
      </c>
      <c r="AG40" s="124">
        <f t="shared" si="17"/>
        <v>0</v>
      </c>
    </row>
    <row r="41" spans="1:33">
      <c r="A41" s="105" t="s">
        <v>273</v>
      </c>
      <c r="C41" s="105" t="s">
        <v>428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133">
        <f t="shared" si="23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4"/>
        <v>0</v>
      </c>
      <c r="AD41" s="72">
        <f t="shared" si="25"/>
        <v>0</v>
      </c>
      <c r="AE41" s="192" t="e">
        <f t="shared" si="26"/>
        <v>#DIV/0!</v>
      </c>
      <c r="AF41" s="129">
        <v>0</v>
      </c>
      <c r="AG41" s="124">
        <f t="shared" si="17"/>
        <v>0</v>
      </c>
    </row>
    <row r="42" spans="1:33">
      <c r="A42" s="105" t="s">
        <v>429</v>
      </c>
      <c r="B42" s="105" t="s">
        <v>397</v>
      </c>
      <c r="C42" s="105" t="s">
        <v>143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133">
        <f t="shared" si="23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4"/>
        <v>0</v>
      </c>
      <c r="AD42" s="72">
        <f t="shared" si="25"/>
        <v>0</v>
      </c>
      <c r="AE42" s="192" t="e">
        <f t="shared" si="26"/>
        <v>#DIV/0!</v>
      </c>
      <c r="AF42" s="129">
        <v>0</v>
      </c>
      <c r="AG42" s="124">
        <f t="shared" si="17"/>
        <v>0</v>
      </c>
    </row>
    <row r="43" spans="1:33">
      <c r="A43" s="105" t="s">
        <v>180</v>
      </c>
      <c r="B43" s="105" t="s">
        <v>397</v>
      </c>
      <c r="C43" s="105" t="s">
        <v>144</v>
      </c>
      <c r="D43" s="174">
        <f t="shared" ref="D43:O43" si="27">+D138+D139+D140</f>
        <v>33413.869999999995</v>
      </c>
      <c r="E43" s="174">
        <f t="shared" si="27"/>
        <v>26693.66</v>
      </c>
      <c r="F43" s="174">
        <f t="shared" si="27"/>
        <v>26910.66</v>
      </c>
      <c r="G43" s="174">
        <f t="shared" si="27"/>
        <v>28579.620000000003</v>
      </c>
      <c r="H43" s="174">
        <f t="shared" si="27"/>
        <v>29968.16</v>
      </c>
      <c r="I43" s="174">
        <f t="shared" si="27"/>
        <v>27939.99</v>
      </c>
      <c r="J43" s="174">
        <f t="shared" si="27"/>
        <v>27907.99</v>
      </c>
      <c r="K43" s="174">
        <f t="shared" si="27"/>
        <v>27955.989999999998</v>
      </c>
      <c r="L43" s="174">
        <f t="shared" si="27"/>
        <v>28001.99</v>
      </c>
      <c r="M43" s="174">
        <f t="shared" si="27"/>
        <v>34633.21</v>
      </c>
      <c r="N43" s="174">
        <f t="shared" si="27"/>
        <v>27841.989999999998</v>
      </c>
      <c r="O43" s="174">
        <f t="shared" si="27"/>
        <v>27828.99</v>
      </c>
      <c r="P43" s="133">
        <f t="shared" si="23"/>
        <v>347676.11999999994</v>
      </c>
      <c r="Q43" s="72">
        <v>32513.96</v>
      </c>
      <c r="R43" s="72">
        <v>46824.53</v>
      </c>
      <c r="S43" s="72">
        <v>41809.980000000003</v>
      </c>
      <c r="T43" s="72">
        <v>26928.06</v>
      </c>
      <c r="U43" s="72">
        <v>33895.089999999997</v>
      </c>
      <c r="V43" s="72">
        <v>28357.62</v>
      </c>
      <c r="W43" s="72">
        <v>24773.19</v>
      </c>
      <c r="X43" s="72">
        <v>27602.31</v>
      </c>
      <c r="Y43" s="72">
        <v>19090</v>
      </c>
      <c r="Z43" s="72">
        <v>19090</v>
      </c>
      <c r="AA43" s="72">
        <v>19090</v>
      </c>
      <c r="AB43" s="72">
        <v>21090</v>
      </c>
      <c r="AC43" s="127">
        <f t="shared" si="24"/>
        <v>341064.74</v>
      </c>
      <c r="AD43" s="72">
        <f t="shared" si="25"/>
        <v>6611.3799999999464</v>
      </c>
      <c r="AE43" s="192">
        <f t="shared" si="26"/>
        <v>1.9384530925125671E-2</v>
      </c>
      <c r="AF43" s="129">
        <v>21562.21</v>
      </c>
      <c r="AG43" s="124">
        <f t="shared" si="17"/>
        <v>-326113.90999999992</v>
      </c>
    </row>
    <row r="44" spans="1:33">
      <c r="A44" s="105" t="s">
        <v>181</v>
      </c>
      <c r="B44" s="105" t="s">
        <v>397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133">
        <f t="shared" si="23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4"/>
        <v>0</v>
      </c>
      <c r="AD44" s="72">
        <f t="shared" si="25"/>
        <v>0</v>
      </c>
      <c r="AE44" s="192" t="e">
        <f t="shared" si="26"/>
        <v>#DIV/0!</v>
      </c>
      <c r="AF44" s="129">
        <v>0</v>
      </c>
      <c r="AG44" s="124">
        <f t="shared" si="17"/>
        <v>0</v>
      </c>
    </row>
    <row r="45" spans="1:33">
      <c r="A45" s="105" t="s">
        <v>430</v>
      </c>
      <c r="B45" s="105" t="s">
        <v>397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133">
        <f t="shared" si="23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4"/>
        <v>0</v>
      </c>
      <c r="AD45" s="72">
        <f t="shared" si="25"/>
        <v>0</v>
      </c>
      <c r="AE45" s="192" t="e">
        <f t="shared" si="26"/>
        <v>#DIV/0!</v>
      </c>
      <c r="AF45" s="129">
        <v>0</v>
      </c>
      <c r="AG45" s="124">
        <f t="shared" si="17"/>
        <v>0</v>
      </c>
    </row>
    <row r="46" spans="1:33">
      <c r="A46" s="105" t="s">
        <v>183</v>
      </c>
      <c r="B46" s="105" t="s">
        <v>397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133">
        <f t="shared" si="23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4"/>
        <v>0</v>
      </c>
      <c r="AD46" s="72">
        <f t="shared" si="25"/>
        <v>0</v>
      </c>
      <c r="AE46" s="192" t="e">
        <f t="shared" si="26"/>
        <v>#DIV/0!</v>
      </c>
      <c r="AF46" s="129">
        <v>0</v>
      </c>
      <c r="AG46" s="124">
        <f t="shared" si="17"/>
        <v>0</v>
      </c>
    </row>
    <row r="47" spans="1:33">
      <c r="A47" s="105" t="s">
        <v>587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133">
        <f t="shared" si="23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4"/>
        <v>0</v>
      </c>
      <c r="AD47" s="72">
        <f t="shared" si="25"/>
        <v>0</v>
      </c>
      <c r="AE47" s="192" t="e">
        <f t="shared" si="26"/>
        <v>#DIV/0!</v>
      </c>
      <c r="AF47" s="129">
        <v>0</v>
      </c>
      <c r="AG47" s="124">
        <f t="shared" si="17"/>
        <v>0</v>
      </c>
    </row>
    <row r="48" spans="1:33">
      <c r="A48" s="105" t="s">
        <v>185</v>
      </c>
      <c r="B48" s="105" t="s">
        <v>397</v>
      </c>
      <c r="C48" s="105" t="s">
        <v>186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133">
        <f t="shared" si="23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4"/>
        <v>0</v>
      </c>
      <c r="AD48" s="72">
        <f t="shared" si="25"/>
        <v>0</v>
      </c>
      <c r="AE48" s="192" t="e">
        <f t="shared" si="26"/>
        <v>#DIV/0!</v>
      </c>
      <c r="AF48" s="129">
        <v>0</v>
      </c>
      <c r="AG48" s="124">
        <f t="shared" si="17"/>
        <v>0</v>
      </c>
    </row>
    <row r="49" spans="1:33">
      <c r="A49" s="105" t="s">
        <v>187</v>
      </c>
      <c r="B49" s="105" t="s">
        <v>397</v>
      </c>
      <c r="C49" s="105" t="s">
        <v>188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133">
        <f t="shared" si="23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500</v>
      </c>
      <c r="Z49" s="72">
        <v>500</v>
      </c>
      <c r="AA49" s="72">
        <v>500</v>
      </c>
      <c r="AB49" s="72">
        <v>500</v>
      </c>
      <c r="AC49" s="127">
        <f t="shared" si="24"/>
        <v>2000</v>
      </c>
      <c r="AD49" s="72">
        <f t="shared" si="25"/>
        <v>-2000</v>
      </c>
      <c r="AE49" s="192">
        <f t="shared" si="26"/>
        <v>-1</v>
      </c>
      <c r="AF49" s="129">
        <v>0</v>
      </c>
      <c r="AG49" s="124">
        <f t="shared" si="17"/>
        <v>0</v>
      </c>
    </row>
    <row r="50" spans="1:33">
      <c r="A50" s="105" t="s">
        <v>195</v>
      </c>
      <c r="B50" s="105" t="s">
        <v>397</v>
      </c>
      <c r="C50" s="105" t="s">
        <v>196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133">
        <f t="shared" si="23"/>
        <v>0</v>
      </c>
      <c r="Q50" s="72">
        <v>1000</v>
      </c>
      <c r="R50" s="72">
        <v>1000</v>
      </c>
      <c r="S50" s="72">
        <v>1000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4"/>
        <v>3000</v>
      </c>
      <c r="AD50" s="72">
        <f t="shared" si="25"/>
        <v>-3000</v>
      </c>
      <c r="AE50" s="192">
        <f t="shared" si="26"/>
        <v>-1</v>
      </c>
      <c r="AF50" s="129">
        <v>0</v>
      </c>
      <c r="AG50" s="124">
        <f t="shared" si="17"/>
        <v>0</v>
      </c>
    </row>
    <row r="51" spans="1:33">
      <c r="A51" s="105" t="s">
        <v>197</v>
      </c>
      <c r="B51" s="105" t="s">
        <v>397</v>
      </c>
      <c r="C51" s="105" t="s">
        <v>305</v>
      </c>
      <c r="D51" s="72">
        <v>1200</v>
      </c>
      <c r="E51" s="72">
        <v>1200</v>
      </c>
      <c r="F51" s="72">
        <v>1200</v>
      </c>
      <c r="G51" s="72">
        <v>1200</v>
      </c>
      <c r="H51" s="72">
        <v>1200</v>
      </c>
      <c r="I51" s="72">
        <v>1200</v>
      </c>
      <c r="J51" s="72">
        <v>1200</v>
      </c>
      <c r="K51" s="72">
        <v>1200</v>
      </c>
      <c r="L51" s="72">
        <v>1200</v>
      </c>
      <c r="M51" s="72">
        <v>1200</v>
      </c>
      <c r="N51" s="72">
        <v>1200</v>
      </c>
      <c r="O51" s="72">
        <v>1200</v>
      </c>
      <c r="P51" s="133">
        <f t="shared" si="23"/>
        <v>14400</v>
      </c>
      <c r="Q51" s="72">
        <v>957.95</v>
      </c>
      <c r="R51" s="72">
        <v>1352.9</v>
      </c>
      <c r="S51" s="72">
        <v>1292</v>
      </c>
      <c r="T51" s="72">
        <v>910</v>
      </c>
      <c r="U51" s="72">
        <v>1050</v>
      </c>
      <c r="V51" s="72">
        <v>1285.9000000000001</v>
      </c>
      <c r="W51" s="72">
        <v>935.9</v>
      </c>
      <c r="X51" s="72">
        <v>626.6</v>
      </c>
      <c r="Y51" s="72">
        <v>1200</v>
      </c>
      <c r="Z51" s="72">
        <v>1200</v>
      </c>
      <c r="AA51" s="72">
        <v>1200</v>
      </c>
      <c r="AB51" s="72">
        <v>1500</v>
      </c>
      <c r="AC51" s="127">
        <f t="shared" si="24"/>
        <v>13511.25</v>
      </c>
      <c r="AD51" s="72">
        <f t="shared" si="25"/>
        <v>888.75</v>
      </c>
      <c r="AE51" s="192">
        <f t="shared" si="26"/>
        <v>6.5778517901748546E-2</v>
      </c>
      <c r="AF51" s="129">
        <v>10549.41</v>
      </c>
      <c r="AG51" s="124">
        <f t="shared" si="17"/>
        <v>-3850.59</v>
      </c>
    </row>
    <row r="52" spans="1:33">
      <c r="A52" s="105" t="s">
        <v>434</v>
      </c>
      <c r="B52" s="105" t="s">
        <v>397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133">
        <f t="shared" si="23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4"/>
        <v>0</v>
      </c>
      <c r="AD52" s="72">
        <f t="shared" si="25"/>
        <v>0</v>
      </c>
      <c r="AE52" s="192" t="e">
        <f t="shared" si="26"/>
        <v>#DIV/0!</v>
      </c>
      <c r="AF52" s="129">
        <v>0</v>
      </c>
      <c r="AG52" s="124">
        <f t="shared" si="17"/>
        <v>0</v>
      </c>
    </row>
    <row r="53" spans="1:33">
      <c r="A53" s="105" t="s">
        <v>436</v>
      </c>
      <c r="B53" s="105" t="s">
        <v>397</v>
      </c>
      <c r="C53" s="105" t="s">
        <v>437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133">
        <f t="shared" si="23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4"/>
        <v>0</v>
      </c>
      <c r="AD53" s="72">
        <f t="shared" si="25"/>
        <v>0</v>
      </c>
      <c r="AE53" s="192" t="e">
        <f t="shared" si="26"/>
        <v>#DIV/0!</v>
      </c>
      <c r="AF53" s="129">
        <v>0</v>
      </c>
      <c r="AG53" s="124">
        <f t="shared" si="17"/>
        <v>0</v>
      </c>
    </row>
    <row r="54" spans="1:33">
      <c r="A54" s="105" t="s">
        <v>199</v>
      </c>
      <c r="B54" s="105" t="s">
        <v>397</v>
      </c>
      <c r="C54" s="105" t="s">
        <v>200</v>
      </c>
      <c r="D54" s="72">
        <v>500</v>
      </c>
      <c r="E54" s="72">
        <v>500</v>
      </c>
      <c r="F54" s="72">
        <v>500</v>
      </c>
      <c r="G54" s="72">
        <v>500</v>
      </c>
      <c r="H54" s="72">
        <v>500</v>
      </c>
      <c r="I54" s="72">
        <v>0</v>
      </c>
      <c r="J54" s="72">
        <v>500</v>
      </c>
      <c r="K54" s="72">
        <v>500</v>
      </c>
      <c r="L54" s="72">
        <v>0</v>
      </c>
      <c r="M54" s="72">
        <v>500</v>
      </c>
      <c r="N54" s="72">
        <v>500</v>
      </c>
      <c r="O54" s="72">
        <v>500</v>
      </c>
      <c r="P54" s="133">
        <f t="shared" si="23"/>
        <v>5000</v>
      </c>
      <c r="Q54" s="72">
        <v>1200</v>
      </c>
      <c r="R54" s="72">
        <v>1600</v>
      </c>
      <c r="S54" s="72">
        <v>800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4"/>
        <v>3600</v>
      </c>
      <c r="AD54" s="72">
        <f t="shared" si="25"/>
        <v>1400</v>
      </c>
      <c r="AE54" s="192">
        <f t="shared" si="26"/>
        <v>0.3888888888888889</v>
      </c>
      <c r="AF54" s="129">
        <v>5976</v>
      </c>
      <c r="AG54" s="124">
        <f t="shared" si="17"/>
        <v>976</v>
      </c>
    </row>
    <row r="55" spans="1:33">
      <c r="A55" s="105" t="s">
        <v>438</v>
      </c>
      <c r="B55" s="105" t="s">
        <v>397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133">
        <f t="shared" si="23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4"/>
        <v>0</v>
      </c>
      <c r="AD55" s="72">
        <f t="shared" si="25"/>
        <v>0</v>
      </c>
      <c r="AE55" s="192" t="e">
        <f t="shared" si="26"/>
        <v>#DIV/0!</v>
      </c>
      <c r="AF55" s="129">
        <v>0</v>
      </c>
      <c r="AG55" s="124">
        <f t="shared" si="17"/>
        <v>0</v>
      </c>
    </row>
    <row r="56" spans="1:33">
      <c r="A56" s="105" t="s">
        <v>201</v>
      </c>
      <c r="B56" s="105" t="s">
        <v>397</v>
      </c>
      <c r="C56" s="105" t="s">
        <v>202</v>
      </c>
      <c r="D56" s="72">
        <v>500</v>
      </c>
      <c r="E56" s="72">
        <v>500</v>
      </c>
      <c r="F56" s="72">
        <v>500</v>
      </c>
      <c r="G56" s="72">
        <v>500</v>
      </c>
      <c r="H56" s="72">
        <v>500</v>
      </c>
      <c r="I56" s="72">
        <v>0</v>
      </c>
      <c r="J56" s="72">
        <v>500</v>
      </c>
      <c r="K56" s="72">
        <v>500</v>
      </c>
      <c r="L56" s="72">
        <v>0</v>
      </c>
      <c r="M56" s="72">
        <v>500</v>
      </c>
      <c r="N56" s="72">
        <v>500</v>
      </c>
      <c r="O56" s="72">
        <v>500</v>
      </c>
      <c r="P56" s="133">
        <f t="shared" si="23"/>
        <v>5000</v>
      </c>
      <c r="Q56" s="72">
        <v>3203.8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1828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24"/>
        <v>5031.8</v>
      </c>
      <c r="AD56" s="72">
        <f t="shared" si="25"/>
        <v>-31.800000000000182</v>
      </c>
      <c r="AE56" s="192">
        <f t="shared" si="26"/>
        <v>-6.3198060336261738E-3</v>
      </c>
      <c r="AF56" s="129">
        <v>587.41999999999996</v>
      </c>
      <c r="AG56" s="124">
        <f t="shared" si="17"/>
        <v>-4412.58</v>
      </c>
    </row>
    <row r="57" spans="1:33">
      <c r="A57" s="105" t="s">
        <v>440</v>
      </c>
      <c r="B57" s="105" t="s">
        <v>397</v>
      </c>
      <c r="C57" s="105" t="s">
        <v>441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133">
        <f t="shared" si="23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4"/>
        <v>0</v>
      </c>
      <c r="AD57" s="72">
        <f t="shared" si="25"/>
        <v>0</v>
      </c>
      <c r="AE57" s="192" t="e">
        <f t="shared" si="26"/>
        <v>#DIV/0!</v>
      </c>
      <c r="AF57" s="129">
        <v>0</v>
      </c>
      <c r="AG57" s="124">
        <f t="shared" si="17"/>
        <v>0</v>
      </c>
    </row>
    <row r="58" spans="1:33">
      <c r="A58" s="105" t="s">
        <v>442</v>
      </c>
      <c r="B58" s="105" t="s">
        <v>397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133">
        <f t="shared" si="23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4"/>
        <v>0</v>
      </c>
      <c r="AD58" s="72">
        <f t="shared" si="25"/>
        <v>0</v>
      </c>
      <c r="AE58" s="192" t="e">
        <f t="shared" si="26"/>
        <v>#DIV/0!</v>
      </c>
      <c r="AF58" s="129">
        <v>111.7</v>
      </c>
      <c r="AG58" s="124">
        <f t="shared" si="17"/>
        <v>111.7</v>
      </c>
    </row>
    <row r="59" spans="1:33">
      <c r="A59" s="105" t="s">
        <v>203</v>
      </c>
      <c r="B59" s="105" t="s">
        <v>397</v>
      </c>
      <c r="C59" s="105" t="s">
        <v>204</v>
      </c>
      <c r="D59" s="72">
        <v>1225</v>
      </c>
      <c r="E59" s="72">
        <v>1225</v>
      </c>
      <c r="F59" s="72">
        <v>1225</v>
      </c>
      <c r="G59" s="72">
        <v>1225</v>
      </c>
      <c r="H59" s="72">
        <v>1225</v>
      </c>
      <c r="I59" s="72">
        <v>1225</v>
      </c>
      <c r="J59" s="72">
        <v>1225</v>
      </c>
      <c r="K59" s="72">
        <v>1225</v>
      </c>
      <c r="L59" s="72">
        <v>1225</v>
      </c>
      <c r="M59" s="72">
        <v>1225</v>
      </c>
      <c r="N59" s="72">
        <v>1225</v>
      </c>
      <c r="O59" s="72">
        <v>1225</v>
      </c>
      <c r="P59" s="133">
        <f t="shared" si="23"/>
        <v>14700</v>
      </c>
      <c r="Q59" s="72">
        <v>2816</v>
      </c>
      <c r="R59" s="72">
        <v>2816</v>
      </c>
      <c r="S59" s="72">
        <v>2816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4"/>
        <v>8448</v>
      </c>
      <c r="AD59" s="72">
        <f t="shared" si="25"/>
        <v>6252</v>
      </c>
      <c r="AE59" s="192">
        <f t="shared" si="26"/>
        <v>0.74005681818181823</v>
      </c>
      <c r="AF59" s="129">
        <v>5664.56</v>
      </c>
      <c r="AG59" s="124">
        <f t="shared" si="17"/>
        <v>-9035.4399999999987</v>
      </c>
    </row>
    <row r="60" spans="1:33">
      <c r="A60" s="105" t="s">
        <v>444</v>
      </c>
      <c r="B60" s="105" t="s">
        <v>397</v>
      </c>
      <c r="C60" s="105" t="s">
        <v>445</v>
      </c>
      <c r="D60" s="72">
        <v>8000</v>
      </c>
      <c r="E60" s="72">
        <v>5000</v>
      </c>
      <c r="F60" s="72">
        <v>3000</v>
      </c>
      <c r="G60" s="72">
        <v>0</v>
      </c>
      <c r="H60" s="72">
        <v>0</v>
      </c>
      <c r="I60" s="72">
        <v>0</v>
      </c>
      <c r="J60" s="72">
        <v>6000</v>
      </c>
      <c r="K60" s="72">
        <v>0</v>
      </c>
      <c r="L60" s="72">
        <v>0</v>
      </c>
      <c r="M60" s="72">
        <v>3000</v>
      </c>
      <c r="N60" s="72">
        <v>0</v>
      </c>
      <c r="O60" s="72">
        <v>3000</v>
      </c>
      <c r="P60" s="133">
        <f t="shared" si="23"/>
        <v>28000</v>
      </c>
      <c r="Q60" s="72">
        <v>7920</v>
      </c>
      <c r="R60" s="72">
        <v>3960</v>
      </c>
      <c r="S60" s="72">
        <v>3960</v>
      </c>
      <c r="T60" s="72">
        <v>1980</v>
      </c>
      <c r="U60" s="72">
        <v>0</v>
      </c>
      <c r="V60" s="72">
        <v>0</v>
      </c>
      <c r="W60" s="72">
        <v>5940</v>
      </c>
      <c r="X60" s="72">
        <v>0</v>
      </c>
      <c r="Y60" s="72">
        <v>3500</v>
      </c>
      <c r="Z60" s="72">
        <v>3000</v>
      </c>
      <c r="AA60" s="72">
        <v>0</v>
      </c>
      <c r="AB60" s="72">
        <v>3000</v>
      </c>
      <c r="AC60" s="127">
        <f t="shared" si="24"/>
        <v>33260</v>
      </c>
      <c r="AD60" s="72">
        <f t="shared" si="25"/>
        <v>-5260</v>
      </c>
      <c r="AE60" s="192">
        <f t="shared" si="26"/>
        <v>-0.1581479254359591</v>
      </c>
      <c r="AF60" s="129">
        <v>28163.489999999998</v>
      </c>
      <c r="AG60" s="124">
        <f t="shared" si="17"/>
        <v>163.48999999999796</v>
      </c>
    </row>
    <row r="61" spans="1:33">
      <c r="A61" s="105" t="s">
        <v>446</v>
      </c>
      <c r="B61" s="105" t="s">
        <v>397</v>
      </c>
      <c r="C61" s="105" t="s">
        <v>447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133">
        <f t="shared" si="23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4"/>
        <v>0</v>
      </c>
      <c r="AD61" s="72">
        <f t="shared" si="25"/>
        <v>0</v>
      </c>
      <c r="AE61" s="192" t="e">
        <f t="shared" si="26"/>
        <v>#DIV/0!</v>
      </c>
      <c r="AF61" s="129">
        <v>0</v>
      </c>
      <c r="AG61" s="124">
        <f t="shared" si="17"/>
        <v>0</v>
      </c>
    </row>
    <row r="62" spans="1:33">
      <c r="A62" s="105" t="s">
        <v>273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133">
        <f t="shared" si="23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4"/>
        <v>0</v>
      </c>
      <c r="AD62" s="72">
        <f t="shared" si="25"/>
        <v>0</v>
      </c>
      <c r="AE62" s="192" t="e">
        <f t="shared" si="26"/>
        <v>#DIV/0!</v>
      </c>
      <c r="AF62" s="129">
        <v>0</v>
      </c>
      <c r="AG62" s="124">
        <f t="shared" si="17"/>
        <v>0</v>
      </c>
    </row>
    <row r="63" spans="1:33">
      <c r="A63" s="105" t="s">
        <v>207</v>
      </c>
      <c r="B63" s="105" t="s">
        <v>397</v>
      </c>
      <c r="C63" s="105" t="s">
        <v>208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133">
        <f t="shared" si="23"/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24"/>
        <v>0</v>
      </c>
      <c r="AD63" s="72">
        <f t="shared" si="25"/>
        <v>0</v>
      </c>
      <c r="AE63" s="192" t="e">
        <f t="shared" si="26"/>
        <v>#DIV/0!</v>
      </c>
      <c r="AF63" s="129">
        <v>0</v>
      </c>
      <c r="AG63" s="124">
        <f t="shared" si="17"/>
        <v>0</v>
      </c>
    </row>
    <row r="64" spans="1:33">
      <c r="A64" s="105" t="s">
        <v>449</v>
      </c>
      <c r="B64" s="105" t="s">
        <v>397</v>
      </c>
      <c r="C64" s="105" t="s">
        <v>450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133">
        <f t="shared" si="23"/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24"/>
        <v>0</v>
      </c>
      <c r="AD64" s="72">
        <f t="shared" si="25"/>
        <v>0</v>
      </c>
      <c r="AE64" s="192" t="e">
        <f t="shared" si="26"/>
        <v>#DIV/0!</v>
      </c>
      <c r="AF64" s="129">
        <v>0</v>
      </c>
      <c r="AG64" s="124">
        <f t="shared" si="17"/>
        <v>0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133">
        <f t="shared" si="23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4"/>
        <v>0</v>
      </c>
      <c r="AD65" s="72">
        <f t="shared" si="25"/>
        <v>0</v>
      </c>
      <c r="AE65" s="192" t="e">
        <f t="shared" si="26"/>
        <v>#DIV/0!</v>
      </c>
      <c r="AF65" s="129">
        <v>0</v>
      </c>
      <c r="AG65" s="124">
        <f t="shared" si="17"/>
        <v>0</v>
      </c>
    </row>
    <row r="66" spans="1:33">
      <c r="A66" s="105" t="s">
        <v>452</v>
      </c>
      <c r="B66" s="105" t="s">
        <v>397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133">
        <f t="shared" si="23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4"/>
        <v>0</v>
      </c>
      <c r="AD66" s="72">
        <f t="shared" si="25"/>
        <v>0</v>
      </c>
      <c r="AE66" s="192" t="e">
        <f t="shared" si="26"/>
        <v>#DIV/0!</v>
      </c>
      <c r="AF66" s="129">
        <v>0</v>
      </c>
      <c r="AG66" s="124">
        <f t="shared" si="17"/>
        <v>0</v>
      </c>
    </row>
    <row r="67" spans="1:33">
      <c r="A67" s="105" t="s">
        <v>454</v>
      </c>
      <c r="B67" s="105" t="s">
        <v>397</v>
      </c>
      <c r="C67" s="105" t="s">
        <v>455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133">
        <f t="shared" si="23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4"/>
        <v>0</v>
      </c>
      <c r="AD67" s="72">
        <f t="shared" si="25"/>
        <v>0</v>
      </c>
      <c r="AE67" s="192" t="e">
        <f t="shared" si="26"/>
        <v>#DIV/0!</v>
      </c>
      <c r="AF67" s="133">
        <v>0</v>
      </c>
      <c r="AG67" s="124">
        <f t="shared" si="17"/>
        <v>0</v>
      </c>
    </row>
    <row r="68" spans="1:33">
      <c r="A68" s="105" t="s">
        <v>456</v>
      </c>
      <c r="B68" s="105" t="s">
        <v>397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133">
        <f t="shared" si="23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4"/>
        <v>0</v>
      </c>
      <c r="AD68" s="72">
        <f t="shared" si="25"/>
        <v>0</v>
      </c>
      <c r="AE68" s="192" t="e">
        <f t="shared" si="26"/>
        <v>#DIV/0!</v>
      </c>
      <c r="AF68" s="133">
        <v>0</v>
      </c>
      <c r="AG68" s="124">
        <f t="shared" si="17"/>
        <v>0</v>
      </c>
    </row>
    <row r="69" spans="1:33">
      <c r="A69" s="105" t="s">
        <v>273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133">
        <f t="shared" si="23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4"/>
        <v>0</v>
      </c>
      <c r="AD69" s="72">
        <f t="shared" si="25"/>
        <v>0</v>
      </c>
      <c r="AE69" s="192" t="e">
        <f t="shared" si="26"/>
        <v>#DIV/0!</v>
      </c>
      <c r="AF69" s="133">
        <v>0</v>
      </c>
      <c r="AG69" s="124">
        <f t="shared" si="17"/>
        <v>0</v>
      </c>
    </row>
    <row r="70" spans="1:33">
      <c r="A70" s="105" t="s">
        <v>209</v>
      </c>
      <c r="B70" s="105" t="s">
        <v>397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133">
        <f t="shared" si="23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4"/>
        <v>0</v>
      </c>
      <c r="AD70" s="72">
        <f t="shared" si="25"/>
        <v>0</v>
      </c>
      <c r="AE70" s="192" t="e">
        <f t="shared" si="26"/>
        <v>#DIV/0!</v>
      </c>
      <c r="AF70" s="133">
        <v>0</v>
      </c>
      <c r="AG70" s="124">
        <f t="shared" si="17"/>
        <v>0</v>
      </c>
    </row>
    <row r="71" spans="1:33">
      <c r="A71" s="105" t="s">
        <v>211</v>
      </c>
      <c r="B71" s="105" t="s">
        <v>397</v>
      </c>
      <c r="C71" s="105" t="s">
        <v>212</v>
      </c>
      <c r="D71" s="72">
        <v>500</v>
      </c>
      <c r="E71" s="72">
        <v>500</v>
      </c>
      <c r="F71" s="72">
        <v>500</v>
      </c>
      <c r="G71" s="72">
        <v>500</v>
      </c>
      <c r="H71" s="72">
        <v>500</v>
      </c>
      <c r="I71" s="72">
        <v>500</v>
      </c>
      <c r="J71" s="72">
        <v>500</v>
      </c>
      <c r="K71" s="72">
        <v>500</v>
      </c>
      <c r="L71" s="72">
        <v>500</v>
      </c>
      <c r="M71" s="72">
        <v>500</v>
      </c>
      <c r="N71" s="72">
        <v>500</v>
      </c>
      <c r="O71" s="72">
        <v>500</v>
      </c>
      <c r="P71" s="133">
        <f t="shared" si="23"/>
        <v>6000</v>
      </c>
      <c r="Q71" s="136">
        <v>484</v>
      </c>
      <c r="R71" s="136">
        <v>728</v>
      </c>
      <c r="S71" s="136">
        <v>175</v>
      </c>
      <c r="T71" s="136">
        <v>779.03</v>
      </c>
      <c r="U71" s="136">
        <v>726.5</v>
      </c>
      <c r="V71" s="136">
        <v>715</v>
      </c>
      <c r="W71" s="72">
        <v>525</v>
      </c>
      <c r="X71" s="72">
        <v>0</v>
      </c>
      <c r="Y71" s="72">
        <v>300</v>
      </c>
      <c r="Z71" s="72">
        <v>300</v>
      </c>
      <c r="AA71" s="72">
        <v>300</v>
      </c>
      <c r="AB71" s="72">
        <v>300</v>
      </c>
      <c r="AC71" s="137">
        <f t="shared" si="24"/>
        <v>5332.53</v>
      </c>
      <c r="AD71" s="72">
        <f t="shared" si="25"/>
        <v>667.47000000000025</v>
      </c>
      <c r="AE71" s="192">
        <f t="shared" si="26"/>
        <v>0.12516947865272213</v>
      </c>
      <c r="AF71" s="133">
        <v>2102.9899999999998</v>
      </c>
      <c r="AG71" s="124">
        <f t="shared" si="17"/>
        <v>-3897.01</v>
      </c>
    </row>
    <row r="72" spans="1:33">
      <c r="A72" s="105" t="s">
        <v>213</v>
      </c>
      <c r="B72" s="105" t="s">
        <v>397</v>
      </c>
      <c r="C72" s="105" t="s">
        <v>214</v>
      </c>
      <c r="D72" s="222">
        <f>Laundry!E130</f>
        <v>1085</v>
      </c>
      <c r="E72" s="222">
        <f>Laundry!F130</f>
        <v>989</v>
      </c>
      <c r="F72" s="222">
        <f>Laundry!G130</f>
        <v>1000</v>
      </c>
      <c r="G72" s="222">
        <f>Laundry!H130</f>
        <v>1028</v>
      </c>
      <c r="H72" s="222">
        <f>Laundry!I130</f>
        <v>1057</v>
      </c>
      <c r="I72" s="222">
        <f>Laundry!J130</f>
        <v>1010</v>
      </c>
      <c r="J72" s="222">
        <f>Laundry!K130</f>
        <v>1077</v>
      </c>
      <c r="K72" s="222">
        <f>Laundry!L130</f>
        <v>1072</v>
      </c>
      <c r="L72" s="222">
        <f>Laundry!M130</f>
        <v>1034</v>
      </c>
      <c r="M72" s="222">
        <f>Laundry!N130</f>
        <v>1177</v>
      </c>
      <c r="N72" s="222">
        <f>Laundry!O130</f>
        <v>1040</v>
      </c>
      <c r="O72" s="222">
        <f>Laundry!P130</f>
        <v>1035</v>
      </c>
      <c r="P72" s="133">
        <f t="shared" si="23"/>
        <v>12604</v>
      </c>
      <c r="Q72" s="136">
        <v>1430.8</v>
      </c>
      <c r="R72" s="136">
        <v>1668.71</v>
      </c>
      <c r="S72" s="136">
        <v>1036.79</v>
      </c>
      <c r="T72" s="136">
        <v>996.81</v>
      </c>
      <c r="U72" s="136">
        <v>332.56</v>
      </c>
      <c r="V72" s="136">
        <v>963.33</v>
      </c>
      <c r="W72" s="72">
        <v>807.02</v>
      </c>
      <c r="X72" s="72">
        <v>699.33</v>
      </c>
      <c r="Y72" s="72">
        <v>1100</v>
      </c>
      <c r="Z72" s="72">
        <v>1231</v>
      </c>
      <c r="AA72" s="72">
        <v>1034</v>
      </c>
      <c r="AB72" s="72">
        <v>1057</v>
      </c>
      <c r="AC72" s="137">
        <f t="shared" si="24"/>
        <v>12357.35</v>
      </c>
      <c r="AD72" s="72">
        <f t="shared" si="25"/>
        <v>246.64999999999964</v>
      </c>
      <c r="AE72" s="192">
        <f t="shared" si="26"/>
        <v>1.9959781021011758E-2</v>
      </c>
      <c r="AF72" s="133">
        <v>12589.460000000001</v>
      </c>
      <c r="AG72" s="124">
        <f t="shared" si="17"/>
        <v>-14.539999999999054</v>
      </c>
    </row>
    <row r="73" spans="1:33">
      <c r="A73" s="105" t="s">
        <v>306</v>
      </c>
      <c r="B73" s="105" t="s">
        <v>397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133">
        <f t="shared" si="23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4"/>
        <v>0</v>
      </c>
      <c r="AD73" s="72">
        <f t="shared" si="25"/>
        <v>0</v>
      </c>
      <c r="AE73" s="192" t="e">
        <f t="shared" si="26"/>
        <v>#DIV/0!</v>
      </c>
      <c r="AF73" s="133">
        <v>0</v>
      </c>
      <c r="AG73" s="124">
        <f t="shared" si="17"/>
        <v>0</v>
      </c>
    </row>
    <row r="74" spans="1:33">
      <c r="A74" s="105" t="s">
        <v>215</v>
      </c>
      <c r="B74" s="105" t="s">
        <v>397</v>
      </c>
      <c r="C74" s="105" t="s">
        <v>216</v>
      </c>
      <c r="D74" s="72">
        <v>119</v>
      </c>
      <c r="E74" s="72">
        <v>119</v>
      </c>
      <c r="F74" s="72">
        <v>119</v>
      </c>
      <c r="G74" s="72">
        <v>119</v>
      </c>
      <c r="H74" s="72">
        <v>119</v>
      </c>
      <c r="I74" s="72">
        <v>119</v>
      </c>
      <c r="J74" s="72">
        <v>119</v>
      </c>
      <c r="K74" s="72">
        <v>119</v>
      </c>
      <c r="L74" s="72">
        <v>119</v>
      </c>
      <c r="M74" s="72">
        <v>119</v>
      </c>
      <c r="N74" s="72">
        <v>119</v>
      </c>
      <c r="O74" s="72">
        <v>119</v>
      </c>
      <c r="P74" s="133">
        <f t="shared" si="23"/>
        <v>1428</v>
      </c>
      <c r="Q74" s="136">
        <v>118.88</v>
      </c>
      <c r="R74" s="136">
        <v>125.68</v>
      </c>
      <c r="S74" s="136">
        <v>103.26</v>
      </c>
      <c r="T74" s="136">
        <v>146.06</v>
      </c>
      <c r="U74" s="136">
        <v>65.69</v>
      </c>
      <c r="V74" s="136">
        <v>106.48</v>
      </c>
      <c r="W74" s="72">
        <v>-49.92</v>
      </c>
      <c r="X74" s="72">
        <v>26</v>
      </c>
      <c r="Y74" s="72">
        <v>120</v>
      </c>
      <c r="Z74" s="72">
        <v>120</v>
      </c>
      <c r="AA74" s="72">
        <v>120</v>
      </c>
      <c r="AB74" s="72">
        <v>120</v>
      </c>
      <c r="AC74" s="137">
        <f t="shared" si="24"/>
        <v>1122.1300000000001</v>
      </c>
      <c r="AD74" s="72">
        <f t="shared" si="25"/>
        <v>305.86999999999989</v>
      </c>
      <c r="AE74" s="192">
        <f t="shared" si="26"/>
        <v>0.27257982586687807</v>
      </c>
      <c r="AF74" s="133">
        <v>3613.1900000000005</v>
      </c>
      <c r="AG74" s="124">
        <f t="shared" si="17"/>
        <v>2185.1900000000005</v>
      </c>
    </row>
    <row r="75" spans="1:33">
      <c r="A75" s="105" t="s">
        <v>217</v>
      </c>
      <c r="B75" s="105" t="s">
        <v>397</v>
      </c>
      <c r="C75" s="105" t="s">
        <v>218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133">
        <f t="shared" si="23"/>
        <v>0</v>
      </c>
      <c r="Q75" s="136">
        <v>123.71</v>
      </c>
      <c r="R75" s="136">
        <v>0</v>
      </c>
      <c r="S75" s="136">
        <v>575.52</v>
      </c>
      <c r="T75" s="136">
        <v>165.81</v>
      </c>
      <c r="U75" s="136">
        <v>0</v>
      </c>
      <c r="V75" s="136">
        <v>0</v>
      </c>
      <c r="W75" s="72">
        <v>0</v>
      </c>
      <c r="X75" s="72">
        <v>0</v>
      </c>
      <c r="Y75" s="72">
        <v>80</v>
      </c>
      <c r="Z75" s="72">
        <v>80</v>
      </c>
      <c r="AA75" s="72">
        <v>80</v>
      </c>
      <c r="AB75" s="72">
        <v>80</v>
      </c>
      <c r="AC75" s="137">
        <f t="shared" si="24"/>
        <v>1185.04</v>
      </c>
      <c r="AD75" s="72">
        <f t="shared" si="25"/>
        <v>-1185.04</v>
      </c>
      <c r="AE75" s="192">
        <f t="shared" si="26"/>
        <v>-1</v>
      </c>
      <c r="AF75" s="133">
        <v>0</v>
      </c>
      <c r="AG75" s="124">
        <f t="shared" si="17"/>
        <v>0</v>
      </c>
    </row>
    <row r="76" spans="1:33">
      <c r="A76" s="105" t="s">
        <v>219</v>
      </c>
      <c r="B76" s="105" t="s">
        <v>397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133">
        <f t="shared" si="23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4"/>
        <v>0</v>
      </c>
      <c r="AD76" s="72">
        <f t="shared" si="25"/>
        <v>0</v>
      </c>
      <c r="AE76" s="192" t="e">
        <f t="shared" si="26"/>
        <v>#DIV/0!</v>
      </c>
      <c r="AF76" s="133">
        <v>0</v>
      </c>
      <c r="AG76" s="124">
        <f t="shared" si="17"/>
        <v>0</v>
      </c>
    </row>
    <row r="77" spans="1:33">
      <c r="A77" s="105" t="s">
        <v>588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133">
        <f t="shared" si="23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4"/>
        <v>0</v>
      </c>
      <c r="AD77" s="72">
        <f t="shared" si="25"/>
        <v>0</v>
      </c>
      <c r="AE77" s="192" t="e">
        <f t="shared" si="26"/>
        <v>#DIV/0!</v>
      </c>
      <c r="AF77" s="133">
        <v>0</v>
      </c>
      <c r="AG77" s="124">
        <f t="shared" si="17"/>
        <v>0</v>
      </c>
    </row>
    <row r="78" spans="1:33">
      <c r="A78" s="105" t="s">
        <v>221</v>
      </c>
      <c r="B78" s="105" t="s">
        <v>397</v>
      </c>
      <c r="C78" s="105" t="s">
        <v>222</v>
      </c>
      <c r="D78" s="72">
        <v>3000</v>
      </c>
      <c r="E78" s="72">
        <v>3000</v>
      </c>
      <c r="F78" s="72">
        <v>3000</v>
      </c>
      <c r="G78" s="72">
        <v>3000</v>
      </c>
      <c r="H78" s="72">
        <v>3000</v>
      </c>
      <c r="I78" s="72">
        <v>3000</v>
      </c>
      <c r="J78" s="72">
        <v>3000</v>
      </c>
      <c r="K78" s="72">
        <v>3000</v>
      </c>
      <c r="L78" s="72">
        <v>3000</v>
      </c>
      <c r="M78" s="72">
        <v>3000</v>
      </c>
      <c r="N78" s="72">
        <v>3000</v>
      </c>
      <c r="O78" s="72">
        <v>3000</v>
      </c>
      <c r="P78" s="133">
        <f t="shared" si="23"/>
        <v>36000</v>
      </c>
      <c r="Q78" s="136">
        <v>2862.95</v>
      </c>
      <c r="R78" s="136">
        <v>2421.69</v>
      </c>
      <c r="S78" s="136">
        <v>3000.19</v>
      </c>
      <c r="T78" s="136">
        <v>1818.02</v>
      </c>
      <c r="U78" s="136">
        <v>2241.9299999999998</v>
      </c>
      <c r="V78" s="136">
        <v>1729.14</v>
      </c>
      <c r="W78" s="72">
        <v>2218.87</v>
      </c>
      <c r="X78" s="72">
        <v>1765.66</v>
      </c>
      <c r="Y78" s="72">
        <v>2000</v>
      </c>
      <c r="Z78" s="72">
        <v>2000</v>
      </c>
      <c r="AA78" s="72">
        <v>2000</v>
      </c>
      <c r="AB78" s="72">
        <v>2000</v>
      </c>
      <c r="AC78" s="137">
        <f t="shared" si="24"/>
        <v>26058.45</v>
      </c>
      <c r="AD78" s="72">
        <f t="shared" si="25"/>
        <v>9941.5499999999993</v>
      </c>
      <c r="AE78" s="192">
        <f t="shared" si="26"/>
        <v>0.38150964466420678</v>
      </c>
      <c r="AF78" s="133">
        <v>26427.020000000004</v>
      </c>
      <c r="AG78" s="124">
        <f t="shared" si="17"/>
        <v>-9572.9799999999959</v>
      </c>
    </row>
    <row r="79" spans="1:33">
      <c r="A79" s="105" t="s">
        <v>505</v>
      </c>
      <c r="B79" s="105" t="s">
        <v>397</v>
      </c>
      <c r="C79" s="105" t="s">
        <v>506</v>
      </c>
      <c r="D79" s="223">
        <f>SUM('F&amp;B Admin:Main Kichen'!D168)</f>
        <v>17148</v>
      </c>
      <c r="E79" s="223">
        <f>SUM('F&amp;B Admin:Main Kichen'!E168)</f>
        <v>21922</v>
      </c>
      <c r="F79" s="223">
        <f>SUM('F&amp;B Admin:Main Kichen'!F168)</f>
        <v>18822</v>
      </c>
      <c r="G79" s="223">
        <f>SUM('F&amp;B Admin:Main Kichen'!G168)</f>
        <v>17496</v>
      </c>
      <c r="H79" s="223">
        <f>SUM('F&amp;B Admin:Main Kichen'!H168)</f>
        <v>17042</v>
      </c>
      <c r="I79" s="223">
        <f>SUM('F&amp;B Admin:Main Kichen'!I168)</f>
        <v>17239</v>
      </c>
      <c r="J79" s="223">
        <f>SUM('F&amp;B Admin:Main Kichen'!J168)</f>
        <v>14500</v>
      </c>
      <c r="K79" s="223">
        <f>SUM('F&amp;B Admin:Main Kichen'!K168)</f>
        <v>14795</v>
      </c>
      <c r="L79" s="223">
        <f>SUM('F&amp;B Admin:Main Kichen'!L168)</f>
        <v>19616</v>
      </c>
      <c r="M79" s="223">
        <f>SUM('F&amp;B Admin:Main Kichen'!M168)</f>
        <v>22686</v>
      </c>
      <c r="N79" s="223">
        <f>SUM('F&amp;B Admin:Main Kichen'!N168)</f>
        <v>20389</v>
      </c>
      <c r="O79" s="223">
        <f>SUM('F&amp;B Admin:Main Kichen'!O168)</f>
        <v>20445</v>
      </c>
      <c r="P79" s="133">
        <f>SUM(D79:O79)</f>
        <v>222100</v>
      </c>
      <c r="Q79" s="136">
        <v>22554.27</v>
      </c>
      <c r="R79" s="136">
        <v>24209.57</v>
      </c>
      <c r="S79" s="136">
        <v>20354.78</v>
      </c>
      <c r="T79" s="136">
        <v>19888.79</v>
      </c>
      <c r="U79" s="136">
        <v>14116.83</v>
      </c>
      <c r="V79" s="136">
        <v>14917.81</v>
      </c>
      <c r="W79" s="72">
        <v>15457.64</v>
      </c>
      <c r="X79" s="72">
        <v>13278.72</v>
      </c>
      <c r="Y79" s="72">
        <v>25202</v>
      </c>
      <c r="Z79" s="72">
        <v>22819</v>
      </c>
      <c r="AA79" s="72">
        <v>22494</v>
      </c>
      <c r="AB79" s="72">
        <v>23409</v>
      </c>
      <c r="AC79" s="137">
        <f t="shared" si="24"/>
        <v>238702.41</v>
      </c>
      <c r="AD79" s="72">
        <f t="shared" si="25"/>
        <v>-16602.410000000003</v>
      </c>
      <c r="AE79" s="192">
        <f t="shared" si="26"/>
        <v>-6.9552753991884722E-2</v>
      </c>
      <c r="AF79" s="133">
        <v>331691.89000000007</v>
      </c>
      <c r="AG79" s="124">
        <f t="shared" si="17"/>
        <v>109591.89000000007</v>
      </c>
    </row>
    <row r="80" spans="1:33">
      <c r="C80" s="109" t="s">
        <v>507</v>
      </c>
      <c r="D80" s="137">
        <f t="shared" ref="D80:O80" si="28">SUM(D38:D79)</f>
        <v>67690.87</v>
      </c>
      <c r="E80" s="137">
        <f t="shared" si="28"/>
        <v>62648.66</v>
      </c>
      <c r="F80" s="137">
        <f t="shared" si="28"/>
        <v>57776.66</v>
      </c>
      <c r="G80" s="137">
        <f t="shared" si="28"/>
        <v>55147.62</v>
      </c>
      <c r="H80" s="137">
        <f t="shared" si="28"/>
        <v>56111.16</v>
      </c>
      <c r="I80" s="137">
        <f t="shared" si="28"/>
        <v>53232.990000000005</v>
      </c>
      <c r="J80" s="137">
        <f t="shared" si="28"/>
        <v>57528.990000000005</v>
      </c>
      <c r="K80" s="137">
        <f t="shared" si="28"/>
        <v>51866.99</v>
      </c>
      <c r="L80" s="137">
        <f t="shared" si="28"/>
        <v>55695.990000000005</v>
      </c>
      <c r="M80" s="137">
        <f t="shared" si="28"/>
        <v>69540.209999999992</v>
      </c>
      <c r="N80" s="137">
        <f t="shared" si="28"/>
        <v>57314.99</v>
      </c>
      <c r="O80" s="137">
        <f t="shared" si="28"/>
        <v>60352.990000000005</v>
      </c>
      <c r="P80" s="133">
        <f>SUM(P38:P79)</f>
        <v>704908.11999999988</v>
      </c>
      <c r="Q80" s="137">
        <f t="shared" ref="Q80:AC80" si="29">SUM(Q38:Q79)</f>
        <v>77938.47</v>
      </c>
      <c r="R80" s="137">
        <f t="shared" si="29"/>
        <v>88269.540000000008</v>
      </c>
      <c r="S80" s="137">
        <f t="shared" si="29"/>
        <v>77990.700000000012</v>
      </c>
      <c r="T80" s="137">
        <f t="shared" si="29"/>
        <v>54383.11</v>
      </c>
      <c r="U80" s="137">
        <f t="shared" si="29"/>
        <v>52509.24</v>
      </c>
      <c r="V80" s="137">
        <f t="shared" si="29"/>
        <v>48538.42</v>
      </c>
      <c r="W80" s="137">
        <f t="shared" si="29"/>
        <v>51234.46</v>
      </c>
      <c r="X80" s="137">
        <f t="shared" si="29"/>
        <v>47493.15</v>
      </c>
      <c r="Y80" s="137">
        <f t="shared" si="29"/>
        <v>53692</v>
      </c>
      <c r="Z80" s="137">
        <f t="shared" si="29"/>
        <v>50940</v>
      </c>
      <c r="AA80" s="137">
        <f t="shared" si="29"/>
        <v>47418</v>
      </c>
      <c r="AB80" s="137">
        <f t="shared" si="29"/>
        <v>53756</v>
      </c>
      <c r="AC80" s="137">
        <f t="shared" si="29"/>
        <v>704163.09</v>
      </c>
      <c r="AD80" s="72">
        <f t="shared" si="25"/>
        <v>745.02999999991152</v>
      </c>
      <c r="AE80" s="192">
        <f t="shared" si="26"/>
        <v>1.0580361433029832E-3</v>
      </c>
      <c r="AF80" s="133">
        <v>469472.85000000009</v>
      </c>
      <c r="AG80" s="124">
        <f t="shared" si="17"/>
        <v>-235435.26999999979</v>
      </c>
    </row>
    <row r="81" spans="1:33">
      <c r="C81" s="109" t="s">
        <v>508</v>
      </c>
      <c r="D81" s="137">
        <f t="shared" ref="D81:AC81" si="30">D27-D33-D35-D80</f>
        <v>-74949.450000000012</v>
      </c>
      <c r="E81" s="137">
        <f t="shared" si="30"/>
        <v>5150.3099999999977</v>
      </c>
      <c r="F81" s="137">
        <f t="shared" si="30"/>
        <v>-65331.72</v>
      </c>
      <c r="G81" s="137">
        <f t="shared" si="30"/>
        <v>-88663.459999999992</v>
      </c>
      <c r="H81" s="137">
        <f t="shared" si="30"/>
        <v>-105963.57</v>
      </c>
      <c r="I81" s="137">
        <f t="shared" si="30"/>
        <v>-91894.27</v>
      </c>
      <c r="J81" s="137">
        <f t="shared" si="30"/>
        <v>-84427.17</v>
      </c>
      <c r="K81" s="137">
        <f t="shared" si="30"/>
        <v>-71486.47</v>
      </c>
      <c r="L81" s="137">
        <f t="shared" si="30"/>
        <v>-81861.470000000016</v>
      </c>
      <c r="M81" s="137">
        <f t="shared" si="30"/>
        <v>-114097.18</v>
      </c>
      <c r="N81" s="137">
        <f t="shared" si="30"/>
        <v>-62652.109999999993</v>
      </c>
      <c r="O81" s="137">
        <f t="shared" si="30"/>
        <v>-38223.410000000018</v>
      </c>
      <c r="P81" s="133">
        <f t="shared" si="30"/>
        <v>-874399.97</v>
      </c>
      <c r="Q81" s="137">
        <f t="shared" si="30"/>
        <v>-91934.06</v>
      </c>
      <c r="R81" s="137">
        <f t="shared" si="30"/>
        <v>-66846.28</v>
      </c>
      <c r="S81" s="137">
        <f t="shared" si="30"/>
        <v>-109905.34999999996</v>
      </c>
      <c r="T81" s="137">
        <f t="shared" si="30"/>
        <v>-93448.219999999987</v>
      </c>
      <c r="U81" s="137">
        <f t="shared" si="30"/>
        <v>-77283.739999999962</v>
      </c>
      <c r="V81" s="137">
        <f t="shared" si="30"/>
        <v>-98078.51999999996</v>
      </c>
      <c r="W81" s="137">
        <f t="shared" si="30"/>
        <v>-62019.289999999986</v>
      </c>
      <c r="X81" s="137">
        <f t="shared" si="30"/>
        <v>-67214.929999999993</v>
      </c>
      <c r="Y81" s="137">
        <f t="shared" si="30"/>
        <v>-89177</v>
      </c>
      <c r="Z81" s="137">
        <f t="shared" si="30"/>
        <v>-82580</v>
      </c>
      <c r="AA81" s="137">
        <f t="shared" si="30"/>
        <v>-50177</v>
      </c>
      <c r="AB81" s="137">
        <f t="shared" si="30"/>
        <v>-29729</v>
      </c>
      <c r="AC81" s="137">
        <f t="shared" si="30"/>
        <v>-918393.38999999978</v>
      </c>
      <c r="AD81" s="72">
        <f t="shared" si="25"/>
        <v>43993.419999999809</v>
      </c>
      <c r="AE81" s="192">
        <f t="shared" si="26"/>
        <v>-4.7902587800637178E-2</v>
      </c>
      <c r="AF81" s="133">
        <v>440087.81000000029</v>
      </c>
      <c r="AG81" s="124">
        <f>P81-AF81</f>
        <v>-1314487.7800000003</v>
      </c>
    </row>
    <row r="82" spans="1:33">
      <c r="C82" s="109" t="s">
        <v>509</v>
      </c>
      <c r="D82" s="213">
        <f t="shared" ref="D82:AC82" si="31">D81/D27</f>
        <v>-0.3758597949931799</v>
      </c>
      <c r="E82" s="213">
        <f t="shared" si="31"/>
        <v>2.0602805813241799E-2</v>
      </c>
      <c r="F82" s="213">
        <f t="shared" si="31"/>
        <v>-0.41619983181713938</v>
      </c>
      <c r="G82" s="213">
        <f t="shared" si="31"/>
        <v>-0.6548068003899441</v>
      </c>
      <c r="H82" s="213">
        <f t="shared" si="31"/>
        <v>-0.81674415557388302</v>
      </c>
      <c r="I82" s="213">
        <f t="shared" si="31"/>
        <v>-0.72264375137617565</v>
      </c>
      <c r="J82" s="213">
        <f t="shared" si="31"/>
        <v>-0.57662923880749917</v>
      </c>
      <c r="K82" s="213">
        <f t="shared" si="31"/>
        <v>-0.45993598280864972</v>
      </c>
      <c r="L82" s="213">
        <f t="shared" si="31"/>
        <v>-0.56502947266703485</v>
      </c>
      <c r="M82" s="213">
        <f t="shared" si="31"/>
        <v>-0.67356092895852271</v>
      </c>
      <c r="N82" s="213">
        <f t="shared" si="31"/>
        <v>-0.36013789971661286</v>
      </c>
      <c r="O82" s="213">
        <f t="shared" si="31"/>
        <v>-0.18222449466056453</v>
      </c>
      <c r="P82" s="213">
        <f t="shared" si="31"/>
        <v>-0.43752572290069958</v>
      </c>
      <c r="Q82" s="213">
        <f t="shared" si="31"/>
        <v>-0.46486505072559586</v>
      </c>
      <c r="R82" s="213">
        <f t="shared" si="31"/>
        <v>-0.25519010544843446</v>
      </c>
      <c r="S82" s="213">
        <f t="shared" si="31"/>
        <v>-0.66618722513916628</v>
      </c>
      <c r="T82" s="213">
        <f t="shared" si="31"/>
        <v>-0.63094770690870849</v>
      </c>
      <c r="U82" s="213">
        <f t="shared" si="31"/>
        <v>-0.51730023842986594</v>
      </c>
      <c r="V82" s="213">
        <f t="shared" si="31"/>
        <v>-0.78993863305210099</v>
      </c>
      <c r="W82" s="213">
        <f t="shared" si="31"/>
        <v>-0.40944611315194651</v>
      </c>
      <c r="X82" s="213">
        <f t="shared" si="31"/>
        <v>-0.45434683257097297</v>
      </c>
      <c r="Y82" s="213">
        <f t="shared" si="31"/>
        <v>-0.62837433147543986</v>
      </c>
      <c r="Z82" s="213">
        <f t="shared" si="31"/>
        <v>-0.48750250894364616</v>
      </c>
      <c r="AA82" s="213">
        <f t="shared" si="31"/>
        <v>-0.28842826513074321</v>
      </c>
      <c r="AB82" s="213">
        <f t="shared" si="31"/>
        <v>-0.14172864225781845</v>
      </c>
      <c r="AC82" s="213">
        <f t="shared" si="31"/>
        <v>-0.45001614072121671</v>
      </c>
      <c r="AD82" s="72">
        <f t="shared" si="25"/>
        <v>1.249041782051713E-2</v>
      </c>
      <c r="AE82" s="192">
        <f t="shared" si="26"/>
        <v>-2.7755488504255445E-2</v>
      </c>
      <c r="AF82" s="133">
        <v>0.13567407509768381</v>
      </c>
      <c r="AG82" s="124">
        <f>P82-AF82</f>
        <v>-0.57319979799838339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397</v>
      </c>
      <c r="C85" s="105" t="s">
        <v>481</v>
      </c>
      <c r="D85" s="136">
        <v>200</v>
      </c>
      <c r="E85" s="136">
        <v>200</v>
      </c>
      <c r="F85" s="136">
        <v>200</v>
      </c>
      <c r="G85" s="136">
        <v>180</v>
      </c>
      <c r="H85" s="136">
        <v>180</v>
      </c>
      <c r="I85" s="136">
        <v>180</v>
      </c>
      <c r="J85" s="136">
        <v>200</v>
      </c>
      <c r="K85" s="136">
        <v>200</v>
      </c>
      <c r="L85" s="136">
        <v>180</v>
      </c>
      <c r="M85" s="136">
        <v>180</v>
      </c>
      <c r="N85" s="136">
        <v>200</v>
      </c>
      <c r="O85" s="136">
        <v>200</v>
      </c>
      <c r="P85" s="133">
        <f>SUM(D85:O85)</f>
        <v>2300</v>
      </c>
      <c r="Q85" s="136">
        <v>294</v>
      </c>
      <c r="R85" s="136">
        <v>133</v>
      </c>
      <c r="S85" s="136">
        <v>352</v>
      </c>
      <c r="T85" s="136">
        <v>375</v>
      </c>
      <c r="U85" s="136">
        <v>410</v>
      </c>
      <c r="V85" s="136">
        <v>334</v>
      </c>
      <c r="W85" s="72">
        <v>304</v>
      </c>
      <c r="X85" s="72">
        <v>306</v>
      </c>
      <c r="Y85" s="72">
        <v>180</v>
      </c>
      <c r="Z85" s="72">
        <v>180</v>
      </c>
      <c r="AA85" s="72">
        <v>200</v>
      </c>
      <c r="AB85" s="72">
        <v>200</v>
      </c>
      <c r="AC85" s="137">
        <f>SUM(Q85:AB85)</f>
        <v>3268</v>
      </c>
      <c r="AD85" s="72">
        <f t="shared" ref="AD85:AD90" si="32">P85-AC85</f>
        <v>-968</v>
      </c>
      <c r="AE85" s="192">
        <f t="shared" ref="AE85:AE90" si="33">AD85/AC85</f>
        <v>-0.29620563035495717</v>
      </c>
      <c r="AF85" s="133">
        <v>1680</v>
      </c>
      <c r="AG85" s="124">
        <f t="shared" ref="AG85:AG98" si="34">P85-AF85</f>
        <v>620</v>
      </c>
    </row>
    <row r="86" spans="1:33">
      <c r="A86" s="105" t="s">
        <v>511</v>
      </c>
      <c r="B86" s="105" t="s">
        <v>397</v>
      </c>
      <c r="C86" s="105" t="s">
        <v>483</v>
      </c>
      <c r="D86" s="136">
        <v>600</v>
      </c>
      <c r="E86" s="136">
        <v>700</v>
      </c>
      <c r="F86" s="136">
        <v>450</v>
      </c>
      <c r="G86" s="136">
        <v>400</v>
      </c>
      <c r="H86" s="136">
        <v>350</v>
      </c>
      <c r="I86" s="136">
        <v>350</v>
      </c>
      <c r="J86" s="136">
        <v>400</v>
      </c>
      <c r="K86" s="136">
        <v>400</v>
      </c>
      <c r="L86" s="136">
        <v>400</v>
      </c>
      <c r="M86" s="136">
        <v>450</v>
      </c>
      <c r="N86" s="136">
        <v>450</v>
      </c>
      <c r="O86" s="136">
        <v>550</v>
      </c>
      <c r="P86" s="133">
        <f>SUM(D86:O86)</f>
        <v>5500</v>
      </c>
      <c r="Q86" s="136">
        <v>670</v>
      </c>
      <c r="R86" s="136">
        <v>587</v>
      </c>
      <c r="S86" s="136">
        <v>478</v>
      </c>
      <c r="T86" s="136">
        <v>389</v>
      </c>
      <c r="U86" s="136">
        <v>375</v>
      </c>
      <c r="V86" s="136">
        <v>231</v>
      </c>
      <c r="W86" s="72">
        <v>490</v>
      </c>
      <c r="X86" s="72">
        <v>611</v>
      </c>
      <c r="Y86" s="72">
        <v>400</v>
      </c>
      <c r="Z86" s="72">
        <v>450</v>
      </c>
      <c r="AA86" s="72">
        <v>450</v>
      </c>
      <c r="AB86" s="72">
        <v>550</v>
      </c>
      <c r="AC86" s="137">
        <f>SUM(Q86:AB86)</f>
        <v>5681</v>
      </c>
      <c r="AD86" s="72">
        <f t="shared" si="32"/>
        <v>-181</v>
      </c>
      <c r="AE86" s="192">
        <f t="shared" si="33"/>
        <v>-3.1860587924661149E-2</v>
      </c>
      <c r="AF86" s="133">
        <v>6960</v>
      </c>
      <c r="AG86" s="124">
        <f t="shared" si="34"/>
        <v>-1460</v>
      </c>
    </row>
    <row r="87" spans="1:33">
      <c r="A87" s="105" t="s">
        <v>512</v>
      </c>
      <c r="B87" s="105" t="s">
        <v>397</v>
      </c>
      <c r="C87" s="105" t="s">
        <v>485</v>
      </c>
      <c r="D87" s="136">
        <v>500</v>
      </c>
      <c r="E87" s="136">
        <v>600</v>
      </c>
      <c r="F87" s="136">
        <v>500</v>
      </c>
      <c r="G87" s="136">
        <v>400</v>
      </c>
      <c r="H87" s="136">
        <v>400</v>
      </c>
      <c r="I87" s="136">
        <v>380</v>
      </c>
      <c r="J87" s="136">
        <v>450</v>
      </c>
      <c r="K87" s="136">
        <v>500</v>
      </c>
      <c r="L87" s="136">
        <v>450</v>
      </c>
      <c r="M87" s="136">
        <v>550</v>
      </c>
      <c r="N87" s="136">
        <v>550</v>
      </c>
      <c r="O87" s="136">
        <v>650</v>
      </c>
      <c r="P87" s="133">
        <f>SUM(D87:O87)</f>
        <v>5930</v>
      </c>
      <c r="Q87" s="136">
        <v>522</v>
      </c>
      <c r="R87" s="136">
        <v>492</v>
      </c>
      <c r="S87" s="136">
        <v>305</v>
      </c>
      <c r="T87" s="136">
        <v>357</v>
      </c>
      <c r="U87" s="136">
        <v>183</v>
      </c>
      <c r="V87" s="136">
        <v>240</v>
      </c>
      <c r="W87" s="72">
        <v>328</v>
      </c>
      <c r="X87" s="72">
        <v>296</v>
      </c>
      <c r="Y87" s="72">
        <v>450</v>
      </c>
      <c r="Z87" s="72">
        <v>550</v>
      </c>
      <c r="AA87" s="72">
        <v>550</v>
      </c>
      <c r="AB87" s="72">
        <v>650</v>
      </c>
      <c r="AC87" s="137">
        <f>SUM(Q87:AB87)</f>
        <v>4923</v>
      </c>
      <c r="AD87" s="72">
        <f t="shared" si="32"/>
        <v>1007</v>
      </c>
      <c r="AE87" s="192">
        <f t="shared" si="33"/>
        <v>0.20455007109486087</v>
      </c>
      <c r="AF87" s="133">
        <v>8963</v>
      </c>
      <c r="AG87" s="124">
        <f t="shared" si="34"/>
        <v>-3033</v>
      </c>
    </row>
    <row r="88" spans="1:33">
      <c r="A88" s="105" t="s">
        <v>513</v>
      </c>
      <c r="B88" s="105" t="s">
        <v>397</v>
      </c>
      <c r="C88" s="105" t="s">
        <v>487</v>
      </c>
      <c r="D88" s="136">
        <v>0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3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32"/>
        <v>0</v>
      </c>
      <c r="AE88" s="192" t="e">
        <f t="shared" si="33"/>
        <v>#DIV/0!</v>
      </c>
      <c r="AF88" s="133">
        <v>3204</v>
      </c>
      <c r="AG88" s="124">
        <f t="shared" si="34"/>
        <v>-3204</v>
      </c>
    </row>
    <row r="89" spans="1:33">
      <c r="A89" s="105" t="s">
        <v>514</v>
      </c>
      <c r="B89" s="105" t="s">
        <v>397</v>
      </c>
      <c r="C89" s="105" t="s">
        <v>489</v>
      </c>
      <c r="D89" s="136">
        <v>80</v>
      </c>
      <c r="E89" s="136">
        <v>100</v>
      </c>
      <c r="F89" s="136">
        <v>80</v>
      </c>
      <c r="G89" s="136">
        <v>80</v>
      </c>
      <c r="H89" s="136">
        <v>80</v>
      </c>
      <c r="I89" s="136">
        <v>80</v>
      </c>
      <c r="J89" s="136">
        <v>80</v>
      </c>
      <c r="K89" s="136">
        <v>80</v>
      </c>
      <c r="L89" s="136">
        <v>80</v>
      </c>
      <c r="M89" s="136">
        <v>100</v>
      </c>
      <c r="N89" s="136">
        <v>100</v>
      </c>
      <c r="O89" s="136">
        <v>100</v>
      </c>
      <c r="P89" s="133">
        <f>SUM(D89:O89)</f>
        <v>1040</v>
      </c>
      <c r="Q89" s="136">
        <v>99</v>
      </c>
      <c r="R89" s="136">
        <v>100</v>
      </c>
      <c r="S89" s="136">
        <v>65</v>
      </c>
      <c r="T89" s="136">
        <v>95</v>
      </c>
      <c r="U89" s="136">
        <v>70</v>
      </c>
      <c r="V89" s="136">
        <v>65</v>
      </c>
      <c r="W89" s="72">
        <v>75</v>
      </c>
      <c r="X89" s="72">
        <v>74</v>
      </c>
      <c r="Y89" s="72">
        <v>80</v>
      </c>
      <c r="Z89" s="72">
        <v>100</v>
      </c>
      <c r="AA89" s="72">
        <v>100</v>
      </c>
      <c r="AB89" s="72">
        <v>100</v>
      </c>
      <c r="AC89" s="137">
        <f>SUM(Q89:AB89)</f>
        <v>1023</v>
      </c>
      <c r="AD89" s="72">
        <f t="shared" si="32"/>
        <v>17</v>
      </c>
      <c r="AE89" s="192">
        <f t="shared" si="33"/>
        <v>1.6617790811339198E-2</v>
      </c>
      <c r="AF89" s="133">
        <v>3041</v>
      </c>
      <c r="AG89" s="124">
        <f t="shared" si="34"/>
        <v>-2001</v>
      </c>
    </row>
    <row r="90" spans="1:33">
      <c r="C90" s="109" t="s">
        <v>462</v>
      </c>
      <c r="D90" s="137">
        <f t="shared" ref="D90:AC90" si="35">SUM(D85:D89)</f>
        <v>1380</v>
      </c>
      <c r="E90" s="137">
        <f t="shared" si="35"/>
        <v>1600</v>
      </c>
      <c r="F90" s="137">
        <f t="shared" si="35"/>
        <v>1230</v>
      </c>
      <c r="G90" s="137">
        <f t="shared" si="35"/>
        <v>1060</v>
      </c>
      <c r="H90" s="137">
        <f t="shared" si="35"/>
        <v>1010</v>
      </c>
      <c r="I90" s="137">
        <f t="shared" si="35"/>
        <v>990</v>
      </c>
      <c r="J90" s="137">
        <f t="shared" si="35"/>
        <v>1130</v>
      </c>
      <c r="K90" s="137">
        <f t="shared" si="35"/>
        <v>1180</v>
      </c>
      <c r="L90" s="137">
        <f t="shared" si="35"/>
        <v>1110</v>
      </c>
      <c r="M90" s="137">
        <f t="shared" si="35"/>
        <v>1280</v>
      </c>
      <c r="N90" s="137">
        <f t="shared" si="35"/>
        <v>1300</v>
      </c>
      <c r="O90" s="137">
        <f t="shared" si="35"/>
        <v>1500</v>
      </c>
      <c r="P90" s="133">
        <f t="shared" si="35"/>
        <v>14770</v>
      </c>
      <c r="Q90" s="137">
        <f t="shared" si="35"/>
        <v>1585</v>
      </c>
      <c r="R90" s="137">
        <f t="shared" si="35"/>
        <v>1312</v>
      </c>
      <c r="S90" s="137">
        <f t="shared" si="35"/>
        <v>1200</v>
      </c>
      <c r="T90" s="137">
        <f t="shared" si="35"/>
        <v>1216</v>
      </c>
      <c r="U90" s="137">
        <f t="shared" si="35"/>
        <v>1038</v>
      </c>
      <c r="V90" s="137">
        <f t="shared" si="35"/>
        <v>870</v>
      </c>
      <c r="W90" s="137">
        <f t="shared" si="35"/>
        <v>1197</v>
      </c>
      <c r="X90" s="137">
        <f t="shared" si="35"/>
        <v>1287</v>
      </c>
      <c r="Y90" s="137">
        <f t="shared" si="35"/>
        <v>1110</v>
      </c>
      <c r="Z90" s="137">
        <f t="shared" si="35"/>
        <v>1280</v>
      </c>
      <c r="AA90" s="137">
        <f t="shared" si="35"/>
        <v>1300</v>
      </c>
      <c r="AB90" s="137">
        <f t="shared" si="35"/>
        <v>1500</v>
      </c>
      <c r="AC90" s="137">
        <f t="shared" si="35"/>
        <v>14895</v>
      </c>
      <c r="AD90" s="72">
        <f t="shared" si="32"/>
        <v>-125</v>
      </c>
      <c r="AE90" s="192">
        <f t="shared" si="33"/>
        <v>-8.3920778784827132E-3</v>
      </c>
      <c r="AF90" s="133">
        <v>23848</v>
      </c>
      <c r="AG90" s="124">
        <f t="shared" si="34"/>
        <v>-9078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4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4"/>
        <v>0</v>
      </c>
    </row>
    <row r="93" spans="1:33">
      <c r="C93" s="105" t="s">
        <v>481</v>
      </c>
      <c r="D93" s="136">
        <v>147</v>
      </c>
      <c r="E93" s="136">
        <v>147</v>
      </c>
      <c r="F93" s="136">
        <v>147</v>
      </c>
      <c r="G93" s="136">
        <v>147</v>
      </c>
      <c r="H93" s="136">
        <v>147</v>
      </c>
      <c r="I93" s="136">
        <v>147</v>
      </c>
      <c r="J93" s="136">
        <v>147</v>
      </c>
      <c r="K93" s="136">
        <v>147</v>
      </c>
      <c r="L93" s="136">
        <v>147</v>
      </c>
      <c r="M93" s="136">
        <v>147</v>
      </c>
      <c r="N93" s="136">
        <v>147</v>
      </c>
      <c r="O93" s="136">
        <v>147</v>
      </c>
      <c r="P93" s="137">
        <f t="shared" ref="P93:AB98" si="36">P9/P85</f>
        <v>147</v>
      </c>
      <c r="Q93" s="136">
        <f t="shared" si="36"/>
        <v>144.45561224489794</v>
      </c>
      <c r="R93" s="136">
        <f t="shared" si="36"/>
        <v>207.13601503759398</v>
      </c>
      <c r="S93" s="136">
        <f t="shared" si="36"/>
        <v>138.35525568181819</v>
      </c>
      <c r="T93" s="136">
        <f t="shared" si="36"/>
        <v>133.35794666666666</v>
      </c>
      <c r="U93" s="136">
        <f t="shared" si="36"/>
        <v>152.25421951219514</v>
      </c>
      <c r="V93" s="136">
        <f t="shared" si="36"/>
        <v>135.7590119760479</v>
      </c>
      <c r="W93" s="72">
        <v>151.37812499999998</v>
      </c>
      <c r="X93" s="72">
        <v>124.13558823529411</v>
      </c>
      <c r="Y93" s="72">
        <v>147</v>
      </c>
      <c r="Z93" s="72">
        <v>147</v>
      </c>
      <c r="AA93" s="72">
        <v>147</v>
      </c>
      <c r="AB93" s="72">
        <v>147</v>
      </c>
      <c r="AC93" s="137">
        <f t="shared" ref="AC93:AC98" si="37">AC9/AC85</f>
        <v>144.49862301101592</v>
      </c>
      <c r="AD93" s="136">
        <f t="shared" ref="AD93:AD98" si="38">P93-AC93</f>
        <v>2.5013769889840773</v>
      </c>
      <c r="AE93" s="196">
        <f t="shared" ref="AE93:AE98" si="39">AD93/AC93</f>
        <v>1.7310732357590588E-2</v>
      </c>
      <c r="AF93" s="133">
        <v>109.45066071428575</v>
      </c>
      <c r="AG93" s="124">
        <f t="shared" si="34"/>
        <v>37.549339285714254</v>
      </c>
    </row>
    <row r="94" spans="1:33">
      <c r="C94" s="105" t="s">
        <v>483</v>
      </c>
      <c r="D94" s="136">
        <v>125</v>
      </c>
      <c r="E94" s="136">
        <v>135</v>
      </c>
      <c r="F94" s="136">
        <v>110</v>
      </c>
      <c r="G94" s="136">
        <v>110</v>
      </c>
      <c r="H94" s="136">
        <v>110</v>
      </c>
      <c r="I94" s="136">
        <v>110</v>
      </c>
      <c r="J94" s="136">
        <v>110</v>
      </c>
      <c r="K94" s="136">
        <v>110</v>
      </c>
      <c r="L94" s="136">
        <v>120</v>
      </c>
      <c r="M94" s="136">
        <v>125</v>
      </c>
      <c r="N94" s="136">
        <v>125</v>
      </c>
      <c r="O94" s="136">
        <v>130</v>
      </c>
      <c r="P94" s="137">
        <f t="shared" si="36"/>
        <v>120</v>
      </c>
      <c r="Q94" s="136">
        <f t="shared" si="36"/>
        <v>103.4155223880597</v>
      </c>
      <c r="R94" s="136">
        <f t="shared" si="36"/>
        <v>146.16490630323679</v>
      </c>
      <c r="S94" s="136">
        <f t="shared" si="36"/>
        <v>112.48456066945607</v>
      </c>
      <c r="T94" s="136">
        <f t="shared" si="36"/>
        <v>98.580154241645246</v>
      </c>
      <c r="U94" s="136">
        <f t="shared" si="36"/>
        <v>123.48730666666665</v>
      </c>
      <c r="V94" s="136">
        <f t="shared" si="36"/>
        <v>106.29290043290044</v>
      </c>
      <c r="W94" s="72">
        <v>92.141551020408158</v>
      </c>
      <c r="X94" s="72">
        <v>81.854991816693953</v>
      </c>
      <c r="Y94" s="72">
        <v>120</v>
      </c>
      <c r="Z94" s="72">
        <v>125</v>
      </c>
      <c r="AA94" s="72">
        <v>125</v>
      </c>
      <c r="AB94" s="72">
        <v>130</v>
      </c>
      <c r="AC94" s="137">
        <f t="shared" si="37"/>
        <v>113.57624713958809</v>
      </c>
      <c r="AD94" s="136">
        <f t="shared" si="38"/>
        <v>6.4237528604119092</v>
      </c>
      <c r="AE94" s="196">
        <f t="shared" si="39"/>
        <v>5.6558946277886379E-2</v>
      </c>
      <c r="AF94" s="133">
        <v>164.56967816091952</v>
      </c>
      <c r="AG94" s="124">
        <f t="shared" si="34"/>
        <v>-44.569678160919523</v>
      </c>
    </row>
    <row r="95" spans="1:33">
      <c r="C95" s="105" t="s">
        <v>485</v>
      </c>
      <c r="D95" s="136">
        <v>150</v>
      </c>
      <c r="E95" s="136">
        <v>168</v>
      </c>
      <c r="F95" s="136">
        <v>125</v>
      </c>
      <c r="G95" s="136">
        <v>125</v>
      </c>
      <c r="H95" s="136">
        <v>125</v>
      </c>
      <c r="I95" s="136">
        <v>125</v>
      </c>
      <c r="J95" s="136">
        <v>125</v>
      </c>
      <c r="K95" s="136">
        <v>130</v>
      </c>
      <c r="L95" s="136">
        <v>120</v>
      </c>
      <c r="M95" s="136">
        <v>125</v>
      </c>
      <c r="N95" s="136">
        <v>125</v>
      </c>
      <c r="O95" s="136">
        <v>135</v>
      </c>
      <c r="P95" s="137">
        <f t="shared" si="36"/>
        <v>132.59696458684655</v>
      </c>
      <c r="Q95" s="136">
        <f t="shared" si="36"/>
        <v>123.32605363984673</v>
      </c>
      <c r="R95" s="136">
        <f t="shared" si="36"/>
        <v>215.11199186991871</v>
      </c>
      <c r="S95" s="136">
        <f t="shared" si="36"/>
        <v>137.26000000000002</v>
      </c>
      <c r="T95" s="136">
        <f t="shared" si="36"/>
        <v>122.23585434173668</v>
      </c>
      <c r="U95" s="136">
        <f t="shared" si="36"/>
        <v>86.666994535519123</v>
      </c>
      <c r="V95" s="136">
        <f t="shared" si="36"/>
        <v>110.09083333333334</v>
      </c>
      <c r="W95" s="72">
        <v>135.11341463414632</v>
      </c>
      <c r="X95" s="72">
        <v>115.71013513513512</v>
      </c>
      <c r="Y95" s="72">
        <v>120</v>
      </c>
      <c r="Z95" s="72">
        <v>125</v>
      </c>
      <c r="AA95" s="72">
        <v>125</v>
      </c>
      <c r="AB95" s="72">
        <v>135</v>
      </c>
      <c r="AC95" s="137">
        <f t="shared" si="37"/>
        <v>133.21410928295757</v>
      </c>
      <c r="AD95" s="136">
        <f t="shared" si="38"/>
        <v>-0.61714469611101208</v>
      </c>
      <c r="AE95" s="196">
        <f t="shared" si="39"/>
        <v>-4.6327277150511638E-3</v>
      </c>
      <c r="AF95" s="133">
        <v>126.69280263304698</v>
      </c>
      <c r="AG95" s="124">
        <f t="shared" si="34"/>
        <v>5.9041619537995729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6"/>
        <v>#DIV/0!</v>
      </c>
      <c r="Q96" s="136" t="e">
        <f t="shared" si="36"/>
        <v>#DIV/0!</v>
      </c>
      <c r="R96" s="136" t="e">
        <f t="shared" si="36"/>
        <v>#DIV/0!</v>
      </c>
      <c r="S96" s="136" t="e">
        <f t="shared" si="36"/>
        <v>#DIV/0!</v>
      </c>
      <c r="T96" s="136" t="e">
        <f t="shared" si="36"/>
        <v>#DIV/0!</v>
      </c>
      <c r="U96" s="136" t="e">
        <f t="shared" si="36"/>
        <v>#DIV/0!</v>
      </c>
      <c r="V96" s="136" t="e">
        <f t="shared" si="36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7"/>
        <v>#DIV/0!</v>
      </c>
      <c r="AD96" s="136" t="e">
        <f t="shared" si="38"/>
        <v>#DIV/0!</v>
      </c>
      <c r="AE96" s="196" t="e">
        <f t="shared" si="39"/>
        <v>#DIV/0!</v>
      </c>
      <c r="AF96" s="133">
        <v>-2.8245942571785268E-2</v>
      </c>
      <c r="AG96" s="124" t="e">
        <f t="shared" si="34"/>
        <v>#DIV/0!</v>
      </c>
    </row>
    <row r="97" spans="1:33">
      <c r="C97" s="105" t="s">
        <v>489</v>
      </c>
      <c r="D97" s="136">
        <v>90</v>
      </c>
      <c r="E97" s="136">
        <v>100</v>
      </c>
      <c r="F97" s="136">
        <v>75</v>
      </c>
      <c r="G97" s="136">
        <v>75</v>
      </c>
      <c r="H97" s="136">
        <v>75</v>
      </c>
      <c r="I97" s="136">
        <v>75</v>
      </c>
      <c r="J97" s="136">
        <v>75</v>
      </c>
      <c r="K97" s="136">
        <v>75</v>
      </c>
      <c r="L97" s="136">
        <v>90</v>
      </c>
      <c r="M97" s="136">
        <v>80</v>
      </c>
      <c r="N97" s="136">
        <v>80</v>
      </c>
      <c r="O97" s="136">
        <v>80</v>
      </c>
      <c r="P97" s="137">
        <f t="shared" si="36"/>
        <v>81.15384615384616</v>
      </c>
      <c r="Q97" s="136">
        <f t="shared" si="36"/>
        <v>81.494949494949495</v>
      </c>
      <c r="R97" s="136">
        <f t="shared" si="36"/>
        <v>163.07399999999998</v>
      </c>
      <c r="S97" s="136">
        <f t="shared" si="36"/>
        <v>104.26153846153846</v>
      </c>
      <c r="T97" s="136">
        <f t="shared" si="36"/>
        <v>106.7578947368421</v>
      </c>
      <c r="U97" s="136">
        <f t="shared" si="36"/>
        <v>177.72857142857143</v>
      </c>
      <c r="V97" s="136">
        <f t="shared" si="36"/>
        <v>256.44307692307689</v>
      </c>
      <c r="W97" s="72">
        <v>101.79333333333334</v>
      </c>
      <c r="X97" s="72">
        <v>179.99594594594595</v>
      </c>
      <c r="Y97" s="72">
        <v>90</v>
      </c>
      <c r="Z97" s="72">
        <v>80</v>
      </c>
      <c r="AA97" s="72">
        <v>80</v>
      </c>
      <c r="AB97" s="72">
        <v>80</v>
      </c>
      <c r="AC97" s="137">
        <f t="shared" si="37"/>
        <v>119.80293255131964</v>
      </c>
      <c r="AD97" s="136">
        <f t="shared" si="38"/>
        <v>-38.649086397473482</v>
      </c>
      <c r="AE97" s="196">
        <f t="shared" si="39"/>
        <v>-0.32260551202214921</v>
      </c>
      <c r="AF97" s="133">
        <v>103.12488983886881</v>
      </c>
      <c r="AG97" s="124">
        <f t="shared" si="34"/>
        <v>-21.97104368502265</v>
      </c>
    </row>
    <row r="98" spans="1:33" s="109" customFormat="1">
      <c r="C98" s="109" t="s">
        <v>463</v>
      </c>
      <c r="D98" s="137">
        <f t="shared" ref="D98:O98" si="40">D14/D90</f>
        <v>135.21739130434781</v>
      </c>
      <c r="E98" s="137">
        <f t="shared" si="40"/>
        <v>146.6875</v>
      </c>
      <c r="F98" s="137">
        <f t="shared" si="40"/>
        <v>119.83739837398375</v>
      </c>
      <c r="G98" s="137">
        <f t="shared" si="40"/>
        <v>119.30188679245283</v>
      </c>
      <c r="H98" s="137">
        <f t="shared" si="40"/>
        <v>119.76237623762377</v>
      </c>
      <c r="I98" s="137">
        <f t="shared" si="40"/>
        <v>119.65656565656566</v>
      </c>
      <c r="J98" s="137">
        <f t="shared" si="40"/>
        <v>120.04424778761062</v>
      </c>
      <c r="K98" s="137">
        <f t="shared" si="40"/>
        <v>122.37288135593221</v>
      </c>
      <c r="L98" s="137">
        <f t="shared" si="40"/>
        <v>122.21621621621621</v>
      </c>
      <c r="M98" s="137">
        <f t="shared" si="40"/>
        <v>124.578125</v>
      </c>
      <c r="N98" s="137">
        <f t="shared" si="40"/>
        <v>124.92307692307692</v>
      </c>
      <c r="O98" s="137">
        <f t="shared" si="40"/>
        <v>131.1</v>
      </c>
      <c r="P98" s="137">
        <f t="shared" si="36"/>
        <v>126.52674339878131</v>
      </c>
      <c r="Q98" s="137">
        <f t="shared" si="36"/>
        <v>116.21611987381702</v>
      </c>
      <c r="R98" s="137">
        <f t="shared" si="36"/>
        <v>179.48962652439025</v>
      </c>
      <c r="S98" s="137">
        <f t="shared" si="36"/>
        <v>125.92497500000003</v>
      </c>
      <c r="T98" s="137">
        <f t="shared" si="36"/>
        <v>116.8890707236842</v>
      </c>
      <c r="U98" s="137">
        <f t="shared" si="36"/>
        <v>132.01640655105973</v>
      </c>
      <c r="V98" s="137">
        <f t="shared" si="36"/>
        <v>129.87100000000001</v>
      </c>
      <c r="W98" s="137">
        <f t="shared" si="36"/>
        <v>119.56558897243109</v>
      </c>
      <c r="X98" s="137">
        <f t="shared" si="36"/>
        <v>105.33705516705517</v>
      </c>
      <c r="Y98" s="137">
        <f t="shared" si="36"/>
        <v>122.21621621621621</v>
      </c>
      <c r="Z98" s="137">
        <f t="shared" si="36"/>
        <v>124.578125</v>
      </c>
      <c r="AA98" s="137">
        <f t="shared" si="36"/>
        <v>124.92307692307692</v>
      </c>
      <c r="AB98" s="137">
        <f t="shared" si="36"/>
        <v>131.1</v>
      </c>
      <c r="AC98" s="137">
        <f t="shared" si="37"/>
        <v>127.27892715676401</v>
      </c>
      <c r="AD98" s="137">
        <f t="shared" si="38"/>
        <v>-0.75218375798270642</v>
      </c>
      <c r="AE98" s="139">
        <f t="shared" si="39"/>
        <v>-5.9097273585302446E-3</v>
      </c>
      <c r="AF98" s="133">
        <v>116.50209451526334</v>
      </c>
      <c r="AG98" s="129">
        <f t="shared" si="34"/>
        <v>10.024648883517969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397</v>
      </c>
      <c r="C102" s="105" t="s">
        <v>250</v>
      </c>
      <c r="D102" s="215">
        <v>21275</v>
      </c>
      <c r="E102" s="136">
        <v>21275</v>
      </c>
      <c r="F102" s="136">
        <v>21381.38</v>
      </c>
      <c r="G102" s="136">
        <v>21381.38</v>
      </c>
      <c r="H102" s="136">
        <v>21381.38</v>
      </c>
      <c r="I102" s="136">
        <v>21381.38</v>
      </c>
      <c r="J102" s="136">
        <v>21381.38</v>
      </c>
      <c r="K102" s="136">
        <v>21381.38</v>
      </c>
      <c r="L102" s="136">
        <v>21381.38</v>
      </c>
      <c r="M102" s="136">
        <v>21381.38</v>
      </c>
      <c r="N102" s="136">
        <v>21381.38</v>
      </c>
      <c r="O102" s="136">
        <v>21381.38</v>
      </c>
      <c r="P102" s="135">
        <f>SUM(D102:O102)</f>
        <v>256363.80000000005</v>
      </c>
      <c r="Q102" s="136">
        <v>23700</v>
      </c>
      <c r="R102" s="136">
        <v>23700</v>
      </c>
      <c r="S102" s="136">
        <v>23700</v>
      </c>
      <c r="T102" s="136">
        <v>19096.55</v>
      </c>
      <c r="U102" s="136">
        <v>16200</v>
      </c>
      <c r="V102" s="136">
        <v>16200</v>
      </c>
      <c r="W102" s="72">
        <v>16200</v>
      </c>
      <c r="X102" s="72">
        <v>16200</v>
      </c>
      <c r="Y102" s="72">
        <v>23700</v>
      </c>
      <c r="Z102" s="72">
        <v>23700</v>
      </c>
      <c r="AA102" s="72">
        <v>23700</v>
      </c>
      <c r="AB102" s="72">
        <v>23700</v>
      </c>
      <c r="AC102" s="137">
        <f>SUM(Q102:AB102)</f>
        <v>249796.55</v>
      </c>
      <c r="AD102" s="72">
        <f t="shared" ref="AD102:AD105" si="41">P102-AC102</f>
        <v>6567.2500000000582</v>
      </c>
      <c r="AE102" s="192">
        <f t="shared" ref="AE102:AE105" si="42">AD102/AC102</f>
        <v>2.6290395123551781E-2</v>
      </c>
      <c r="AF102" s="133">
        <v>240281.60000000001</v>
      </c>
      <c r="AG102" s="124">
        <f t="shared" ref="AG102:AG136" si="43">AF102-P102</f>
        <v>-16082.200000000041</v>
      </c>
    </row>
    <row r="103" spans="1:33">
      <c r="A103" s="105" t="s">
        <v>251</v>
      </c>
      <c r="B103" s="105" t="s">
        <v>589</v>
      </c>
      <c r="C103" s="105" t="s">
        <v>468</v>
      </c>
      <c r="D103" s="215">
        <v>18894</v>
      </c>
      <c r="E103" s="136">
        <v>18894</v>
      </c>
      <c r="F103" s="136">
        <v>19838.699999999997</v>
      </c>
      <c r="G103" s="136">
        <v>19838.699999999997</v>
      </c>
      <c r="H103" s="136">
        <v>19838.699999999997</v>
      </c>
      <c r="I103" s="136">
        <v>19838.699999999997</v>
      </c>
      <c r="J103" s="136">
        <v>19838.699999999997</v>
      </c>
      <c r="K103" s="136">
        <v>19838.699999999997</v>
      </c>
      <c r="L103" s="136">
        <v>19838.699999999997</v>
      </c>
      <c r="M103" s="136">
        <v>19838.699999999997</v>
      </c>
      <c r="N103" s="136">
        <v>19838.699999999997</v>
      </c>
      <c r="O103" s="136">
        <v>19838.699999999997</v>
      </c>
      <c r="P103" s="135">
        <f>SUM(D103:O103)</f>
        <v>236175.00000000006</v>
      </c>
      <c r="Q103" s="136">
        <v>17600</v>
      </c>
      <c r="R103" s="136">
        <v>17582.759999999998</v>
      </c>
      <c r="S103" s="136">
        <v>17600</v>
      </c>
      <c r="T103" s="136">
        <v>17600</v>
      </c>
      <c r="U103" s="136">
        <v>17600</v>
      </c>
      <c r="V103" s="136">
        <v>22239.919999999998</v>
      </c>
      <c r="W103" s="72">
        <v>20100</v>
      </c>
      <c r="X103" s="72">
        <v>19962.07</v>
      </c>
      <c r="Y103" s="72">
        <v>21400</v>
      </c>
      <c r="Z103" s="72">
        <v>21400</v>
      </c>
      <c r="AA103" s="72">
        <v>21400</v>
      </c>
      <c r="AB103" s="72">
        <v>21400</v>
      </c>
      <c r="AC103" s="137">
        <f>SUM(Q103:AB103)</f>
        <v>235884.75</v>
      </c>
      <c r="AD103" s="72">
        <f t="shared" si="41"/>
        <v>290.25000000005821</v>
      </c>
      <c r="AE103" s="192">
        <f t="shared" si="42"/>
        <v>1.2304737800983667E-3</v>
      </c>
      <c r="AF103" s="133">
        <v>261069.82</v>
      </c>
      <c r="AG103" s="124">
        <f t="shared" si="43"/>
        <v>24894.819999999949</v>
      </c>
    </row>
    <row r="104" spans="1:33">
      <c r="A104" s="105" t="s">
        <v>251</v>
      </c>
      <c r="B104" s="105" t="s">
        <v>590</v>
      </c>
      <c r="C104" s="105" t="s">
        <v>470</v>
      </c>
      <c r="D104" s="215">
        <v>18444</v>
      </c>
      <c r="E104" s="136">
        <v>18444</v>
      </c>
      <c r="F104" s="136">
        <v>19366.2</v>
      </c>
      <c r="G104" s="136">
        <v>19366.2</v>
      </c>
      <c r="H104" s="136">
        <v>22380.75</v>
      </c>
      <c r="I104" s="136">
        <v>22380.75</v>
      </c>
      <c r="J104" s="136">
        <v>22380.75</v>
      </c>
      <c r="K104" s="136">
        <v>22380.75</v>
      </c>
      <c r="L104" s="136">
        <v>22380.75</v>
      </c>
      <c r="M104" s="136">
        <v>22380.75</v>
      </c>
      <c r="N104" s="136">
        <v>22380.75</v>
      </c>
      <c r="O104" s="136">
        <v>22380.75</v>
      </c>
      <c r="P104" s="135">
        <f>SUM(D104:O104)</f>
        <v>254666.4</v>
      </c>
      <c r="Q104" s="136">
        <v>28600</v>
      </c>
      <c r="R104" s="136">
        <v>28600</v>
      </c>
      <c r="S104" s="136">
        <v>28600</v>
      </c>
      <c r="T104" s="136">
        <v>28800</v>
      </c>
      <c r="U104" s="136">
        <v>29217.25</v>
      </c>
      <c r="V104" s="136">
        <v>26177.45</v>
      </c>
      <c r="W104" s="72">
        <v>22700</v>
      </c>
      <c r="X104" s="72">
        <v>25500</v>
      </c>
      <c r="Y104" s="72">
        <v>11990</v>
      </c>
      <c r="Z104" s="72">
        <v>11990</v>
      </c>
      <c r="AA104" s="72">
        <v>11990</v>
      </c>
      <c r="AB104" s="72">
        <v>11990</v>
      </c>
      <c r="AC104" s="137">
        <f>SUM(Q104:AB104)</f>
        <v>266154.7</v>
      </c>
      <c r="AD104" s="72">
        <f t="shared" si="41"/>
        <v>-11488.300000000017</v>
      </c>
      <c r="AE104" s="192">
        <f t="shared" si="42"/>
        <v>-4.3163994473890625E-2</v>
      </c>
      <c r="AF104" s="133">
        <v>248745.05</v>
      </c>
      <c r="AG104" s="124">
        <f t="shared" si="43"/>
        <v>-5921.3500000000058</v>
      </c>
    </row>
    <row r="105" spans="1:33">
      <c r="A105" s="105" t="s">
        <v>273</v>
      </c>
      <c r="C105" s="109" t="s">
        <v>520</v>
      </c>
      <c r="D105" s="137">
        <f t="shared" ref="D105:AC105" si="44">SUM(D102:D104)</f>
        <v>58613</v>
      </c>
      <c r="E105" s="137">
        <f t="shared" si="44"/>
        <v>58613</v>
      </c>
      <c r="F105" s="137">
        <f t="shared" si="44"/>
        <v>60586.28</v>
      </c>
      <c r="G105" s="137">
        <f t="shared" si="44"/>
        <v>60586.28</v>
      </c>
      <c r="H105" s="137">
        <f t="shared" si="44"/>
        <v>63600.83</v>
      </c>
      <c r="I105" s="137">
        <f t="shared" si="44"/>
        <v>63600.83</v>
      </c>
      <c r="J105" s="137">
        <f t="shared" si="44"/>
        <v>63600.83</v>
      </c>
      <c r="K105" s="137">
        <f t="shared" si="44"/>
        <v>63600.83</v>
      </c>
      <c r="L105" s="137">
        <f t="shared" si="44"/>
        <v>63600.83</v>
      </c>
      <c r="M105" s="137">
        <f t="shared" si="44"/>
        <v>63600.83</v>
      </c>
      <c r="N105" s="137">
        <f t="shared" si="44"/>
        <v>63600.83</v>
      </c>
      <c r="O105" s="137">
        <f t="shared" si="44"/>
        <v>63600.83</v>
      </c>
      <c r="P105" s="135">
        <f t="shared" si="44"/>
        <v>747205.20000000007</v>
      </c>
      <c r="Q105" s="137">
        <f t="shared" si="44"/>
        <v>69900</v>
      </c>
      <c r="R105" s="137">
        <f t="shared" si="44"/>
        <v>69882.759999999995</v>
      </c>
      <c r="S105" s="137">
        <f t="shared" si="44"/>
        <v>69900</v>
      </c>
      <c r="T105" s="137">
        <f t="shared" si="44"/>
        <v>65496.55</v>
      </c>
      <c r="U105" s="137">
        <f t="shared" si="44"/>
        <v>63017.25</v>
      </c>
      <c r="V105" s="137">
        <f t="shared" si="44"/>
        <v>64617.369999999995</v>
      </c>
      <c r="W105" s="137">
        <f t="shared" si="44"/>
        <v>59000</v>
      </c>
      <c r="X105" s="137">
        <f t="shared" si="44"/>
        <v>61662.07</v>
      </c>
      <c r="Y105" s="137">
        <f t="shared" si="44"/>
        <v>57090</v>
      </c>
      <c r="Z105" s="137">
        <f t="shared" si="44"/>
        <v>57090</v>
      </c>
      <c r="AA105" s="137">
        <f t="shared" si="44"/>
        <v>57090</v>
      </c>
      <c r="AB105" s="137">
        <f t="shared" si="44"/>
        <v>57090</v>
      </c>
      <c r="AC105" s="137">
        <f t="shared" si="44"/>
        <v>751836</v>
      </c>
      <c r="AD105" s="72">
        <f t="shared" si="41"/>
        <v>-4630.7999999999302</v>
      </c>
      <c r="AE105" s="192">
        <f t="shared" si="42"/>
        <v>-6.1593219797933729E-3</v>
      </c>
      <c r="AF105" s="133">
        <v>750096.47</v>
      </c>
      <c r="AG105" s="124">
        <f t="shared" si="43"/>
        <v>2891.2699999999022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3"/>
        <v>0</v>
      </c>
    </row>
    <row r="107" spans="1:33">
      <c r="A107" s="105" t="s">
        <v>119</v>
      </c>
      <c r="B107" s="105" t="s">
        <v>397</v>
      </c>
      <c r="C107" s="105" t="s">
        <v>260</v>
      </c>
      <c r="D107" s="215">
        <v>25696.55</v>
      </c>
      <c r="E107" s="215">
        <v>0</v>
      </c>
      <c r="F107" s="215">
        <v>0</v>
      </c>
      <c r="G107" s="215">
        <v>6413.7800000000007</v>
      </c>
      <c r="H107" s="215">
        <v>10868.94</v>
      </c>
      <c r="I107" s="215">
        <v>0</v>
      </c>
      <c r="J107" s="215">
        <v>0</v>
      </c>
      <c r="K107" s="215">
        <v>0</v>
      </c>
      <c r="L107" s="215">
        <v>0</v>
      </c>
      <c r="M107" s="215">
        <v>31543.43</v>
      </c>
      <c r="N107" s="215">
        <v>0</v>
      </c>
      <c r="O107" s="215">
        <v>0</v>
      </c>
      <c r="P107" s="135">
        <f>SUM(D107:O107)</f>
        <v>74522.700000000012</v>
      </c>
      <c r="Q107" s="136">
        <v>6151.71</v>
      </c>
      <c r="R107" s="136">
        <v>22836.14</v>
      </c>
      <c r="S107" s="136">
        <v>0</v>
      </c>
      <c r="T107" s="136">
        <v>7296.54</v>
      </c>
      <c r="U107" s="136">
        <v>5517.24</v>
      </c>
      <c r="V107" s="136">
        <v>7034.49</v>
      </c>
      <c r="W107" s="72">
        <v>0</v>
      </c>
      <c r="X107" s="72">
        <v>0</v>
      </c>
      <c r="Y107" s="72">
        <v>7619</v>
      </c>
      <c r="Z107" s="72">
        <v>22858</v>
      </c>
      <c r="AA107" s="72">
        <v>0</v>
      </c>
      <c r="AB107" s="72">
        <v>0</v>
      </c>
      <c r="AC107" s="137">
        <f>SUM(Q107:AB107)</f>
        <v>79313.119999999995</v>
      </c>
      <c r="AD107" s="72">
        <f t="shared" ref="AD107:AD112" si="45">P107-AC107</f>
        <v>-4790.4199999999837</v>
      </c>
      <c r="AE107" s="192">
        <f t="shared" ref="AE107:AE112" si="46">AD107/AC107</f>
        <v>-6.0398834392090289E-2</v>
      </c>
      <c r="AF107" s="133">
        <v>70484.709999999992</v>
      </c>
      <c r="AG107" s="124">
        <f t="shared" si="43"/>
        <v>-4037.9900000000198</v>
      </c>
    </row>
    <row r="108" spans="1:33">
      <c r="A108" s="105" t="s">
        <v>120</v>
      </c>
      <c r="B108" s="105" t="s">
        <v>397</v>
      </c>
      <c r="C108" s="105" t="s">
        <v>261</v>
      </c>
      <c r="D108" s="215">
        <v>9725</v>
      </c>
      <c r="E108" s="215">
        <v>9725</v>
      </c>
      <c r="F108" s="215">
        <v>9725</v>
      </c>
      <c r="G108" s="215">
        <v>9725</v>
      </c>
      <c r="H108" s="215">
        <v>10275</v>
      </c>
      <c r="I108" s="215">
        <v>10275</v>
      </c>
      <c r="J108" s="215">
        <v>10275</v>
      </c>
      <c r="K108" s="215">
        <v>10275</v>
      </c>
      <c r="L108" s="215">
        <v>10275</v>
      </c>
      <c r="M108" s="215">
        <v>10275</v>
      </c>
      <c r="N108" s="215">
        <v>10275</v>
      </c>
      <c r="O108" s="215">
        <v>10275</v>
      </c>
      <c r="P108" s="135">
        <f>SUM(D108:O108)</f>
        <v>121100</v>
      </c>
      <c r="Q108" s="136">
        <v>17443.740000000002</v>
      </c>
      <c r="R108" s="136">
        <v>17459.16</v>
      </c>
      <c r="S108" s="136">
        <v>17466.47</v>
      </c>
      <c r="T108" s="136">
        <v>11697.83</v>
      </c>
      <c r="U108" s="136">
        <v>10412.42</v>
      </c>
      <c r="V108" s="136">
        <v>10739.98</v>
      </c>
      <c r="W108" s="72">
        <v>9705.44</v>
      </c>
      <c r="X108" s="72">
        <v>10172.33</v>
      </c>
      <c r="Y108" s="72">
        <v>9515</v>
      </c>
      <c r="Z108" s="72">
        <v>9515</v>
      </c>
      <c r="AA108" s="72">
        <v>9515</v>
      </c>
      <c r="AB108" s="72">
        <v>9515</v>
      </c>
      <c r="AC108" s="137">
        <f>SUM(Q108:AB108)</f>
        <v>143157.37</v>
      </c>
      <c r="AD108" s="72">
        <f t="shared" si="45"/>
        <v>-22057.369999999995</v>
      </c>
      <c r="AE108" s="192">
        <f t="shared" si="46"/>
        <v>-0.15407778167481001</v>
      </c>
      <c r="AF108" s="133">
        <v>90262.739999999991</v>
      </c>
      <c r="AG108" s="124">
        <f t="shared" si="43"/>
        <v>-30837.260000000009</v>
      </c>
    </row>
    <row r="109" spans="1:33">
      <c r="A109" s="105" t="s">
        <v>121</v>
      </c>
      <c r="B109" s="105" t="s">
        <v>397</v>
      </c>
      <c r="C109" s="105" t="s">
        <v>262</v>
      </c>
      <c r="D109" s="215">
        <v>8245</v>
      </c>
      <c r="E109" s="215">
        <v>8245</v>
      </c>
      <c r="F109" s="215">
        <v>8245</v>
      </c>
      <c r="G109" s="215">
        <v>8245</v>
      </c>
      <c r="H109" s="215">
        <v>8575</v>
      </c>
      <c r="I109" s="215">
        <v>8375</v>
      </c>
      <c r="J109" s="215">
        <v>8375</v>
      </c>
      <c r="K109" s="215">
        <v>8375</v>
      </c>
      <c r="L109" s="215">
        <v>8375</v>
      </c>
      <c r="M109" s="215">
        <v>8375</v>
      </c>
      <c r="N109" s="215">
        <v>8375</v>
      </c>
      <c r="O109" s="215">
        <v>8375</v>
      </c>
      <c r="P109" s="135">
        <f>SUM(D109:O109)</f>
        <v>100180</v>
      </c>
      <c r="Q109" s="136">
        <v>8390</v>
      </c>
      <c r="R109" s="136">
        <v>7843.58</v>
      </c>
      <c r="S109" s="136">
        <v>8060</v>
      </c>
      <c r="T109" s="136">
        <v>7274.51</v>
      </c>
      <c r="U109" s="136">
        <v>7713</v>
      </c>
      <c r="V109" s="136">
        <v>7720.81</v>
      </c>
      <c r="W109" s="72">
        <v>7578</v>
      </c>
      <c r="X109" s="72">
        <v>8084.35</v>
      </c>
      <c r="Y109" s="72">
        <v>10442</v>
      </c>
      <c r="Z109" s="72">
        <v>10527</v>
      </c>
      <c r="AA109" s="72">
        <v>10527</v>
      </c>
      <c r="AB109" s="72">
        <v>10527</v>
      </c>
      <c r="AC109" s="137">
        <f>SUM(Q109:AB109)</f>
        <v>104687.25</v>
      </c>
      <c r="AD109" s="72">
        <f t="shared" si="45"/>
        <v>-4507.25</v>
      </c>
      <c r="AE109" s="192">
        <f t="shared" si="46"/>
        <v>-4.3054431174761015E-2</v>
      </c>
      <c r="AF109" s="133">
        <v>41697</v>
      </c>
      <c r="AG109" s="124">
        <f t="shared" si="43"/>
        <v>-58483</v>
      </c>
    </row>
    <row r="110" spans="1:33">
      <c r="A110" s="105" t="s">
        <v>122</v>
      </c>
      <c r="B110" s="105" t="s">
        <v>397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5"/>
        <v>0</v>
      </c>
      <c r="AE110" s="192" t="e">
        <f t="shared" si="46"/>
        <v>#DIV/0!</v>
      </c>
      <c r="AF110" s="133">
        <v>0</v>
      </c>
      <c r="AG110" s="124">
        <f t="shared" si="43"/>
        <v>0</v>
      </c>
    </row>
    <row r="111" spans="1:33">
      <c r="A111" s="105" t="s">
        <v>123</v>
      </c>
      <c r="B111" s="105" t="s">
        <v>397</v>
      </c>
      <c r="C111" s="105" t="s">
        <v>264</v>
      </c>
      <c r="D111" s="215">
        <v>2200</v>
      </c>
      <c r="E111" s="215">
        <v>2200</v>
      </c>
      <c r="F111" s="215">
        <v>2200</v>
      </c>
      <c r="G111" s="215">
        <v>2200</v>
      </c>
      <c r="H111" s="215">
        <v>2400</v>
      </c>
      <c r="I111" s="215">
        <v>2600</v>
      </c>
      <c r="J111" s="215">
        <v>2600</v>
      </c>
      <c r="K111" s="215">
        <v>2600</v>
      </c>
      <c r="L111" s="215">
        <v>2600</v>
      </c>
      <c r="M111" s="215">
        <v>2600</v>
      </c>
      <c r="N111" s="215">
        <v>2600</v>
      </c>
      <c r="O111" s="215">
        <v>2600</v>
      </c>
      <c r="P111" s="135">
        <f>SUM(D111:O111)</f>
        <v>29400</v>
      </c>
      <c r="Q111" s="136">
        <v>2600</v>
      </c>
      <c r="R111" s="136">
        <v>3579.25</v>
      </c>
      <c r="S111" s="136">
        <v>3121.06</v>
      </c>
      <c r="T111" s="136">
        <v>3091.18</v>
      </c>
      <c r="U111" s="136">
        <v>2502.92</v>
      </c>
      <c r="V111" s="136">
        <v>2400</v>
      </c>
      <c r="W111" s="72">
        <v>2870.15</v>
      </c>
      <c r="X111" s="72">
        <v>3232.27</v>
      </c>
      <c r="Y111" s="72">
        <v>2520</v>
      </c>
      <c r="Z111" s="72">
        <v>2520</v>
      </c>
      <c r="AA111" s="72">
        <v>2520</v>
      </c>
      <c r="AB111" s="72">
        <v>2520</v>
      </c>
      <c r="AC111" s="137">
        <f>SUM(Q111:AB111)</f>
        <v>33476.83</v>
      </c>
      <c r="AD111" s="72">
        <f t="shared" si="45"/>
        <v>-4076.8300000000017</v>
      </c>
      <c r="AE111" s="192">
        <f t="shared" si="46"/>
        <v>-0.12178064649490414</v>
      </c>
      <c r="AF111" s="133">
        <v>31820.33</v>
      </c>
      <c r="AG111" s="124">
        <f t="shared" si="43"/>
        <v>2420.3300000000017</v>
      </c>
    </row>
    <row r="112" spans="1:33">
      <c r="A112" s="105" t="s">
        <v>273</v>
      </c>
      <c r="C112" s="109" t="s">
        <v>521</v>
      </c>
      <c r="D112" s="137">
        <f t="shared" ref="D112:O112" si="47">SUM(D107:D111)</f>
        <v>45866.55</v>
      </c>
      <c r="E112" s="137">
        <f t="shared" si="47"/>
        <v>20170</v>
      </c>
      <c r="F112" s="137">
        <f t="shared" si="47"/>
        <v>20170</v>
      </c>
      <c r="G112" s="137">
        <f t="shared" si="47"/>
        <v>26583.78</v>
      </c>
      <c r="H112" s="137">
        <f t="shared" si="47"/>
        <v>32118.940000000002</v>
      </c>
      <c r="I112" s="137">
        <f t="shared" si="47"/>
        <v>21250</v>
      </c>
      <c r="J112" s="137">
        <f t="shared" si="47"/>
        <v>21250</v>
      </c>
      <c r="K112" s="137">
        <f t="shared" si="47"/>
        <v>21250</v>
      </c>
      <c r="L112" s="137">
        <f t="shared" si="47"/>
        <v>21250</v>
      </c>
      <c r="M112" s="137">
        <f t="shared" si="47"/>
        <v>52793.43</v>
      </c>
      <c r="N112" s="137">
        <f t="shared" si="47"/>
        <v>21250</v>
      </c>
      <c r="O112" s="137">
        <f t="shared" si="47"/>
        <v>21250</v>
      </c>
      <c r="P112" s="135">
        <f>SUM(P107:P111)</f>
        <v>325202.7</v>
      </c>
      <c r="Q112" s="137">
        <f t="shared" ref="Q112:AC112" si="48">SUM(Q107:Q111)</f>
        <v>34585.449999999997</v>
      </c>
      <c r="R112" s="137">
        <f t="shared" si="48"/>
        <v>51718.130000000005</v>
      </c>
      <c r="S112" s="137">
        <f t="shared" si="48"/>
        <v>28647.530000000002</v>
      </c>
      <c r="T112" s="137">
        <f t="shared" si="48"/>
        <v>29360.059999999998</v>
      </c>
      <c r="U112" s="137">
        <f t="shared" si="48"/>
        <v>26145.58</v>
      </c>
      <c r="V112" s="137">
        <f t="shared" si="48"/>
        <v>27895.280000000002</v>
      </c>
      <c r="W112" s="137">
        <f t="shared" si="48"/>
        <v>20153.590000000004</v>
      </c>
      <c r="X112" s="137">
        <f t="shared" si="48"/>
        <v>21488.95</v>
      </c>
      <c r="Y112" s="137">
        <f t="shared" si="48"/>
        <v>30096</v>
      </c>
      <c r="Z112" s="137">
        <f t="shared" si="48"/>
        <v>45420</v>
      </c>
      <c r="AA112" s="137">
        <f t="shared" si="48"/>
        <v>22562</v>
      </c>
      <c r="AB112" s="137">
        <f t="shared" si="48"/>
        <v>22562</v>
      </c>
      <c r="AC112" s="137">
        <f t="shared" si="48"/>
        <v>360634.57</v>
      </c>
      <c r="AD112" s="72">
        <f t="shared" si="45"/>
        <v>-35431.869999999995</v>
      </c>
      <c r="AE112" s="192">
        <f t="shared" si="46"/>
        <v>-9.8248678710973258E-2</v>
      </c>
      <c r="AF112" s="133">
        <v>234264.77999999997</v>
      </c>
      <c r="AG112" s="124">
        <f t="shared" si="43"/>
        <v>-90937.920000000042</v>
      </c>
    </row>
    <row r="113" spans="1:33">
      <c r="A113" s="105" t="s">
        <v>551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3"/>
        <v>0</v>
      </c>
    </row>
    <row r="114" spans="1:33">
      <c r="A114" s="105" t="s">
        <v>124</v>
      </c>
      <c r="B114" s="105" t="s">
        <v>397</v>
      </c>
      <c r="C114" s="105" t="s">
        <v>266</v>
      </c>
      <c r="D114" s="215">
        <v>14184.009999999998</v>
      </c>
      <c r="E114" s="215">
        <v>14184.009999999998</v>
      </c>
      <c r="F114" s="215">
        <v>14184.009999999998</v>
      </c>
      <c r="G114" s="215">
        <v>14184.009999999998</v>
      </c>
      <c r="H114" s="215">
        <v>15011.249999999998</v>
      </c>
      <c r="I114" s="215">
        <v>15011.249999999998</v>
      </c>
      <c r="J114" s="215">
        <v>15555.65</v>
      </c>
      <c r="K114" s="215">
        <v>15555.65</v>
      </c>
      <c r="L114" s="215">
        <v>15555.65</v>
      </c>
      <c r="M114" s="215">
        <v>15555.65</v>
      </c>
      <c r="N114" s="215">
        <v>15555.65</v>
      </c>
      <c r="O114" s="215">
        <v>15555.65</v>
      </c>
      <c r="P114" s="135">
        <f>SUM(D114:O114)</f>
        <v>180092.43999999997</v>
      </c>
      <c r="Q114" s="136">
        <v>17355.490000000002</v>
      </c>
      <c r="R114" s="136">
        <v>17355.490000000002</v>
      </c>
      <c r="S114" s="136">
        <v>17355.490000000002</v>
      </c>
      <c r="T114" s="136">
        <v>15427.87</v>
      </c>
      <c r="U114" s="136">
        <v>14689.26</v>
      </c>
      <c r="V114" s="136">
        <v>15409.56</v>
      </c>
      <c r="W114" s="72">
        <v>14597.83</v>
      </c>
      <c r="X114" s="72">
        <v>15370.63</v>
      </c>
      <c r="Y114" s="72">
        <v>11649</v>
      </c>
      <c r="Z114" s="72">
        <v>11649</v>
      </c>
      <c r="AA114" s="72">
        <v>11649</v>
      </c>
      <c r="AB114" s="72">
        <v>11649</v>
      </c>
      <c r="AC114" s="137">
        <f t="shared" ref="AC114:AC121" si="49">SUM(Q114:AB114)</f>
        <v>174157.62</v>
      </c>
      <c r="AD114" s="72">
        <f t="shared" ref="AD114:AD122" si="50">P114-AC114</f>
        <v>5934.8199999999779</v>
      </c>
      <c r="AE114" s="192">
        <f t="shared" ref="AE114:AE122" si="51">AD114/AC114</f>
        <v>3.4077291593672315E-2</v>
      </c>
      <c r="AF114" s="133">
        <v>124272.82</v>
      </c>
      <c r="AG114" s="124">
        <f t="shared" si="43"/>
        <v>-55819.619999999966</v>
      </c>
    </row>
    <row r="115" spans="1:33">
      <c r="A115" s="105" t="s">
        <v>125</v>
      </c>
      <c r="B115" s="105" t="s">
        <v>397</v>
      </c>
      <c r="C115" s="105" t="s">
        <v>267</v>
      </c>
      <c r="D115" s="215">
        <v>5707.1299999999992</v>
      </c>
      <c r="E115" s="215">
        <v>5707.1299999999992</v>
      </c>
      <c r="F115" s="215">
        <v>5707.1299999999992</v>
      </c>
      <c r="G115" s="215">
        <v>5707.1299999999992</v>
      </c>
      <c r="H115" s="215">
        <v>6039.7699999999986</v>
      </c>
      <c r="I115" s="215">
        <v>6039.7699999999986</v>
      </c>
      <c r="J115" s="215">
        <v>6226.6699999999992</v>
      </c>
      <c r="K115" s="215">
        <v>6226.6699999999992</v>
      </c>
      <c r="L115" s="215">
        <v>6226.6699999999992</v>
      </c>
      <c r="M115" s="215">
        <v>6226.6699999999992</v>
      </c>
      <c r="N115" s="215">
        <v>6226.6699999999992</v>
      </c>
      <c r="O115" s="215">
        <v>6226.6699999999992</v>
      </c>
      <c r="P115" s="135">
        <f t="shared" ref="P115:P121" si="52">SUM(D115:O115)</f>
        <v>72268.079999999987</v>
      </c>
      <c r="Q115" s="136">
        <v>9220.1</v>
      </c>
      <c r="R115" s="136">
        <v>9220.1</v>
      </c>
      <c r="S115" s="136">
        <v>9220.1</v>
      </c>
      <c r="T115" s="136">
        <v>8196.0499999999993</v>
      </c>
      <c r="U115" s="136">
        <v>7803.66</v>
      </c>
      <c r="V115" s="136">
        <v>8186.32</v>
      </c>
      <c r="W115" s="72">
        <v>5930.36</v>
      </c>
      <c r="X115" s="72">
        <v>6244.31</v>
      </c>
      <c r="Y115" s="72">
        <v>6052</v>
      </c>
      <c r="Z115" s="72">
        <v>6052</v>
      </c>
      <c r="AA115" s="72">
        <v>6052</v>
      </c>
      <c r="AB115" s="72">
        <v>6052</v>
      </c>
      <c r="AC115" s="137">
        <f t="shared" si="49"/>
        <v>88229</v>
      </c>
      <c r="AD115" s="72">
        <f t="shared" si="50"/>
        <v>-15960.920000000013</v>
      </c>
      <c r="AE115" s="192">
        <f t="shared" si="51"/>
        <v>-0.18090333110428558</v>
      </c>
      <c r="AF115" s="133">
        <v>60576.89</v>
      </c>
      <c r="AG115" s="124">
        <f t="shared" si="43"/>
        <v>-11691.189999999988</v>
      </c>
    </row>
    <row r="116" spans="1:33">
      <c r="A116" s="105" t="s">
        <v>126</v>
      </c>
      <c r="B116" s="105" t="s">
        <v>397</v>
      </c>
      <c r="C116" s="105" t="s">
        <v>268</v>
      </c>
      <c r="D116" s="215">
        <v>440.89999999999992</v>
      </c>
      <c r="E116" s="215">
        <v>440.89999999999992</v>
      </c>
      <c r="F116" s="215">
        <v>440.89999999999992</v>
      </c>
      <c r="G116" s="215">
        <v>440.89999999999992</v>
      </c>
      <c r="H116" s="215">
        <v>466.48999999999995</v>
      </c>
      <c r="I116" s="215">
        <v>466.48999999999995</v>
      </c>
      <c r="J116" s="215">
        <v>480.88999999999993</v>
      </c>
      <c r="K116" s="215">
        <v>480.88999999999993</v>
      </c>
      <c r="L116" s="215">
        <v>480.88999999999993</v>
      </c>
      <c r="M116" s="215">
        <v>480.88999999999993</v>
      </c>
      <c r="N116" s="215">
        <v>480.88999999999993</v>
      </c>
      <c r="O116" s="215">
        <v>480.88999999999993</v>
      </c>
      <c r="P116" s="135">
        <f t="shared" si="52"/>
        <v>5581.92</v>
      </c>
      <c r="Q116" s="136">
        <v>542.36</v>
      </c>
      <c r="R116" s="136">
        <v>542.36</v>
      </c>
      <c r="S116" s="136">
        <v>542.36</v>
      </c>
      <c r="T116" s="136">
        <v>482.12</v>
      </c>
      <c r="U116" s="136">
        <v>459.03</v>
      </c>
      <c r="V116" s="136">
        <v>481.54</v>
      </c>
      <c r="W116" s="72">
        <v>456.17</v>
      </c>
      <c r="X116" s="72">
        <v>480.32</v>
      </c>
      <c r="Y116" s="72">
        <v>610</v>
      </c>
      <c r="Z116" s="72">
        <v>610</v>
      </c>
      <c r="AA116" s="72">
        <v>610</v>
      </c>
      <c r="AB116" s="72">
        <v>610</v>
      </c>
      <c r="AC116" s="137">
        <f t="shared" si="49"/>
        <v>6426.26</v>
      </c>
      <c r="AD116" s="72">
        <f t="shared" si="50"/>
        <v>-844.34000000000015</v>
      </c>
      <c r="AE116" s="192">
        <f t="shared" si="51"/>
        <v>-0.13138901942965273</v>
      </c>
      <c r="AF116" s="133">
        <v>3712.47</v>
      </c>
      <c r="AG116" s="124">
        <f t="shared" si="43"/>
        <v>-1869.4500000000003</v>
      </c>
    </row>
    <row r="117" spans="1:33">
      <c r="A117" s="105" t="s">
        <v>127</v>
      </c>
      <c r="B117" s="105" t="s">
        <v>397</v>
      </c>
      <c r="C117" s="105" t="s">
        <v>269</v>
      </c>
      <c r="D117" s="215">
        <v>105.8</v>
      </c>
      <c r="E117" s="215">
        <v>105.8</v>
      </c>
      <c r="F117" s="215">
        <v>105.8</v>
      </c>
      <c r="G117" s="215">
        <v>105.8</v>
      </c>
      <c r="H117" s="215">
        <v>111.94</v>
      </c>
      <c r="I117" s="215">
        <v>111.94</v>
      </c>
      <c r="J117" s="215">
        <v>115.44</v>
      </c>
      <c r="K117" s="215">
        <v>115.44</v>
      </c>
      <c r="L117" s="215">
        <v>115.44</v>
      </c>
      <c r="M117" s="215">
        <v>115.44</v>
      </c>
      <c r="N117" s="215">
        <v>115.44</v>
      </c>
      <c r="O117" s="215">
        <v>115.44</v>
      </c>
      <c r="P117" s="135">
        <f t="shared" si="52"/>
        <v>1339.7200000000003</v>
      </c>
      <c r="Q117" s="136">
        <v>130.19</v>
      </c>
      <c r="R117" s="136">
        <v>130.19</v>
      </c>
      <c r="S117" s="136">
        <v>130.19</v>
      </c>
      <c r="T117" s="136">
        <v>115.73</v>
      </c>
      <c r="U117" s="136">
        <v>110.19</v>
      </c>
      <c r="V117" s="136">
        <v>115.6</v>
      </c>
      <c r="W117" s="72">
        <v>109.51</v>
      </c>
      <c r="X117" s="72">
        <v>115.31</v>
      </c>
      <c r="Y117" s="72">
        <v>182</v>
      </c>
      <c r="Z117" s="72">
        <v>182</v>
      </c>
      <c r="AA117" s="72">
        <v>182</v>
      </c>
      <c r="AB117" s="72">
        <v>182</v>
      </c>
      <c r="AC117" s="137">
        <f t="shared" si="49"/>
        <v>1684.91</v>
      </c>
      <c r="AD117" s="72">
        <f t="shared" si="50"/>
        <v>-345.18999999999983</v>
      </c>
      <c r="AE117" s="192">
        <f t="shared" si="51"/>
        <v>-0.20487147681478524</v>
      </c>
      <c r="AF117" s="133">
        <v>1187.8500000000001</v>
      </c>
      <c r="AG117" s="124">
        <f t="shared" si="43"/>
        <v>-151.87000000000012</v>
      </c>
    </row>
    <row r="118" spans="1:33">
      <c r="A118" s="105" t="s">
        <v>128</v>
      </c>
      <c r="B118" s="105" t="s">
        <v>397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52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9"/>
        <v>0</v>
      </c>
      <c r="AD118" s="72">
        <f t="shared" si="50"/>
        <v>0</v>
      </c>
      <c r="AE118" s="192" t="e">
        <f t="shared" si="51"/>
        <v>#DIV/0!</v>
      </c>
      <c r="AF118" s="133">
        <v>2554.39</v>
      </c>
      <c r="AG118" s="124">
        <f t="shared" si="43"/>
        <v>2554.39</v>
      </c>
    </row>
    <row r="119" spans="1:33">
      <c r="A119" s="105" t="s">
        <v>129</v>
      </c>
      <c r="B119" s="105" t="s">
        <v>397</v>
      </c>
      <c r="C119" s="105" t="s">
        <v>271</v>
      </c>
      <c r="D119" s="215">
        <v>3987.7899999999995</v>
      </c>
      <c r="E119" s="215">
        <v>3987.7899999999995</v>
      </c>
      <c r="F119" s="215">
        <v>3987.7899999999995</v>
      </c>
      <c r="G119" s="215">
        <v>3987.7899999999995</v>
      </c>
      <c r="H119" s="215">
        <v>4152.79</v>
      </c>
      <c r="I119" s="215">
        <v>4152.79</v>
      </c>
      <c r="J119" s="215">
        <v>4808.4900000000007</v>
      </c>
      <c r="K119" s="215">
        <v>4152.79</v>
      </c>
      <c r="L119" s="215">
        <v>4152.79</v>
      </c>
      <c r="M119" s="215">
        <v>4152.79</v>
      </c>
      <c r="N119" s="215">
        <v>4808.4900000000007</v>
      </c>
      <c r="O119" s="215">
        <v>4152.79</v>
      </c>
      <c r="P119" s="135">
        <f t="shared" si="52"/>
        <v>50484.88</v>
      </c>
      <c r="Q119" s="136">
        <v>5364</v>
      </c>
      <c r="R119" s="136">
        <v>5364</v>
      </c>
      <c r="S119" s="136">
        <v>5364</v>
      </c>
      <c r="T119" s="136">
        <v>4762</v>
      </c>
      <c r="U119" s="136">
        <v>4530</v>
      </c>
      <c r="V119" s="136">
        <v>4572</v>
      </c>
      <c r="W119" s="72">
        <v>4318</v>
      </c>
      <c r="X119" s="72">
        <v>4458</v>
      </c>
      <c r="Y119" s="72">
        <v>3949</v>
      </c>
      <c r="Z119" s="72">
        <v>3949</v>
      </c>
      <c r="AA119" s="72">
        <v>3949</v>
      </c>
      <c r="AB119" s="72">
        <v>3949</v>
      </c>
      <c r="AC119" s="137">
        <f t="shared" si="49"/>
        <v>54528</v>
      </c>
      <c r="AD119" s="72">
        <f t="shared" si="50"/>
        <v>-4043.1200000000026</v>
      </c>
      <c r="AE119" s="192">
        <f t="shared" si="51"/>
        <v>-7.4147593896713659E-2</v>
      </c>
      <c r="AF119" s="133">
        <v>33450</v>
      </c>
      <c r="AG119" s="124">
        <f t="shared" si="43"/>
        <v>-17034.879999999997</v>
      </c>
    </row>
    <row r="120" spans="1:33">
      <c r="A120" s="105" t="s">
        <v>130</v>
      </c>
      <c r="B120" s="105" t="s">
        <v>397</v>
      </c>
      <c r="C120" s="105" t="s">
        <v>272</v>
      </c>
      <c r="D120" s="215">
        <v>2090</v>
      </c>
      <c r="E120" s="215">
        <v>1576</v>
      </c>
      <c r="F120" s="215">
        <v>1615</v>
      </c>
      <c r="G120" s="215">
        <v>1743</v>
      </c>
      <c r="H120" s="215">
        <v>1914</v>
      </c>
      <c r="I120" s="215">
        <v>1697</v>
      </c>
      <c r="J120" s="215">
        <v>1697</v>
      </c>
      <c r="K120" s="215">
        <v>1697</v>
      </c>
      <c r="L120" s="215">
        <v>1697</v>
      </c>
      <c r="M120" s="215">
        <v>2328</v>
      </c>
      <c r="N120" s="215">
        <v>1697</v>
      </c>
      <c r="O120" s="215">
        <v>1697</v>
      </c>
      <c r="P120" s="135">
        <f t="shared" si="52"/>
        <v>21448</v>
      </c>
      <c r="Q120" s="136">
        <v>1742.83</v>
      </c>
      <c r="R120" s="136">
        <v>2065.25</v>
      </c>
      <c r="S120" s="136">
        <v>3452.17</v>
      </c>
      <c r="T120" s="136">
        <v>2698.18</v>
      </c>
      <c r="U120" s="136">
        <v>1573.05</v>
      </c>
      <c r="V120" s="136">
        <v>1637.75</v>
      </c>
      <c r="W120" s="72">
        <v>1379.96</v>
      </c>
      <c r="X120" s="72">
        <v>1433.57</v>
      </c>
      <c r="Y120" s="72">
        <v>2127</v>
      </c>
      <c r="Z120" s="72">
        <v>2127</v>
      </c>
      <c r="AA120" s="72">
        <v>2127</v>
      </c>
      <c r="AB120" s="72">
        <v>2127</v>
      </c>
      <c r="AC120" s="137">
        <f t="shared" si="49"/>
        <v>24490.76</v>
      </c>
      <c r="AD120" s="72">
        <f t="shared" si="50"/>
        <v>-3042.7599999999984</v>
      </c>
      <c r="AE120" s="192">
        <f t="shared" si="51"/>
        <v>-0.12424114237369517</v>
      </c>
      <c r="AF120" s="133">
        <v>20466.54</v>
      </c>
      <c r="AG120" s="124">
        <f t="shared" si="43"/>
        <v>-981.45999999999913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52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9"/>
        <v>0</v>
      </c>
      <c r="AD121" s="72">
        <f t="shared" si="50"/>
        <v>0</v>
      </c>
      <c r="AE121" s="192" t="e">
        <f t="shared" si="51"/>
        <v>#DIV/0!</v>
      </c>
      <c r="AF121" s="133">
        <v>0</v>
      </c>
      <c r="AG121" s="124">
        <f t="shared" si="43"/>
        <v>0</v>
      </c>
    </row>
    <row r="122" spans="1:33">
      <c r="A122" s="105" t="s">
        <v>273</v>
      </c>
      <c r="C122" s="109" t="s">
        <v>522</v>
      </c>
      <c r="D122" s="137">
        <f t="shared" ref="D122:AC122" si="53">SUM(D114:D121)</f>
        <v>26515.63</v>
      </c>
      <c r="E122" s="137">
        <f t="shared" si="53"/>
        <v>26001.63</v>
      </c>
      <c r="F122" s="137">
        <f t="shared" si="53"/>
        <v>26040.63</v>
      </c>
      <c r="G122" s="137">
        <f t="shared" si="53"/>
        <v>26168.63</v>
      </c>
      <c r="H122" s="137">
        <f t="shared" si="53"/>
        <v>27696.239999999998</v>
      </c>
      <c r="I122" s="137">
        <f t="shared" si="53"/>
        <v>27479.239999999998</v>
      </c>
      <c r="J122" s="137">
        <f t="shared" si="53"/>
        <v>28884.14</v>
      </c>
      <c r="K122" s="137">
        <f t="shared" si="53"/>
        <v>28228.44</v>
      </c>
      <c r="L122" s="137">
        <f t="shared" si="53"/>
        <v>28228.44</v>
      </c>
      <c r="M122" s="137">
        <f t="shared" si="53"/>
        <v>28859.439999999999</v>
      </c>
      <c r="N122" s="137">
        <f t="shared" si="53"/>
        <v>28884.14</v>
      </c>
      <c r="O122" s="137">
        <f t="shared" si="53"/>
        <v>28228.44</v>
      </c>
      <c r="P122" s="135">
        <f t="shared" si="53"/>
        <v>331215.03999999998</v>
      </c>
      <c r="Q122" s="137">
        <f t="shared" si="53"/>
        <v>34354.97</v>
      </c>
      <c r="R122" s="137">
        <f t="shared" si="53"/>
        <v>34677.39</v>
      </c>
      <c r="S122" s="137">
        <f t="shared" si="53"/>
        <v>36064.310000000005</v>
      </c>
      <c r="T122" s="137">
        <f t="shared" si="53"/>
        <v>31681.949999999997</v>
      </c>
      <c r="U122" s="137">
        <f t="shared" si="53"/>
        <v>29165.189999999995</v>
      </c>
      <c r="V122" s="137">
        <f t="shared" si="53"/>
        <v>30402.769999999997</v>
      </c>
      <c r="W122" s="137">
        <f t="shared" si="53"/>
        <v>26791.829999999994</v>
      </c>
      <c r="X122" s="137">
        <f t="shared" si="53"/>
        <v>28102.14</v>
      </c>
      <c r="Y122" s="137">
        <f t="shared" si="53"/>
        <v>24569</v>
      </c>
      <c r="Z122" s="137">
        <f t="shared" si="53"/>
        <v>24569</v>
      </c>
      <c r="AA122" s="137">
        <f t="shared" si="53"/>
        <v>24569</v>
      </c>
      <c r="AB122" s="137">
        <f t="shared" si="53"/>
        <v>24569</v>
      </c>
      <c r="AC122" s="137">
        <f t="shared" si="53"/>
        <v>349516.55</v>
      </c>
      <c r="AD122" s="72">
        <f t="shared" si="50"/>
        <v>-18301.510000000009</v>
      </c>
      <c r="AE122" s="192">
        <f t="shared" si="51"/>
        <v>-5.2362355945662686E-2</v>
      </c>
      <c r="AF122" s="133">
        <v>246220.96000000005</v>
      </c>
      <c r="AG122" s="124">
        <f t="shared" si="43"/>
        <v>-84994.079999999929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3"/>
        <v>0</v>
      </c>
    </row>
    <row r="124" spans="1:33">
      <c r="A124" s="105" t="s">
        <v>131</v>
      </c>
      <c r="B124" s="105" t="s">
        <v>397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54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5">SUM(Q124:AB124)</f>
        <v>0</v>
      </c>
      <c r="AD124" s="72">
        <f t="shared" ref="AD124:AD134" si="56">P124-AC124</f>
        <v>0</v>
      </c>
      <c r="AE124" s="192" t="e">
        <f t="shared" ref="AE124:AE134" si="57">AD124/AC124</f>
        <v>#DIV/0!</v>
      </c>
      <c r="AF124" s="133">
        <v>0</v>
      </c>
      <c r="AG124" s="124">
        <f t="shared" si="43"/>
        <v>0</v>
      </c>
    </row>
    <row r="125" spans="1:33">
      <c r="A125" s="105" t="s">
        <v>132</v>
      </c>
      <c r="B125" s="105" t="s">
        <v>397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54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5"/>
        <v>0</v>
      </c>
      <c r="AD125" s="72">
        <f t="shared" si="56"/>
        <v>0</v>
      </c>
      <c r="AE125" s="192" t="e">
        <f t="shared" si="57"/>
        <v>#DIV/0!</v>
      </c>
      <c r="AF125" s="133">
        <v>0</v>
      </c>
      <c r="AG125" s="124">
        <f t="shared" si="43"/>
        <v>0</v>
      </c>
    </row>
    <row r="126" spans="1:33">
      <c r="A126" s="105" t="s">
        <v>133</v>
      </c>
      <c r="B126" s="105" t="s">
        <v>397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54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5"/>
        <v>0</v>
      </c>
      <c r="AD126" s="72">
        <f t="shared" si="56"/>
        <v>0</v>
      </c>
      <c r="AE126" s="192" t="e">
        <f t="shared" si="57"/>
        <v>#DIV/0!</v>
      </c>
      <c r="AF126" s="133">
        <v>0</v>
      </c>
      <c r="AG126" s="124">
        <f t="shared" si="43"/>
        <v>0</v>
      </c>
    </row>
    <row r="127" spans="1:33">
      <c r="A127" s="105" t="s">
        <v>134</v>
      </c>
      <c r="B127" s="105" t="s">
        <v>397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00">
        <f t="shared" si="54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5"/>
        <v>0</v>
      </c>
      <c r="AD127" s="72">
        <f t="shared" si="56"/>
        <v>0</v>
      </c>
      <c r="AE127" s="192" t="e">
        <f t="shared" si="57"/>
        <v>#DIV/0!</v>
      </c>
      <c r="AF127" s="133">
        <v>0</v>
      </c>
      <c r="AG127" s="124">
        <f t="shared" si="43"/>
        <v>0</v>
      </c>
    </row>
    <row r="128" spans="1:33">
      <c r="A128" s="105" t="s">
        <v>135</v>
      </c>
      <c r="B128" s="105" t="s">
        <v>397</v>
      </c>
      <c r="C128" s="105" t="s">
        <v>280</v>
      </c>
      <c r="D128" s="215">
        <v>340.68</v>
      </c>
      <c r="E128" s="215">
        <v>340.68</v>
      </c>
      <c r="F128" s="215">
        <v>340.68</v>
      </c>
      <c r="G128" s="215">
        <v>340.68</v>
      </c>
      <c r="H128" s="215">
        <v>340.68</v>
      </c>
      <c r="I128" s="215">
        <v>340.68</v>
      </c>
      <c r="J128" s="215">
        <v>340.68</v>
      </c>
      <c r="K128" s="215">
        <v>340.68</v>
      </c>
      <c r="L128" s="215">
        <v>340.68</v>
      </c>
      <c r="M128" s="215">
        <v>340.68</v>
      </c>
      <c r="N128" s="215">
        <v>340.68</v>
      </c>
      <c r="O128" s="215">
        <v>340.68</v>
      </c>
      <c r="P128" s="200">
        <f t="shared" si="54"/>
        <v>4088.1599999999994</v>
      </c>
      <c r="Q128" s="136">
        <v>301.62</v>
      </c>
      <c r="R128" s="136">
        <v>304.16000000000003</v>
      </c>
      <c r="S128" s="136">
        <v>301.62</v>
      </c>
      <c r="T128" s="136">
        <v>301.62</v>
      </c>
      <c r="U128" s="136">
        <v>295.11</v>
      </c>
      <c r="V128" s="136">
        <v>316.16000000000003</v>
      </c>
      <c r="W128" s="72">
        <v>279.72000000000003</v>
      </c>
      <c r="X128" s="72">
        <v>293.83</v>
      </c>
      <c r="Y128" s="72">
        <v>282</v>
      </c>
      <c r="Z128" s="72">
        <v>282</v>
      </c>
      <c r="AA128" s="72">
        <v>282</v>
      </c>
      <c r="AB128" s="72">
        <v>282</v>
      </c>
      <c r="AC128" s="137">
        <f t="shared" si="55"/>
        <v>3521.84</v>
      </c>
      <c r="AD128" s="72">
        <f t="shared" si="56"/>
        <v>566.31999999999925</v>
      </c>
      <c r="AE128" s="192">
        <f t="shared" si="57"/>
        <v>0.16080230788451469</v>
      </c>
      <c r="AF128" s="133">
        <v>6323.7199999999984</v>
      </c>
      <c r="AG128" s="124">
        <f t="shared" si="43"/>
        <v>2235.559999999999</v>
      </c>
    </row>
    <row r="129" spans="1:33">
      <c r="A129" s="105" t="s">
        <v>136</v>
      </c>
      <c r="B129" s="105" t="s">
        <v>397</v>
      </c>
      <c r="C129" s="105" t="s">
        <v>282</v>
      </c>
      <c r="D129" s="164">
        <v>3601</v>
      </c>
      <c r="E129" s="164">
        <v>3310</v>
      </c>
      <c r="F129" s="164">
        <v>3355</v>
      </c>
      <c r="G129" s="164">
        <v>3783</v>
      </c>
      <c r="H129" s="164">
        <v>3912</v>
      </c>
      <c r="I129" s="164">
        <v>3709</v>
      </c>
      <c r="J129" s="164">
        <v>3728</v>
      </c>
      <c r="K129" s="164">
        <v>3805</v>
      </c>
      <c r="L129" s="164">
        <v>3807</v>
      </c>
      <c r="M129" s="164">
        <v>3824</v>
      </c>
      <c r="N129" s="164">
        <v>3549</v>
      </c>
      <c r="O129" s="164">
        <v>3541</v>
      </c>
      <c r="P129" s="200">
        <f t="shared" si="54"/>
        <v>43924</v>
      </c>
      <c r="Q129" s="136">
        <v>4501.66</v>
      </c>
      <c r="R129" s="136">
        <v>6159.49</v>
      </c>
      <c r="S129" s="136">
        <v>5397.28</v>
      </c>
      <c r="T129" s="136">
        <v>5825.22</v>
      </c>
      <c r="U129" s="136">
        <v>6346.17</v>
      </c>
      <c r="V129" s="136">
        <v>5752.43</v>
      </c>
      <c r="W129" s="72">
        <v>4838.5200000000004</v>
      </c>
      <c r="X129" s="72">
        <v>6285.84</v>
      </c>
      <c r="Y129" s="72">
        <v>9581</v>
      </c>
      <c r="Z129" s="72">
        <v>9111</v>
      </c>
      <c r="AA129" s="72">
        <v>8521</v>
      </c>
      <c r="AB129" s="72">
        <v>8523</v>
      </c>
      <c r="AC129" s="137">
        <f t="shared" si="55"/>
        <v>80842.61</v>
      </c>
      <c r="AD129" s="72">
        <f t="shared" si="56"/>
        <v>-36918.61</v>
      </c>
      <c r="AE129" s="192">
        <f t="shared" si="57"/>
        <v>-0.45667266309190169</v>
      </c>
      <c r="AF129" s="133">
        <v>82079.38</v>
      </c>
      <c r="AG129" s="124">
        <f t="shared" si="43"/>
        <v>38155.380000000005</v>
      </c>
    </row>
    <row r="130" spans="1:33">
      <c r="A130" s="105" t="s">
        <v>137</v>
      </c>
      <c r="B130" s="105" t="s">
        <v>397</v>
      </c>
      <c r="C130" s="105" t="s">
        <v>283</v>
      </c>
      <c r="D130" s="164">
        <v>21253.72</v>
      </c>
      <c r="E130" s="164">
        <v>17930.72</v>
      </c>
      <c r="F130" s="164">
        <v>17953.47</v>
      </c>
      <c r="G130" s="164">
        <v>18210.47</v>
      </c>
      <c r="H130" s="164">
        <v>19593.72</v>
      </c>
      <c r="I130" s="164">
        <v>18238.53</v>
      </c>
      <c r="J130" s="164">
        <v>18126.53</v>
      </c>
      <c r="K130" s="164">
        <v>18111.53</v>
      </c>
      <c r="L130" s="164">
        <v>18225.53</v>
      </c>
      <c r="M130" s="164">
        <v>21116.59</v>
      </c>
      <c r="N130" s="164">
        <v>18155.47</v>
      </c>
      <c r="O130" s="164">
        <v>18140.47</v>
      </c>
      <c r="P130" s="200">
        <f t="shared" si="54"/>
        <v>225056.75</v>
      </c>
      <c r="Q130" s="136">
        <v>18175.68</v>
      </c>
      <c r="R130" s="136">
        <v>19439.82</v>
      </c>
      <c r="S130" s="136">
        <v>18606.28</v>
      </c>
      <c r="T130" s="136">
        <v>17911.77</v>
      </c>
      <c r="U130" s="136">
        <v>12403.12</v>
      </c>
      <c r="V130" s="136">
        <v>15032.9</v>
      </c>
      <c r="W130" s="72">
        <v>12852.53</v>
      </c>
      <c r="X130" s="72">
        <v>14334.14</v>
      </c>
      <c r="Y130" s="72">
        <v>19912</v>
      </c>
      <c r="Z130" s="72">
        <v>22102</v>
      </c>
      <c r="AA130" s="72">
        <v>20178</v>
      </c>
      <c r="AB130" s="72">
        <v>20178</v>
      </c>
      <c r="AC130" s="137">
        <f t="shared" si="55"/>
        <v>211126.24</v>
      </c>
      <c r="AD130" s="72">
        <f t="shared" si="56"/>
        <v>13930.510000000009</v>
      </c>
      <c r="AE130" s="192">
        <f t="shared" si="57"/>
        <v>6.5981897844626089E-2</v>
      </c>
      <c r="AF130" s="133">
        <v>326883.09000000003</v>
      </c>
      <c r="AG130" s="124">
        <f t="shared" si="43"/>
        <v>101826.34000000003</v>
      </c>
    </row>
    <row r="131" spans="1:33">
      <c r="A131" s="105" t="s">
        <v>138</v>
      </c>
      <c r="B131" s="105" t="s">
        <v>397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54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5"/>
        <v>0</v>
      </c>
      <c r="AD131" s="72">
        <f t="shared" si="56"/>
        <v>0</v>
      </c>
      <c r="AE131" s="192" t="e">
        <f t="shared" si="57"/>
        <v>#DIV/0!</v>
      </c>
      <c r="AF131" s="133">
        <v>0</v>
      </c>
      <c r="AG131" s="124">
        <f t="shared" si="43"/>
        <v>0</v>
      </c>
    </row>
    <row r="132" spans="1:33">
      <c r="A132" s="105" t="s">
        <v>140</v>
      </c>
      <c r="B132" s="105" t="s">
        <v>397</v>
      </c>
      <c r="C132" s="105" t="s">
        <v>583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54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5"/>
        <v>0</v>
      </c>
      <c r="AD132" s="72">
        <f t="shared" si="56"/>
        <v>0</v>
      </c>
      <c r="AE132" s="192" t="e">
        <f t="shared" si="57"/>
        <v>#DIV/0!</v>
      </c>
      <c r="AF132" s="133">
        <v>0</v>
      </c>
      <c r="AG132" s="124">
        <f t="shared" si="43"/>
        <v>0</v>
      </c>
    </row>
    <row r="133" spans="1:33">
      <c r="A133" s="105" t="s">
        <v>273</v>
      </c>
      <c r="C133" s="109" t="s">
        <v>523</v>
      </c>
      <c r="D133" s="137">
        <f t="shared" ref="D133:AC133" si="58">SUM(D124:D132)</f>
        <v>25195.4</v>
      </c>
      <c r="E133" s="137">
        <f t="shared" si="58"/>
        <v>21581.4</v>
      </c>
      <c r="F133" s="137">
        <f t="shared" si="58"/>
        <v>21649.15</v>
      </c>
      <c r="G133" s="137">
        <f t="shared" si="58"/>
        <v>22334.15</v>
      </c>
      <c r="H133" s="137">
        <f t="shared" si="58"/>
        <v>23846.400000000001</v>
      </c>
      <c r="I133" s="137">
        <f t="shared" si="58"/>
        <v>22288.21</v>
      </c>
      <c r="J133" s="137">
        <f t="shared" si="58"/>
        <v>22195.21</v>
      </c>
      <c r="K133" s="137">
        <f t="shared" si="58"/>
        <v>22257.21</v>
      </c>
      <c r="L133" s="137">
        <f t="shared" si="58"/>
        <v>22373.21</v>
      </c>
      <c r="M133" s="137">
        <f t="shared" si="58"/>
        <v>25281.27</v>
      </c>
      <c r="N133" s="137">
        <f t="shared" si="58"/>
        <v>22045.15</v>
      </c>
      <c r="O133" s="137">
        <f t="shared" si="58"/>
        <v>22022.15</v>
      </c>
      <c r="P133" s="135">
        <f t="shared" si="58"/>
        <v>273068.90999999997</v>
      </c>
      <c r="Q133" s="137">
        <f t="shared" si="58"/>
        <v>22978.959999999999</v>
      </c>
      <c r="R133" s="137">
        <f t="shared" si="58"/>
        <v>25903.47</v>
      </c>
      <c r="S133" s="137">
        <f t="shared" si="58"/>
        <v>24305.18</v>
      </c>
      <c r="T133" s="137">
        <f t="shared" si="58"/>
        <v>24038.61</v>
      </c>
      <c r="U133" s="137">
        <f t="shared" si="58"/>
        <v>19044.400000000001</v>
      </c>
      <c r="V133" s="137">
        <f t="shared" si="58"/>
        <v>21101.489999999998</v>
      </c>
      <c r="W133" s="137">
        <f t="shared" si="58"/>
        <v>17970.77</v>
      </c>
      <c r="X133" s="137">
        <f t="shared" si="58"/>
        <v>20913.809999999998</v>
      </c>
      <c r="Y133" s="137">
        <f t="shared" si="58"/>
        <v>29775</v>
      </c>
      <c r="Z133" s="137">
        <f t="shared" si="58"/>
        <v>31495</v>
      </c>
      <c r="AA133" s="137">
        <f t="shared" si="58"/>
        <v>28981</v>
      </c>
      <c r="AB133" s="137">
        <f t="shared" si="58"/>
        <v>28983</v>
      </c>
      <c r="AC133" s="137">
        <f t="shared" si="58"/>
        <v>295490.69</v>
      </c>
      <c r="AD133" s="72">
        <f t="shared" si="56"/>
        <v>-22421.780000000028</v>
      </c>
      <c r="AE133" s="192">
        <f t="shared" si="57"/>
        <v>-7.5879818751650105E-2</v>
      </c>
      <c r="AF133" s="133">
        <v>415286.19000000006</v>
      </c>
      <c r="AG133" s="124">
        <f t="shared" si="43"/>
        <v>142217.28000000009</v>
      </c>
    </row>
    <row r="134" spans="1:33">
      <c r="A134" s="105" t="s">
        <v>551</v>
      </c>
      <c r="C134" s="109" t="s">
        <v>524</v>
      </c>
      <c r="D134" s="137">
        <f t="shared" ref="D134:AC134" si="59">D105+D112+D122+D133</f>
        <v>156190.58000000002</v>
      </c>
      <c r="E134" s="137">
        <f t="shared" si="59"/>
        <v>126366.03</v>
      </c>
      <c r="F134" s="137">
        <f t="shared" si="59"/>
        <v>128446.06</v>
      </c>
      <c r="G134" s="137">
        <f t="shared" si="59"/>
        <v>135672.84</v>
      </c>
      <c r="H134" s="137">
        <f t="shared" si="59"/>
        <v>147262.41</v>
      </c>
      <c r="I134" s="137">
        <f t="shared" si="59"/>
        <v>134618.28</v>
      </c>
      <c r="J134" s="137">
        <f t="shared" si="59"/>
        <v>135930.18</v>
      </c>
      <c r="K134" s="137">
        <f t="shared" si="59"/>
        <v>135336.48000000001</v>
      </c>
      <c r="L134" s="137">
        <f t="shared" si="59"/>
        <v>135452.48000000001</v>
      </c>
      <c r="M134" s="137">
        <f t="shared" si="59"/>
        <v>170534.97</v>
      </c>
      <c r="N134" s="137">
        <f t="shared" si="59"/>
        <v>135780.12</v>
      </c>
      <c r="O134" s="137">
        <f t="shared" si="59"/>
        <v>135101.42000000001</v>
      </c>
      <c r="P134" s="135">
        <f t="shared" si="59"/>
        <v>1676691.85</v>
      </c>
      <c r="Q134" s="137">
        <f t="shared" si="59"/>
        <v>161819.37999999998</v>
      </c>
      <c r="R134" s="137">
        <f t="shared" si="59"/>
        <v>182181.75</v>
      </c>
      <c r="S134" s="137">
        <f t="shared" si="59"/>
        <v>158917.01999999999</v>
      </c>
      <c r="T134" s="137">
        <f t="shared" si="59"/>
        <v>150577.16999999998</v>
      </c>
      <c r="U134" s="137">
        <f t="shared" si="59"/>
        <v>137372.41999999998</v>
      </c>
      <c r="V134" s="137">
        <f t="shared" si="59"/>
        <v>144016.90999999997</v>
      </c>
      <c r="W134" s="137">
        <f t="shared" si="59"/>
        <v>123916.18999999999</v>
      </c>
      <c r="X134" s="137">
        <f t="shared" si="59"/>
        <v>132166.97</v>
      </c>
      <c r="Y134" s="137">
        <f t="shared" si="59"/>
        <v>141530</v>
      </c>
      <c r="Z134" s="137">
        <f t="shared" si="59"/>
        <v>158574</v>
      </c>
      <c r="AA134" s="137">
        <f t="shared" si="59"/>
        <v>133202</v>
      </c>
      <c r="AB134" s="137">
        <f t="shared" si="59"/>
        <v>133204</v>
      </c>
      <c r="AC134" s="137">
        <f t="shared" si="59"/>
        <v>1757477.81</v>
      </c>
      <c r="AD134" s="72">
        <f t="shared" si="56"/>
        <v>-80785.959999999963</v>
      </c>
      <c r="AE134" s="192">
        <f t="shared" si="57"/>
        <v>-4.5966987201960727E-2</v>
      </c>
      <c r="AF134" s="133">
        <v>1645868.4</v>
      </c>
      <c r="AG134" s="124">
        <f t="shared" si="43"/>
        <v>-30823.450000000186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3"/>
        <v>0</v>
      </c>
    </row>
    <row r="136" spans="1:33" s="224" customFormat="1">
      <c r="A136" s="224" t="s">
        <v>141</v>
      </c>
      <c r="B136" s="224" t="s">
        <v>397</v>
      </c>
      <c r="C136" s="224" t="s">
        <v>142</v>
      </c>
      <c r="D136" s="215">
        <v>15</v>
      </c>
      <c r="E136" s="215">
        <v>15</v>
      </c>
      <c r="F136" s="215">
        <v>15</v>
      </c>
      <c r="G136" s="215">
        <v>15</v>
      </c>
      <c r="H136" s="215">
        <v>15</v>
      </c>
      <c r="I136" s="215">
        <v>15</v>
      </c>
      <c r="J136" s="215">
        <v>15</v>
      </c>
      <c r="K136" s="215">
        <v>15</v>
      </c>
      <c r="L136" s="215">
        <v>15</v>
      </c>
      <c r="M136" s="215">
        <v>15</v>
      </c>
      <c r="N136" s="215">
        <v>15</v>
      </c>
      <c r="O136" s="215">
        <v>15</v>
      </c>
      <c r="P136" s="225">
        <f>SUM(D136:O136)/12</f>
        <v>15</v>
      </c>
      <c r="Q136" s="225">
        <v>16</v>
      </c>
      <c r="R136" s="225">
        <v>16</v>
      </c>
      <c r="S136" s="225">
        <v>16</v>
      </c>
      <c r="T136" s="225">
        <v>16</v>
      </c>
      <c r="U136" s="225">
        <v>15</v>
      </c>
      <c r="V136" s="225">
        <v>16</v>
      </c>
      <c r="W136" s="127">
        <v>14</v>
      </c>
      <c r="X136" s="127">
        <v>15</v>
      </c>
      <c r="Y136" s="127">
        <v>15</v>
      </c>
      <c r="Z136" s="127">
        <v>15</v>
      </c>
      <c r="AA136" s="127">
        <v>15</v>
      </c>
      <c r="AB136" s="127">
        <v>15</v>
      </c>
      <c r="AC136" s="225">
        <f>SUM(Q136:AB136)/12</f>
        <v>15.333333333333334</v>
      </c>
      <c r="AD136" s="225">
        <f t="shared" ref="AD136" si="60">P136-AC136</f>
        <v>-0.33333333333333393</v>
      </c>
      <c r="AE136" s="226">
        <f t="shared" ref="AE136" si="61">AD136/AC136</f>
        <v>-2.1739130434782646E-2</v>
      </c>
      <c r="AF136" s="227">
        <v>20.583333333333332</v>
      </c>
      <c r="AG136" s="228">
        <f t="shared" si="43"/>
        <v>5.5833333333333321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170">
        <v>925</v>
      </c>
      <c r="E138" s="170">
        <v>925</v>
      </c>
      <c r="F138" s="170">
        <v>925</v>
      </c>
      <c r="G138" s="170">
        <v>925</v>
      </c>
      <c r="H138" s="170">
        <v>925</v>
      </c>
      <c r="I138" s="170">
        <v>925</v>
      </c>
      <c r="J138" s="170">
        <v>925</v>
      </c>
      <c r="K138" s="170">
        <v>925</v>
      </c>
      <c r="L138" s="170">
        <v>925</v>
      </c>
      <c r="M138" s="170">
        <v>925</v>
      </c>
      <c r="N138" s="170">
        <v>925</v>
      </c>
      <c r="O138" s="170">
        <v>925</v>
      </c>
      <c r="P138" s="200">
        <f t="shared" ref="P138:P140" si="62">SUM(D138:O138)</f>
        <v>11100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7889.04</v>
      </c>
      <c r="E139" s="136">
        <v>6224.75</v>
      </c>
      <c r="F139" s="136">
        <v>6377.62</v>
      </c>
      <c r="G139" s="136">
        <v>6446.26</v>
      </c>
      <c r="H139" s="136">
        <v>6879.66</v>
      </c>
      <c r="I139" s="136">
        <v>6432.0700000000006</v>
      </c>
      <c r="J139" s="136">
        <v>6427.45</v>
      </c>
      <c r="K139" s="136">
        <v>6436.0300000000007</v>
      </c>
      <c r="L139" s="136">
        <v>6443.2900000000009</v>
      </c>
      <c r="M139" s="136">
        <v>8089.76</v>
      </c>
      <c r="N139" s="136">
        <v>6414.58</v>
      </c>
      <c r="O139" s="136">
        <v>6412.27</v>
      </c>
      <c r="P139" s="200">
        <f t="shared" si="62"/>
        <v>80472.78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24599.829999999998</v>
      </c>
      <c r="E140" s="136">
        <v>19543.91</v>
      </c>
      <c r="F140" s="136">
        <v>19608.04</v>
      </c>
      <c r="G140" s="136">
        <v>21208.36</v>
      </c>
      <c r="H140" s="136">
        <v>22163.5</v>
      </c>
      <c r="I140" s="136">
        <v>20582.920000000002</v>
      </c>
      <c r="J140" s="136">
        <v>20555.54</v>
      </c>
      <c r="K140" s="136">
        <v>20594.96</v>
      </c>
      <c r="L140" s="136">
        <v>20633.7</v>
      </c>
      <c r="M140" s="136">
        <v>25618.449999999997</v>
      </c>
      <c r="N140" s="136">
        <v>20502.41</v>
      </c>
      <c r="O140" s="136">
        <v>20491.72</v>
      </c>
      <c r="P140" s="200">
        <f t="shared" si="62"/>
        <v>256103.34000000003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33413.869999999995</v>
      </c>
      <c r="E141" s="117">
        <f t="shared" ref="E141:P141" si="63">SUM(E138:E140)</f>
        <v>26693.66</v>
      </c>
      <c r="F141" s="117">
        <f t="shared" si="63"/>
        <v>26910.66</v>
      </c>
      <c r="G141" s="117">
        <f t="shared" si="63"/>
        <v>28579.620000000003</v>
      </c>
      <c r="H141" s="117">
        <f t="shared" si="63"/>
        <v>29968.16</v>
      </c>
      <c r="I141" s="117">
        <f t="shared" si="63"/>
        <v>27939.99</v>
      </c>
      <c r="J141" s="117">
        <f t="shared" si="63"/>
        <v>27907.99</v>
      </c>
      <c r="K141" s="117">
        <f t="shared" si="63"/>
        <v>27955.989999999998</v>
      </c>
      <c r="L141" s="117">
        <f t="shared" si="63"/>
        <v>28001.99</v>
      </c>
      <c r="M141" s="117">
        <f t="shared" si="63"/>
        <v>34633.21</v>
      </c>
      <c r="N141" s="117">
        <f t="shared" si="63"/>
        <v>27841.989999999998</v>
      </c>
      <c r="O141" s="117">
        <f t="shared" si="63"/>
        <v>27828.99</v>
      </c>
      <c r="P141" s="117">
        <f t="shared" si="63"/>
        <v>347676.12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7"/>
      <c r="AD144" s="136"/>
      <c r="AG144" s="123"/>
    </row>
    <row r="145" spans="4:33"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7"/>
      <c r="AD145" s="136"/>
      <c r="AG145" s="123"/>
    </row>
    <row r="146" spans="4:33"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7"/>
      <c r="AD146" s="136"/>
      <c r="AG146" s="123"/>
    </row>
    <row r="147" spans="4:33"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7"/>
      <c r="AD147" s="136"/>
      <c r="AG147" s="123"/>
    </row>
    <row r="148" spans="4:33"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7"/>
      <c r="AD148" s="136"/>
      <c r="AG148" s="123"/>
    </row>
    <row r="149" spans="4:33"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7"/>
      <c r="AD149" s="136"/>
      <c r="AG149" s="123"/>
    </row>
    <row r="150" spans="4:33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7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7"/>
      <c r="AD150" s="136"/>
      <c r="AG150" s="123"/>
    </row>
    <row r="151" spans="4:33"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7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7"/>
      <c r="AD151" s="136"/>
      <c r="AG151" s="123"/>
    </row>
    <row r="152" spans="4:33"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7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7"/>
      <c r="AD152" s="136"/>
      <c r="AG152" s="123"/>
    </row>
    <row r="153" spans="4:33"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7"/>
      <c r="AD153" s="136"/>
      <c r="AG153" s="123"/>
    </row>
    <row r="154" spans="4:33"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7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7"/>
      <c r="AD154" s="136"/>
      <c r="AG154" s="123"/>
    </row>
    <row r="155" spans="4:33"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7"/>
      <c r="AD155" s="136"/>
      <c r="AG155" s="123"/>
    </row>
    <row r="156" spans="4:33"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4:33"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7"/>
      <c r="AD157" s="136"/>
      <c r="AG157" s="123"/>
    </row>
    <row r="158" spans="4:33"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7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7"/>
      <c r="AD158" s="136"/>
      <c r="AG158" s="123"/>
    </row>
    <row r="159" spans="4:33"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7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7"/>
      <c r="AD159" s="136"/>
      <c r="AG159" s="123"/>
    </row>
    <row r="160" spans="4:33"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7"/>
      <c r="AD160" s="136"/>
      <c r="AG160" s="123"/>
    </row>
    <row r="161" spans="4:33"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7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7"/>
      <c r="AD161" s="136"/>
      <c r="AG161" s="123"/>
    </row>
  </sheetData>
  <phoneticPr fontId="7" type="noConversion"/>
  <dataValidations count="280">
    <dataValidation type="textLength" errorStyle="information" allowBlank="1" showInputMessage="1" showErrorMessage="1" error="XLBVal:6=4530_x000d__x000a_" sqref="U119">
      <formula1>0</formula1>
      <formula2>300</formula2>
    </dataValidation>
    <dataValidation type="textLength" errorStyle="information" allowBlank="1" showInputMessage="1" showErrorMessage="1" error="XLBVal:6=110.19_x000d__x000a_" sqref="U117">
      <formula1>0</formula1>
      <formula2>300</formula2>
    </dataValidation>
    <dataValidation type="textLength" errorStyle="information" allowBlank="1" showInputMessage="1" showErrorMessage="1" error="XLBVal:6=459.03_x000d__x000a_" sqref="U116">
      <formula1>0</formula1>
      <formula2>300</formula2>
    </dataValidation>
    <dataValidation type="textLength" errorStyle="information" allowBlank="1" showInputMessage="1" showErrorMessage="1" error="XLBVal:6=7803.66_x000d__x000a_" sqref="U115">
      <formula1>0</formula1>
      <formula2>300</formula2>
    </dataValidation>
    <dataValidation type="textLength" errorStyle="information" allowBlank="1" showInputMessage="1" showErrorMessage="1" error="XLBVal:6=14689.26_x000d__x000a_" sqref="U114">
      <formula1>0</formula1>
      <formula2>300</formula2>
    </dataValidation>
    <dataValidation type="textLength" errorStyle="information" allowBlank="1" showInputMessage="1" showErrorMessage="1" error="XLBVal:6=17443.74_x000d__x000a_" sqref="Q108">
      <formula1>0</formula1>
      <formula2>300</formula2>
    </dataValidation>
    <dataValidation type="textLength" errorStyle="information" allowBlank="1" showInputMessage="1" showErrorMessage="1" error="XLBVal:6=7034.49_x000d__x000a_" sqref="V107">
      <formula1>0</formula1>
      <formula2>300</formula2>
    </dataValidation>
    <dataValidation type="textLength" errorStyle="information" allowBlank="1" showInputMessage="1" showErrorMessage="1" error="XLBVal:6=28800_x000d__x000a_" sqref="T104">
      <formula1>0</formula1>
      <formula2>300</formula2>
    </dataValidation>
    <dataValidation type="textLength" errorStyle="information" allowBlank="1" showInputMessage="1" showErrorMessage="1" error="XLBVal:6=16200_x000d__x000a_" sqref="U102:V102">
      <formula1>0</formula1>
      <formula2>300</formula2>
    </dataValidation>
    <dataValidation type="textLength" errorStyle="information" allowBlank="1" showInputMessage="1" showErrorMessage="1" error="XLBVal:6=183_x000d__x000a_" sqref="U87">
      <formula1>0</formula1>
      <formula2>300</formula2>
    </dataValidation>
    <dataValidation type="textLength" errorStyle="information" allowBlank="1" showInputMessage="1" showErrorMessage="1" error="XLBVal:6=294_x000d__x000a_" sqref="Q85">
      <formula1>0</formula1>
      <formula2>300</formula2>
    </dataValidation>
    <dataValidation type="textLength" errorStyle="information" allowBlank="1" showInputMessage="1" showErrorMessage="1" error="XLBVal:6=165.81_x000d__x000a_" sqref="T75">
      <formula1>0</formula1>
      <formula2>300</formula2>
    </dataValidation>
    <dataValidation type="textLength" errorStyle="information" allowBlank="1" showInputMessage="1" showErrorMessage="1" error="XLBVal:6=575.52_x000d__x000a_" sqref="S75">
      <formula1>0</formula1>
      <formula2>300</formula2>
    </dataValidation>
    <dataValidation type="textLength" errorStyle="information" allowBlank="1" showInputMessage="1" showErrorMessage="1" error="XLBVal:6=123.71_x000d__x000a_" sqref="Q75">
      <formula1>0</formula1>
      <formula2>300</formula2>
    </dataValidation>
    <dataValidation type="textLength" errorStyle="information" allowBlank="1" showInputMessage="1" showErrorMessage="1" error="XLBVal:6=1980_x000d__x000a_" sqref="T60">
      <formula1>0</formula1>
      <formula2>300</formula2>
    </dataValidation>
    <dataValidation type="textLength" errorStyle="information" allowBlank="1" showInputMessage="1" showErrorMessage="1" error="XLBVal:6=7920_x000d__x000a_" sqref="Q60">
      <formula1>0</formula1>
      <formula2>300</formula2>
    </dataValidation>
    <dataValidation type="textLength" errorStyle="information" allowBlank="1" showInputMessage="1" showErrorMessage="1" error="XLBVal:6=3203.8_x000d__x000a_" sqref="Q56">
      <formula1>0</formula1>
      <formula2>300</formula2>
    </dataValidation>
    <dataValidation type="textLength" errorStyle="information" allowBlank="1" showInputMessage="1" showErrorMessage="1" error="XLBVal:6=800_x000d__x000a_" sqref="S54">
      <formula1>0</formula1>
      <formula2>300</formula2>
    </dataValidation>
    <dataValidation type="textLength" errorStyle="information" allowBlank="1" showInputMessage="1" showErrorMessage="1" error="XLBVal:6=1600_x000d__x000a_" sqref="R54">
      <formula1>0</formula1>
      <formula2>300</formula2>
    </dataValidation>
    <dataValidation type="textLength" errorStyle="information" allowBlank="1" showInputMessage="1" showErrorMessage="1" error="XLBVal:6=71.7_x000d__x000a_" sqref="V17">
      <formula1>0</formula1>
      <formula2>300</formula2>
    </dataValidation>
    <dataValidation type="textLength" errorStyle="information" allowBlank="1" showInputMessage="1" showErrorMessage="1" error="XLBVal:6=34143_x000d__x000a_" sqref="D102:D104 D107:O111 D114:O121 D124:O128 D136:O136">
      <formula1>0</formula1>
      <formula2>300</formula2>
    </dataValidation>
    <dataValidation type="textLength" errorStyle="information" allowBlank="1" showInputMessage="1" showErrorMessage="1" error="XLBVal:6=15_x000d__x000a_" sqref="U136">
      <formula1>0</formula1>
      <formula2>300</formula2>
    </dataValidation>
    <dataValidation type="textLength" errorStyle="information" allowBlank="1" showInputMessage="1" showErrorMessage="1" error="XLBVal:6=3121.06_x000d__x000a_" sqref="S111">
      <formula1>0</formula1>
      <formula2>300</formula2>
    </dataValidation>
    <dataValidation type="textLength" errorStyle="information" allowBlank="1" showInputMessage="1" showErrorMessage="1" error="XLBVal:6=10739.98_x000d__x000a_" sqref="V108">
      <formula1>0</formula1>
      <formula2>300</formula2>
    </dataValidation>
    <dataValidation type="textLength" errorStyle="information" allowBlank="1" showInputMessage="1" showErrorMessage="1" error="XLBVal:6=10412.42_x000d__x000a_" sqref="U108">
      <formula1>0</formula1>
      <formula2>300</formula2>
    </dataValidation>
    <dataValidation type="textLength" errorStyle="information" allowBlank="1" showInputMessage="1" showErrorMessage="1" error="XLBVal:6=70_x000d__x000a_" sqref="U89">
      <formula1>0</formula1>
      <formula2>300</formula2>
    </dataValidation>
    <dataValidation type="textLength" errorStyle="information" allowBlank="1" showInputMessage="1" showErrorMessage="1" error="XLBVal:6=106.48_x000d__x000a_" sqref="V74">
      <formula1>0</formula1>
      <formula2>300</formula2>
    </dataValidation>
    <dataValidation type="textLength" errorStyle="information" allowBlank="1" showInputMessage="1" showErrorMessage="1" error="XLBVal:6=118.88_x000d__x000a_" sqref="Q74">
      <formula1>0</formula1>
      <formula2>300</formula2>
    </dataValidation>
    <dataValidation type="textLength" errorStyle="information" allowBlank="1" showInputMessage="1" showErrorMessage="1" error="XLBVal:6=6674_x000d__x000a_" sqref="R18">
      <formula1>0</formula1>
      <formula2>300</formula2>
    </dataValidation>
    <dataValidation type="textLength" errorStyle="information" allowBlank="1" showInputMessage="1" showErrorMessage="1" error="XLBVal:6=63993.07_x000d__x000a_" sqref="AB11">
      <formula1>0</formula1>
      <formula2>300</formula2>
    </dataValidation>
    <dataValidation type="textLength" errorStyle="information" allowBlank="1" showInputMessage="1" showErrorMessage="1" error="XLBVal:6=77436.21_x000d__x000a_" sqref="AB10">
      <formula1>0</formula1>
      <formula2>300</formula2>
    </dataValidation>
    <dataValidation type="textLength" errorStyle="information" allowBlank="1" showInputMessage="1" showErrorMessage="1" error="XLBVal:6=52052.46_x000d__x000a_" sqref="AB9">
      <formula1>0</formula1>
      <formula2>300</formula2>
    </dataValidation>
    <dataValidation type="textLength" errorStyle="information" allowBlank="1" showInputMessage="1" showErrorMessage="1" error="XLBVal:6=4148_x000d__x000a_" sqref="AA13">
      <formula1>0</formula1>
      <formula2>300</formula2>
    </dataValidation>
    <dataValidation type="textLength" errorStyle="information" allowBlank="1" showInputMessage="1" showErrorMessage="1" error="XLBVal:6=276_x000d__x000a_" sqref="Z13">
      <formula1>0</formula1>
      <formula2>300</formula2>
    </dataValidation>
    <dataValidation type="textLength" errorStyle="information" allowBlank="1" showInputMessage="1" showErrorMessage="1" error="XLBVal:6=46353.65_x000d__x000a_" sqref="AA11">
      <formula1>0</formula1>
      <formula2>300</formula2>
    </dataValidation>
    <dataValidation type="textLength" errorStyle="information" allowBlank="1" showInputMessage="1" showErrorMessage="1" error="XLBVal:6=53685.89_x000d__x000a_" sqref="Z11">
      <formula1>0</formula1>
      <formula2>300</formula2>
    </dataValidation>
    <dataValidation type="textLength" errorStyle="information" allowBlank="1" showInputMessage="1" showErrorMessage="1" error="XLBVal:6=39176.36_x000d__x000a_" sqref="AA10">
      <formula1>0</formula1>
      <formula2>300</formula2>
    </dataValidation>
    <dataValidation type="textLength" errorStyle="information" allowBlank="1" showInputMessage="1" showErrorMessage="1" error="XLBVal:6=37849.98_x000d__x000a_" sqref="Z10">
      <formula1>0</formula1>
      <formula2>300</formula2>
    </dataValidation>
    <dataValidation type="textLength" errorStyle="information" allowBlank="1" showInputMessage="1" showErrorMessage="1" error="XLBVal:6=116888.29_x000d__x000a_" sqref="AA9">
      <formula1>0</formula1>
      <formula2>300</formula2>
    </dataValidation>
    <dataValidation type="textLength" errorStyle="information" allowBlank="1" showInputMessage="1" showErrorMessage="1" error="XLBVal:6=70471.64_x000d__x000a_" sqref="Z9">
      <formula1>0</formula1>
      <formula2>300</formula2>
    </dataValidation>
    <dataValidation type="textLength" errorStyle="information" allowBlank="1" showInputMessage="1" showErrorMessage="1" error="XLBVal:6=7815.26_x000d__x000a_" sqref="Y11">
      <formula1>0</formula1>
      <formula2>300</formula2>
    </dataValidation>
    <dataValidation type="textLength" errorStyle="information" allowBlank="1" showInputMessage="1" showErrorMessage="1" error="XLBVal:6=2005.8_x000d__x000a_" sqref="Y10">
      <formula1>0</formula1>
      <formula2>300</formula2>
    </dataValidation>
    <dataValidation type="textLength" errorStyle="information" allowBlank="1" showInputMessage="1" showErrorMessage="1" error="XLBVal:6=943.5_x000d__x000a_" sqref="Y9">
      <formula1>0</formula1>
      <formula2>300</formula2>
    </dataValidation>
    <dataValidation type="textLength" errorStyle="information" allowBlank="1" showInputMessage="1" showErrorMessage="1" error="XLBVal:6=1266_x000d__x000a_" sqref="X13">
      <formula1>0</formula1>
      <formula2>300</formula2>
    </dataValidation>
    <dataValidation type="textLength" errorStyle="information" allowBlank="1" showInputMessage="1" showErrorMessage="1" error="XLBVal:6=29463.26_x000d__x000a_" sqref="X11">
      <formula1>0</formula1>
      <formula2>300</formula2>
    </dataValidation>
    <dataValidation type="textLength" errorStyle="information" allowBlank="1" showInputMessage="1" showErrorMessage="1" error="XLBVal:6=30995.7_x000d__x000a_" sqref="X10">
      <formula1>0</formula1>
      <formula2>300</formula2>
    </dataValidation>
    <dataValidation type="textLength" errorStyle="information" allowBlank="1" showInputMessage="1" showErrorMessage="1" error="XLBVal:6=5088.8_x000d__x000a_" sqref="X9">
      <formula1>0</formula1>
      <formula2>300</formula2>
    </dataValidation>
    <dataValidation type="textLength" errorStyle="information" allowBlank="1" showInputMessage="1" showErrorMessage="1" error="XLBVal:6=16_x000d__x000a_" sqref="V136 Q136:T136">
      <formula1>0</formula1>
      <formula2>300</formula2>
    </dataValidation>
    <dataValidation type="textLength" errorStyle="information" allowBlank="1" showInputMessage="1" showErrorMessage="1" error="XLBVal:6=175_x000d__x000a_" sqref="S71">
      <formula1>0</formula1>
      <formula2>300</formula2>
    </dataValidation>
    <dataValidation type="textLength" errorStyle="information" allowBlank="1" showInputMessage="1" showErrorMessage="1" error="XLBVal:6=3960_x000d__x000a_" sqref="R60:S60">
      <formula1>0</formula1>
      <formula2>300</formula2>
    </dataValidation>
    <dataValidation type="textLength" errorStyle="information" allowBlank="1" showInputMessage="1" showErrorMessage="1" error="XLBVal:6=1050_x000d__x000a_" sqref="U51">
      <formula1>0</formula1>
      <formula2>300</formula2>
    </dataValidation>
    <dataValidation type="textLength" errorStyle="information" allowBlank="1" showInputMessage="1" showErrorMessage="1" error="XLBVal:6=6539_x000d__x000a_" sqref="W13">
      <formula1>0</formula1>
      <formula2>300</formula2>
    </dataValidation>
    <dataValidation type="textLength" errorStyle="information" allowBlank="1" showInputMessage="1" showErrorMessage="1" error="XLBVal:6=70423.42_x000d__x000a_" sqref="W11">
      <formula1>0</formula1>
      <formula2>300</formula2>
    </dataValidation>
    <dataValidation type="textLength" errorStyle="information" allowBlank="1" showInputMessage="1" showErrorMessage="1" error="XLBVal:6=101121.37_x000d__x000a_" sqref="W10 W17:AB21 W24:AB26 W30:AB32 W38:AB79 W85:AB89 W93:AB97 W102:AB104 W107:AB111 W114:AB121 W124:AB132 W136:AB136">
      <formula1>0</formula1>
      <formula2>300</formula2>
    </dataValidation>
    <dataValidation type="textLength" errorStyle="information" allowBlank="1" showInputMessage="1" showErrorMessage="1" error="XLBVal:6=30643.06_x000d__x000a_" sqref="W9">
      <formula1>0</formula1>
      <formula2>300</formula2>
    </dataValidation>
    <dataValidation type="textLength" errorStyle="information" allowBlank="1" showInputMessage="1" showErrorMessage="1" error="XLBVal:6=5491.72_x000d__x000a_" sqref="I31">
      <formula1>0</formula1>
      <formula2>300</formula2>
    </dataValidation>
    <dataValidation type="textLength" errorStyle="information" allowBlank="1" showInputMessage="1" showErrorMessage="1" error="XLBVal:6=6596_x000d__x000a_" sqref="I21">
      <formula1>0</formula1>
      <formula2>300</formula2>
    </dataValidation>
    <dataValidation type="textLength" errorStyle="information" allowBlank="1" showInputMessage="1" showErrorMessage="1" error="XLBVal:6=8776_x000d__x000a_" sqref="I19">
      <formula1>0</formula1>
      <formula2>300</formula2>
    </dataValidation>
    <dataValidation type="textLength" errorStyle="information" allowBlank="1" showInputMessage="1" showErrorMessage="1" error="XLBVal:6=2448_x000d__x000a_" sqref="I18">
      <formula1>0</formula1>
      <formula2>300</formula2>
    </dataValidation>
    <dataValidation type="textLength" errorStyle="information" allowBlank="1" showInputMessage="1" showErrorMessage="1" error="XLBVal:6=410_x000d__x000a_" sqref="U85">
      <formula1>0</formula1>
      <formula2>300</formula2>
    </dataValidation>
    <dataValidation type="textLength" errorStyle="information" allowBlank="1" showInputMessage="1" showErrorMessage="1" error="XLBVal:6=2887.74_x000d__x000a_" sqref="H31">
      <formula1>0</formula1>
      <formula2>300</formula2>
    </dataValidation>
    <dataValidation type="textLength" errorStyle="information" allowBlank="1" showInputMessage="1" showErrorMessage="1" error="XLBVal:6=273.5_x000d__x000a_" sqref="H25">
      <formula1>0</formula1>
      <formula2>300</formula2>
    </dataValidation>
    <dataValidation type="textLength" errorStyle="information" allowBlank="1" showInputMessage="1" showErrorMessage="1" error="XLBVal:6=9362_x000d__x000a_" sqref="H21">
      <formula1>0</formula1>
      <formula2>300</formula2>
    </dataValidation>
    <dataValidation type="textLength" errorStyle="information" allowBlank="1" showInputMessage="1" showErrorMessage="1" error="XLBVal:6=4642_x000d__x000a_" sqref="H19">
      <formula1>0</formula1>
      <formula2>300</formula2>
    </dataValidation>
    <dataValidation type="textLength" errorStyle="information" allowBlank="1" showInputMessage="1" showErrorMessage="1" error="XLBVal:6=412.54_x000d__x000a_" sqref="H18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2528.73_x000d__x000a_" sqref="G31">
      <formula1>0</formula1>
      <formula2>300</formula2>
    </dataValidation>
    <dataValidation type="textLength" errorStyle="information" allowBlank="1" showInputMessage="1" showErrorMessage="1" error="XLBVal:6=6949.6_x000d__x000a_" sqref="G21">
      <formula1>0</formula1>
      <formula2>300</formula2>
    </dataValidation>
    <dataValidation type="textLength" errorStyle="information" allowBlank="1" showInputMessage="1" showErrorMessage="1" error="XLBVal:6=2680_x000d__x000a_" sqref="G19">
      <formula1>0</formula1>
      <formula2>300</formula2>
    </dataValidation>
    <dataValidation type="textLength" errorStyle="information" allowBlank="1" showInputMessage="1" showErrorMessage="1" error="XLBVal:6=1690_x000d__x000a_" sqref="G18">
      <formula1>0</formula1>
      <formula2>300</formula2>
    </dataValidation>
    <dataValidation type="textLength" errorStyle="information" allowBlank="1" showInputMessage="1" showErrorMessage="1" error="XLBVal:6=17466.47_x000d__x000a_" sqref="S108">
      <formula1>0</formula1>
      <formula2>300</formula2>
    </dataValidation>
    <dataValidation type="textLength" errorStyle="information" allowBlank="1" showInputMessage="1" showErrorMessage="1" error="XLBVal:6=17459.16_x000d__x000a_" sqref="R108">
      <formula1>0</formula1>
      <formula2>300</formula2>
    </dataValidation>
    <dataValidation type="textLength" errorStyle="information" allowBlank="1" showInputMessage="1" showErrorMessage="1" error="XLBVal:6=21238.44_x000d__x000a_" sqref="E102:O104">
      <formula1>0</formula1>
      <formula2>300</formula2>
    </dataValidation>
    <dataValidation type="textLength" errorStyle="information" allowBlank="1" showInputMessage="1" showErrorMessage="1" error="XLBVal:6=305_x000d__x000a_" sqref="S87">
      <formula1>0</formula1>
      <formula2>300</formula2>
    </dataValidation>
    <dataValidation type="textLength" errorStyle="information" allowBlank="1" showInputMessage="1" showErrorMessage="1" error="XLBVal:6=1329.25_x000d__x000a_" sqref="D38:O42 D73:O78 D44:O71">
      <formula1>0</formula1>
      <formula2>300</formula2>
    </dataValidation>
    <dataValidation type="textLength" errorStyle="information" allowBlank="1" showInputMessage="1" showErrorMessage="1" error="XLBVal:6=2101.85_x000d__x000a_" sqref="F31">
      <formula1>0</formula1>
      <formula2>300</formula2>
    </dataValidation>
    <dataValidation type="textLength" errorStyle="information" allowBlank="1" showInputMessage="1" showErrorMessage="1" error="XLBVal:6=3194.38_x000d__x000a_" sqref="E31">
      <formula1>0</formula1>
      <formula2>300</formula2>
    </dataValidation>
    <dataValidation type="textLength" errorStyle="information" allowBlank="1" showInputMessage="1" showErrorMessage="1" error="XLBVal:6=1867.31_x000d__x000a_" sqref="D31">
      <formula1>0</formula1>
      <formula2>300</formula2>
    </dataValidation>
    <dataValidation type="textLength" errorStyle="information" allowBlank="1" showInputMessage="1" showErrorMessage="1" error="XLBVal:6=54345.45_x000d__x000a_" sqref="R30">
      <formula1>0</formula1>
      <formula2>300</formula2>
    </dataValidation>
    <dataValidation type="textLength" errorStyle="information" allowBlank="1" showInputMessage="1" showErrorMessage="1" error="XLBVal:6=6708.7_x000d__x000a_" sqref="D26:O26">
      <formula1>0</formula1>
      <formula2>300</formula2>
    </dataValidation>
    <dataValidation type="textLength" errorStyle="information" allowBlank="1" showInputMessage="1" showErrorMessage="1" error="XLBVal:6=857.6_x000d__x000a_" sqref="F25">
      <formula1>0</formula1>
      <formula2>300</formula2>
    </dataValidation>
    <dataValidation type="textLength" errorStyle="information" allowBlank="1" showInputMessage="1" showErrorMessage="1" error="XLBVal:6=4442_x000d__x000a_" sqref="F21">
      <formula1>0</formula1>
      <formula2>300</formula2>
    </dataValidation>
    <dataValidation type="textLength" errorStyle="information" allowBlank="1" showInputMessage="1" showErrorMessage="1" error="XLBVal:6=9359.5_x000d__x000a_" sqref="E21">
      <formula1>0</formula1>
      <formula2>300</formula2>
    </dataValidation>
    <dataValidation type="textLength" errorStyle="information" allowBlank="1" showInputMessage="1" showErrorMessage="1" error="XLBVal:6=4584.1_x000d__x000a_" sqref="D21">
      <formula1>0</formula1>
      <formula2>300</formula2>
    </dataValidation>
    <dataValidation type="textLength" errorStyle="information" allowBlank="1" showInputMessage="1" showErrorMessage="1" error="XLBVal:6=3758_x000d__x000a_" sqref="F19">
      <formula1>0</formula1>
      <formula2>300</formula2>
    </dataValidation>
    <dataValidation type="textLength" errorStyle="information" allowBlank="1" showInputMessage="1" showErrorMessage="1" error="XLBVal:6=3700.1_x000d__x000a_" sqref="E19">
      <formula1>0</formula1>
      <formula2>300</formula2>
    </dataValidation>
    <dataValidation type="textLength" errorStyle="information" allowBlank="1" showInputMessage="1" showErrorMessage="1" error="XLBVal:6=3150.8_x000d__x000a_" sqref="D19">
      <formula1>0</formula1>
      <formula2>300</formula2>
    </dataValidation>
    <dataValidation type="textLength" errorStyle="information" allowBlank="1" showInputMessage="1" showErrorMessage="1" error="XLBVal:6=878_x000d__x000a_" sqref="F18">
      <formula1>0</formula1>
      <formula2>300</formula2>
    </dataValidation>
    <dataValidation type="textLength" errorStyle="information" allowBlank="1" showInputMessage="1" showErrorMessage="1" error="XLBVal:6=1070_x000d__x000a_" sqref="E18">
      <formula1>0</formula1>
      <formula2>300</formula2>
    </dataValidation>
    <dataValidation type="textLength" errorStyle="information" allowBlank="1" showInputMessage="1" showErrorMessage="1" error="XLBVal:6=400.2_x000d__x000a_" sqref="D18">
      <formula1>0</formula1>
      <formula2>300</formula2>
    </dataValidation>
    <dataValidation type="textLength" errorStyle="information" allowBlank="1" showInputMessage="1" showErrorMessage="1" error="XLBVal:6=315.3_x000d__x000a_" sqref="D9:O13">
      <formula1>0</formula1>
      <formula2>300</formula2>
    </dataValidation>
    <dataValidation type="textLength" errorStyle="information" allowBlank="1" showInputMessage="1" showErrorMessage="1" error="XLBVal:6=481.54_x000d__x000a_" sqref="V116">
      <formula1>0</formula1>
      <formula2>300</formula2>
    </dataValidation>
    <dataValidation type="textLength" errorStyle="information" allowBlank="1" showInputMessage="1" showErrorMessage="1" error="XLBVal:6=482.12_x000d__x000a_" sqref="T116">
      <formula1>0</formula1>
      <formula2>300</formula2>
    </dataValidation>
    <dataValidation type="textLength" errorStyle="information" allowBlank="1" showInputMessage="1" showErrorMessage="1" error="XLBVal:6=542.36_x000d__x000a_" sqref="Q116:S116">
      <formula1>0</formula1>
      <formula2>300</formula2>
    </dataValidation>
    <dataValidation type="textLength" errorStyle="information" allowBlank="1" showInputMessage="1" showErrorMessage="1" error="XLBVal:6=11697.83_x000d__x000a_" sqref="T108">
      <formula1>0</formula1>
      <formula2>300</formula2>
    </dataValidation>
    <dataValidation type="textLength" errorStyle="information" allowBlank="1" showInputMessage="1" showErrorMessage="1" error="XLBVal:6=23700_x000d__x000a_" sqref="Q102:S102">
      <formula1>0</formula1>
      <formula2>300</formula2>
    </dataValidation>
    <dataValidation type="textLength" errorStyle="information" allowBlank="1" showInputMessage="1" showErrorMessage="1" error="XLBVal:6=99_x000d__x000a_" sqref="Q89">
      <formula1>0</formula1>
      <formula2>300</formula2>
    </dataValidation>
    <dataValidation type="textLength" errorStyle="information" allowBlank="1" showInputMessage="1" showErrorMessage="1" error="XLBVal:6=389_x000d__x000a_" sqref="T86">
      <formula1>0</formula1>
      <formula2>300</formula2>
    </dataValidation>
    <dataValidation type="textLength" errorStyle="information" allowBlank="1" showInputMessage="1" showErrorMessage="1" error="XLBVal:6=334_x000d__x000a_" sqref="V85">
      <formula1>0</formula1>
      <formula2>300</formula2>
    </dataValidation>
    <dataValidation type="textLength" errorStyle="information" allowBlank="1" showInputMessage="1" showErrorMessage="1" error="XLBVal:6=2816_x000d__x000a_" sqref="Q59:S59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5032.9_x000d__x000a_" sqref="V130">
      <formula1>0</formula1>
      <formula2>300</formula2>
    </dataValidation>
    <dataValidation type="textLength" errorStyle="information" allowBlank="1" showInputMessage="1" showErrorMessage="1" error="XLBVal:6=12403.12_x000d__x000a_" sqref="U130">
      <formula1>0</formula1>
      <formula2>300</formula2>
    </dataValidation>
    <dataValidation type="textLength" errorStyle="information" allowBlank="1" showInputMessage="1" showErrorMessage="1" error="XLBVal:6=17911.77_x000d__x000a_" sqref="T130">
      <formula1>0</formula1>
      <formula2>300</formula2>
    </dataValidation>
    <dataValidation type="textLength" errorStyle="information" allowBlank="1" showInputMessage="1" showErrorMessage="1" error="XLBVal:6=18606.28_x000d__x000a_" sqref="S130">
      <formula1>0</formula1>
      <formula2>300</formula2>
    </dataValidation>
    <dataValidation type="textLength" errorStyle="information" allowBlank="1" showInputMessage="1" showErrorMessage="1" error="XLBVal:6=19439.82_x000d__x000a_" sqref="R130">
      <formula1>0</formula1>
      <formula2>300</formula2>
    </dataValidation>
    <dataValidation type="textLength" errorStyle="information" allowBlank="1" showInputMessage="1" showErrorMessage="1" error="XLBVal:6=18175.68_x000d__x000a_" sqref="Q130">
      <formula1>0</formula1>
      <formula2>300</formula2>
    </dataValidation>
    <dataValidation type="textLength" errorStyle="information" allowBlank="1" showInputMessage="1" showErrorMessage="1" error="XLBVal:6=5752.43_x000d__x000a_" sqref="V129">
      <formula1>0</formula1>
      <formula2>300</formula2>
    </dataValidation>
    <dataValidation type="textLength" errorStyle="information" allowBlank="1" showInputMessage="1" showErrorMessage="1" error="XLBVal:6=6346.17_x000d__x000a_" sqref="U129">
      <formula1>0</formula1>
      <formula2>300</formula2>
    </dataValidation>
    <dataValidation type="textLength" errorStyle="information" allowBlank="1" showInputMessage="1" showErrorMessage="1" error="XLBVal:6=5825.22_x000d__x000a_" sqref="T129">
      <formula1>0</formula1>
      <formula2>300</formula2>
    </dataValidation>
    <dataValidation type="textLength" errorStyle="information" allowBlank="1" showInputMessage="1" showErrorMessage="1" error="XLBVal:6=5397.28_x000d__x000a_" sqref="S129">
      <formula1>0</formula1>
      <formula2>300</formula2>
    </dataValidation>
    <dataValidation type="textLength" errorStyle="information" allowBlank="1" showInputMessage="1" showErrorMessage="1" error="XLBVal:6=6159.49_x000d__x000a_" sqref="R129">
      <formula1>0</formula1>
      <formula2>300</formula2>
    </dataValidation>
    <dataValidation type="textLength" errorStyle="information" allowBlank="1" showInputMessage="1" showErrorMessage="1" error="XLBVal:6=4501.66_x000d__x000a_" sqref="Q129">
      <formula1>0</formula1>
      <formula2>300</formula2>
    </dataValidation>
    <dataValidation type="textLength" errorStyle="information" allowBlank="1" showInputMessage="1" showErrorMessage="1" error="XLBVal:6=316.16_x000d__x000a_" sqref="V128">
      <formula1>0</formula1>
      <formula2>300</formula2>
    </dataValidation>
    <dataValidation type="textLength" errorStyle="information" allowBlank="1" showInputMessage="1" showErrorMessage="1" error="XLBVal:6=295.11_x000d__x000a_" sqref="U128">
      <formula1>0</formula1>
      <formula2>300</formula2>
    </dataValidation>
    <dataValidation type="textLength" errorStyle="information" allowBlank="1" showInputMessage="1" showErrorMessage="1" error="XLBVal:6=304.16_x000d__x000a_" sqref="R128">
      <formula1>0</formula1>
      <formula2>300</formula2>
    </dataValidation>
    <dataValidation type="textLength" errorStyle="information" allowBlank="1" showInputMessage="1" showErrorMessage="1" error="XLBVal:6=301.62_x000d__x000a_" sqref="Q128 S128:T128">
      <formula1>0</formula1>
      <formula2>300</formula2>
    </dataValidation>
    <dataValidation type="textLength" errorStyle="information" allowBlank="1" showInputMessage="1" showErrorMessage="1" error="XLBVal:6=1637.75_x000d__x000a_" sqref="V120">
      <formula1>0</formula1>
      <formula2>300</formula2>
    </dataValidation>
    <dataValidation type="textLength" errorStyle="information" allowBlank="1" showInputMessage="1" showErrorMessage="1" error="XLBVal:6=1573.05_x000d__x000a_" sqref="U120">
      <formula1>0</formula1>
      <formula2>300</formula2>
    </dataValidation>
    <dataValidation type="textLength" errorStyle="information" allowBlank="1" showInputMessage="1" showErrorMessage="1" error="XLBVal:6=2698.18_x000d__x000a_" sqref="T120">
      <formula1>0</formula1>
      <formula2>300</formula2>
    </dataValidation>
    <dataValidation type="textLength" errorStyle="information" allowBlank="1" showInputMessage="1" showErrorMessage="1" error="XLBVal:6=3452.17_x000d__x000a_" sqref="S120">
      <formula1>0</formula1>
      <formula2>300</formula2>
    </dataValidation>
    <dataValidation type="textLength" errorStyle="information" allowBlank="1" showInputMessage="1" showErrorMessage="1" error="XLBVal:6=2065.25_x000d__x000a_" sqref="R120">
      <formula1>0</formula1>
      <formula2>300</formula2>
    </dataValidation>
    <dataValidation type="textLength" errorStyle="information" allowBlank="1" showInputMessage="1" showErrorMessage="1" error="XLBVal:6=1742.83_x000d__x000a_" sqref="Q120">
      <formula1>0</formula1>
      <formula2>300</formula2>
    </dataValidation>
    <dataValidation type="textLength" errorStyle="information" allowBlank="1" showInputMessage="1" showErrorMessage="1" error="XLBVal:6=4572_x000d__x000a_" sqref="V119">
      <formula1>0</formula1>
      <formula2>300</formula2>
    </dataValidation>
    <dataValidation type="textLength" errorStyle="information" allowBlank="1" showInputMessage="1" showErrorMessage="1" error="XLBVal:6=4762_x000d__x000a_" sqref="T119">
      <formula1>0</formula1>
      <formula2>300</formula2>
    </dataValidation>
    <dataValidation type="textLength" errorStyle="information" allowBlank="1" showInputMessage="1" showErrorMessage="1" error="XLBVal:6=5364_x000d__x000a_" sqref="Q119:S119">
      <formula1>0</formula1>
      <formula2>300</formula2>
    </dataValidation>
    <dataValidation type="textLength" errorStyle="information" allowBlank="1" showInputMessage="1" showErrorMessage="1" error="XLBVal:6=115.6_x000d__x000a_" sqref="V117">
      <formula1>0</formula1>
      <formula2>300</formula2>
    </dataValidation>
    <dataValidation type="textLength" errorStyle="information" allowBlank="1" showInputMessage="1" showErrorMessage="1" error="XLBVal:6=115.73_x000d__x000a_" sqref="T117">
      <formula1>0</formula1>
      <formula2>300</formula2>
    </dataValidation>
    <dataValidation type="textLength" errorStyle="information" allowBlank="1" showInputMessage="1" showErrorMessage="1" error="XLBVal:6=130.19_x000d__x000a_" sqref="Q117:S117">
      <formula1>0</formula1>
      <formula2>300</formula2>
    </dataValidation>
    <dataValidation type="textLength" errorStyle="information" allowBlank="1" showInputMessage="1" showErrorMessage="1" error="XLBVal:6=8186.32_x000d__x000a_" sqref="V115">
      <formula1>0</formula1>
      <formula2>300</formula2>
    </dataValidation>
    <dataValidation type="textLength" errorStyle="information" allowBlank="1" showInputMessage="1" showErrorMessage="1" error="XLBVal:6=8196.05_x000d__x000a_" sqref="T115">
      <formula1>0</formula1>
      <formula2>300</formula2>
    </dataValidation>
    <dataValidation type="textLength" errorStyle="information" allowBlank="1" showInputMessage="1" showErrorMessage="1" error="XLBVal:6=9220.1_x000d__x000a_" sqref="Q115:S115">
      <formula1>0</formula1>
      <formula2>300</formula2>
    </dataValidation>
    <dataValidation type="textLength" errorStyle="information" allowBlank="1" showInputMessage="1" showErrorMessage="1" error="XLBVal:6=15409.56_x000d__x000a_" sqref="V114">
      <formula1>0</formula1>
      <formula2>300</formula2>
    </dataValidation>
    <dataValidation type="textLength" errorStyle="information" allowBlank="1" showInputMessage="1" showErrorMessage="1" error="XLBVal:6=15427.87_x000d__x000a_" sqref="T114">
      <formula1>0</formula1>
      <formula2>300</formula2>
    </dataValidation>
    <dataValidation type="textLength" errorStyle="information" allowBlank="1" showInputMessage="1" showErrorMessage="1" error="XLBVal:6=17355.49_x000d__x000a_" sqref="Q114:S114">
      <formula1>0</formula1>
      <formula2>300</formula2>
    </dataValidation>
    <dataValidation type="textLength" errorStyle="information" allowBlank="1" showInputMessage="1" showErrorMessage="1" error="XLBVal:6=2400_x000d__x000a_" sqref="V111">
      <formula1>0</formula1>
      <formula2>300</formula2>
    </dataValidation>
    <dataValidation type="textLength" errorStyle="information" allowBlank="1" showInputMessage="1" showErrorMessage="1" error="XLBVal:6=2502.92_x000d__x000a_" sqref="U111">
      <formula1>0</formula1>
      <formula2>300</formula2>
    </dataValidation>
    <dataValidation type="textLength" errorStyle="information" allowBlank="1" showInputMessage="1" showErrorMessage="1" error="XLBVal:6=3091.18_x000d__x000a_" sqref="T111">
      <formula1>0</formula1>
      <formula2>300</formula2>
    </dataValidation>
    <dataValidation type="textLength" errorStyle="information" allowBlank="1" showInputMessage="1" showErrorMessage="1" error="XLBVal:6=3579.25_x000d__x000a_" sqref="R111">
      <formula1>0</formula1>
      <formula2>300</formula2>
    </dataValidation>
    <dataValidation type="textLength" errorStyle="information" allowBlank="1" showInputMessage="1" showErrorMessage="1" error="XLBVal:6=2600_x000d__x000a_" sqref="Q111">
      <formula1>0</formula1>
      <formula2>300</formula2>
    </dataValidation>
    <dataValidation type="textLength" errorStyle="information" allowBlank="1" showInputMessage="1" showErrorMessage="1" error="XLBVal:6=7720.81_x000d__x000a_" sqref="V109">
      <formula1>0</formula1>
      <formula2>300</formula2>
    </dataValidation>
    <dataValidation type="textLength" errorStyle="information" allowBlank="1" showInputMessage="1" showErrorMessage="1" error="XLBVal:6=7713_x000d__x000a_" sqref="U109">
      <formula1>0</formula1>
      <formula2>300</formula2>
    </dataValidation>
    <dataValidation type="textLength" errorStyle="information" allowBlank="1" showInputMessage="1" showErrorMessage="1" error="XLBVal:6=7274.51_x000d__x000a_" sqref="T109">
      <formula1>0</formula1>
      <formula2>300</formula2>
    </dataValidation>
    <dataValidation type="textLength" errorStyle="information" allowBlank="1" showInputMessage="1" showErrorMessage="1" error="XLBVal:6=7843.58_x000d__x000a_" sqref="R109">
      <formula1>0</formula1>
      <formula2>300</formula2>
    </dataValidation>
    <dataValidation type="textLength" errorStyle="information" allowBlank="1" showInputMessage="1" showErrorMessage="1" error="XLBVal:6=8390_x000d__x000a_" sqref="Q109">
      <formula1>0</formula1>
      <formula2>300</formula2>
    </dataValidation>
    <dataValidation type="textLength" errorStyle="information" allowBlank="1" showInputMessage="1" showErrorMessage="1" error="XLBVal:6=5517.24_x000d__x000a_" sqref="U107">
      <formula1>0</formula1>
      <formula2>300</formula2>
    </dataValidation>
    <dataValidation type="textLength" errorStyle="information" allowBlank="1" showInputMessage="1" showErrorMessage="1" error="XLBVal:6=7296.54_x000d__x000a_" sqref="T107">
      <formula1>0</formula1>
      <formula2>300</formula2>
    </dataValidation>
    <dataValidation type="textLength" errorStyle="information" allowBlank="1" showInputMessage="1" showErrorMessage="1" error="XLBVal:6=22836.14_x000d__x000a_" sqref="R107">
      <formula1>0</formula1>
      <formula2>300</formula2>
    </dataValidation>
    <dataValidation type="textLength" errorStyle="information" allowBlank="1" showInputMessage="1" showErrorMessage="1" error="XLBVal:6=6151.71_x000d__x000a_" sqref="Q107">
      <formula1>0</formula1>
      <formula2>300</formula2>
    </dataValidation>
    <dataValidation type="textLength" errorStyle="information" allowBlank="1" showInputMessage="1" showErrorMessage="1" error="XLBVal:6=26177.45_x000d__x000a_" sqref="V104">
      <formula1>0</formula1>
      <formula2>300</formula2>
    </dataValidation>
    <dataValidation type="textLength" errorStyle="information" allowBlank="1" showInputMessage="1" showErrorMessage="1" error="XLBVal:6=29217.25_x000d__x000a_" sqref="U104">
      <formula1>0</formula1>
      <formula2>300</formula2>
    </dataValidation>
    <dataValidation type="textLength" errorStyle="information" allowBlank="1" showInputMessage="1" showErrorMessage="1" error="XLBVal:6=28600_x000d__x000a_" sqref="Q104:S104">
      <formula1>0</formula1>
      <formula2>300</formula2>
    </dataValidation>
    <dataValidation type="textLength" errorStyle="information" allowBlank="1" showInputMessage="1" showErrorMessage="1" error="XLBVal:6=22239.92_x000d__x000a_" sqref="V103">
      <formula1>0</formula1>
      <formula2>300</formula2>
    </dataValidation>
    <dataValidation type="textLength" errorStyle="information" allowBlank="1" showInputMessage="1" showErrorMessage="1" error="XLBVal:6=17582.76_x000d__x000a_" sqref="R103">
      <formula1>0</formula1>
      <formula2>300</formula2>
    </dataValidation>
    <dataValidation type="textLength" errorStyle="information" allowBlank="1" showInputMessage="1" showErrorMessage="1" error="XLBVal:6=17600_x000d__x000a_" sqref="Q103 S103:U103">
      <formula1>0</formula1>
      <formula2>300</formula2>
    </dataValidation>
    <dataValidation type="textLength" errorStyle="information" allowBlank="1" showInputMessage="1" showErrorMessage="1" error="XLBVal:6=19096.55_x000d__x000a_" sqref="T102">
      <formula1>0</formula1>
      <formula2>300</formula2>
    </dataValidation>
    <dataValidation type="textLength" errorStyle="information" allowBlank="1" showInputMessage="1" showErrorMessage="1" error="XLBVal:6=95_x000d__x000a_" sqref="T89">
      <formula1>0</formula1>
      <formula2>300</formula2>
    </dataValidation>
    <dataValidation type="textLength" errorStyle="information" allowBlank="1" showInputMessage="1" showErrorMessage="1" error="XLBVal:6=100_x000d__x000a_" sqref="R89">
      <formula1>0</formula1>
      <formula2>300</formula2>
    </dataValidation>
    <dataValidation type="textLength" errorStyle="information" allowBlank="1" showInputMessage="1" showErrorMessage="1" error="XLBVal:6=65_x000d__x000a_" sqref="S89 V89">
      <formula1>0</formula1>
      <formula2>300</formula2>
    </dataValidation>
    <dataValidation type="textLength" errorStyle="information" allowBlank="1" showInputMessage="1" showErrorMessage="1" error="XLBVal:6=240_x000d__x000a_" sqref="V87">
      <formula1>0</formula1>
      <formula2>300</formula2>
    </dataValidation>
    <dataValidation type="textLength" errorStyle="information" allowBlank="1" showInputMessage="1" showErrorMessage="1" error="XLBVal:6=344_x000d__x000a_" sqref="AB13">
      <formula1>0</formula1>
      <formula2>300</formula2>
    </dataValidation>
    <dataValidation type="textLength" errorStyle="information" allowBlank="1" showInputMessage="1" showErrorMessage="1" error="XLBVal:6=357_x000d__x000a_" sqref="T87">
      <formula1>0</formula1>
      <formula2>300</formula2>
    </dataValidation>
    <dataValidation type="textLength" errorStyle="information" allowBlank="1" showInputMessage="1" showErrorMessage="1" error="XLBVal:6=492_x000d__x000a_" sqref="R87">
      <formula1>0</formula1>
      <formula2>300</formula2>
    </dataValidation>
    <dataValidation type="textLength" errorStyle="information" allowBlank="1" showInputMessage="1" showErrorMessage="1" error="XLBVal:6=522_x000d__x000a_" sqref="Q87">
      <formula1>0</formula1>
      <formula2>300</formula2>
    </dataValidation>
    <dataValidation type="textLength" errorStyle="information" allowBlank="1" showInputMessage="1" showErrorMessage="1" error="XLBVal:6=375_x000d__x000a_" sqref="U86 T85">
      <formula1>0</formula1>
      <formula2>300</formula2>
    </dataValidation>
    <dataValidation type="textLength" errorStyle="information" allowBlank="1" showInputMessage="1" showErrorMessage="1" error="XLBVal:6=478_x000d__x000a_" sqref="S86">
      <formula1>0</formula1>
      <formula2>300</formula2>
    </dataValidation>
    <dataValidation type="textLength" errorStyle="information" allowBlank="1" showInputMessage="1" showErrorMessage="1" error="XLBVal:6=587_x000d__x000a_" sqref="R86">
      <formula1>0</formula1>
      <formula2>300</formula2>
    </dataValidation>
    <dataValidation type="textLength" errorStyle="information" allowBlank="1" showInputMessage="1" showErrorMessage="1" error="XLBVal:6=670_x000d__x000a_" sqref="Q86">
      <formula1>0</formula1>
      <formula2>300</formula2>
    </dataValidation>
    <dataValidation type="textLength" errorStyle="information" allowBlank="1" showInputMessage="1" showErrorMessage="1" error="XLBVal:6=231_x000d__x000a_" sqref="V86">
      <formula1>0</formula1>
      <formula2>300</formula2>
    </dataValidation>
    <dataValidation type="textLength" errorStyle="information" allowBlank="1" showInputMessage="1" showErrorMessage="1" error="XLBVal:6=352_x000d__x000a_" sqref="S85">
      <formula1>0</formula1>
      <formula2>300</formula2>
    </dataValidation>
    <dataValidation type="textLength" errorStyle="information" allowBlank="1" showInputMessage="1" showErrorMessage="1" error="XLBVal:6=133_x000d__x000a_" sqref="R85">
      <formula1>0</formula1>
      <formula2>300</formula2>
    </dataValidation>
    <dataValidation type="textLength" errorStyle="information" allowBlank="1" showInputMessage="1" showErrorMessage="1" error="XLBVal:6=260_x000d__x000a_" sqref="E25">
      <formula1>0</formula1>
      <formula2>300</formula2>
    </dataValidation>
    <dataValidation type="textLength" errorStyle="information" allowBlank="1" showInputMessage="1" showErrorMessage="1" error="XLBVal:6=14917.81_x000d__x000a_" sqref="V79">
      <formula1>0</formula1>
      <formula2>300</formula2>
    </dataValidation>
    <dataValidation type="textLength" errorStyle="information" allowBlank="1" showInputMessage="1" showErrorMessage="1" error="XLBVal:6=14116.83_x000d__x000a_" sqref="U79">
      <formula1>0</formula1>
      <formula2>300</formula2>
    </dataValidation>
    <dataValidation type="textLength" errorStyle="information" allowBlank="1" showInputMessage="1" showErrorMessage="1" error="XLBVal:6=19888.79_x000d__x000a_" sqref="T79">
      <formula1>0</formula1>
      <formula2>300</formula2>
    </dataValidation>
    <dataValidation type="textLength" errorStyle="information" allowBlank="1" showInputMessage="1" showErrorMessage="1" error="XLBVal:6=20354.78_x000d__x000a_" sqref="S79">
      <formula1>0</formula1>
      <formula2>300</formula2>
    </dataValidation>
    <dataValidation type="textLength" errorStyle="information" allowBlank="1" showInputMessage="1" showErrorMessage="1" error="XLBVal:6=24209.57_x000d__x000a_" sqref="R79">
      <formula1>0</formula1>
      <formula2>300</formula2>
    </dataValidation>
    <dataValidation type="textLength" errorStyle="information" allowBlank="1" showInputMessage="1" showErrorMessage="1" error="XLBVal:6=22554.27_x000d__x000a_" sqref="Q79">
      <formula1>0</formula1>
      <formula2>300</formula2>
    </dataValidation>
    <dataValidation type="textLength" errorStyle="information" allowBlank="1" showInputMessage="1" showErrorMessage="1" error="XLBVal:6=1729.14_x000d__x000a_" sqref="V78">
      <formula1>0</formula1>
      <formula2>300</formula2>
    </dataValidation>
    <dataValidation type="textLength" errorStyle="information" allowBlank="1" showInputMessage="1" showErrorMessage="1" error="XLBVal:6=2241.93_x000d__x000a_" sqref="U78">
      <formula1>0</formula1>
      <formula2>300</formula2>
    </dataValidation>
    <dataValidation type="textLength" errorStyle="information" allowBlank="1" showInputMessage="1" showErrorMessage="1" error="XLBVal:6=1818.02_x000d__x000a_" sqref="T78">
      <formula1>0</formula1>
      <formula2>300</formula2>
    </dataValidation>
    <dataValidation type="textLength" errorStyle="information" allowBlank="1" showInputMessage="1" showErrorMessage="1" error="XLBVal:6=3000.19_x000d__x000a_" sqref="S78">
      <formula1>0</formula1>
      <formula2>300</formula2>
    </dataValidation>
    <dataValidation type="textLength" errorStyle="information" allowBlank="1" showInputMessage="1" showErrorMessage="1" error="XLBVal:6=2421.69_x000d__x000a_" sqref="R78">
      <formula1>0</formula1>
      <formula2>300</formula2>
    </dataValidation>
    <dataValidation type="textLength" errorStyle="information" allowBlank="1" showInputMessage="1" showErrorMessage="1" error="XLBVal:6=2862.95_x000d__x000a_" sqref="Q78">
      <formula1>0</formula1>
      <formula2>300</formula2>
    </dataValidation>
    <dataValidation type="textLength" errorStyle="information" allowBlank="1" showInputMessage="1" showErrorMessage="1" error="XLBVal:6=65.69_x000d__x000a_" sqref="U74">
      <formula1>0</formula1>
      <formula2>300</formula2>
    </dataValidation>
    <dataValidation type="textLength" errorStyle="information" allowBlank="1" showInputMessage="1" showErrorMessage="1" error="XLBVal:6=146.06_x000d__x000a_" sqref="T74">
      <formula1>0</formula1>
      <formula2>300</formula2>
    </dataValidation>
    <dataValidation type="textLength" errorStyle="information" allowBlank="1" showInputMessage="1" showErrorMessage="1" error="XLBVal:6=103.26_x000d__x000a_" sqref="S74">
      <formula1>0</formula1>
      <formula2>300</formula2>
    </dataValidation>
    <dataValidation type="textLength" errorStyle="information" allowBlank="1" showInputMessage="1" showErrorMessage="1" error="XLBVal:6=125.68_x000d__x000a_" sqref="R74">
      <formula1>0</formula1>
      <formula2>300</formula2>
    </dataValidation>
    <dataValidation type="textLength" errorStyle="information" allowBlank="1" showInputMessage="1" showErrorMessage="1" error="XLBVal:6=963.33_x000d__x000a_" sqref="V72">
      <formula1>0</formula1>
      <formula2>300</formula2>
    </dataValidation>
    <dataValidation type="textLength" errorStyle="information" allowBlank="1" showInputMessage="1" showErrorMessage="1" error="XLBVal:6=332.56_x000d__x000a_" sqref="U72">
      <formula1>0</formula1>
      <formula2>300</formula2>
    </dataValidation>
    <dataValidation type="textLength" errorStyle="information" allowBlank="1" showInputMessage="1" showErrorMessage="1" error="XLBVal:6=996.81_x000d__x000a_" sqref="T72">
      <formula1>0</formula1>
      <formula2>300</formula2>
    </dataValidation>
    <dataValidation type="textLength" errorStyle="information" allowBlank="1" showInputMessage="1" showErrorMessage="1" error="XLBVal:6=1036.79_x000d__x000a_" sqref="S72">
      <formula1>0</formula1>
      <formula2>300</formula2>
    </dataValidation>
    <dataValidation type="textLength" errorStyle="information" allowBlank="1" showInputMessage="1" showErrorMessage="1" error="XLBVal:6=1668.71_x000d__x000a_" sqref="R72">
      <formula1>0</formula1>
      <formula2>300</formula2>
    </dataValidation>
    <dataValidation type="textLength" errorStyle="information" allowBlank="1" showInputMessage="1" showErrorMessage="1" error="XLBVal:6=1430.8_x000d__x000a_" sqref="Q72">
      <formula1>0</formula1>
      <formula2>300</formula2>
    </dataValidation>
    <dataValidation type="textLength" errorStyle="information" allowBlank="1" showInputMessage="1" showErrorMessage="1" error="XLBVal:6=715_x000d__x000a_" sqref="V71">
      <formula1>0</formula1>
      <formula2>300</formula2>
    </dataValidation>
    <dataValidation type="textLength" errorStyle="information" allowBlank="1" showInputMessage="1" showErrorMessage="1" error="XLBVal:6=726.5_x000d__x000a_" sqref="U71">
      <formula1>0</formula1>
      <formula2>300</formula2>
    </dataValidation>
    <dataValidation type="textLength" errorStyle="information" allowBlank="1" showInputMessage="1" showErrorMessage="1" error="XLBVal:6=779.03_x000d__x000a_" sqref="T71">
      <formula1>0</formula1>
      <formula2>300</formula2>
    </dataValidation>
    <dataValidation type="textLength" errorStyle="information" allowBlank="1" showInputMessage="1" showErrorMessage="1" error="XLBVal:6=728_x000d__x000a_" sqref="R71">
      <formula1>0</formula1>
      <formula2>300</formula2>
    </dataValidation>
    <dataValidation type="textLength" errorStyle="information" allowBlank="1" showInputMessage="1" showErrorMessage="1" error="XLBVal:6=484_x000d__x000a_" sqref="Q71">
      <formula1>0</formula1>
      <formula2>300</formula2>
    </dataValidation>
    <dataValidation type="textLength" errorStyle="information" allowBlank="1" showInputMessage="1" showErrorMessage="1" error="XLBVal:6=1200_x000d__x000a_" sqref="Q54">
      <formula1>0</formula1>
      <formula2>300</formula2>
    </dataValidation>
    <dataValidation type="textLength" errorStyle="information" allowBlank="1" showInputMessage="1" showErrorMessage="1" error="XLBVal:6=1285.9_x000d__x000a_" sqref="V51">
      <formula1>0</formula1>
      <formula2>300</formula2>
    </dataValidation>
    <dataValidation type="textLength" errorStyle="information" allowBlank="1" showInputMessage="1" showErrorMessage="1" error="XLBVal:6=910_x000d__x000a_" sqref="T51">
      <formula1>0</formula1>
      <formula2>300</formula2>
    </dataValidation>
    <dataValidation type="textLength" errorStyle="information" allowBlank="1" showInputMessage="1" showErrorMessage="1" error="XLBVal:6=1292_x000d__x000a_" sqref="S51">
      <formula1>0</formula1>
      <formula2>300</formula2>
    </dataValidation>
    <dataValidation type="textLength" errorStyle="information" allowBlank="1" showInputMessage="1" showErrorMessage="1" error="XLBVal:6=1352.9_x000d__x000a_" sqref="R51">
      <formula1>0</formula1>
      <formula2>300</formula2>
    </dataValidation>
    <dataValidation type="textLength" errorStyle="information" allowBlank="1" showInputMessage="1" showErrorMessage="1" error="XLBVal:6=957.95_x000d__x000a_" sqref="Q51">
      <formula1>0</formula1>
      <formula2>300</formula2>
    </dataValidation>
    <dataValidation type="textLength" errorStyle="information" allowBlank="1" showInputMessage="1" showErrorMessage="1" error="XLBVal:6=28357.62_x000d__x000a_" sqref="V43">
      <formula1>0</formula1>
      <formula2>300</formula2>
    </dataValidation>
    <dataValidation type="textLength" errorStyle="information" allowBlank="1" showInputMessage="1" showErrorMessage="1" error="XLBVal:6=33895.09_x000d__x000a_" sqref="U43">
      <formula1>0</formula1>
      <formula2>300</formula2>
    </dataValidation>
    <dataValidation type="textLength" errorStyle="information" allowBlank="1" showInputMessage="1" showErrorMessage="1" error="XLBVal:6=26928.06_x000d__x000a_" sqref="T43">
      <formula1>0</formula1>
      <formula2>300</formula2>
    </dataValidation>
    <dataValidation type="textLength" errorStyle="information" allowBlank="1" showInputMessage="1" showErrorMessage="1" error="XLBVal:6=41809.98_x000d__x000a_" sqref="S43">
      <formula1>0</formula1>
      <formula2>300</formula2>
    </dataValidation>
    <dataValidation type="textLength" errorStyle="information" allowBlank="1" showInputMessage="1" showErrorMessage="1" error="XLBVal:6=46824.53_x000d__x000a_" sqref="R43">
      <formula1>0</formula1>
      <formula2>300</formula2>
    </dataValidation>
    <dataValidation type="textLength" errorStyle="information" allowBlank="1" showInputMessage="1" showErrorMessage="1" error="XLBVal:6=32513.96_x000d__x000a_" sqref="Q43">
      <formula1>0</formula1>
      <formula2>300</formula2>
    </dataValidation>
    <dataValidation type="textLength" errorStyle="information" allowBlank="1" showInputMessage="1" showErrorMessage="1" error="XLBVal:6=463.14_x000d__x000a_" sqref="V38">
      <formula1>0</formula1>
      <formula2>300</formula2>
    </dataValidation>
    <dataValidation type="textLength" errorStyle="information" allowBlank="1" showInputMessage="1" showErrorMessage="1" error="XLBVal:6=80.64_x000d__x000a_" sqref="U38">
      <formula1>0</formula1>
      <formula2>300</formula2>
    </dataValidation>
    <dataValidation type="textLength" errorStyle="information" allowBlank="1" showInputMessage="1" showErrorMessage="1" error="XLBVal:6=770.53_x000d__x000a_" sqref="T38">
      <formula1>0</formula1>
      <formula2>300</formula2>
    </dataValidation>
    <dataValidation type="textLength" errorStyle="information" allowBlank="1" showInputMessage="1" showErrorMessage="1" error="XLBVal:6=1067.18_x000d__x000a_" sqref="S38">
      <formula1>0</formula1>
      <formula2>300</formula2>
    </dataValidation>
    <dataValidation type="textLength" errorStyle="information" allowBlank="1" showInputMessage="1" showErrorMessage="1" error="XLBVal:6=1562.46_x000d__x000a_" sqref="R38">
      <formula1>0</formula1>
      <formula2>300</formula2>
    </dataValidation>
    <dataValidation type="textLength" errorStyle="information" allowBlank="1" showInputMessage="1" showErrorMessage="1" error="XLBVal:6=752.15_x000d__x000a_" sqref="Q38">
      <formula1>0</formula1>
      <formula2>300</formula2>
    </dataValidation>
    <dataValidation type="textLength" errorStyle="information" allowBlank="1" showInputMessage="1" showErrorMessage="1" error="XLBVal:6=893.88_x000d__x000a_" sqref="V31">
      <formula1>0</formula1>
      <formula2>300</formula2>
    </dataValidation>
    <dataValidation type="textLength" errorStyle="information" allowBlank="1" showInputMessage="1" showErrorMessage="1" error="XLBVal:6=1373.47_x000d__x000a_" sqref="U31">
      <formula1>0</formula1>
      <formula2>300</formula2>
    </dataValidation>
    <dataValidation type="textLength" errorStyle="information" allowBlank="1" showInputMessage="1" showErrorMessage="1" error="XLBVal:6=328.87_x000d__x000a_" sqref="T31">
      <formula1>0</formula1>
      <formula2>300</formula2>
    </dataValidation>
    <dataValidation type="textLength" errorStyle="information" allowBlank="1" showInputMessage="1" showErrorMessage="1" error="XLBVal:6=1994.19_x000d__x000a_" sqref="S31">
      <formula1>0</formula1>
      <formula2>300</formula2>
    </dataValidation>
    <dataValidation type="textLength" errorStyle="information" allowBlank="1" showInputMessage="1" showErrorMessage="1" error="XLBVal:6=3996.53_x000d__x000a_" sqref="R31">
      <formula1>0</formula1>
      <formula2>300</formula2>
    </dataValidation>
    <dataValidation type="textLength" errorStyle="information" allowBlank="1" showInputMessage="1" showErrorMessage="1" error="XLBVal:6=1418.07_x000d__x000a_" sqref="Q31">
      <formula1>0</formula1>
      <formula2>300</formula2>
    </dataValidation>
    <dataValidation type="textLength" errorStyle="information" allowBlank="1" showInputMessage="1" showErrorMessage="1" error="XLBVal:6=28788.98_x000d__x000a_" sqref="V30">
      <formula1>0</formula1>
      <formula2>300</formula2>
    </dataValidation>
    <dataValidation type="textLength" errorStyle="information" allowBlank="1" showInputMessage="1" showErrorMessage="1" error="XLBVal:6=35426.84_x000d__x000a_" sqref="U30">
      <formula1>0</formula1>
      <formula2>300</formula2>
    </dataValidation>
    <dataValidation type="textLength" errorStyle="information" allowBlank="1" showInputMessage="1" showErrorMessage="1" error="XLBVal:6=36266.78_x000d__x000a_" sqref="T30">
      <formula1>0</formula1>
      <formula2>300</formula2>
    </dataValidation>
    <dataValidation type="textLength" errorStyle="information" allowBlank="1" showInputMessage="1" showErrorMessage="1" error="XLBVal:6=35980.11_x000d__x000a_" sqref="S30">
      <formula1>0</formula1>
      <formula2>300</formula2>
    </dataValidation>
    <dataValidation type="textLength" errorStyle="information" allowBlank="1" showInputMessage="1" showErrorMessage="1" error="XLBVal:6=48523.19_x000d__x000a_" sqref="Q30">
      <formula1>0</formula1>
      <formula2>300</formula2>
    </dataValidation>
    <dataValidation type="textLength" errorStyle="information" allowBlank="1" showInputMessage="1" showErrorMessage="1" error="XLBVal:6=7210.6_x000d__x000a_" sqref="V26">
      <formula1>0</formula1>
      <formula2>300</formula2>
    </dataValidation>
    <dataValidation type="textLength" errorStyle="information" allowBlank="1" showInputMessage="1" showErrorMessage="1" error="XLBVal:6=6013.2_x000d__x000a_" sqref="U26">
      <formula1>0</formula1>
      <formula2>300</formula2>
    </dataValidation>
    <dataValidation type="textLength" errorStyle="information" allowBlank="1" showInputMessage="1" showErrorMessage="1" error="XLBVal:6=3868.6_x000d__x000a_" sqref="T26">
      <formula1>0</formula1>
      <formula2>300</formula2>
    </dataValidation>
    <dataValidation type="textLength" errorStyle="information" allowBlank="1" showInputMessage="1" showErrorMessage="1" error="XLBVal:6=6428.7_x000d__x000a_" sqref="S26">
      <formula1>0</formula1>
      <formula2>300</formula2>
    </dataValidation>
    <dataValidation type="textLength" errorStyle="information" allowBlank="1" showInputMessage="1" showErrorMessage="1" error="XLBVal:6=15698.6_x000d__x000a_" sqref="R26">
      <formula1>0</formula1>
      <formula2>300</formula2>
    </dataValidation>
    <dataValidation type="textLength" errorStyle="information" allowBlank="1" showInputMessage="1" showErrorMessage="1" error="XLBVal:6=8164.5_x000d__x000a_" sqref="Q26">
      <formula1>0</formula1>
      <formula2>300</formula2>
    </dataValidation>
    <dataValidation type="textLength" errorStyle="information" allowBlank="1" showInputMessage="1" showErrorMessage="1" error="XLBVal:6=2005.3_x000d__x000a_" sqref="V21">
      <formula1>0</formula1>
      <formula2>300</formula2>
    </dataValidation>
    <dataValidation type="textLength" errorStyle="information" allowBlank="1" showInputMessage="1" showErrorMessage="1" error="XLBVal:6=2502_x000d__x000a_" sqref="U21">
      <formula1>0</formula1>
      <formula2>300</formula2>
    </dataValidation>
    <dataValidation type="textLength" errorStyle="information" allowBlank="1" showInputMessage="1" showErrorMessage="1" error="XLBVal:6=1584_x000d__x000a_" sqref="T21">
      <formula1>0</formula1>
      <formula2>300</formula2>
    </dataValidation>
    <dataValidation type="textLength" errorStyle="information" allowBlank="1" showInputMessage="1" showErrorMessage="1" error="XLBVal:6=2242_x000d__x000a_" sqref="S21">
      <formula1>0</formula1>
      <formula2>300</formula2>
    </dataValidation>
    <dataValidation type="textLength" errorStyle="information" allowBlank="1" showInputMessage="1" showErrorMessage="1" error="XLBVal:6=2146_x000d__x000a_" sqref="R21">
      <formula1>0</formula1>
      <formula2>300</formula2>
    </dataValidation>
    <dataValidation type="textLength" errorStyle="information" allowBlank="1" showInputMessage="1" showErrorMessage="1" error="XLBVal:6=2470_x000d__x000a_" sqref="Q21">
      <formula1>0</formula1>
      <formula2>300</formula2>
    </dataValidation>
    <dataValidation type="textLength" errorStyle="information" allowBlank="1" showInputMessage="1" showErrorMessage="1" error="XLBVal:6=1613.5_x000d__x000a_" sqref="V19">
      <formula1>0</formula1>
      <formula2>300</formula2>
    </dataValidation>
    <dataValidation type="textLength" errorStyle="information" allowBlank="1" showInputMessage="1" showErrorMessage="1" error="XLBVal:6=3006_x000d__x000a_" sqref="U19">
      <formula1>0</formula1>
      <formula2>300</formula2>
    </dataValidation>
    <dataValidation type="textLength" errorStyle="information" allowBlank="1" showInputMessage="1" showErrorMessage="1" error="XLBVal:6=434_x000d__x000a_" sqref="T19">
      <formula1>0</formula1>
      <formula2>300</formula2>
    </dataValidation>
    <dataValidation type="textLength" errorStyle="information" allowBlank="1" showInputMessage="1" showErrorMessage="1" error="XLBVal:6=4452_x000d__x000a_" sqref="S19">
      <formula1>0</formula1>
      <formula2>300</formula2>
    </dataValidation>
    <dataValidation type="textLength" errorStyle="information" allowBlank="1" showInputMessage="1" showErrorMessage="1" error="XLBVal:6=1938_x000d__x000a_" sqref="R19">
      <formula1>0</formula1>
      <formula2>300</formula2>
    </dataValidation>
    <dataValidation type="textLength" errorStyle="information" allowBlank="1" showInputMessage="1" showErrorMessage="1" error="XLBVal:6=2278_x000d__x000a_" sqref="Q19">
      <formula1>0</formula1>
      <formula2>300</formula2>
    </dataValidation>
    <dataValidation type="textLength" errorStyle="information" allowBlank="1" showInputMessage="1" showErrorMessage="1" error="XLBVal:6=270.8_x000d__x000a_" sqref="V18">
      <formula1>0</formula1>
      <formula2>300</formula2>
    </dataValidation>
    <dataValidation type="textLength" errorStyle="information" allowBlank="1" showInputMessage="1" showErrorMessage="1" error="XLBVal:6=844_x000d__x000a_" sqref="U18">
      <formula1>0</formula1>
      <formula2>300</formula2>
    </dataValidation>
    <dataValidation type="textLength" errorStyle="information" allowBlank="1" showInputMessage="1" showErrorMessage="1" error="XLBVal:6=84_x000d__x000a_" sqref="T18">
      <formula1>0</formula1>
      <formula2>300</formula2>
    </dataValidation>
    <dataValidation type="textLength" errorStyle="information" allowBlank="1" showInputMessage="1" showErrorMessage="1" error="XLBVal:6=744_x000d__x000a_" sqref="S18">
      <formula1>0</formula1>
      <formula2>300</formula2>
    </dataValidation>
    <dataValidation type="textLength" errorStyle="information" allowBlank="1" showInputMessage="1" showErrorMessage="1" error="XLBVal:6=650_x000d__x000a_" sqref="Q18">
      <formula1>0</formula1>
      <formula2>300</formula2>
    </dataValidation>
    <dataValidation type="textLength" errorStyle="information" allowBlank="1" showInputMessage="1" showErrorMessage="1" error="XLBVal:6=16668.8_x000d__x000a_" sqref="V13">
      <formula1>0</formula1>
      <formula2>300</formula2>
    </dataValidation>
    <dataValidation type="textLength" errorStyle="information" allowBlank="1" showInputMessage="1" showErrorMessage="1" error="XLBVal:6=12441_x000d__x000a_" sqref="U13">
      <formula1>0</formula1>
      <formula2>300</formula2>
    </dataValidation>
    <dataValidation type="textLength" errorStyle="information" allowBlank="1" showInputMessage="1" showErrorMessage="1" error="XLBVal:6=10142_x000d__x000a_" sqref="T13">
      <formula1>0</formula1>
      <formula2>300</formula2>
    </dataValidation>
    <dataValidation type="textLength" errorStyle="information" allowBlank="1" showInputMessage="1" showErrorMessage="1" error="XLBVal:6=6777_x000d__x000a_" sqref="S13">
      <formula1>0</formula1>
      <formula2>300</formula2>
    </dataValidation>
    <dataValidation type="textLength" errorStyle="information" allowBlank="1" showInputMessage="1" showErrorMessage="1" error="XLBVal:6=16307.4_x000d__x000a_" sqref="R13">
      <formula1>0</formula1>
      <formula2>300</formula2>
    </dataValidation>
    <dataValidation type="textLength" errorStyle="information" allowBlank="1" showInputMessage="1" showErrorMessage="1" error="XLBVal:6=8068_x000d__x000a_" sqref="Q13">
      <formula1>0</formula1>
      <formula2>300</formula2>
    </dataValidation>
    <dataValidation type="textLength" errorStyle="information" allowBlank="1" showInputMessage="1" showErrorMessage="1" error="XLBVal:6=26421.8_x000d__x000a_" sqref="V11">
      <formula1>0</formula1>
      <formula2>300</formula2>
    </dataValidation>
    <dataValidation type="textLength" errorStyle="information" allowBlank="1" showInputMessage="1" showErrorMessage="1" error="XLBVal:6=15860.06_x000d__x000a_" sqref="U11">
      <formula1>0</formula1>
      <formula2>300</formula2>
    </dataValidation>
    <dataValidation type="textLength" errorStyle="information" allowBlank="1" showInputMessage="1" showErrorMessage="1" error="XLBVal:6=43638.2_x000d__x000a_" sqref="T11">
      <formula1>0</formula1>
      <formula2>300</formula2>
    </dataValidation>
    <dataValidation type="textLength" errorStyle="information" allowBlank="1" showInputMessage="1" showErrorMessage="1" error="XLBVal:6=41864.3_x000d__x000a_" sqref="S11">
      <formula1>0</formula1>
      <formula2>300</formula2>
    </dataValidation>
    <dataValidation type="textLength" errorStyle="information" allowBlank="1" showInputMessage="1" showErrorMessage="1" error="XLBVal:6=105835.1_x000d__x000a_" sqref="R11">
      <formula1>0</formula1>
      <formula2>300</formula2>
    </dataValidation>
    <dataValidation type="textLength" errorStyle="information" allowBlank="1" showInputMessage="1" showErrorMessage="1" error="XLBVal:6=64376.2_x000d__x000a_" sqref="Q11">
      <formula1>0</formula1>
      <formula2>300</formula2>
    </dataValidation>
    <dataValidation type="textLength" errorStyle="information" allowBlank="1" showInputMessage="1" showErrorMessage="1" error="XLBVal:6=24553.66_x000d__x000a_" sqref="V10">
      <formula1>0</formula1>
      <formula2>300</formula2>
    </dataValidation>
    <dataValidation type="textLength" errorStyle="information" allowBlank="1" showInputMessage="1" showErrorMessage="1" error="XLBVal:6=46307.74_x000d__x000a_" sqref="U10">
      <formula1>0</formula1>
      <formula2>300</formula2>
    </dataValidation>
    <dataValidation type="textLength" errorStyle="information" allowBlank="1" showInputMessage="1" showErrorMessage="1" error="XLBVal:6=38347.68_x000d__x000a_" sqref="T10">
      <formula1>0</formula1>
      <formula2>300</formula2>
    </dataValidation>
    <dataValidation type="textLength" errorStyle="information" allowBlank="1" showInputMessage="1" showErrorMessage="1" error="XLBVal:6=53767.62_x000d__x000a_" sqref="S10">
      <formula1>0</formula1>
      <formula2>300</formula2>
    </dataValidation>
    <dataValidation type="textLength" errorStyle="information" allowBlank="1" showInputMessage="1" showErrorMessage="1" error="XLBVal:6=85798.8_x000d__x000a_" sqref="R10">
      <formula1>0</formula1>
      <formula2>300</formula2>
    </dataValidation>
    <dataValidation type="textLength" errorStyle="information" allowBlank="1" showInputMessage="1" showErrorMessage="1" error="XLBVal:6=69288.4_x000d__x000a_" sqref="Q10">
      <formula1>0</formula1>
      <formula2>300</formula2>
    </dataValidation>
    <dataValidation type="textLength" errorStyle="information" allowBlank="1" showInputMessage="1" showErrorMessage="1" error="XLBVal:6=45343.51_x000d__x000a_" sqref="V9">
      <formula1>0</formula1>
      <formula2>300</formula2>
    </dataValidation>
    <dataValidation type="textLength" errorStyle="information" allowBlank="1" showInputMessage="1" showErrorMessage="1" error="XLBVal:6=62424.23_x000d__x000a_" sqref="U9">
      <formula1>0</formula1>
      <formula2>300</formula2>
    </dataValidation>
    <dataValidation type="textLength" errorStyle="information" allowBlank="1" showInputMessage="1" showErrorMessage="1" error="XLBVal:6=50009.23_x000d__x000a_" sqref="T9">
      <formula1>0</formula1>
      <formula2>300</formula2>
    </dataValidation>
    <dataValidation type="textLength" errorStyle="information" allowBlank="1" showInputMessage="1" showErrorMessage="1" error="XLBVal:6=48701.05_x000d__x000a_" sqref="S9">
      <formula1>0</formula1>
      <formula2>300</formula2>
    </dataValidation>
    <dataValidation type="textLength" errorStyle="information" allowBlank="1" showInputMessage="1" showErrorMessage="1" error="XLBVal:6=27549.09_x000d__x000a_" sqref="R9">
      <formula1>0</formula1>
      <formula2>300</formula2>
    </dataValidation>
    <dataValidation type="textLength" errorStyle="information" allowBlank="1" showInputMessage="1" showErrorMessage="1" error="XLBVal:6=42469.95_x000d__x000a_" sqref="Q9">
      <formula1>0</formula1>
      <formula2>300</formula2>
    </dataValidation>
    <dataValidation type="textLength" errorStyle="information" allowBlank="1" showInputMessage="1" showErrorMessage="1" error="XLBVal:6=8060_x000d__x000a_" sqref="S109">
      <formula1>0</formula1>
      <formula2>300</formula2>
    </dataValidation>
    <dataValidation type="textLength" errorStyle="information" allowBlank="1" showInputMessage="1" showErrorMessage="1" error="XLBVal:6=1000_x000d__x000a_" sqref="Q50:S50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2=0_x000d__x000a_" sqref="Q55 S107 S76:U77 D32:I32 T44:V50 Q118:V118 Q12:AB12 Q58:U58 Q20:V20 R75:R77 D131:I132 Q44:S49 D17:I17 D20:I20 D24:D25 E24:I24 Q131:V132 I25 Q124:V127 Q52:V53 Q88:V88 G25 T54 Q121:V121 Q76:Q77 V75:V77 Q32:V32 Q110:V110 U54:U57 Y13 Q73:V73 Q17:U17 Q61:V70 Q57 R55:T57 Q39:V42 Q24:V25 V54:V60 U75 U59:U60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AG171"/>
  <sheetViews>
    <sheetView view="pageBreakPreview" zoomScaleNormal="100" zoomScaleSheetLayoutView="100" workbookViewId="0">
      <pane xSplit="4" ySplit="7" topLeftCell="M8" activePane="bottomRight" state="frozen"/>
      <selection activeCell="AP43" sqref="AP43"/>
      <selection pane="topRight" activeCell="AP43" sqref="AP43"/>
      <selection pane="bottomLeft" activeCell="AP43" sqref="AP43"/>
      <selection pane="bottomRight" activeCell="O83" sqref="O83"/>
    </sheetView>
  </sheetViews>
  <sheetFormatPr defaultColWidth="9" defaultRowHeight="14.25" outlineLevelCol="2"/>
  <cols>
    <col min="1" max="2" width="9" style="105" hidden="1" customWidth="1" outlineLevel="1"/>
    <col min="3" max="3" width="53.625" style="105" customWidth="1" collapsed="1"/>
    <col min="4" max="15" width="17" style="72" bestFit="1" customWidth="1"/>
    <col min="16" max="16" width="19.5" style="127" bestFit="1" customWidth="1"/>
    <col min="17" max="23" width="15.75" style="72" hidden="1" customWidth="1" outlineLevel="1"/>
    <col min="24" max="25" width="15.75" style="72" hidden="1" customWidth="1" outlineLevel="2"/>
    <col min="26" max="28" width="13.25" style="72" hidden="1" customWidth="1" outlineLevel="2"/>
    <col min="29" max="29" width="16.125" style="127" customWidth="1" collapsed="1"/>
    <col min="30" max="30" width="13.875" style="72" customWidth="1"/>
    <col min="31" max="31" width="11.625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591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5" t="s">
        <v>592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560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593</v>
      </c>
      <c r="P3" s="10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203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594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2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0</v>
      </c>
      <c r="AG9" s="124">
        <f t="shared" ref="AG9:AG27" si="3">P9-AF9</f>
        <v>0</v>
      </c>
    </row>
    <row r="10" spans="1:33">
      <c r="A10" s="105" t="s">
        <v>482</v>
      </c>
      <c r="B10" s="105" t="s">
        <v>594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27">
        <f>SUM(D10:O10)</f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0</v>
      </c>
      <c r="AD10" s="72">
        <f t="shared" si="1"/>
        <v>0</v>
      </c>
      <c r="AE10" s="192" t="e">
        <f t="shared" si="2"/>
        <v>#DIV/0!</v>
      </c>
      <c r="AF10" s="129">
        <v>0</v>
      </c>
      <c r="AG10" s="124">
        <f t="shared" si="3"/>
        <v>0</v>
      </c>
    </row>
    <row r="11" spans="1:33">
      <c r="A11" s="105" t="s">
        <v>484</v>
      </c>
      <c r="B11" s="105" t="s">
        <v>594</v>
      </c>
      <c r="C11" s="105" t="s">
        <v>485</v>
      </c>
      <c r="D11" s="210">
        <f t="shared" si="4"/>
        <v>0</v>
      </c>
      <c r="E11" s="210">
        <f t="shared" si="4"/>
        <v>0</v>
      </c>
      <c r="F11" s="210">
        <f t="shared" si="4"/>
        <v>0</v>
      </c>
      <c r="G11" s="210">
        <f t="shared" si="4"/>
        <v>0</v>
      </c>
      <c r="H11" s="210">
        <f t="shared" si="4"/>
        <v>0</v>
      </c>
      <c r="I11" s="210">
        <f t="shared" si="4"/>
        <v>0</v>
      </c>
      <c r="J11" s="210">
        <f t="shared" si="4"/>
        <v>0</v>
      </c>
      <c r="K11" s="210">
        <f t="shared" si="4"/>
        <v>0</v>
      </c>
      <c r="L11" s="210">
        <f t="shared" si="4"/>
        <v>0</v>
      </c>
      <c r="M11" s="210">
        <f t="shared" si="4"/>
        <v>0</v>
      </c>
      <c r="N11" s="210">
        <f t="shared" si="4"/>
        <v>0</v>
      </c>
      <c r="O11" s="210">
        <f t="shared" si="4"/>
        <v>0</v>
      </c>
      <c r="P11" s="127">
        <f>SUM(D11:O11)</f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127">
        <f>SUM(Q11:AB11)</f>
        <v>0</v>
      </c>
      <c r="AD11" s="72">
        <f t="shared" si="1"/>
        <v>0</v>
      </c>
      <c r="AE11" s="192" t="e">
        <f t="shared" si="2"/>
        <v>#DIV/0!</v>
      </c>
      <c r="AF11" s="129">
        <v>0</v>
      </c>
      <c r="AG11" s="124">
        <f t="shared" si="3"/>
        <v>0</v>
      </c>
    </row>
    <row r="12" spans="1:33">
      <c r="A12" s="105" t="s">
        <v>486</v>
      </c>
      <c r="B12" s="105" t="s">
        <v>594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2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594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2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0</v>
      </c>
      <c r="E14" s="127">
        <f t="shared" si="5"/>
        <v>0</v>
      </c>
      <c r="F14" s="127">
        <f t="shared" si="5"/>
        <v>0</v>
      </c>
      <c r="G14" s="127">
        <f t="shared" si="5"/>
        <v>0</v>
      </c>
      <c r="H14" s="127">
        <f t="shared" si="5"/>
        <v>0</v>
      </c>
      <c r="I14" s="127">
        <f t="shared" si="5"/>
        <v>0</v>
      </c>
      <c r="J14" s="127">
        <f t="shared" si="5"/>
        <v>0</v>
      </c>
      <c r="K14" s="127">
        <f t="shared" si="5"/>
        <v>0</v>
      </c>
      <c r="L14" s="127">
        <f t="shared" si="5"/>
        <v>0</v>
      </c>
      <c r="M14" s="127">
        <f t="shared" si="5"/>
        <v>0</v>
      </c>
      <c r="N14" s="127">
        <f t="shared" si="5"/>
        <v>0</v>
      </c>
      <c r="O14" s="127">
        <f t="shared" si="5"/>
        <v>0</v>
      </c>
      <c r="P14" s="127">
        <f t="shared" si="5"/>
        <v>0</v>
      </c>
      <c r="Q14" s="127">
        <f t="shared" si="5"/>
        <v>0</v>
      </c>
      <c r="R14" s="127">
        <f t="shared" si="5"/>
        <v>0</v>
      </c>
      <c r="S14" s="127">
        <f t="shared" si="5"/>
        <v>0</v>
      </c>
      <c r="T14" s="127">
        <f t="shared" si="5"/>
        <v>0</v>
      </c>
      <c r="U14" s="127">
        <f t="shared" si="5"/>
        <v>0</v>
      </c>
      <c r="V14" s="127">
        <f t="shared" si="5"/>
        <v>0</v>
      </c>
      <c r="W14" s="127">
        <f t="shared" si="5"/>
        <v>0</v>
      </c>
      <c r="X14" s="127">
        <f t="shared" si="5"/>
        <v>0</v>
      </c>
      <c r="Y14" s="127">
        <f t="shared" si="5"/>
        <v>0</v>
      </c>
      <c r="Z14" s="127">
        <f t="shared" si="5"/>
        <v>0</v>
      </c>
      <c r="AA14" s="127">
        <f t="shared" si="5"/>
        <v>0</v>
      </c>
      <c r="AB14" s="127">
        <f t="shared" si="5"/>
        <v>0</v>
      </c>
      <c r="AC14" s="127">
        <f t="shared" si="5"/>
        <v>0</v>
      </c>
      <c r="AD14" s="72">
        <f t="shared" si="1"/>
        <v>0</v>
      </c>
      <c r="AE14" s="192" t="e">
        <f t="shared" si="2"/>
        <v>#DIV/0!</v>
      </c>
      <c r="AF14" s="129">
        <v>0</v>
      </c>
      <c r="AG14" s="124">
        <f t="shared" si="3"/>
        <v>0</v>
      </c>
    </row>
    <row r="15" spans="1:33">
      <c r="C15" s="105" t="s">
        <v>154</v>
      </c>
      <c r="AF15" s="129"/>
      <c r="AG15" s="124">
        <f t="shared" si="3"/>
        <v>0</v>
      </c>
    </row>
    <row r="16" spans="1:33">
      <c r="C16" s="105" t="s">
        <v>491</v>
      </c>
      <c r="AF16" s="129"/>
      <c r="AG16" s="124">
        <f t="shared" si="3"/>
        <v>0</v>
      </c>
    </row>
    <row r="17" spans="1:33">
      <c r="A17" s="105" t="s">
        <v>580</v>
      </c>
      <c r="B17" s="105" t="s">
        <v>594</v>
      </c>
      <c r="C17" s="105" t="s">
        <v>481</v>
      </c>
      <c r="P17" s="12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0</v>
      </c>
      <c r="AG17" s="124">
        <f t="shared" si="3"/>
        <v>0</v>
      </c>
    </row>
    <row r="18" spans="1:33">
      <c r="A18" s="105" t="s">
        <v>595</v>
      </c>
      <c r="B18" s="105" t="s">
        <v>594</v>
      </c>
      <c r="C18" s="105" t="s">
        <v>483</v>
      </c>
      <c r="P18" s="12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0</v>
      </c>
      <c r="AG18" s="124">
        <f t="shared" si="3"/>
        <v>0</v>
      </c>
    </row>
    <row r="19" spans="1:33">
      <c r="A19" s="105" t="s">
        <v>596</v>
      </c>
      <c r="B19" s="105" t="s">
        <v>594</v>
      </c>
      <c r="C19" s="105" t="s">
        <v>485</v>
      </c>
      <c r="P19" s="127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0</v>
      </c>
      <c r="AG19" s="124">
        <f t="shared" si="3"/>
        <v>0</v>
      </c>
    </row>
    <row r="20" spans="1:33">
      <c r="A20" s="105" t="s">
        <v>597</v>
      </c>
      <c r="B20" s="105" t="s">
        <v>594</v>
      </c>
      <c r="C20" s="105" t="s">
        <v>487</v>
      </c>
      <c r="P20" s="12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</row>
    <row r="21" spans="1:33">
      <c r="A21" s="105" t="s">
        <v>598</v>
      </c>
      <c r="B21" s="105" t="s">
        <v>594</v>
      </c>
      <c r="C21" s="105" t="s">
        <v>489</v>
      </c>
      <c r="P21" s="12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7">
        <f t="shared" si="8"/>
        <v>0</v>
      </c>
      <c r="K22" s="127">
        <f t="shared" si="8"/>
        <v>0</v>
      </c>
      <c r="L22" s="127">
        <f t="shared" si="8"/>
        <v>0</v>
      </c>
      <c r="M22" s="127">
        <f t="shared" si="8"/>
        <v>0</v>
      </c>
      <c r="N22" s="127">
        <f t="shared" si="8"/>
        <v>0</v>
      </c>
      <c r="O22" s="127">
        <f t="shared" si="8"/>
        <v>0</v>
      </c>
      <c r="P22" s="127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0</v>
      </c>
      <c r="AG22" s="124">
        <f t="shared" si="3"/>
        <v>0</v>
      </c>
    </row>
    <row r="23" spans="1:33">
      <c r="C23" s="105" t="s">
        <v>154</v>
      </c>
      <c r="AF23" s="129"/>
      <c r="AG23" s="124">
        <f t="shared" si="3"/>
        <v>0</v>
      </c>
    </row>
    <row r="24" spans="1:33">
      <c r="A24" s="105" t="s">
        <v>406</v>
      </c>
      <c r="B24" s="105" t="s">
        <v>594</v>
      </c>
      <c r="C24" s="105" t="s">
        <v>408</v>
      </c>
      <c r="J24" s="123"/>
      <c r="K24" s="123"/>
      <c r="L24" s="123"/>
      <c r="M24" s="123"/>
      <c r="N24" s="123"/>
      <c r="O24" s="123"/>
      <c r="P24" s="12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594</v>
      </c>
      <c r="C25" s="105" t="s">
        <v>499</v>
      </c>
      <c r="P25" s="12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</row>
    <row r="26" spans="1:33">
      <c r="A26" s="105" t="s">
        <v>169</v>
      </c>
      <c r="B26" s="105" t="s">
        <v>594</v>
      </c>
      <c r="C26" s="105" t="s">
        <v>170</v>
      </c>
      <c r="P26" s="127">
        <f>SUM(D26:O26)</f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0</v>
      </c>
      <c r="AD26" s="72">
        <f>P26-AC26</f>
        <v>0</v>
      </c>
      <c r="AE26" s="192" t="e">
        <f>AD26/AC26</f>
        <v>#DIV/0!</v>
      </c>
      <c r="AF26" s="129">
        <v>0</v>
      </c>
      <c r="AG26" s="124">
        <f t="shared" si="3"/>
        <v>0</v>
      </c>
    </row>
    <row r="27" spans="1:33">
      <c r="C27" s="109" t="s">
        <v>500</v>
      </c>
      <c r="D27" s="127">
        <f t="shared" ref="D27:P27" si="10">SUM(D24:D26)+D14+D22</f>
        <v>0</v>
      </c>
      <c r="E27" s="127">
        <f t="shared" si="10"/>
        <v>0</v>
      </c>
      <c r="F27" s="127">
        <f t="shared" si="10"/>
        <v>0</v>
      </c>
      <c r="G27" s="127">
        <f t="shared" si="10"/>
        <v>0</v>
      </c>
      <c r="H27" s="127">
        <f t="shared" si="10"/>
        <v>0</v>
      </c>
      <c r="I27" s="127">
        <f t="shared" si="10"/>
        <v>0</v>
      </c>
      <c r="J27" s="127">
        <f t="shared" si="10"/>
        <v>0</v>
      </c>
      <c r="K27" s="127">
        <f t="shared" si="10"/>
        <v>0</v>
      </c>
      <c r="L27" s="127">
        <f t="shared" si="10"/>
        <v>0</v>
      </c>
      <c r="M27" s="127">
        <f t="shared" si="10"/>
        <v>0</v>
      </c>
      <c r="N27" s="127">
        <f t="shared" si="10"/>
        <v>0</v>
      </c>
      <c r="O27" s="127">
        <f t="shared" si="10"/>
        <v>0</v>
      </c>
      <c r="P27" s="127">
        <f t="shared" si="10"/>
        <v>0</v>
      </c>
      <c r="Q27" s="127">
        <f t="shared" ref="Q27:V27" si="11">SUM(Q24:Q26)+Q14+Q22</f>
        <v>0</v>
      </c>
      <c r="R27" s="127">
        <f t="shared" si="11"/>
        <v>0</v>
      </c>
      <c r="S27" s="127">
        <f t="shared" si="11"/>
        <v>0</v>
      </c>
      <c r="T27" s="127">
        <f t="shared" si="11"/>
        <v>0</v>
      </c>
      <c r="U27" s="127">
        <f t="shared" si="11"/>
        <v>0</v>
      </c>
      <c r="V27" s="127">
        <f t="shared" si="11"/>
        <v>0</v>
      </c>
      <c r="W27" s="127">
        <f t="shared" ref="W27:AC27" si="12">SUM(W24:W26)+W14+W22</f>
        <v>0</v>
      </c>
      <c r="X27" s="127">
        <f t="shared" si="12"/>
        <v>0</v>
      </c>
      <c r="Y27" s="127">
        <f t="shared" si="12"/>
        <v>0</v>
      </c>
      <c r="Z27" s="127">
        <f t="shared" si="12"/>
        <v>0</v>
      </c>
      <c r="AA27" s="127">
        <f t="shared" si="12"/>
        <v>0</v>
      </c>
      <c r="AB27" s="127">
        <f t="shared" si="12"/>
        <v>0</v>
      </c>
      <c r="AC27" s="127">
        <f t="shared" si="12"/>
        <v>0</v>
      </c>
      <c r="AD27" s="72">
        <f>P27-AC27</f>
        <v>0</v>
      </c>
      <c r="AE27" s="192" t="e">
        <f>AD27/AC27</f>
        <v>#DIV/0!</v>
      </c>
      <c r="AF27" s="129">
        <v>0</v>
      </c>
      <c r="AG27" s="124">
        <f t="shared" si="3"/>
        <v>0</v>
      </c>
    </row>
    <row r="28" spans="1:33">
      <c r="C28" s="105" t="s">
        <v>154</v>
      </c>
      <c r="AF28" s="129"/>
    </row>
    <row r="29" spans="1:33">
      <c r="C29" s="105" t="s">
        <v>414</v>
      </c>
      <c r="AF29" s="129"/>
    </row>
    <row r="30" spans="1:33">
      <c r="A30" s="105" t="s">
        <v>415</v>
      </c>
      <c r="B30" s="105" t="s">
        <v>594</v>
      </c>
      <c r="C30" s="105" t="s">
        <v>416</v>
      </c>
      <c r="P30" s="127">
        <f>SUM(D30:O30)</f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127">
        <f>SUM(Q30:AB30)</f>
        <v>0</v>
      </c>
      <c r="AD30" s="72">
        <f t="shared" ref="AD30:AD33" si="13">P30-AC30</f>
        <v>0</v>
      </c>
      <c r="AE30" s="192" t="e">
        <f t="shared" ref="AE30:AE33" si="14">AD30/AC30</f>
        <v>#DIV/0!</v>
      </c>
      <c r="AF30" s="129">
        <v>0</v>
      </c>
      <c r="AG30" s="124">
        <f t="shared" ref="AG30:AG80" si="15">AF30-P30</f>
        <v>0</v>
      </c>
    </row>
    <row r="31" spans="1:33">
      <c r="A31" s="105" t="s">
        <v>417</v>
      </c>
      <c r="B31" s="105" t="s">
        <v>594</v>
      </c>
      <c r="C31" s="105" t="s">
        <v>418</v>
      </c>
      <c r="P31" s="127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3"/>
        <v>0</v>
      </c>
      <c r="AE31" s="192" t="e">
        <f t="shared" si="14"/>
        <v>#DIV/0!</v>
      </c>
      <c r="AF31" s="129">
        <v>0</v>
      </c>
      <c r="AG31" s="124">
        <f t="shared" si="15"/>
        <v>0</v>
      </c>
    </row>
    <row r="32" spans="1:33">
      <c r="A32" s="105" t="s">
        <v>421</v>
      </c>
      <c r="B32" s="105" t="s">
        <v>594</v>
      </c>
      <c r="C32" s="105" t="s">
        <v>422</v>
      </c>
      <c r="P32" s="12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3"/>
        <v>0</v>
      </c>
      <c r="AE32" s="192" t="e">
        <f t="shared" si="14"/>
        <v>#DIV/0!</v>
      </c>
      <c r="AF32" s="129">
        <v>0</v>
      </c>
      <c r="AG32" s="124">
        <f t="shared" si="15"/>
        <v>0</v>
      </c>
    </row>
    <row r="33" spans="1:33">
      <c r="C33" s="109" t="s">
        <v>501</v>
      </c>
      <c r="D33" s="127">
        <f t="shared" ref="D33:AC33" si="16">SUM(D30:D32)</f>
        <v>0</v>
      </c>
      <c r="E33" s="127">
        <f t="shared" si="16"/>
        <v>0</v>
      </c>
      <c r="F33" s="127">
        <f t="shared" si="16"/>
        <v>0</v>
      </c>
      <c r="G33" s="127">
        <f t="shared" si="16"/>
        <v>0</v>
      </c>
      <c r="H33" s="127">
        <f t="shared" si="16"/>
        <v>0</v>
      </c>
      <c r="I33" s="127">
        <f t="shared" si="16"/>
        <v>0</v>
      </c>
      <c r="J33" s="127">
        <f t="shared" si="16"/>
        <v>0</v>
      </c>
      <c r="K33" s="127">
        <f t="shared" si="16"/>
        <v>0</v>
      </c>
      <c r="L33" s="127">
        <f t="shared" si="16"/>
        <v>0</v>
      </c>
      <c r="M33" s="127">
        <f t="shared" si="16"/>
        <v>0</v>
      </c>
      <c r="N33" s="127">
        <f t="shared" si="16"/>
        <v>0</v>
      </c>
      <c r="O33" s="127">
        <f t="shared" si="16"/>
        <v>0</v>
      </c>
      <c r="P33" s="127">
        <f t="shared" si="16"/>
        <v>0</v>
      </c>
      <c r="Q33" s="127">
        <f t="shared" si="16"/>
        <v>0</v>
      </c>
      <c r="R33" s="127">
        <f t="shared" si="16"/>
        <v>0</v>
      </c>
      <c r="S33" s="127">
        <f t="shared" si="16"/>
        <v>0</v>
      </c>
      <c r="T33" s="127">
        <f t="shared" si="16"/>
        <v>0</v>
      </c>
      <c r="U33" s="127">
        <f t="shared" si="16"/>
        <v>0</v>
      </c>
      <c r="V33" s="127">
        <f t="shared" si="16"/>
        <v>0</v>
      </c>
      <c r="W33" s="127">
        <f t="shared" si="16"/>
        <v>0</v>
      </c>
      <c r="X33" s="127">
        <f t="shared" si="16"/>
        <v>0</v>
      </c>
      <c r="Y33" s="127">
        <f t="shared" si="16"/>
        <v>0</v>
      </c>
      <c r="Z33" s="127">
        <f t="shared" si="16"/>
        <v>0</v>
      </c>
      <c r="AA33" s="127">
        <f t="shared" si="16"/>
        <v>0</v>
      </c>
      <c r="AB33" s="127">
        <f t="shared" si="16"/>
        <v>0</v>
      </c>
      <c r="AC33" s="127">
        <f t="shared" si="16"/>
        <v>0</v>
      </c>
      <c r="AD33" s="72">
        <f t="shared" si="13"/>
        <v>0</v>
      </c>
      <c r="AE33" s="192" t="e">
        <f t="shared" si="14"/>
        <v>#DIV/0!</v>
      </c>
      <c r="AF33" s="129">
        <v>0</v>
      </c>
      <c r="AG33" s="124">
        <f t="shared" si="15"/>
        <v>0</v>
      </c>
    </row>
    <row r="34" spans="1:33">
      <c r="C34" s="105" t="s">
        <v>154</v>
      </c>
      <c r="AF34" s="129"/>
      <c r="AG34" s="124">
        <f t="shared" si="15"/>
        <v>0</v>
      </c>
    </row>
    <row r="35" spans="1:33" s="109" customFormat="1">
      <c r="C35" s="109" t="s">
        <v>289</v>
      </c>
      <c r="D35" s="127">
        <f t="shared" ref="D35:AB35" si="17">D134</f>
        <v>124020.35999999999</v>
      </c>
      <c r="E35" s="127">
        <f t="shared" si="17"/>
        <v>123148.35999999999</v>
      </c>
      <c r="F35" s="127">
        <f t="shared" si="17"/>
        <v>124793.34999999998</v>
      </c>
      <c r="G35" s="127">
        <f t="shared" si="17"/>
        <v>124866.34999999998</v>
      </c>
      <c r="H35" s="127">
        <f t="shared" si="17"/>
        <v>125227.15999999997</v>
      </c>
      <c r="I35" s="127">
        <f t="shared" si="17"/>
        <v>129885.48999999999</v>
      </c>
      <c r="J35" s="117">
        <f t="shared" si="17"/>
        <v>130133.99</v>
      </c>
      <c r="K35" s="117">
        <f t="shared" si="17"/>
        <v>130263.04000000001</v>
      </c>
      <c r="L35" s="117">
        <f t="shared" si="17"/>
        <v>130295.04000000001</v>
      </c>
      <c r="M35" s="117">
        <f t="shared" si="17"/>
        <v>131066.56</v>
      </c>
      <c r="N35" s="117">
        <f t="shared" si="17"/>
        <v>130145.48</v>
      </c>
      <c r="O35" s="117">
        <f t="shared" si="17"/>
        <v>130274.53</v>
      </c>
      <c r="P35" s="129">
        <f t="shared" si="17"/>
        <v>1534119.71</v>
      </c>
      <c r="Q35" s="127">
        <f t="shared" si="17"/>
        <v>138075.66999999998</v>
      </c>
      <c r="R35" s="127">
        <f t="shared" si="17"/>
        <v>145879.19</v>
      </c>
      <c r="S35" s="127">
        <f t="shared" si="17"/>
        <v>143259.99</v>
      </c>
      <c r="T35" s="127">
        <f t="shared" si="17"/>
        <v>136195.53</v>
      </c>
      <c r="U35" s="127">
        <f t="shared" si="17"/>
        <v>128674.08000000002</v>
      </c>
      <c r="V35" s="127">
        <f t="shared" si="17"/>
        <v>126290.44000000002</v>
      </c>
      <c r="W35" s="127">
        <f t="shared" si="17"/>
        <v>125623.56</v>
      </c>
      <c r="X35" s="127">
        <f t="shared" si="17"/>
        <v>127890.61</v>
      </c>
      <c r="Y35" s="127">
        <f t="shared" si="17"/>
        <v>123682</v>
      </c>
      <c r="Z35" s="127">
        <f t="shared" si="17"/>
        <v>128211</v>
      </c>
      <c r="AA35" s="127">
        <f t="shared" si="17"/>
        <v>121703</v>
      </c>
      <c r="AB35" s="127">
        <f t="shared" si="17"/>
        <v>121704</v>
      </c>
      <c r="AC35" s="127">
        <f>SUM(Q35:AB35)</f>
        <v>1567189.07</v>
      </c>
      <c r="AD35" s="127">
        <f t="shared" ref="AD35" si="18">P35-AC35</f>
        <v>-33069.360000000102</v>
      </c>
      <c r="AE35" s="132">
        <f t="shared" ref="AE35" si="19">AD35/AC35</f>
        <v>-2.1101065999649997E-2</v>
      </c>
      <c r="AF35" s="129">
        <v>1920444.38</v>
      </c>
      <c r="AG35" s="124">
        <f t="shared" si="15"/>
        <v>386324.66999999993</v>
      </c>
    </row>
    <row r="36" spans="1:33">
      <c r="C36" s="105" t="s">
        <v>154</v>
      </c>
      <c r="J36" s="116"/>
      <c r="K36" s="116"/>
      <c r="L36" s="116"/>
      <c r="M36" s="116"/>
      <c r="N36" s="116"/>
      <c r="O36" s="116"/>
      <c r="P36" s="129"/>
      <c r="AF36" s="129"/>
      <c r="AG36" s="124">
        <f t="shared" si="15"/>
        <v>0</v>
      </c>
    </row>
    <row r="37" spans="1:33">
      <c r="C37" s="109" t="s">
        <v>502</v>
      </c>
      <c r="J37" s="116"/>
      <c r="K37" s="116"/>
      <c r="L37" s="116"/>
      <c r="M37" s="116"/>
      <c r="N37" s="116"/>
      <c r="O37" s="116"/>
      <c r="P37" s="129"/>
      <c r="AF37" s="129"/>
      <c r="AG37" s="124">
        <f t="shared" si="15"/>
        <v>0</v>
      </c>
    </row>
    <row r="38" spans="1:33">
      <c r="A38" s="105" t="s">
        <v>424</v>
      </c>
      <c r="B38" s="105" t="s">
        <v>594</v>
      </c>
      <c r="C38" s="105" t="s">
        <v>425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0</v>
      </c>
      <c r="K38" s="72">
        <v>0</v>
      </c>
      <c r="L38" s="72">
        <v>0</v>
      </c>
      <c r="M38" s="72">
        <v>0</v>
      </c>
      <c r="N38" s="72">
        <v>0</v>
      </c>
      <c r="O38" s="72">
        <v>0</v>
      </c>
      <c r="P38" s="133">
        <f t="shared" ref="P38:P78" si="20">SUM(D38:O38)</f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ref="AC38:AC79" si="21">SUM(Q38:AB38)</f>
        <v>0</v>
      </c>
      <c r="AD38" s="72">
        <f t="shared" ref="AD38:AD82" si="22">P38-AC38</f>
        <v>0</v>
      </c>
      <c r="AE38" s="192" t="e">
        <f t="shared" ref="AE38:AE82" si="23">AD38/AC38</f>
        <v>#DIV/0!</v>
      </c>
      <c r="AF38" s="129">
        <v>0</v>
      </c>
      <c r="AG38" s="124">
        <f t="shared" si="15"/>
        <v>0</v>
      </c>
    </row>
    <row r="39" spans="1:33">
      <c r="A39" s="105" t="s">
        <v>273</v>
      </c>
      <c r="C39" s="105" t="s">
        <v>426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133">
        <f t="shared" si="20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1"/>
        <v>0</v>
      </c>
      <c r="AD39" s="72">
        <f t="shared" si="22"/>
        <v>0</v>
      </c>
      <c r="AE39" s="192" t="e">
        <f t="shared" si="23"/>
        <v>#DIV/0!</v>
      </c>
      <c r="AF39" s="129">
        <v>0</v>
      </c>
      <c r="AG39" s="124">
        <f t="shared" si="15"/>
        <v>0</v>
      </c>
    </row>
    <row r="40" spans="1:33">
      <c r="A40" s="105" t="s">
        <v>549</v>
      </c>
      <c r="C40" s="105" t="s">
        <v>427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133">
        <f t="shared" si="20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1"/>
        <v>0</v>
      </c>
      <c r="AD40" s="72">
        <f t="shared" si="22"/>
        <v>0</v>
      </c>
      <c r="AE40" s="192" t="e">
        <f t="shared" si="23"/>
        <v>#DIV/0!</v>
      </c>
      <c r="AF40" s="129">
        <v>0</v>
      </c>
      <c r="AG40" s="124">
        <f t="shared" si="15"/>
        <v>0</v>
      </c>
    </row>
    <row r="41" spans="1:33">
      <c r="A41" s="105" t="s">
        <v>273</v>
      </c>
      <c r="C41" s="105" t="s">
        <v>428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3000</v>
      </c>
      <c r="L41" s="72">
        <v>0</v>
      </c>
      <c r="M41" s="72">
        <v>0</v>
      </c>
      <c r="N41" s="72">
        <v>3000</v>
      </c>
      <c r="O41" s="72">
        <v>3000</v>
      </c>
      <c r="P41" s="133">
        <f t="shared" si="20"/>
        <v>9000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3000</v>
      </c>
      <c r="AB41" s="72">
        <v>3000</v>
      </c>
      <c r="AC41" s="127">
        <f t="shared" si="21"/>
        <v>6000</v>
      </c>
      <c r="AD41" s="72">
        <f t="shared" si="22"/>
        <v>3000</v>
      </c>
      <c r="AE41" s="192">
        <f t="shared" si="23"/>
        <v>0.5</v>
      </c>
      <c r="AF41" s="129">
        <v>0</v>
      </c>
      <c r="AG41" s="124">
        <f t="shared" si="15"/>
        <v>-9000</v>
      </c>
    </row>
    <row r="42" spans="1:33">
      <c r="A42" s="105" t="s">
        <v>429</v>
      </c>
      <c r="B42" s="105" t="s">
        <v>594</v>
      </c>
      <c r="C42" s="105" t="s">
        <v>143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133">
        <f t="shared" si="20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1"/>
        <v>0</v>
      </c>
      <c r="AD42" s="72">
        <f t="shared" si="22"/>
        <v>0</v>
      </c>
      <c r="AE42" s="192" t="e">
        <f t="shared" si="23"/>
        <v>#DIV/0!</v>
      </c>
      <c r="AF42" s="129">
        <v>0</v>
      </c>
      <c r="AG42" s="124">
        <f t="shared" si="15"/>
        <v>0</v>
      </c>
    </row>
    <row r="43" spans="1:33">
      <c r="A43" s="105" t="s">
        <v>180</v>
      </c>
      <c r="B43" s="105" t="s">
        <v>594</v>
      </c>
      <c r="C43" s="105" t="s">
        <v>144</v>
      </c>
      <c r="D43" s="174">
        <f t="shared" ref="D43:O43" si="24">+D138+D139+D140</f>
        <v>8849.7400000000016</v>
      </c>
      <c r="E43" s="174">
        <f t="shared" si="24"/>
        <v>7487.7699999999995</v>
      </c>
      <c r="F43" s="174">
        <f t="shared" si="24"/>
        <v>7495.7699999999995</v>
      </c>
      <c r="G43" s="174">
        <f t="shared" si="24"/>
        <v>7831.0099999999993</v>
      </c>
      <c r="H43" s="174">
        <f t="shared" si="24"/>
        <v>7865.0099999999993</v>
      </c>
      <c r="I43" s="174">
        <f t="shared" si="24"/>
        <v>7507.7699999999995</v>
      </c>
      <c r="J43" s="174">
        <f t="shared" si="24"/>
        <v>7499.7699999999995</v>
      </c>
      <c r="K43" s="174">
        <f t="shared" si="24"/>
        <v>7498.7699999999995</v>
      </c>
      <c r="L43" s="174">
        <f t="shared" si="24"/>
        <v>7506.7699999999995</v>
      </c>
      <c r="M43" s="174">
        <f t="shared" si="24"/>
        <v>8885.7400000000016</v>
      </c>
      <c r="N43" s="174">
        <f t="shared" si="24"/>
        <v>7509.7699999999995</v>
      </c>
      <c r="O43" s="174">
        <f t="shared" si="24"/>
        <v>7508.7699999999995</v>
      </c>
      <c r="P43" s="133">
        <f t="shared" si="20"/>
        <v>93446.66</v>
      </c>
      <c r="Q43" s="72">
        <v>32142.44</v>
      </c>
      <c r="R43" s="72">
        <v>48490.43</v>
      </c>
      <c r="S43" s="72">
        <v>17691.7</v>
      </c>
      <c r="T43" s="72">
        <v>65524.65</v>
      </c>
      <c r="U43" s="72">
        <v>3985.5</v>
      </c>
      <c r="V43" s="72">
        <v>4450.6099999999997</v>
      </c>
      <c r="W43" s="72">
        <v>4536.57</v>
      </c>
      <c r="X43" s="72">
        <v>5656.32</v>
      </c>
      <c r="Y43" s="72">
        <v>3152</v>
      </c>
      <c r="Z43" s="72">
        <v>3152</v>
      </c>
      <c r="AA43" s="72">
        <v>3152</v>
      </c>
      <c r="AB43" s="72">
        <v>3152</v>
      </c>
      <c r="AC43" s="127">
        <f t="shared" si="21"/>
        <v>195086.22</v>
      </c>
      <c r="AD43" s="72">
        <f t="shared" si="22"/>
        <v>-101639.56</v>
      </c>
      <c r="AE43" s="192">
        <f t="shared" si="23"/>
        <v>-0.52099815148399509</v>
      </c>
      <c r="AF43" s="129">
        <v>314.84000000000003</v>
      </c>
      <c r="AG43" s="124">
        <f t="shared" si="15"/>
        <v>-93131.82</v>
      </c>
    </row>
    <row r="44" spans="1:33">
      <c r="A44" s="105" t="s">
        <v>181</v>
      </c>
      <c r="B44" s="105" t="s">
        <v>594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133">
        <f t="shared" si="20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1"/>
        <v>0</v>
      </c>
      <c r="AD44" s="72">
        <f t="shared" si="22"/>
        <v>0</v>
      </c>
      <c r="AE44" s="192" t="e">
        <f t="shared" si="23"/>
        <v>#DIV/0!</v>
      </c>
      <c r="AF44" s="129">
        <v>1678.99</v>
      </c>
      <c r="AG44" s="124">
        <f t="shared" si="15"/>
        <v>1678.99</v>
      </c>
    </row>
    <row r="45" spans="1:33">
      <c r="A45" s="105" t="s">
        <v>430</v>
      </c>
      <c r="B45" s="105" t="s">
        <v>594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133">
        <f t="shared" si="20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1"/>
        <v>0</v>
      </c>
      <c r="AD45" s="72">
        <f t="shared" si="22"/>
        <v>0</v>
      </c>
      <c r="AE45" s="192" t="e">
        <f t="shared" si="23"/>
        <v>#DIV/0!</v>
      </c>
      <c r="AF45" s="129">
        <v>0</v>
      </c>
      <c r="AG45" s="124">
        <f t="shared" si="15"/>
        <v>0</v>
      </c>
    </row>
    <row r="46" spans="1:33">
      <c r="A46" s="105" t="s">
        <v>183</v>
      </c>
      <c r="B46" s="105" t="s">
        <v>594</v>
      </c>
      <c r="C46" s="105" t="s">
        <v>184</v>
      </c>
      <c r="D46" s="72">
        <v>300</v>
      </c>
      <c r="E46" s="72">
        <v>300</v>
      </c>
      <c r="F46" s="72">
        <v>300</v>
      </c>
      <c r="G46" s="72">
        <v>300</v>
      </c>
      <c r="H46" s="72">
        <v>300</v>
      </c>
      <c r="J46" s="72">
        <v>300</v>
      </c>
      <c r="K46" s="72">
        <v>300</v>
      </c>
      <c r="M46" s="72">
        <v>300</v>
      </c>
      <c r="N46" s="72">
        <v>300</v>
      </c>
      <c r="O46" s="72">
        <v>200</v>
      </c>
      <c r="P46" s="133">
        <f t="shared" si="20"/>
        <v>2900</v>
      </c>
      <c r="Q46" s="72">
        <v>0</v>
      </c>
      <c r="R46" s="72">
        <v>0</v>
      </c>
      <c r="S46" s="72">
        <v>376.62</v>
      </c>
      <c r="T46" s="72">
        <v>132.88999999999999</v>
      </c>
      <c r="U46" s="72">
        <v>110.22</v>
      </c>
      <c r="V46" s="72">
        <v>300.64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2000</v>
      </c>
      <c r="AC46" s="127">
        <f t="shared" si="21"/>
        <v>2920.37</v>
      </c>
      <c r="AD46" s="72">
        <f t="shared" si="22"/>
        <v>-20.369999999999891</v>
      </c>
      <c r="AE46" s="192">
        <f t="shared" si="23"/>
        <v>-6.975143560576191E-3</v>
      </c>
      <c r="AF46" s="129">
        <v>9415.7099999999991</v>
      </c>
      <c r="AG46" s="124">
        <f t="shared" si="15"/>
        <v>6515.7099999999991</v>
      </c>
    </row>
    <row r="47" spans="1:33">
      <c r="A47" s="105" t="s">
        <v>549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133">
        <f t="shared" si="20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1"/>
        <v>0</v>
      </c>
      <c r="AD47" s="72">
        <f t="shared" si="22"/>
        <v>0</v>
      </c>
      <c r="AE47" s="192" t="e">
        <f t="shared" si="23"/>
        <v>#DIV/0!</v>
      </c>
      <c r="AF47" s="129">
        <v>0</v>
      </c>
      <c r="AG47" s="124">
        <f t="shared" si="15"/>
        <v>0</v>
      </c>
    </row>
    <row r="48" spans="1:33">
      <c r="A48" s="105" t="s">
        <v>185</v>
      </c>
      <c r="B48" s="105" t="s">
        <v>594</v>
      </c>
      <c r="C48" s="105" t="s">
        <v>186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133">
        <f t="shared" si="20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1"/>
        <v>0</v>
      </c>
      <c r="AD48" s="72">
        <f t="shared" si="22"/>
        <v>0</v>
      </c>
      <c r="AE48" s="192" t="e">
        <f t="shared" si="23"/>
        <v>#DIV/0!</v>
      </c>
      <c r="AF48" s="129">
        <v>0</v>
      </c>
      <c r="AG48" s="124">
        <f t="shared" si="15"/>
        <v>0</v>
      </c>
    </row>
    <row r="49" spans="1:33">
      <c r="A49" s="105" t="s">
        <v>187</v>
      </c>
      <c r="B49" s="105" t="s">
        <v>594</v>
      </c>
      <c r="C49" s="105" t="s">
        <v>188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133">
        <f t="shared" si="20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127">
        <f t="shared" si="21"/>
        <v>0</v>
      </c>
      <c r="AD49" s="72">
        <f t="shared" si="22"/>
        <v>0</v>
      </c>
      <c r="AE49" s="192" t="e">
        <f t="shared" si="23"/>
        <v>#DIV/0!</v>
      </c>
      <c r="AF49" s="129">
        <v>0</v>
      </c>
      <c r="AG49" s="124">
        <f t="shared" si="15"/>
        <v>0</v>
      </c>
    </row>
    <row r="50" spans="1:33">
      <c r="A50" s="105" t="s">
        <v>195</v>
      </c>
      <c r="B50" s="105" t="s">
        <v>594</v>
      </c>
      <c r="C50" s="105" t="s">
        <v>196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133">
        <f t="shared" si="20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1"/>
        <v>0</v>
      </c>
      <c r="AD50" s="72">
        <f t="shared" si="22"/>
        <v>0</v>
      </c>
      <c r="AE50" s="192" t="e">
        <f t="shared" si="23"/>
        <v>#DIV/0!</v>
      </c>
      <c r="AF50" s="129">
        <v>0</v>
      </c>
      <c r="AG50" s="124">
        <f t="shared" si="15"/>
        <v>0</v>
      </c>
    </row>
    <row r="51" spans="1:33">
      <c r="A51" s="105" t="s">
        <v>197</v>
      </c>
      <c r="B51" s="105" t="s">
        <v>594</v>
      </c>
      <c r="C51" s="105" t="s">
        <v>305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  <c r="J51" s="72">
        <v>0</v>
      </c>
      <c r="K51" s="72">
        <v>0</v>
      </c>
      <c r="L51" s="72">
        <v>0</v>
      </c>
      <c r="M51" s="72">
        <v>0</v>
      </c>
      <c r="N51" s="72">
        <v>0</v>
      </c>
      <c r="O51" s="72">
        <v>0</v>
      </c>
      <c r="P51" s="133">
        <f t="shared" si="20"/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21"/>
        <v>0</v>
      </c>
      <c r="AD51" s="72">
        <f t="shared" si="22"/>
        <v>0</v>
      </c>
      <c r="AE51" s="192" t="e">
        <f t="shared" si="23"/>
        <v>#DIV/0!</v>
      </c>
      <c r="AF51" s="129">
        <v>0</v>
      </c>
      <c r="AG51" s="124">
        <f t="shared" si="15"/>
        <v>0</v>
      </c>
    </row>
    <row r="52" spans="1:33">
      <c r="A52" s="105" t="s">
        <v>434</v>
      </c>
      <c r="B52" s="105" t="s">
        <v>594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133">
        <f t="shared" si="20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1"/>
        <v>0</v>
      </c>
      <c r="AD52" s="72">
        <f t="shared" si="22"/>
        <v>0</v>
      </c>
      <c r="AE52" s="192" t="e">
        <f t="shared" si="23"/>
        <v>#DIV/0!</v>
      </c>
      <c r="AF52" s="129">
        <v>0</v>
      </c>
      <c r="AG52" s="124">
        <f t="shared" si="15"/>
        <v>0</v>
      </c>
    </row>
    <row r="53" spans="1:33">
      <c r="A53" s="105" t="s">
        <v>436</v>
      </c>
      <c r="B53" s="105" t="s">
        <v>594</v>
      </c>
      <c r="C53" s="105" t="s">
        <v>437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133">
        <f t="shared" si="20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1"/>
        <v>0</v>
      </c>
      <c r="AD53" s="72">
        <f t="shared" si="22"/>
        <v>0</v>
      </c>
      <c r="AE53" s="192" t="e">
        <f t="shared" si="23"/>
        <v>#DIV/0!</v>
      </c>
      <c r="AF53" s="129">
        <v>0</v>
      </c>
      <c r="AG53" s="124">
        <f t="shared" si="15"/>
        <v>0</v>
      </c>
    </row>
    <row r="54" spans="1:33">
      <c r="A54" s="105" t="s">
        <v>199</v>
      </c>
      <c r="B54" s="105" t="s">
        <v>594</v>
      </c>
      <c r="C54" s="105" t="s">
        <v>200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2">
        <v>0</v>
      </c>
      <c r="P54" s="133">
        <f t="shared" si="20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1"/>
        <v>0</v>
      </c>
      <c r="AD54" s="72">
        <f t="shared" si="22"/>
        <v>0</v>
      </c>
      <c r="AE54" s="192" t="e">
        <f t="shared" si="23"/>
        <v>#DIV/0!</v>
      </c>
      <c r="AF54" s="129">
        <v>0</v>
      </c>
      <c r="AG54" s="124">
        <f t="shared" si="15"/>
        <v>0</v>
      </c>
    </row>
    <row r="55" spans="1:33">
      <c r="A55" s="105" t="s">
        <v>438</v>
      </c>
      <c r="B55" s="105" t="s">
        <v>594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133">
        <f t="shared" si="20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1"/>
        <v>0</v>
      </c>
      <c r="AD55" s="72">
        <f t="shared" si="22"/>
        <v>0</v>
      </c>
      <c r="AE55" s="192" t="e">
        <f t="shared" si="23"/>
        <v>#DIV/0!</v>
      </c>
      <c r="AF55" s="129">
        <v>0</v>
      </c>
      <c r="AG55" s="124">
        <f t="shared" si="15"/>
        <v>0</v>
      </c>
    </row>
    <row r="56" spans="1:33">
      <c r="A56" s="105" t="s">
        <v>201</v>
      </c>
      <c r="B56" s="105" t="s">
        <v>594</v>
      </c>
      <c r="C56" s="105" t="s">
        <v>202</v>
      </c>
      <c r="D56" s="72">
        <v>500</v>
      </c>
      <c r="E56" s="72">
        <v>500</v>
      </c>
      <c r="F56" s="72">
        <v>500</v>
      </c>
      <c r="G56" s="72">
        <v>500</v>
      </c>
      <c r="H56" s="72">
        <v>500</v>
      </c>
      <c r="I56" s="72">
        <v>500</v>
      </c>
      <c r="J56" s="72">
        <v>500</v>
      </c>
      <c r="K56" s="72">
        <v>500</v>
      </c>
      <c r="L56" s="72">
        <v>500</v>
      </c>
      <c r="M56" s="72">
        <v>500</v>
      </c>
      <c r="N56" s="72">
        <v>500</v>
      </c>
      <c r="O56" s="72">
        <v>500</v>
      </c>
      <c r="P56" s="133">
        <f t="shared" si="20"/>
        <v>6000</v>
      </c>
      <c r="Q56" s="72">
        <v>0</v>
      </c>
      <c r="R56" s="72">
        <v>0</v>
      </c>
      <c r="S56" s="72">
        <v>2913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21"/>
        <v>2913</v>
      </c>
      <c r="AD56" s="72">
        <f t="shared" si="22"/>
        <v>3087</v>
      </c>
      <c r="AE56" s="192">
        <f t="shared" si="23"/>
        <v>1.0597322348094749</v>
      </c>
      <c r="AF56" s="129">
        <v>3949</v>
      </c>
      <c r="AG56" s="124">
        <f t="shared" si="15"/>
        <v>-2051</v>
      </c>
    </row>
    <row r="57" spans="1:33">
      <c r="A57" s="105" t="s">
        <v>440</v>
      </c>
      <c r="B57" s="105" t="s">
        <v>594</v>
      </c>
      <c r="C57" s="105" t="s">
        <v>441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133">
        <f t="shared" si="20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1"/>
        <v>0</v>
      </c>
      <c r="AD57" s="72">
        <f t="shared" si="22"/>
        <v>0</v>
      </c>
      <c r="AE57" s="192" t="e">
        <f t="shared" si="23"/>
        <v>#DIV/0!</v>
      </c>
      <c r="AF57" s="129">
        <v>0</v>
      </c>
      <c r="AG57" s="124">
        <f t="shared" si="15"/>
        <v>0</v>
      </c>
    </row>
    <row r="58" spans="1:33">
      <c r="A58" s="105" t="s">
        <v>442</v>
      </c>
      <c r="B58" s="105" t="s">
        <v>594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133">
        <f t="shared" si="20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1"/>
        <v>0</v>
      </c>
      <c r="AD58" s="72">
        <f t="shared" si="22"/>
        <v>0</v>
      </c>
      <c r="AE58" s="192" t="e">
        <f t="shared" si="23"/>
        <v>#DIV/0!</v>
      </c>
      <c r="AF58" s="129">
        <v>0</v>
      </c>
      <c r="AG58" s="124">
        <f t="shared" si="15"/>
        <v>0</v>
      </c>
    </row>
    <row r="59" spans="1:33">
      <c r="A59" s="105" t="s">
        <v>203</v>
      </c>
      <c r="B59" s="105" t="s">
        <v>594</v>
      </c>
      <c r="C59" s="105" t="s">
        <v>204</v>
      </c>
      <c r="D59" s="72">
        <v>143</v>
      </c>
      <c r="E59" s="72">
        <v>143</v>
      </c>
      <c r="F59" s="72">
        <v>143</v>
      </c>
      <c r="G59" s="72">
        <v>143</v>
      </c>
      <c r="H59" s="72">
        <v>143</v>
      </c>
      <c r="I59" s="72">
        <v>143</v>
      </c>
      <c r="J59" s="72">
        <v>143</v>
      </c>
      <c r="K59" s="72">
        <v>143</v>
      </c>
      <c r="L59" s="72">
        <v>143</v>
      </c>
      <c r="M59" s="72">
        <v>143</v>
      </c>
      <c r="N59" s="72">
        <v>143</v>
      </c>
      <c r="O59" s="72">
        <v>143</v>
      </c>
      <c r="P59" s="133">
        <f t="shared" si="20"/>
        <v>1716</v>
      </c>
      <c r="Q59" s="72">
        <v>331</v>
      </c>
      <c r="R59" s="72">
        <v>331</v>
      </c>
      <c r="S59" s="72">
        <v>331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1"/>
        <v>993</v>
      </c>
      <c r="AD59" s="72">
        <f t="shared" si="22"/>
        <v>723</v>
      </c>
      <c r="AE59" s="192">
        <f t="shared" si="23"/>
        <v>0.72809667673716016</v>
      </c>
      <c r="AF59" s="129">
        <v>10185.790000000001</v>
      </c>
      <c r="AG59" s="124">
        <f t="shared" si="15"/>
        <v>8469.7900000000009</v>
      </c>
    </row>
    <row r="60" spans="1:33">
      <c r="A60" s="105" t="s">
        <v>444</v>
      </c>
      <c r="B60" s="105" t="s">
        <v>594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133">
        <f t="shared" si="20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1"/>
        <v>0</v>
      </c>
      <c r="AD60" s="72">
        <f t="shared" si="22"/>
        <v>0</v>
      </c>
      <c r="AE60" s="192" t="e">
        <f t="shared" si="23"/>
        <v>#DIV/0!</v>
      </c>
      <c r="AF60" s="129">
        <v>0</v>
      </c>
      <c r="AG60" s="124">
        <f t="shared" si="15"/>
        <v>0</v>
      </c>
    </row>
    <row r="61" spans="1:33">
      <c r="A61" s="105" t="s">
        <v>446</v>
      </c>
      <c r="B61" s="105" t="s">
        <v>594</v>
      </c>
      <c r="C61" s="105" t="s">
        <v>447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133">
        <f t="shared" si="20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1"/>
        <v>0</v>
      </c>
      <c r="AD61" s="72">
        <f t="shared" si="22"/>
        <v>0</v>
      </c>
      <c r="AE61" s="192" t="e">
        <f t="shared" si="23"/>
        <v>#DIV/0!</v>
      </c>
      <c r="AF61" s="129">
        <v>0</v>
      </c>
      <c r="AG61" s="124">
        <f t="shared" si="15"/>
        <v>0</v>
      </c>
    </row>
    <row r="62" spans="1:33">
      <c r="A62" s="105" t="s">
        <v>273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133">
        <f t="shared" si="20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1"/>
        <v>0</v>
      </c>
      <c r="AD62" s="72">
        <f t="shared" si="22"/>
        <v>0</v>
      </c>
      <c r="AE62" s="192" t="e">
        <f t="shared" si="23"/>
        <v>#DIV/0!</v>
      </c>
      <c r="AF62" s="129">
        <v>0</v>
      </c>
      <c r="AG62" s="124">
        <f t="shared" si="15"/>
        <v>0</v>
      </c>
    </row>
    <row r="63" spans="1:33">
      <c r="A63" s="105" t="s">
        <v>207</v>
      </c>
      <c r="B63" s="105" t="s">
        <v>594</v>
      </c>
      <c r="C63" s="105" t="s">
        <v>208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133">
        <f t="shared" si="20"/>
        <v>0</v>
      </c>
      <c r="Q63" s="72">
        <v>55.08</v>
      </c>
      <c r="R63" s="72">
        <v>58.68</v>
      </c>
      <c r="S63" s="72">
        <v>9.18</v>
      </c>
      <c r="T63" s="72">
        <v>9.18</v>
      </c>
      <c r="U63" s="72">
        <v>13.77</v>
      </c>
      <c r="V63" s="72">
        <v>0</v>
      </c>
      <c r="W63" s="72">
        <v>2.75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21"/>
        <v>148.64000000000001</v>
      </c>
      <c r="AD63" s="72">
        <f t="shared" si="22"/>
        <v>-148.64000000000001</v>
      </c>
      <c r="AE63" s="192">
        <f t="shared" si="23"/>
        <v>-1</v>
      </c>
      <c r="AF63" s="129">
        <v>194.98</v>
      </c>
      <c r="AG63" s="124">
        <f t="shared" si="15"/>
        <v>194.98</v>
      </c>
    </row>
    <row r="64" spans="1:33">
      <c r="A64" s="105" t="s">
        <v>449</v>
      </c>
      <c r="B64" s="105" t="s">
        <v>594</v>
      </c>
      <c r="C64" s="105" t="s">
        <v>450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133">
        <f t="shared" si="20"/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21"/>
        <v>0</v>
      </c>
      <c r="AD64" s="72">
        <f t="shared" si="22"/>
        <v>0</v>
      </c>
      <c r="AE64" s="192" t="e">
        <f t="shared" si="23"/>
        <v>#DIV/0!</v>
      </c>
      <c r="AF64" s="129">
        <v>0</v>
      </c>
      <c r="AG64" s="124">
        <f t="shared" si="15"/>
        <v>0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133">
        <f t="shared" si="20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1"/>
        <v>0</v>
      </c>
      <c r="AD65" s="72">
        <f t="shared" si="22"/>
        <v>0</v>
      </c>
      <c r="AE65" s="192" t="e">
        <f t="shared" si="23"/>
        <v>#DIV/0!</v>
      </c>
      <c r="AF65" s="129">
        <v>0</v>
      </c>
      <c r="AG65" s="124">
        <f t="shared" si="15"/>
        <v>0</v>
      </c>
    </row>
    <row r="66" spans="1:33">
      <c r="A66" s="105" t="s">
        <v>452</v>
      </c>
      <c r="B66" s="105" t="s">
        <v>594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133">
        <f t="shared" si="20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1"/>
        <v>0</v>
      </c>
      <c r="AD66" s="72">
        <f t="shared" si="22"/>
        <v>0</v>
      </c>
      <c r="AE66" s="192" t="e">
        <f t="shared" si="23"/>
        <v>#DIV/0!</v>
      </c>
      <c r="AF66" s="129">
        <v>0</v>
      </c>
      <c r="AG66" s="124">
        <f t="shared" si="15"/>
        <v>0</v>
      </c>
    </row>
    <row r="67" spans="1:33">
      <c r="A67" s="105" t="s">
        <v>454</v>
      </c>
      <c r="B67" s="105" t="s">
        <v>594</v>
      </c>
      <c r="C67" s="105" t="s">
        <v>455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133">
        <f t="shared" si="20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1"/>
        <v>0</v>
      </c>
      <c r="AD67" s="136">
        <f t="shared" si="22"/>
        <v>0</v>
      </c>
      <c r="AE67" s="196" t="e">
        <f t="shared" si="23"/>
        <v>#DIV/0!</v>
      </c>
      <c r="AF67" s="133">
        <v>0</v>
      </c>
      <c r="AG67" s="124">
        <f t="shared" si="15"/>
        <v>0</v>
      </c>
    </row>
    <row r="68" spans="1:33">
      <c r="A68" s="105" t="s">
        <v>456</v>
      </c>
      <c r="B68" s="105" t="s">
        <v>594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133">
        <f t="shared" si="20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1"/>
        <v>0</v>
      </c>
      <c r="AD68" s="136">
        <f t="shared" si="22"/>
        <v>0</v>
      </c>
      <c r="AE68" s="196" t="e">
        <f t="shared" si="23"/>
        <v>#DIV/0!</v>
      </c>
      <c r="AF68" s="133">
        <v>0</v>
      </c>
      <c r="AG68" s="124">
        <f t="shared" si="15"/>
        <v>0</v>
      </c>
    </row>
    <row r="69" spans="1:33">
      <c r="A69" s="105" t="s">
        <v>273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133">
        <f t="shared" si="20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1"/>
        <v>0</v>
      </c>
      <c r="AD69" s="136">
        <f t="shared" si="22"/>
        <v>0</v>
      </c>
      <c r="AE69" s="196" t="e">
        <f t="shared" si="23"/>
        <v>#DIV/0!</v>
      </c>
      <c r="AF69" s="133">
        <v>0</v>
      </c>
      <c r="AG69" s="124">
        <f t="shared" si="15"/>
        <v>0</v>
      </c>
    </row>
    <row r="70" spans="1:33">
      <c r="A70" s="105" t="s">
        <v>209</v>
      </c>
      <c r="B70" s="105" t="s">
        <v>594</v>
      </c>
      <c r="C70" s="105" t="s">
        <v>210</v>
      </c>
      <c r="D70" s="72">
        <v>200</v>
      </c>
      <c r="E70" s="72">
        <v>200</v>
      </c>
      <c r="F70" s="72">
        <v>200</v>
      </c>
      <c r="G70" s="72">
        <v>200</v>
      </c>
      <c r="H70" s="72">
        <v>200</v>
      </c>
      <c r="I70" s="72">
        <v>200</v>
      </c>
      <c r="J70" s="72">
        <v>200</v>
      </c>
      <c r="K70" s="72">
        <v>200</v>
      </c>
      <c r="L70" s="72">
        <v>200</v>
      </c>
      <c r="M70" s="72">
        <v>200</v>
      </c>
      <c r="N70" s="72">
        <v>200</v>
      </c>
      <c r="O70" s="72">
        <v>200</v>
      </c>
      <c r="P70" s="133">
        <f t="shared" si="20"/>
        <v>2400</v>
      </c>
      <c r="Q70" s="136">
        <v>0</v>
      </c>
      <c r="R70" s="136">
        <v>0</v>
      </c>
      <c r="S70" s="136">
        <v>81.13</v>
      </c>
      <c r="T70" s="136">
        <v>58.03</v>
      </c>
      <c r="U70" s="136">
        <v>0</v>
      </c>
      <c r="V70" s="136">
        <v>28.3</v>
      </c>
      <c r="W70" s="72">
        <v>0</v>
      </c>
      <c r="X70" s="72">
        <v>0</v>
      </c>
      <c r="Y70" s="72">
        <v>200</v>
      </c>
      <c r="Z70" s="72">
        <v>200</v>
      </c>
      <c r="AA70" s="72">
        <v>200</v>
      </c>
      <c r="AB70" s="72">
        <v>200</v>
      </c>
      <c r="AC70" s="137">
        <f t="shared" si="21"/>
        <v>967.46</v>
      </c>
      <c r="AD70" s="136">
        <f t="shared" si="22"/>
        <v>1432.54</v>
      </c>
      <c r="AE70" s="196">
        <f t="shared" si="23"/>
        <v>1.4807227172182829</v>
      </c>
      <c r="AF70" s="133">
        <v>545.46999999999991</v>
      </c>
      <c r="AG70" s="124">
        <f t="shared" si="15"/>
        <v>-1854.5300000000002</v>
      </c>
    </row>
    <row r="71" spans="1:33">
      <c r="A71" s="105" t="s">
        <v>211</v>
      </c>
      <c r="B71" s="105" t="s">
        <v>594</v>
      </c>
      <c r="C71" s="105" t="s">
        <v>212</v>
      </c>
      <c r="D71" s="72">
        <v>5000</v>
      </c>
      <c r="E71" s="72">
        <v>5000</v>
      </c>
      <c r="F71" s="72">
        <v>5000</v>
      </c>
      <c r="G71" s="72">
        <v>5000</v>
      </c>
      <c r="H71" s="72">
        <v>5000</v>
      </c>
      <c r="I71" s="72">
        <v>3000</v>
      </c>
      <c r="J71" s="72">
        <v>5000</v>
      </c>
      <c r="K71" s="72">
        <v>5000</v>
      </c>
      <c r="L71" s="72">
        <v>3000</v>
      </c>
      <c r="M71" s="72">
        <v>5000</v>
      </c>
      <c r="N71" s="72">
        <v>5000</v>
      </c>
      <c r="O71" s="72">
        <v>5000</v>
      </c>
      <c r="P71" s="133">
        <f t="shared" si="20"/>
        <v>56000</v>
      </c>
      <c r="Q71" s="136">
        <v>7383.61</v>
      </c>
      <c r="R71" s="136">
        <v>6642.62</v>
      </c>
      <c r="S71" s="136">
        <v>11382.06</v>
      </c>
      <c r="T71" s="136">
        <v>3712.73</v>
      </c>
      <c r="U71" s="136">
        <v>4981.84</v>
      </c>
      <c r="V71" s="136">
        <v>3359.81</v>
      </c>
      <c r="W71" s="72">
        <v>3596.77</v>
      </c>
      <c r="X71" s="72">
        <v>1671</v>
      </c>
      <c r="Y71" s="72">
        <v>3000</v>
      </c>
      <c r="Z71" s="72">
        <v>1000</v>
      </c>
      <c r="AA71" s="72">
        <v>1000</v>
      </c>
      <c r="AB71" s="72">
        <v>1000</v>
      </c>
      <c r="AC71" s="137">
        <f t="shared" si="21"/>
        <v>48730.439999999995</v>
      </c>
      <c r="AD71" s="136">
        <f t="shared" si="22"/>
        <v>7269.5600000000049</v>
      </c>
      <c r="AE71" s="196">
        <f t="shared" si="23"/>
        <v>0.14917903470602781</v>
      </c>
      <c r="AF71" s="133">
        <v>20030.189999999999</v>
      </c>
      <c r="AG71" s="124">
        <f t="shared" si="15"/>
        <v>-35969.81</v>
      </c>
    </row>
    <row r="72" spans="1:33">
      <c r="A72" s="105" t="s">
        <v>213</v>
      </c>
      <c r="B72" s="105" t="s">
        <v>594</v>
      </c>
      <c r="C72" s="105" t="s">
        <v>214</v>
      </c>
      <c r="D72" s="233">
        <f>Laundry!E139</f>
        <v>271</v>
      </c>
      <c r="E72" s="233">
        <f>Laundry!F139</f>
        <v>247</v>
      </c>
      <c r="F72" s="233">
        <f>Laundry!G139</f>
        <v>250</v>
      </c>
      <c r="G72" s="233">
        <f>Laundry!H139</f>
        <v>257</v>
      </c>
      <c r="H72" s="233">
        <f>Laundry!I139</f>
        <v>264</v>
      </c>
      <c r="I72" s="233">
        <f>Laundry!J139</f>
        <v>252</v>
      </c>
      <c r="J72" s="233">
        <f>Laundry!K139</f>
        <v>269</v>
      </c>
      <c r="K72" s="233">
        <f>Laundry!L139</f>
        <v>268</v>
      </c>
      <c r="L72" s="233">
        <f>Laundry!M139</f>
        <v>259</v>
      </c>
      <c r="M72" s="233">
        <f>Laundry!N139</f>
        <v>294</v>
      </c>
      <c r="N72" s="233">
        <f>Laundry!O139</f>
        <v>260</v>
      </c>
      <c r="O72" s="233">
        <f>Laundry!P139</f>
        <v>259</v>
      </c>
      <c r="P72" s="133">
        <f t="shared" si="20"/>
        <v>3150</v>
      </c>
      <c r="Q72" s="136">
        <v>330.19</v>
      </c>
      <c r="R72" s="136">
        <v>375.46</v>
      </c>
      <c r="S72" s="136">
        <v>230.4</v>
      </c>
      <c r="T72" s="136">
        <v>269.41000000000003</v>
      </c>
      <c r="U72" s="136">
        <v>90.7</v>
      </c>
      <c r="V72" s="136">
        <v>391.35</v>
      </c>
      <c r="W72" s="72">
        <v>333.94</v>
      </c>
      <c r="X72" s="72">
        <v>270.70999999999998</v>
      </c>
      <c r="Y72" s="72">
        <v>253</v>
      </c>
      <c r="Z72" s="72">
        <v>283</v>
      </c>
      <c r="AA72" s="72">
        <v>238</v>
      </c>
      <c r="AB72" s="72">
        <v>243</v>
      </c>
      <c r="AC72" s="137">
        <f t="shared" si="21"/>
        <v>3309.1600000000003</v>
      </c>
      <c r="AD72" s="136">
        <f t="shared" si="22"/>
        <v>-159.16000000000031</v>
      </c>
      <c r="AE72" s="196">
        <f t="shared" si="23"/>
        <v>-4.8096797978943388E-2</v>
      </c>
      <c r="AF72" s="133">
        <v>2560.52</v>
      </c>
      <c r="AG72" s="124">
        <f t="shared" si="15"/>
        <v>-589.48</v>
      </c>
    </row>
    <row r="73" spans="1:33">
      <c r="A73" s="105" t="s">
        <v>306</v>
      </c>
      <c r="B73" s="105" t="s">
        <v>594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133">
        <f t="shared" si="20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1"/>
        <v>0</v>
      </c>
      <c r="AD73" s="136">
        <f t="shared" si="22"/>
        <v>0</v>
      </c>
      <c r="AE73" s="196" t="e">
        <f t="shared" si="23"/>
        <v>#DIV/0!</v>
      </c>
      <c r="AF73" s="133">
        <v>0</v>
      </c>
      <c r="AG73" s="124">
        <f t="shared" si="15"/>
        <v>0</v>
      </c>
    </row>
    <row r="74" spans="1:33">
      <c r="A74" s="105" t="s">
        <v>215</v>
      </c>
      <c r="B74" s="105" t="s">
        <v>594</v>
      </c>
      <c r="C74" s="105" t="s">
        <v>216</v>
      </c>
      <c r="D74" s="72">
        <f>900-649</f>
        <v>251</v>
      </c>
      <c r="E74" s="72">
        <f t="shared" ref="E74:O74" si="25">900-649</f>
        <v>251</v>
      </c>
      <c r="F74" s="72">
        <f t="shared" si="25"/>
        <v>251</v>
      </c>
      <c r="G74" s="72">
        <f t="shared" si="25"/>
        <v>251</v>
      </c>
      <c r="H74" s="72">
        <f t="shared" si="25"/>
        <v>251</v>
      </c>
      <c r="I74" s="72">
        <f t="shared" si="25"/>
        <v>251</v>
      </c>
      <c r="J74" s="72">
        <f t="shared" si="25"/>
        <v>251</v>
      </c>
      <c r="K74" s="72">
        <f t="shared" si="25"/>
        <v>251</v>
      </c>
      <c r="L74" s="72">
        <f t="shared" si="25"/>
        <v>251</v>
      </c>
      <c r="M74" s="72">
        <f t="shared" si="25"/>
        <v>251</v>
      </c>
      <c r="N74" s="72">
        <f t="shared" si="25"/>
        <v>251</v>
      </c>
      <c r="O74" s="72">
        <f t="shared" si="25"/>
        <v>251</v>
      </c>
      <c r="P74" s="133">
        <f t="shared" si="20"/>
        <v>3012</v>
      </c>
      <c r="Q74" s="136">
        <v>983.25</v>
      </c>
      <c r="R74" s="136">
        <v>868.16</v>
      </c>
      <c r="S74" s="136">
        <v>1426.84</v>
      </c>
      <c r="T74" s="136">
        <v>897.79</v>
      </c>
      <c r="U74" s="136">
        <v>402.19</v>
      </c>
      <c r="V74" s="136">
        <v>817.82</v>
      </c>
      <c r="W74" s="72">
        <v>882.87</v>
      </c>
      <c r="X74" s="72">
        <v>928.73</v>
      </c>
      <c r="Y74" s="72">
        <v>1300</v>
      </c>
      <c r="Z74" s="72">
        <v>1300</v>
      </c>
      <c r="AA74" s="72">
        <v>1300</v>
      </c>
      <c r="AB74" s="72">
        <v>1300</v>
      </c>
      <c r="AC74" s="137">
        <f t="shared" si="21"/>
        <v>12407.65</v>
      </c>
      <c r="AD74" s="136">
        <f t="shared" si="22"/>
        <v>-9395.65</v>
      </c>
      <c r="AE74" s="196">
        <f t="shared" si="23"/>
        <v>-0.7572465374184475</v>
      </c>
      <c r="AF74" s="133">
        <v>13869.470000000001</v>
      </c>
      <c r="AG74" s="124">
        <f t="shared" si="15"/>
        <v>10857.470000000001</v>
      </c>
    </row>
    <row r="75" spans="1:33">
      <c r="A75" s="105" t="s">
        <v>217</v>
      </c>
      <c r="B75" s="105" t="s">
        <v>594</v>
      </c>
      <c r="C75" s="105" t="s">
        <v>218</v>
      </c>
      <c r="D75" s="72">
        <f>5000-2000</f>
        <v>3000</v>
      </c>
      <c r="E75" s="72">
        <f t="shared" ref="E75:O75" si="26">5000-2000</f>
        <v>3000</v>
      </c>
      <c r="F75" s="72">
        <f t="shared" si="26"/>
        <v>3000</v>
      </c>
      <c r="G75" s="72">
        <f t="shared" si="26"/>
        <v>3000</v>
      </c>
      <c r="H75" s="72">
        <f t="shared" si="26"/>
        <v>3000</v>
      </c>
      <c r="I75" s="72">
        <f t="shared" si="26"/>
        <v>3000</v>
      </c>
      <c r="J75" s="72">
        <f t="shared" si="26"/>
        <v>3000</v>
      </c>
      <c r="K75" s="72">
        <f t="shared" si="26"/>
        <v>3000</v>
      </c>
      <c r="L75" s="72">
        <f t="shared" si="26"/>
        <v>3000</v>
      </c>
      <c r="M75" s="72">
        <f t="shared" si="26"/>
        <v>3000</v>
      </c>
      <c r="N75" s="72">
        <f t="shared" si="26"/>
        <v>3000</v>
      </c>
      <c r="O75" s="72">
        <f t="shared" si="26"/>
        <v>3000</v>
      </c>
      <c r="P75" s="133">
        <f t="shared" si="20"/>
        <v>36000</v>
      </c>
      <c r="Q75" s="136">
        <v>6836.19</v>
      </c>
      <c r="R75" s="136">
        <v>7288.41</v>
      </c>
      <c r="S75" s="136">
        <v>4887.33</v>
      </c>
      <c r="T75" s="136">
        <v>5568.44</v>
      </c>
      <c r="U75" s="136">
        <v>5220.62</v>
      </c>
      <c r="V75" s="136">
        <v>5988.61</v>
      </c>
      <c r="W75" s="72">
        <v>5591.71</v>
      </c>
      <c r="X75" s="72">
        <v>5156.59</v>
      </c>
      <c r="Y75" s="72">
        <v>5500</v>
      </c>
      <c r="Z75" s="72">
        <v>4000</v>
      </c>
      <c r="AA75" s="72">
        <v>4000</v>
      </c>
      <c r="AB75" s="72">
        <v>4000</v>
      </c>
      <c r="AC75" s="137">
        <f t="shared" si="21"/>
        <v>64037.899999999994</v>
      </c>
      <c r="AD75" s="136">
        <f t="shared" si="22"/>
        <v>-28037.899999999994</v>
      </c>
      <c r="AE75" s="196">
        <f t="shared" si="23"/>
        <v>-0.43783290832460148</v>
      </c>
      <c r="AF75" s="133">
        <v>44509.13</v>
      </c>
      <c r="AG75" s="124">
        <f t="shared" si="15"/>
        <v>8509.1299999999974</v>
      </c>
    </row>
    <row r="76" spans="1:33">
      <c r="A76" s="105" t="s">
        <v>219</v>
      </c>
      <c r="B76" s="105" t="s">
        <v>594</v>
      </c>
      <c r="C76" s="105" t="s">
        <v>220</v>
      </c>
      <c r="D76" s="72">
        <v>0</v>
      </c>
      <c r="E76" s="72">
        <v>0</v>
      </c>
      <c r="F76" s="72">
        <v>0</v>
      </c>
      <c r="G76" s="72">
        <v>10000</v>
      </c>
      <c r="H76" s="72">
        <v>0</v>
      </c>
      <c r="I76" s="72">
        <v>0</v>
      </c>
      <c r="J76" s="72">
        <v>4000</v>
      </c>
      <c r="K76" s="72">
        <v>0</v>
      </c>
      <c r="L76" s="72">
        <v>0</v>
      </c>
      <c r="M76" s="72">
        <v>10000</v>
      </c>
      <c r="N76" s="72">
        <v>0</v>
      </c>
      <c r="O76" s="72">
        <v>0</v>
      </c>
      <c r="P76" s="133">
        <f t="shared" si="20"/>
        <v>24000</v>
      </c>
      <c r="Q76" s="136">
        <v>0</v>
      </c>
      <c r="R76" s="136">
        <v>0</v>
      </c>
      <c r="S76" s="136">
        <v>35503</v>
      </c>
      <c r="T76" s="136">
        <v>18442</v>
      </c>
      <c r="U76" s="136">
        <v>-9176.58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1"/>
        <v>44768.42</v>
      </c>
      <c r="AD76" s="136">
        <f t="shared" si="22"/>
        <v>-20768.419999999998</v>
      </c>
      <c r="AE76" s="196">
        <f t="shared" si="23"/>
        <v>-0.4639078171621871</v>
      </c>
      <c r="AF76" s="133">
        <v>17342.87</v>
      </c>
      <c r="AG76" s="124">
        <f t="shared" si="15"/>
        <v>-6657.130000000001</v>
      </c>
    </row>
    <row r="77" spans="1:33">
      <c r="A77" s="105" t="s">
        <v>549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133">
        <f t="shared" si="20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1"/>
        <v>0</v>
      </c>
      <c r="AD77" s="136">
        <f t="shared" si="22"/>
        <v>0</v>
      </c>
      <c r="AE77" s="196" t="e">
        <f t="shared" si="23"/>
        <v>#DIV/0!</v>
      </c>
      <c r="AF77" s="133">
        <v>0</v>
      </c>
      <c r="AG77" s="124">
        <f t="shared" si="15"/>
        <v>0</v>
      </c>
    </row>
    <row r="78" spans="1:33">
      <c r="A78" s="105" t="s">
        <v>221</v>
      </c>
      <c r="B78" s="105" t="s">
        <v>594</v>
      </c>
      <c r="C78" s="105" t="s">
        <v>222</v>
      </c>
      <c r="D78" s="72">
        <v>1000</v>
      </c>
      <c r="E78" s="72">
        <v>1000</v>
      </c>
      <c r="F78" s="72">
        <v>1000</v>
      </c>
      <c r="G78" s="72">
        <v>1000</v>
      </c>
      <c r="H78" s="72">
        <v>1000</v>
      </c>
      <c r="I78" s="72">
        <v>1000</v>
      </c>
      <c r="J78" s="72">
        <v>1000</v>
      </c>
      <c r="K78" s="72">
        <v>1000</v>
      </c>
      <c r="L78" s="72">
        <v>1000</v>
      </c>
      <c r="M78" s="72">
        <v>1000</v>
      </c>
      <c r="N78" s="72">
        <v>1000</v>
      </c>
      <c r="O78" s="72">
        <v>1000</v>
      </c>
      <c r="P78" s="133">
        <f t="shared" si="20"/>
        <v>12000</v>
      </c>
      <c r="Q78" s="136">
        <v>735.69</v>
      </c>
      <c r="R78" s="136">
        <v>596.87</v>
      </c>
      <c r="S78" s="136">
        <v>712.5</v>
      </c>
      <c r="T78" s="136">
        <v>58.24</v>
      </c>
      <c r="U78" s="136">
        <v>7319.12</v>
      </c>
      <c r="V78" s="136">
        <v>58.8</v>
      </c>
      <c r="W78" s="72">
        <v>43.68</v>
      </c>
      <c r="X78" s="72">
        <v>58.24</v>
      </c>
      <c r="Y78" s="72">
        <v>0</v>
      </c>
      <c r="Z78" s="72">
        <v>5200</v>
      </c>
      <c r="AA78" s="72">
        <v>3000</v>
      </c>
      <c r="AB78" s="72">
        <v>3000</v>
      </c>
      <c r="AC78" s="137">
        <f t="shared" si="21"/>
        <v>20783.14</v>
      </c>
      <c r="AD78" s="136">
        <f t="shared" si="22"/>
        <v>-8783.14</v>
      </c>
      <c r="AE78" s="196">
        <f t="shared" si="23"/>
        <v>-0.42260890317824928</v>
      </c>
      <c r="AF78" s="133">
        <v>44811.46</v>
      </c>
      <c r="AG78" s="124">
        <f t="shared" si="15"/>
        <v>32811.46</v>
      </c>
    </row>
    <row r="79" spans="1:33">
      <c r="A79" s="105" t="s">
        <v>505</v>
      </c>
      <c r="B79" s="105" t="s">
        <v>594</v>
      </c>
      <c r="C79" s="105" t="s">
        <v>506</v>
      </c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33">
        <f>SUM(D79:O79)</f>
        <v>0</v>
      </c>
      <c r="Q79" s="136"/>
      <c r="R79" s="136"/>
      <c r="S79" s="136"/>
      <c r="T79" s="136"/>
      <c r="U79" s="136"/>
      <c r="V79" s="136"/>
      <c r="W79" s="72">
        <v>0</v>
      </c>
      <c r="X79" s="72">
        <v>0</v>
      </c>
      <c r="Y79" s="72">
        <v>0</v>
      </c>
      <c r="Z79" s="72">
        <v>0</v>
      </c>
      <c r="AA79" s="72">
        <v>0</v>
      </c>
      <c r="AB79" s="72">
        <v>0</v>
      </c>
      <c r="AC79" s="137">
        <f t="shared" si="21"/>
        <v>0</v>
      </c>
      <c r="AD79" s="136">
        <f t="shared" si="22"/>
        <v>0</v>
      </c>
      <c r="AE79" s="196" t="e">
        <f t="shared" si="23"/>
        <v>#DIV/0!</v>
      </c>
      <c r="AF79" s="133">
        <v>0</v>
      </c>
      <c r="AG79" s="124">
        <f t="shared" si="15"/>
        <v>0</v>
      </c>
    </row>
    <row r="80" spans="1:33">
      <c r="C80" s="109" t="s">
        <v>507</v>
      </c>
      <c r="D80" s="137">
        <f t="shared" ref="D80:O80" si="27">SUM(D38:D79)</f>
        <v>19514.740000000002</v>
      </c>
      <c r="E80" s="137">
        <f t="shared" si="27"/>
        <v>18128.77</v>
      </c>
      <c r="F80" s="137">
        <f t="shared" si="27"/>
        <v>18139.77</v>
      </c>
      <c r="G80" s="137">
        <f t="shared" si="27"/>
        <v>28482.01</v>
      </c>
      <c r="H80" s="137">
        <f t="shared" si="27"/>
        <v>18523.009999999998</v>
      </c>
      <c r="I80" s="137">
        <f t="shared" si="27"/>
        <v>15853.77</v>
      </c>
      <c r="J80" s="135">
        <f t="shared" si="27"/>
        <v>22162.77</v>
      </c>
      <c r="K80" s="135">
        <f t="shared" si="27"/>
        <v>21160.77</v>
      </c>
      <c r="L80" s="135">
        <f t="shared" si="27"/>
        <v>15859.77</v>
      </c>
      <c r="M80" s="135">
        <f t="shared" si="27"/>
        <v>29573.74</v>
      </c>
      <c r="N80" s="135">
        <f t="shared" si="27"/>
        <v>21163.77</v>
      </c>
      <c r="O80" s="135">
        <f t="shared" si="27"/>
        <v>21061.77</v>
      </c>
      <c r="P80" s="133">
        <f>SUM(P38:P79)</f>
        <v>249624.66</v>
      </c>
      <c r="Q80" s="137">
        <f t="shared" ref="Q80:AC80" si="28">SUM(Q38:Q79)</f>
        <v>48797.450000000004</v>
      </c>
      <c r="R80" s="137">
        <f t="shared" si="28"/>
        <v>64651.630000000012</v>
      </c>
      <c r="S80" s="137">
        <f t="shared" si="28"/>
        <v>75544.760000000009</v>
      </c>
      <c r="T80" s="137">
        <f t="shared" si="28"/>
        <v>94673.36</v>
      </c>
      <c r="U80" s="137">
        <f t="shared" si="28"/>
        <v>12947.380000000001</v>
      </c>
      <c r="V80" s="137">
        <f t="shared" si="28"/>
        <v>15395.939999999999</v>
      </c>
      <c r="W80" s="137">
        <f t="shared" si="28"/>
        <v>14988.29</v>
      </c>
      <c r="X80" s="137">
        <f t="shared" si="28"/>
        <v>13741.59</v>
      </c>
      <c r="Y80" s="137">
        <f t="shared" si="28"/>
        <v>13405</v>
      </c>
      <c r="Z80" s="137">
        <f t="shared" si="28"/>
        <v>15135</v>
      </c>
      <c r="AA80" s="137">
        <f t="shared" si="28"/>
        <v>15890</v>
      </c>
      <c r="AB80" s="137">
        <f t="shared" si="28"/>
        <v>17895</v>
      </c>
      <c r="AC80" s="137">
        <f t="shared" si="28"/>
        <v>403065.39999999997</v>
      </c>
      <c r="AD80" s="136">
        <f t="shared" si="22"/>
        <v>-153440.73999999996</v>
      </c>
      <c r="AE80" s="196">
        <f t="shared" si="23"/>
        <v>-0.38068447452944354</v>
      </c>
      <c r="AF80" s="133">
        <v>169408.41999999998</v>
      </c>
      <c r="AG80" s="124">
        <f t="shared" si="15"/>
        <v>-80216.24000000002</v>
      </c>
    </row>
    <row r="81" spans="1:33">
      <c r="C81" s="109" t="s">
        <v>599</v>
      </c>
      <c r="D81" s="137">
        <f t="shared" ref="D81:AC81" si="29">D27-D33-D35-D80</f>
        <v>-143535.09999999998</v>
      </c>
      <c r="E81" s="137">
        <f t="shared" si="29"/>
        <v>-141277.12999999998</v>
      </c>
      <c r="F81" s="137">
        <f t="shared" si="29"/>
        <v>-142933.11999999997</v>
      </c>
      <c r="G81" s="137">
        <f t="shared" si="29"/>
        <v>-153348.35999999999</v>
      </c>
      <c r="H81" s="137">
        <f t="shared" si="29"/>
        <v>-143750.16999999998</v>
      </c>
      <c r="I81" s="137">
        <f t="shared" si="29"/>
        <v>-145739.25999999998</v>
      </c>
      <c r="J81" s="135">
        <f t="shared" si="29"/>
        <v>-152296.76</v>
      </c>
      <c r="K81" s="135">
        <f t="shared" si="29"/>
        <v>-151423.81</v>
      </c>
      <c r="L81" s="135">
        <f t="shared" si="29"/>
        <v>-146154.81</v>
      </c>
      <c r="M81" s="135">
        <f t="shared" si="29"/>
        <v>-160640.29999999999</v>
      </c>
      <c r="N81" s="135">
        <f t="shared" si="29"/>
        <v>-151309.25</v>
      </c>
      <c r="O81" s="135">
        <f t="shared" si="29"/>
        <v>-151336.29999999999</v>
      </c>
      <c r="P81" s="133">
        <f t="shared" si="29"/>
        <v>-1783744.3699999999</v>
      </c>
      <c r="Q81" s="137">
        <f t="shared" si="29"/>
        <v>-186873.12</v>
      </c>
      <c r="R81" s="137">
        <f t="shared" si="29"/>
        <v>-210530.82</v>
      </c>
      <c r="S81" s="137">
        <f t="shared" si="29"/>
        <v>-218804.75</v>
      </c>
      <c r="T81" s="137">
        <f t="shared" si="29"/>
        <v>-230868.89</v>
      </c>
      <c r="U81" s="137">
        <f t="shared" si="29"/>
        <v>-141621.46000000002</v>
      </c>
      <c r="V81" s="137">
        <f t="shared" si="29"/>
        <v>-141686.38</v>
      </c>
      <c r="W81" s="137">
        <f t="shared" si="29"/>
        <v>-140611.85</v>
      </c>
      <c r="X81" s="137">
        <f t="shared" si="29"/>
        <v>-141632.20000000001</v>
      </c>
      <c r="Y81" s="137">
        <f t="shared" si="29"/>
        <v>-137087</v>
      </c>
      <c r="Z81" s="137">
        <f t="shared" si="29"/>
        <v>-143346</v>
      </c>
      <c r="AA81" s="137">
        <f t="shared" si="29"/>
        <v>-137593</v>
      </c>
      <c r="AB81" s="137">
        <f t="shared" si="29"/>
        <v>-139599</v>
      </c>
      <c r="AC81" s="137">
        <f t="shared" si="29"/>
        <v>-1970254.47</v>
      </c>
      <c r="AD81" s="136">
        <f t="shared" si="22"/>
        <v>186510.10000000009</v>
      </c>
      <c r="AE81" s="196">
        <f t="shared" si="23"/>
        <v>-9.4662949806681621E-2</v>
      </c>
      <c r="AF81" s="133">
        <v>-2089852.7999999998</v>
      </c>
      <c r="AG81" s="124">
        <f>P81-AF81</f>
        <v>306108.42999999993</v>
      </c>
    </row>
    <row r="82" spans="1:33">
      <c r="C82" s="109" t="s">
        <v>509</v>
      </c>
      <c r="D82" s="213" t="e">
        <f t="shared" ref="D82:AC82" si="30">D81/D27</f>
        <v>#DIV/0!</v>
      </c>
      <c r="E82" s="213" t="e">
        <f t="shared" si="30"/>
        <v>#DIV/0!</v>
      </c>
      <c r="F82" s="213" t="e">
        <f t="shared" si="30"/>
        <v>#DIV/0!</v>
      </c>
      <c r="G82" s="213" t="e">
        <f t="shared" si="30"/>
        <v>#DIV/0!</v>
      </c>
      <c r="H82" s="213" t="e">
        <f t="shared" si="30"/>
        <v>#DIV/0!</v>
      </c>
      <c r="I82" s="213" t="e">
        <f t="shared" si="30"/>
        <v>#DIV/0!</v>
      </c>
      <c r="J82" s="213" t="e">
        <f t="shared" si="30"/>
        <v>#DIV/0!</v>
      </c>
      <c r="K82" s="213" t="e">
        <f t="shared" si="30"/>
        <v>#DIV/0!</v>
      </c>
      <c r="L82" s="213" t="e">
        <f t="shared" si="30"/>
        <v>#DIV/0!</v>
      </c>
      <c r="M82" s="213" t="e">
        <f t="shared" si="30"/>
        <v>#DIV/0!</v>
      </c>
      <c r="N82" s="213" t="e">
        <f t="shared" si="30"/>
        <v>#DIV/0!</v>
      </c>
      <c r="O82" s="213" t="e">
        <f t="shared" si="30"/>
        <v>#DIV/0!</v>
      </c>
      <c r="P82" s="213" t="e">
        <f t="shared" si="30"/>
        <v>#DIV/0!</v>
      </c>
      <c r="Q82" s="213" t="e">
        <f t="shared" si="30"/>
        <v>#DIV/0!</v>
      </c>
      <c r="R82" s="213" t="e">
        <f t="shared" si="30"/>
        <v>#DIV/0!</v>
      </c>
      <c r="S82" s="213" t="e">
        <f t="shared" si="30"/>
        <v>#DIV/0!</v>
      </c>
      <c r="T82" s="213" t="e">
        <f t="shared" si="30"/>
        <v>#DIV/0!</v>
      </c>
      <c r="U82" s="213" t="e">
        <f t="shared" si="30"/>
        <v>#DIV/0!</v>
      </c>
      <c r="V82" s="213" t="e">
        <f t="shared" si="30"/>
        <v>#DIV/0!</v>
      </c>
      <c r="W82" s="213" t="e">
        <f t="shared" si="30"/>
        <v>#DIV/0!</v>
      </c>
      <c r="X82" s="213" t="e">
        <f t="shared" si="30"/>
        <v>#DIV/0!</v>
      </c>
      <c r="Y82" s="213" t="e">
        <f t="shared" si="30"/>
        <v>#DIV/0!</v>
      </c>
      <c r="Z82" s="213" t="e">
        <f t="shared" si="30"/>
        <v>#DIV/0!</v>
      </c>
      <c r="AA82" s="213" t="e">
        <f t="shared" si="30"/>
        <v>#DIV/0!</v>
      </c>
      <c r="AB82" s="213" t="e">
        <f t="shared" si="30"/>
        <v>#DIV/0!</v>
      </c>
      <c r="AC82" s="213" t="e">
        <f t="shared" si="30"/>
        <v>#DIV/0!</v>
      </c>
      <c r="AD82" s="136" t="e">
        <f t="shared" si="22"/>
        <v>#DIV/0!</v>
      </c>
      <c r="AE82" s="105" t="e">
        <f t="shared" si="23"/>
        <v>#DIV/0!</v>
      </c>
      <c r="AF82" s="133" t="e">
        <v>#DIV/0!</v>
      </c>
      <c r="AG82" s="124" t="e">
        <f>P82-AF82</f>
        <v>#DIV/0!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594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72">
        <f t="shared" ref="AD85:AD90" si="31">P85-AC85</f>
        <v>0</v>
      </c>
      <c r="AE85" s="192" t="e">
        <f t="shared" ref="AE85:AE90" si="32">AD85/AC85</f>
        <v>#DIV/0!</v>
      </c>
      <c r="AF85" s="133">
        <v>0</v>
      </c>
      <c r="AG85" s="124">
        <f t="shared" ref="AG85:AG98" si="33">P85-AF85</f>
        <v>0</v>
      </c>
    </row>
    <row r="86" spans="1:33">
      <c r="A86" s="105" t="s">
        <v>511</v>
      </c>
      <c r="B86" s="105" t="s">
        <v>594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0</v>
      </c>
      <c r="S86" s="136">
        <v>0</v>
      </c>
      <c r="T86" s="136">
        <v>0</v>
      </c>
      <c r="U86" s="136">
        <v>0</v>
      </c>
      <c r="V86" s="136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0</v>
      </c>
      <c r="AD86" s="72">
        <f t="shared" si="31"/>
        <v>0</v>
      </c>
      <c r="AE86" s="192" t="e">
        <f t="shared" si="32"/>
        <v>#DIV/0!</v>
      </c>
      <c r="AF86" s="133">
        <v>0</v>
      </c>
      <c r="AG86" s="124">
        <f t="shared" si="33"/>
        <v>0</v>
      </c>
    </row>
    <row r="87" spans="1:33">
      <c r="A87" s="105" t="s">
        <v>512</v>
      </c>
      <c r="B87" s="105" t="s">
        <v>594</v>
      </c>
      <c r="C87" s="105" t="s">
        <v>485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>
        <f>SUM(D87:O87)</f>
        <v>0</v>
      </c>
      <c r="Q87" s="136">
        <v>0</v>
      </c>
      <c r="R87" s="136">
        <v>0</v>
      </c>
      <c r="S87" s="136">
        <v>0</v>
      </c>
      <c r="T87" s="136">
        <v>0</v>
      </c>
      <c r="U87" s="136">
        <v>0</v>
      </c>
      <c r="V87" s="136">
        <v>0</v>
      </c>
      <c r="W87" s="72">
        <v>0</v>
      </c>
      <c r="X87" s="72">
        <v>0</v>
      </c>
      <c r="Y87" s="72">
        <v>0</v>
      </c>
      <c r="Z87" s="72">
        <v>0</v>
      </c>
      <c r="AA87" s="72">
        <v>0</v>
      </c>
      <c r="AB87" s="72">
        <v>0</v>
      </c>
      <c r="AC87" s="137">
        <f>SUM(Q87:AB87)</f>
        <v>0</v>
      </c>
      <c r="AD87" s="72">
        <f t="shared" si="31"/>
        <v>0</v>
      </c>
      <c r="AE87" s="192" t="e">
        <f t="shared" si="32"/>
        <v>#DIV/0!</v>
      </c>
      <c r="AF87" s="133">
        <v>0</v>
      </c>
      <c r="AG87" s="124">
        <f t="shared" si="33"/>
        <v>0</v>
      </c>
    </row>
    <row r="88" spans="1:33">
      <c r="A88" s="105" t="s">
        <v>513</v>
      </c>
      <c r="B88" s="105" t="s">
        <v>594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31"/>
        <v>0</v>
      </c>
      <c r="AE88" s="192" t="e">
        <f t="shared" si="32"/>
        <v>#DIV/0!</v>
      </c>
      <c r="AF88" s="133">
        <v>0</v>
      </c>
      <c r="AG88" s="124">
        <f t="shared" si="33"/>
        <v>0</v>
      </c>
    </row>
    <row r="89" spans="1:33">
      <c r="A89" s="105" t="s">
        <v>514</v>
      </c>
      <c r="B89" s="105" t="s">
        <v>594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72">
        <f t="shared" si="31"/>
        <v>0</v>
      </c>
      <c r="AE89" s="192" t="e">
        <f t="shared" si="32"/>
        <v>#DIV/0!</v>
      </c>
      <c r="AF89" s="133">
        <v>0</v>
      </c>
      <c r="AG89" s="124">
        <f t="shared" si="33"/>
        <v>0</v>
      </c>
    </row>
    <row r="90" spans="1:33">
      <c r="C90" s="109" t="s">
        <v>462</v>
      </c>
      <c r="D90" s="137">
        <f t="shared" ref="D90:AC90" si="34">SUM(D85:D89)</f>
        <v>0</v>
      </c>
      <c r="E90" s="137">
        <f t="shared" si="34"/>
        <v>0</v>
      </c>
      <c r="F90" s="137">
        <f t="shared" si="34"/>
        <v>0</v>
      </c>
      <c r="G90" s="137">
        <f t="shared" si="34"/>
        <v>0</v>
      </c>
      <c r="H90" s="137">
        <f t="shared" si="34"/>
        <v>0</v>
      </c>
      <c r="I90" s="137">
        <f t="shared" si="34"/>
        <v>0</v>
      </c>
      <c r="J90" s="137">
        <f t="shared" si="34"/>
        <v>0</v>
      </c>
      <c r="K90" s="137">
        <f t="shared" si="34"/>
        <v>0</v>
      </c>
      <c r="L90" s="137">
        <f t="shared" si="34"/>
        <v>0</v>
      </c>
      <c r="M90" s="137">
        <f t="shared" si="34"/>
        <v>0</v>
      </c>
      <c r="N90" s="137">
        <f t="shared" si="34"/>
        <v>0</v>
      </c>
      <c r="O90" s="137">
        <f t="shared" si="34"/>
        <v>0</v>
      </c>
      <c r="P90" s="137">
        <f t="shared" si="34"/>
        <v>0</v>
      </c>
      <c r="Q90" s="137">
        <f t="shared" si="34"/>
        <v>0</v>
      </c>
      <c r="R90" s="137">
        <f t="shared" si="34"/>
        <v>0</v>
      </c>
      <c r="S90" s="137">
        <f t="shared" si="34"/>
        <v>0</v>
      </c>
      <c r="T90" s="137">
        <f t="shared" si="34"/>
        <v>0</v>
      </c>
      <c r="U90" s="137">
        <f t="shared" si="34"/>
        <v>0</v>
      </c>
      <c r="V90" s="137">
        <f t="shared" si="34"/>
        <v>0</v>
      </c>
      <c r="W90" s="137">
        <f t="shared" si="34"/>
        <v>0</v>
      </c>
      <c r="X90" s="137">
        <f t="shared" si="34"/>
        <v>0</v>
      </c>
      <c r="Y90" s="137">
        <f t="shared" si="34"/>
        <v>0</v>
      </c>
      <c r="Z90" s="137">
        <f t="shared" si="34"/>
        <v>0</v>
      </c>
      <c r="AA90" s="137">
        <f t="shared" si="34"/>
        <v>0</v>
      </c>
      <c r="AB90" s="137">
        <f t="shared" si="34"/>
        <v>0</v>
      </c>
      <c r="AC90" s="137">
        <f t="shared" si="34"/>
        <v>0</v>
      </c>
      <c r="AD90" s="72">
        <f t="shared" si="31"/>
        <v>0</v>
      </c>
      <c r="AE90" s="192" t="e">
        <f t="shared" si="32"/>
        <v>#DIV/0!</v>
      </c>
      <c r="AF90" s="133">
        <v>0</v>
      </c>
      <c r="AG90" s="124">
        <f t="shared" si="33"/>
        <v>0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3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3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5">P9/P85</f>
        <v>#DIV/0!</v>
      </c>
      <c r="Q93" s="136" t="e">
        <f t="shared" si="35"/>
        <v>#DIV/0!</v>
      </c>
      <c r="R93" s="136" t="e">
        <f t="shared" si="35"/>
        <v>#DIV/0!</v>
      </c>
      <c r="S93" s="136" t="e">
        <f t="shared" si="35"/>
        <v>#DIV/0!</v>
      </c>
      <c r="T93" s="136" t="e">
        <f t="shared" si="35"/>
        <v>#DIV/0!</v>
      </c>
      <c r="U93" s="136" t="e">
        <f t="shared" si="35"/>
        <v>#DIV/0!</v>
      </c>
      <c r="V93" s="136" t="e">
        <f t="shared" si="35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6">AC9/AC85</f>
        <v>#DIV/0!</v>
      </c>
      <c r="AD93" s="72" t="e">
        <f t="shared" ref="AD93:AD98" si="37">P93-AC93</f>
        <v>#DIV/0!</v>
      </c>
      <c r="AE93" s="192" t="e">
        <f t="shared" ref="AE93:AE98" si="38">AD93/AC93</f>
        <v>#DIV/0!</v>
      </c>
      <c r="AF93" s="133" t="e">
        <v>#DIV/0!</v>
      </c>
      <c r="AG93" s="124" t="e">
        <f t="shared" si="33"/>
        <v>#DIV/0!</v>
      </c>
    </row>
    <row r="94" spans="1:33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5"/>
        <v>#DIV/0!</v>
      </c>
      <c r="Q94" s="136" t="e">
        <f t="shared" si="35"/>
        <v>#DIV/0!</v>
      </c>
      <c r="R94" s="136" t="e">
        <f t="shared" si="35"/>
        <v>#DIV/0!</v>
      </c>
      <c r="S94" s="136" t="e">
        <f t="shared" si="35"/>
        <v>#DIV/0!</v>
      </c>
      <c r="T94" s="136" t="e">
        <f t="shared" si="35"/>
        <v>#DIV/0!</v>
      </c>
      <c r="U94" s="136" t="e">
        <f t="shared" si="35"/>
        <v>#DIV/0!</v>
      </c>
      <c r="V94" s="136" t="e">
        <f t="shared" si="35"/>
        <v>#DIV/0!</v>
      </c>
      <c r="W94" s="72" t="e">
        <v>#DIV/0!</v>
      </c>
      <c r="X94" s="72" t="e">
        <v>#DIV/0!</v>
      </c>
      <c r="Y94" s="72">
        <v>0</v>
      </c>
      <c r="Z94" s="72">
        <v>0</v>
      </c>
      <c r="AA94" s="72">
        <v>0</v>
      </c>
      <c r="AB94" s="72">
        <v>0</v>
      </c>
      <c r="AC94" s="137" t="e">
        <f t="shared" si="36"/>
        <v>#DIV/0!</v>
      </c>
      <c r="AD94" s="72" t="e">
        <f t="shared" si="37"/>
        <v>#DIV/0!</v>
      </c>
      <c r="AE94" s="192" t="e">
        <f t="shared" si="38"/>
        <v>#DIV/0!</v>
      </c>
      <c r="AF94" s="133" t="e">
        <v>#DIV/0!</v>
      </c>
      <c r="AG94" s="124" t="e">
        <f t="shared" si="33"/>
        <v>#DIV/0!</v>
      </c>
    </row>
    <row r="95" spans="1:33">
      <c r="C95" s="105" t="s">
        <v>485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 t="e">
        <f t="shared" si="35"/>
        <v>#DIV/0!</v>
      </c>
      <c r="Q95" s="136" t="e">
        <f t="shared" si="35"/>
        <v>#DIV/0!</v>
      </c>
      <c r="R95" s="136" t="e">
        <f t="shared" si="35"/>
        <v>#DIV/0!</v>
      </c>
      <c r="S95" s="136" t="e">
        <f t="shared" si="35"/>
        <v>#DIV/0!</v>
      </c>
      <c r="T95" s="136" t="e">
        <f t="shared" si="35"/>
        <v>#DIV/0!</v>
      </c>
      <c r="U95" s="136" t="e">
        <f t="shared" si="35"/>
        <v>#DIV/0!</v>
      </c>
      <c r="V95" s="136" t="e">
        <f t="shared" si="35"/>
        <v>#DIV/0!</v>
      </c>
      <c r="W95" s="72" t="e">
        <v>#DIV/0!</v>
      </c>
      <c r="X95" s="72" t="e">
        <v>#DIV/0!</v>
      </c>
      <c r="Y95" s="72">
        <v>0</v>
      </c>
      <c r="Z95" s="72">
        <v>0</v>
      </c>
      <c r="AA95" s="72">
        <v>0</v>
      </c>
      <c r="AB95" s="72">
        <v>0</v>
      </c>
      <c r="AC95" s="137" t="e">
        <f t="shared" si="36"/>
        <v>#DIV/0!</v>
      </c>
      <c r="AD95" s="72" t="e">
        <f t="shared" si="37"/>
        <v>#DIV/0!</v>
      </c>
      <c r="AE95" s="192" t="e">
        <f t="shared" si="38"/>
        <v>#DIV/0!</v>
      </c>
      <c r="AF95" s="133" t="e">
        <v>#DIV/0!</v>
      </c>
      <c r="AG95" s="124" t="e">
        <f t="shared" si="33"/>
        <v>#DIV/0!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5"/>
        <v>#DIV/0!</v>
      </c>
      <c r="Q96" s="136" t="e">
        <f t="shared" si="35"/>
        <v>#DIV/0!</v>
      </c>
      <c r="R96" s="136" t="e">
        <f t="shared" si="35"/>
        <v>#DIV/0!</v>
      </c>
      <c r="S96" s="136" t="e">
        <f t="shared" si="35"/>
        <v>#DIV/0!</v>
      </c>
      <c r="T96" s="136" t="e">
        <f t="shared" si="35"/>
        <v>#DIV/0!</v>
      </c>
      <c r="U96" s="136" t="e">
        <f t="shared" si="35"/>
        <v>#DIV/0!</v>
      </c>
      <c r="V96" s="136" t="e">
        <f t="shared" si="35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6"/>
        <v>#DIV/0!</v>
      </c>
      <c r="AD96" s="72" t="e">
        <f t="shared" si="37"/>
        <v>#DIV/0!</v>
      </c>
      <c r="AE96" s="192" t="e">
        <f t="shared" si="38"/>
        <v>#DIV/0!</v>
      </c>
      <c r="AF96" s="133" t="e">
        <v>#DIV/0!</v>
      </c>
      <c r="AG96" s="124" t="e">
        <f t="shared" si="33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5"/>
        <v>#DIV/0!</v>
      </c>
      <c r="Q97" s="136" t="e">
        <f t="shared" si="35"/>
        <v>#DIV/0!</v>
      </c>
      <c r="R97" s="136" t="e">
        <f t="shared" si="35"/>
        <v>#DIV/0!</v>
      </c>
      <c r="S97" s="136" t="e">
        <f t="shared" si="35"/>
        <v>#DIV/0!</v>
      </c>
      <c r="T97" s="136" t="e">
        <f t="shared" si="35"/>
        <v>#DIV/0!</v>
      </c>
      <c r="U97" s="136" t="e">
        <f t="shared" si="35"/>
        <v>#DIV/0!</v>
      </c>
      <c r="V97" s="136" t="e">
        <f t="shared" si="35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6"/>
        <v>#DIV/0!</v>
      </c>
      <c r="AD97" s="72" t="e">
        <f t="shared" si="37"/>
        <v>#DIV/0!</v>
      </c>
      <c r="AE97" s="192" t="e">
        <f t="shared" si="38"/>
        <v>#DIV/0!</v>
      </c>
      <c r="AF97" s="133" t="e">
        <v>#DIV/0!</v>
      </c>
      <c r="AG97" s="124" t="e">
        <f t="shared" si="33"/>
        <v>#DIV/0!</v>
      </c>
    </row>
    <row r="98" spans="1:33">
      <c r="C98" s="109" t="s">
        <v>463</v>
      </c>
      <c r="D98" s="136" t="e">
        <f t="shared" ref="D98:O98" si="39">D14/D90</f>
        <v>#DIV/0!</v>
      </c>
      <c r="E98" s="136" t="e">
        <f t="shared" si="39"/>
        <v>#DIV/0!</v>
      </c>
      <c r="F98" s="136" t="e">
        <f t="shared" si="39"/>
        <v>#DIV/0!</v>
      </c>
      <c r="G98" s="136" t="e">
        <f t="shared" si="39"/>
        <v>#DIV/0!</v>
      </c>
      <c r="H98" s="136" t="e">
        <f t="shared" si="39"/>
        <v>#DIV/0!</v>
      </c>
      <c r="I98" s="136" t="e">
        <f t="shared" si="39"/>
        <v>#DIV/0!</v>
      </c>
      <c r="J98" s="136" t="e">
        <f t="shared" si="39"/>
        <v>#DIV/0!</v>
      </c>
      <c r="K98" s="136" t="e">
        <f t="shared" si="39"/>
        <v>#DIV/0!</v>
      </c>
      <c r="L98" s="136" t="e">
        <f t="shared" si="39"/>
        <v>#DIV/0!</v>
      </c>
      <c r="M98" s="136" t="e">
        <f t="shared" si="39"/>
        <v>#DIV/0!</v>
      </c>
      <c r="N98" s="136" t="e">
        <f t="shared" si="39"/>
        <v>#DIV/0!</v>
      </c>
      <c r="O98" s="136" t="e">
        <f t="shared" si="39"/>
        <v>#DIV/0!</v>
      </c>
      <c r="P98" s="137" t="e">
        <f t="shared" si="35"/>
        <v>#DIV/0!</v>
      </c>
      <c r="Q98" s="136" t="e">
        <f t="shared" si="35"/>
        <v>#DIV/0!</v>
      </c>
      <c r="R98" s="136" t="e">
        <f t="shared" si="35"/>
        <v>#DIV/0!</v>
      </c>
      <c r="S98" s="136" t="e">
        <f t="shared" si="35"/>
        <v>#DIV/0!</v>
      </c>
      <c r="T98" s="136" t="e">
        <f t="shared" si="35"/>
        <v>#DIV/0!</v>
      </c>
      <c r="U98" s="136" t="e">
        <f t="shared" si="35"/>
        <v>#DIV/0!</v>
      </c>
      <c r="V98" s="136" t="e">
        <f t="shared" si="35"/>
        <v>#DIV/0!</v>
      </c>
      <c r="W98" s="136" t="e">
        <f t="shared" si="35"/>
        <v>#DIV/0!</v>
      </c>
      <c r="X98" s="136" t="e">
        <f t="shared" si="35"/>
        <v>#DIV/0!</v>
      </c>
      <c r="Y98" s="136" t="e">
        <f t="shared" si="35"/>
        <v>#DIV/0!</v>
      </c>
      <c r="Z98" s="136" t="e">
        <f t="shared" si="35"/>
        <v>#DIV/0!</v>
      </c>
      <c r="AA98" s="136" t="e">
        <f t="shared" si="35"/>
        <v>#DIV/0!</v>
      </c>
      <c r="AB98" s="136" t="e">
        <f t="shared" si="35"/>
        <v>#DIV/0!</v>
      </c>
      <c r="AC98" s="137" t="e">
        <f t="shared" si="36"/>
        <v>#DIV/0!</v>
      </c>
      <c r="AD98" s="72" t="e">
        <f t="shared" si="37"/>
        <v>#DIV/0!</v>
      </c>
      <c r="AE98" s="192" t="e">
        <f t="shared" si="38"/>
        <v>#DIV/0!</v>
      </c>
      <c r="AF98" s="133" t="e">
        <v>#DIV/0!</v>
      </c>
      <c r="AG98" s="124" t="e">
        <f t="shared" si="33"/>
        <v>#DIV/0!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594</v>
      </c>
      <c r="C102" s="105" t="s">
        <v>250</v>
      </c>
      <c r="D102" s="215">
        <v>62370</v>
      </c>
      <c r="E102" s="136">
        <v>62370</v>
      </c>
      <c r="F102" s="136">
        <v>63973.8</v>
      </c>
      <c r="G102" s="136">
        <v>63973.8</v>
      </c>
      <c r="H102" s="136">
        <v>63973.8</v>
      </c>
      <c r="I102" s="136">
        <v>67938.75</v>
      </c>
      <c r="J102" s="136">
        <v>67938.75</v>
      </c>
      <c r="K102" s="136">
        <v>67938.75</v>
      </c>
      <c r="L102" s="136">
        <v>67938.75</v>
      </c>
      <c r="M102" s="136">
        <v>67938.75</v>
      </c>
      <c r="N102" s="136">
        <v>67938.75</v>
      </c>
      <c r="O102" s="136">
        <v>67938.75</v>
      </c>
      <c r="P102" s="133">
        <f>SUM(D102:O102)</f>
        <v>792232.64999999991</v>
      </c>
      <c r="Q102" s="136">
        <v>64500</v>
      </c>
      <c r="R102" s="136">
        <v>64500</v>
      </c>
      <c r="S102" s="136">
        <v>64500</v>
      </c>
      <c r="T102" s="136">
        <v>67500</v>
      </c>
      <c r="U102" s="136">
        <v>67500</v>
      </c>
      <c r="V102" s="136">
        <v>67500</v>
      </c>
      <c r="W102" s="72">
        <v>67500</v>
      </c>
      <c r="X102" s="72">
        <v>67500</v>
      </c>
      <c r="Y102" s="72">
        <v>65500</v>
      </c>
      <c r="Z102" s="72">
        <v>65500</v>
      </c>
      <c r="AA102" s="72">
        <v>65500</v>
      </c>
      <c r="AB102" s="72">
        <v>65500</v>
      </c>
      <c r="AC102" s="137">
        <f>SUM(Q102:AB102)</f>
        <v>793000</v>
      </c>
      <c r="AD102" s="72">
        <f t="shared" ref="AD102:AD105" si="40">P102-AC102</f>
        <v>-767.35000000009313</v>
      </c>
      <c r="AE102" s="192">
        <f t="shared" ref="AE102:AE105" si="41">AD102/AC102</f>
        <v>-9.676544766709876E-4</v>
      </c>
      <c r="AF102" s="133">
        <v>937855.3</v>
      </c>
      <c r="AG102" s="124">
        <f t="shared" ref="AG102:AG136" si="42">AF102-P102</f>
        <v>145622.65000000014</v>
      </c>
    </row>
    <row r="103" spans="1:33">
      <c r="A103" s="105" t="s">
        <v>251</v>
      </c>
      <c r="B103" s="105" t="s">
        <v>594</v>
      </c>
      <c r="C103" s="105" t="s">
        <v>468</v>
      </c>
      <c r="D103" s="215">
        <v>6632.9000000000005</v>
      </c>
      <c r="E103" s="136">
        <v>6632.9000000000005</v>
      </c>
      <c r="F103" s="136">
        <v>6632.9000000000005</v>
      </c>
      <c r="G103" s="136">
        <v>6632.9000000000005</v>
      </c>
      <c r="H103" s="136">
        <v>6632.9000000000005</v>
      </c>
      <c r="I103" s="136">
        <v>6632.9000000000005</v>
      </c>
      <c r="J103" s="136">
        <v>6632.9000000000005</v>
      </c>
      <c r="K103" s="136">
        <v>6632.9000000000005</v>
      </c>
      <c r="L103" s="136">
        <v>6632.9000000000005</v>
      </c>
      <c r="M103" s="136">
        <v>6632.9000000000005</v>
      </c>
      <c r="N103" s="136">
        <v>6632.9000000000005</v>
      </c>
      <c r="O103" s="136">
        <v>6632.9000000000005</v>
      </c>
      <c r="P103" s="133">
        <f>SUM(D103:O103)</f>
        <v>79594.799999999988</v>
      </c>
      <c r="Q103" s="136">
        <v>8100</v>
      </c>
      <c r="R103" s="136">
        <v>8100</v>
      </c>
      <c r="S103" s="136">
        <v>8100</v>
      </c>
      <c r="T103" s="136">
        <v>8147.43</v>
      </c>
      <c r="U103" s="136">
        <v>3800</v>
      </c>
      <c r="V103" s="136">
        <v>3800</v>
      </c>
      <c r="W103" s="72">
        <v>3800</v>
      </c>
      <c r="X103" s="72">
        <v>3800</v>
      </c>
      <c r="Y103" s="72">
        <v>7808</v>
      </c>
      <c r="Z103" s="72">
        <v>7808</v>
      </c>
      <c r="AA103" s="72">
        <v>7808</v>
      </c>
      <c r="AB103" s="72">
        <v>7808</v>
      </c>
      <c r="AC103" s="137">
        <f>SUM(Q103:AB103)</f>
        <v>78879.429999999993</v>
      </c>
      <c r="AD103" s="72">
        <f t="shared" si="40"/>
        <v>715.36999999999534</v>
      </c>
      <c r="AE103" s="192">
        <f t="shared" si="41"/>
        <v>9.0691578273321121E-3</v>
      </c>
      <c r="AF103" s="133">
        <v>73727.28</v>
      </c>
      <c r="AG103" s="124">
        <f t="shared" si="42"/>
        <v>-5867.5199999999895</v>
      </c>
    </row>
    <row r="104" spans="1:33">
      <c r="A104" s="105" t="s">
        <v>273</v>
      </c>
      <c r="C104" s="105" t="s">
        <v>470</v>
      </c>
      <c r="D104" s="215">
        <v>0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3">
        <f>SUM(D104:O104)</f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72">
        <v>0</v>
      </c>
      <c r="X104" s="72">
        <v>0</v>
      </c>
      <c r="Y104" s="72">
        <v>0</v>
      </c>
      <c r="Z104" s="72">
        <v>0</v>
      </c>
      <c r="AA104" s="72">
        <v>0</v>
      </c>
      <c r="AB104" s="72">
        <v>0</v>
      </c>
      <c r="AC104" s="137">
        <f>SUM(Q104:AB104)</f>
        <v>0</v>
      </c>
      <c r="AD104" s="72">
        <f t="shared" si="40"/>
        <v>0</v>
      </c>
      <c r="AE104" s="192" t="e">
        <f t="shared" si="41"/>
        <v>#DIV/0!</v>
      </c>
      <c r="AF104" s="133">
        <v>0</v>
      </c>
      <c r="AG104" s="124">
        <f t="shared" si="42"/>
        <v>0</v>
      </c>
    </row>
    <row r="105" spans="1:33">
      <c r="A105" s="105" t="s">
        <v>566</v>
      </c>
      <c r="C105" s="109" t="s">
        <v>520</v>
      </c>
      <c r="D105" s="137">
        <f t="shared" ref="D105:AC105" si="43">SUM(D102:D104)</f>
        <v>69002.899999999994</v>
      </c>
      <c r="E105" s="137">
        <f t="shared" si="43"/>
        <v>69002.899999999994</v>
      </c>
      <c r="F105" s="137">
        <f t="shared" si="43"/>
        <v>70606.7</v>
      </c>
      <c r="G105" s="137">
        <f t="shared" si="43"/>
        <v>70606.7</v>
      </c>
      <c r="H105" s="137">
        <f t="shared" si="43"/>
        <v>70606.7</v>
      </c>
      <c r="I105" s="137">
        <f t="shared" si="43"/>
        <v>74571.649999999994</v>
      </c>
      <c r="J105" s="135">
        <f t="shared" si="43"/>
        <v>74571.649999999994</v>
      </c>
      <c r="K105" s="135">
        <f t="shared" si="43"/>
        <v>74571.649999999994</v>
      </c>
      <c r="L105" s="135">
        <f t="shared" si="43"/>
        <v>74571.649999999994</v>
      </c>
      <c r="M105" s="135">
        <f t="shared" si="43"/>
        <v>74571.649999999994</v>
      </c>
      <c r="N105" s="135">
        <f t="shared" si="43"/>
        <v>74571.649999999994</v>
      </c>
      <c r="O105" s="135">
        <f t="shared" si="43"/>
        <v>74571.649999999994</v>
      </c>
      <c r="P105" s="133">
        <f t="shared" si="43"/>
        <v>871827.45</v>
      </c>
      <c r="Q105" s="137">
        <f t="shared" si="43"/>
        <v>72600</v>
      </c>
      <c r="R105" s="137">
        <f t="shared" si="43"/>
        <v>72600</v>
      </c>
      <c r="S105" s="137">
        <f t="shared" si="43"/>
        <v>72600</v>
      </c>
      <c r="T105" s="137">
        <f t="shared" si="43"/>
        <v>75647.429999999993</v>
      </c>
      <c r="U105" s="137">
        <f t="shared" si="43"/>
        <v>71300</v>
      </c>
      <c r="V105" s="137">
        <f t="shared" si="43"/>
        <v>71300</v>
      </c>
      <c r="W105" s="137">
        <f t="shared" si="43"/>
        <v>71300</v>
      </c>
      <c r="X105" s="137">
        <f t="shared" si="43"/>
        <v>71300</v>
      </c>
      <c r="Y105" s="137">
        <f t="shared" si="43"/>
        <v>73308</v>
      </c>
      <c r="Z105" s="137">
        <f t="shared" si="43"/>
        <v>73308</v>
      </c>
      <c r="AA105" s="137">
        <f t="shared" si="43"/>
        <v>73308</v>
      </c>
      <c r="AB105" s="137">
        <f t="shared" si="43"/>
        <v>73308</v>
      </c>
      <c r="AC105" s="137">
        <f t="shared" si="43"/>
        <v>871879.42999999993</v>
      </c>
      <c r="AD105" s="72">
        <f t="shared" si="40"/>
        <v>-51.979999999981374</v>
      </c>
      <c r="AE105" s="192">
        <f t="shared" si="41"/>
        <v>-5.9618335071835997E-5</v>
      </c>
      <c r="AF105" s="133">
        <v>1011582.5800000001</v>
      </c>
      <c r="AG105" s="124">
        <f t="shared" si="42"/>
        <v>139755.13000000012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40"/>
      <c r="K106" s="140"/>
      <c r="L106" s="140"/>
      <c r="M106" s="140"/>
      <c r="N106" s="140"/>
      <c r="O106" s="140"/>
      <c r="P106" s="133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2"/>
        <v>0</v>
      </c>
    </row>
    <row r="107" spans="1:33">
      <c r="A107" s="105" t="s">
        <v>119</v>
      </c>
      <c r="B107" s="105" t="s">
        <v>594</v>
      </c>
      <c r="C107" s="105" t="s">
        <v>260</v>
      </c>
      <c r="D107" s="215">
        <v>0</v>
      </c>
      <c r="E107" s="215">
        <v>0</v>
      </c>
      <c r="F107" s="215">
        <v>0</v>
      </c>
      <c r="G107" s="215">
        <v>0</v>
      </c>
      <c r="H107" s="215">
        <v>0</v>
      </c>
      <c r="I107" s="215">
        <v>0</v>
      </c>
      <c r="J107" s="215">
        <v>0</v>
      </c>
      <c r="K107" s="215">
        <v>0</v>
      </c>
      <c r="L107" s="215">
        <v>0</v>
      </c>
      <c r="M107" s="215">
        <v>0</v>
      </c>
      <c r="N107" s="215">
        <v>0</v>
      </c>
      <c r="O107" s="215">
        <v>0</v>
      </c>
      <c r="P107" s="133">
        <f>SUM(D107:O107)</f>
        <v>0</v>
      </c>
      <c r="Q107" s="136">
        <v>0</v>
      </c>
      <c r="R107" s="136">
        <v>6041.34</v>
      </c>
      <c r="S107" s="136">
        <v>0</v>
      </c>
      <c r="T107" s="136">
        <v>0</v>
      </c>
      <c r="U107" s="136">
        <v>0</v>
      </c>
      <c r="V107" s="136">
        <v>0</v>
      </c>
      <c r="W107" s="72">
        <v>0</v>
      </c>
      <c r="X107" s="72">
        <v>0</v>
      </c>
      <c r="Y107" s="72">
        <v>1958</v>
      </c>
      <c r="Z107" s="72">
        <v>5875</v>
      </c>
      <c r="AA107" s="72">
        <v>0</v>
      </c>
      <c r="AB107" s="72">
        <v>0</v>
      </c>
      <c r="AC107" s="137">
        <f>SUM(Q107:AB107)</f>
        <v>13874.34</v>
      </c>
      <c r="AD107" s="72">
        <f t="shared" ref="AD107:AD112" si="44">P107-AC107</f>
        <v>-13874.34</v>
      </c>
      <c r="AE107" s="192">
        <f t="shared" ref="AE107:AE112" si="45">AD107/AC107</f>
        <v>-1</v>
      </c>
      <c r="AF107" s="133">
        <v>6548.9400000000005</v>
      </c>
      <c r="AG107" s="124">
        <f t="shared" si="42"/>
        <v>6548.9400000000005</v>
      </c>
    </row>
    <row r="108" spans="1:33">
      <c r="A108" s="105" t="s">
        <v>120</v>
      </c>
      <c r="B108" s="105" t="s">
        <v>594</v>
      </c>
      <c r="C108" s="105" t="s">
        <v>261</v>
      </c>
      <c r="D108" s="215">
        <v>10549.99</v>
      </c>
      <c r="E108" s="215">
        <v>10549.99</v>
      </c>
      <c r="F108" s="215">
        <v>10549.99</v>
      </c>
      <c r="G108" s="215">
        <v>10549.99</v>
      </c>
      <c r="H108" s="215">
        <v>10549.99</v>
      </c>
      <c r="I108" s="215">
        <v>11133.33</v>
      </c>
      <c r="J108" s="215">
        <v>11133.33</v>
      </c>
      <c r="K108" s="215">
        <v>11133.33</v>
      </c>
      <c r="L108" s="215">
        <v>11133.33</v>
      </c>
      <c r="M108" s="215">
        <v>11133.33</v>
      </c>
      <c r="N108" s="215">
        <v>11133.33</v>
      </c>
      <c r="O108" s="215">
        <v>11133.33</v>
      </c>
      <c r="P108" s="133">
        <f>SUM(D108:O108)</f>
        <v>130683.26000000001</v>
      </c>
      <c r="Q108" s="136">
        <v>18138.71</v>
      </c>
      <c r="R108" s="136">
        <v>18138.509999999998</v>
      </c>
      <c r="S108" s="136">
        <v>18143.46</v>
      </c>
      <c r="T108" s="136">
        <v>12611.73</v>
      </c>
      <c r="U108" s="136">
        <v>11899.91</v>
      </c>
      <c r="V108" s="136">
        <v>11884.41</v>
      </c>
      <c r="W108" s="72">
        <v>11881.55</v>
      </c>
      <c r="X108" s="72">
        <v>11867.72</v>
      </c>
      <c r="Y108" s="72">
        <v>12218</v>
      </c>
      <c r="Z108" s="72">
        <v>12218</v>
      </c>
      <c r="AA108" s="72">
        <v>12218</v>
      </c>
      <c r="AB108" s="72">
        <v>12218</v>
      </c>
      <c r="AC108" s="137">
        <f>SUM(Q108:AB108)</f>
        <v>163438</v>
      </c>
      <c r="AD108" s="72">
        <f t="shared" si="44"/>
        <v>-32754.739999999991</v>
      </c>
      <c r="AE108" s="192">
        <f t="shared" si="45"/>
        <v>-0.20041079797843825</v>
      </c>
      <c r="AF108" s="133">
        <v>151441.5</v>
      </c>
      <c r="AG108" s="124">
        <f t="shared" si="42"/>
        <v>20758.239999999991</v>
      </c>
    </row>
    <row r="109" spans="1:33">
      <c r="A109" s="105" t="s">
        <v>121</v>
      </c>
      <c r="B109" s="105" t="s">
        <v>594</v>
      </c>
      <c r="C109" s="105" t="s">
        <v>262</v>
      </c>
      <c r="D109" s="215">
        <v>530</v>
      </c>
      <c r="E109" s="215">
        <v>530</v>
      </c>
      <c r="F109" s="215">
        <v>530</v>
      </c>
      <c r="G109" s="215">
        <v>530</v>
      </c>
      <c r="H109" s="215">
        <v>530</v>
      </c>
      <c r="I109" s="215">
        <v>530</v>
      </c>
      <c r="J109" s="215">
        <v>530</v>
      </c>
      <c r="K109" s="215">
        <v>530</v>
      </c>
      <c r="L109" s="215">
        <v>530</v>
      </c>
      <c r="M109" s="215">
        <v>530</v>
      </c>
      <c r="N109" s="215">
        <v>530</v>
      </c>
      <c r="O109" s="215">
        <v>530</v>
      </c>
      <c r="P109" s="133">
        <f>SUM(D109:O109)</f>
        <v>6360</v>
      </c>
      <c r="Q109" s="136">
        <v>1690</v>
      </c>
      <c r="R109" s="136">
        <v>1730</v>
      </c>
      <c r="S109" s="136">
        <v>1690</v>
      </c>
      <c r="T109" s="136">
        <v>1447.42</v>
      </c>
      <c r="U109" s="136">
        <v>1275</v>
      </c>
      <c r="V109" s="136">
        <v>1260</v>
      </c>
      <c r="W109" s="72">
        <v>1260</v>
      </c>
      <c r="X109" s="72">
        <v>1260</v>
      </c>
      <c r="Y109" s="72">
        <v>1995</v>
      </c>
      <c r="Z109" s="72">
        <v>2095</v>
      </c>
      <c r="AA109" s="72">
        <v>2095</v>
      </c>
      <c r="AB109" s="72">
        <v>2095</v>
      </c>
      <c r="AC109" s="137">
        <f>SUM(Q109:AB109)</f>
        <v>19892.419999999998</v>
      </c>
      <c r="AD109" s="72">
        <f t="shared" si="44"/>
        <v>-13532.419999999998</v>
      </c>
      <c r="AE109" s="192">
        <f t="shared" si="45"/>
        <v>-0.6802802273428773</v>
      </c>
      <c r="AF109" s="133">
        <v>4440</v>
      </c>
      <c r="AG109" s="124">
        <f t="shared" si="42"/>
        <v>-1920</v>
      </c>
    </row>
    <row r="110" spans="1:33">
      <c r="A110" s="105" t="s">
        <v>122</v>
      </c>
      <c r="B110" s="105" t="s">
        <v>594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3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4"/>
        <v>0</v>
      </c>
      <c r="AE110" s="192" t="e">
        <f t="shared" si="45"/>
        <v>#DIV/0!</v>
      </c>
      <c r="AF110" s="133">
        <v>0</v>
      </c>
      <c r="AG110" s="124">
        <f t="shared" si="42"/>
        <v>0</v>
      </c>
    </row>
    <row r="111" spans="1:33">
      <c r="A111" s="105" t="s">
        <v>123</v>
      </c>
      <c r="B111" s="105" t="s">
        <v>594</v>
      </c>
      <c r="C111" s="105" t="s">
        <v>264</v>
      </c>
      <c r="D111" s="215">
        <v>8280.83</v>
      </c>
      <c r="E111" s="215">
        <v>8280.83</v>
      </c>
      <c r="F111" s="215">
        <v>8280.83</v>
      </c>
      <c r="G111" s="215">
        <v>8280.83</v>
      </c>
      <c r="H111" s="215">
        <v>8280.83</v>
      </c>
      <c r="I111" s="215">
        <v>8280.83</v>
      </c>
      <c r="J111" s="215">
        <v>8280.83</v>
      </c>
      <c r="K111" s="215">
        <v>8280.83</v>
      </c>
      <c r="L111" s="215">
        <v>8280.83</v>
      </c>
      <c r="M111" s="215">
        <v>8280.83</v>
      </c>
      <c r="N111" s="215">
        <v>8280.83</v>
      </c>
      <c r="O111" s="215">
        <v>8280.83</v>
      </c>
      <c r="P111" s="133">
        <f>SUM(D111:O111)</f>
        <v>99369.96</v>
      </c>
      <c r="Q111" s="136">
        <v>200</v>
      </c>
      <c r="R111" s="136">
        <v>200</v>
      </c>
      <c r="S111" s="136">
        <v>200</v>
      </c>
      <c r="T111" s="136">
        <v>0</v>
      </c>
      <c r="U111" s="136">
        <v>0</v>
      </c>
      <c r="V111" s="136">
        <v>0</v>
      </c>
      <c r="W111" s="72">
        <v>0</v>
      </c>
      <c r="X111" s="72">
        <v>-350</v>
      </c>
      <c r="Y111" s="72">
        <v>0</v>
      </c>
      <c r="Z111" s="72">
        <v>0</v>
      </c>
      <c r="AA111" s="72">
        <v>0</v>
      </c>
      <c r="AB111" s="72">
        <v>0</v>
      </c>
      <c r="AC111" s="137">
        <f>SUM(Q111:AB111)</f>
        <v>250</v>
      </c>
      <c r="AD111" s="72">
        <f t="shared" si="44"/>
        <v>99119.96</v>
      </c>
      <c r="AE111" s="192">
        <f t="shared" si="45"/>
        <v>396.47984000000002</v>
      </c>
      <c r="AF111" s="133">
        <v>-2403.2300000000005</v>
      </c>
      <c r="AG111" s="124">
        <f t="shared" si="42"/>
        <v>-101773.19</v>
      </c>
    </row>
    <row r="112" spans="1:33">
      <c r="A112" s="105" t="s">
        <v>273</v>
      </c>
      <c r="C112" s="109" t="s">
        <v>521</v>
      </c>
      <c r="D112" s="137">
        <f t="shared" ref="D112:O112" si="46">SUM(D107:D111)</f>
        <v>19360.82</v>
      </c>
      <c r="E112" s="137">
        <f t="shared" si="46"/>
        <v>19360.82</v>
      </c>
      <c r="F112" s="137">
        <f t="shared" si="46"/>
        <v>19360.82</v>
      </c>
      <c r="G112" s="137">
        <f t="shared" si="46"/>
        <v>19360.82</v>
      </c>
      <c r="H112" s="137">
        <f t="shared" si="46"/>
        <v>19360.82</v>
      </c>
      <c r="I112" s="137">
        <f t="shared" si="46"/>
        <v>19944.16</v>
      </c>
      <c r="J112" s="135">
        <f t="shared" si="46"/>
        <v>19944.16</v>
      </c>
      <c r="K112" s="135">
        <f t="shared" si="46"/>
        <v>19944.16</v>
      </c>
      <c r="L112" s="135">
        <f t="shared" si="46"/>
        <v>19944.16</v>
      </c>
      <c r="M112" s="135">
        <f t="shared" si="46"/>
        <v>19944.16</v>
      </c>
      <c r="N112" s="135">
        <f t="shared" si="46"/>
        <v>19944.16</v>
      </c>
      <c r="O112" s="135">
        <f t="shared" si="46"/>
        <v>19944.16</v>
      </c>
      <c r="P112" s="133">
        <f>SUM(P107:P111)</f>
        <v>236413.22000000003</v>
      </c>
      <c r="Q112" s="137">
        <f t="shared" ref="Q112:AC112" si="47">SUM(Q107:Q111)</f>
        <v>20028.71</v>
      </c>
      <c r="R112" s="137">
        <f t="shared" si="47"/>
        <v>26109.85</v>
      </c>
      <c r="S112" s="137">
        <f t="shared" si="47"/>
        <v>20033.46</v>
      </c>
      <c r="T112" s="137">
        <f t="shared" si="47"/>
        <v>14059.15</v>
      </c>
      <c r="U112" s="137">
        <f t="shared" si="47"/>
        <v>13174.91</v>
      </c>
      <c r="V112" s="137">
        <f t="shared" si="47"/>
        <v>13144.41</v>
      </c>
      <c r="W112" s="137">
        <f t="shared" si="47"/>
        <v>13141.55</v>
      </c>
      <c r="X112" s="137">
        <f t="shared" si="47"/>
        <v>12777.72</v>
      </c>
      <c r="Y112" s="137">
        <f t="shared" si="47"/>
        <v>16171</v>
      </c>
      <c r="Z112" s="137">
        <f t="shared" si="47"/>
        <v>20188</v>
      </c>
      <c r="AA112" s="137">
        <f t="shared" si="47"/>
        <v>14313</v>
      </c>
      <c r="AB112" s="137">
        <f t="shared" si="47"/>
        <v>14313</v>
      </c>
      <c r="AC112" s="137">
        <f t="shared" si="47"/>
        <v>197454.76</v>
      </c>
      <c r="AD112" s="72">
        <f t="shared" si="44"/>
        <v>38958.460000000021</v>
      </c>
      <c r="AE112" s="192">
        <f t="shared" si="45"/>
        <v>0.19730322024143668</v>
      </c>
      <c r="AF112" s="133">
        <v>160027.21</v>
      </c>
      <c r="AG112" s="124">
        <f t="shared" si="42"/>
        <v>-76386.010000000038</v>
      </c>
    </row>
    <row r="113" spans="1:33">
      <c r="A113" s="105" t="s">
        <v>566</v>
      </c>
      <c r="C113" s="105" t="s">
        <v>154</v>
      </c>
      <c r="D113" s="136"/>
      <c r="E113" s="136"/>
      <c r="F113" s="136"/>
      <c r="G113" s="136"/>
      <c r="H113" s="136"/>
      <c r="I113" s="136"/>
      <c r="J113" s="140"/>
      <c r="K113" s="140"/>
      <c r="L113" s="140"/>
      <c r="M113" s="140"/>
      <c r="N113" s="140"/>
      <c r="O113" s="140"/>
      <c r="P113" s="133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2"/>
        <v>0</v>
      </c>
    </row>
    <row r="114" spans="1:33">
      <c r="A114" s="105" t="s">
        <v>124</v>
      </c>
      <c r="B114" s="105" t="s">
        <v>594</v>
      </c>
      <c r="C114" s="105" t="s">
        <v>266</v>
      </c>
      <c r="D114" s="215">
        <v>11146.25</v>
      </c>
      <c r="E114" s="215">
        <v>11146.25</v>
      </c>
      <c r="F114" s="215">
        <v>11146.25</v>
      </c>
      <c r="G114" s="215">
        <v>11146.25</v>
      </c>
      <c r="H114" s="215">
        <v>11146.25</v>
      </c>
      <c r="I114" s="215">
        <v>11360.380000000001</v>
      </c>
      <c r="J114" s="215">
        <v>11590.42</v>
      </c>
      <c r="K114" s="215">
        <v>11590.42</v>
      </c>
      <c r="L114" s="215">
        <v>11590.42</v>
      </c>
      <c r="M114" s="215">
        <v>11590.42</v>
      </c>
      <c r="N114" s="215">
        <v>11590.42</v>
      </c>
      <c r="O114" s="215">
        <v>11590.42</v>
      </c>
      <c r="P114" s="133">
        <f>SUM(D114:O114)</f>
        <v>136634.15</v>
      </c>
      <c r="Q114" s="136">
        <v>13360.98</v>
      </c>
      <c r="R114" s="136">
        <v>13360.98</v>
      </c>
      <c r="S114" s="136">
        <v>13360.98</v>
      </c>
      <c r="T114" s="136">
        <v>13360.98</v>
      </c>
      <c r="U114" s="136">
        <v>12354.38</v>
      </c>
      <c r="V114" s="136">
        <v>12354.38</v>
      </c>
      <c r="W114" s="72">
        <v>12354.38</v>
      </c>
      <c r="X114" s="72">
        <v>12354.38</v>
      </c>
      <c r="Y114" s="72">
        <v>11793</v>
      </c>
      <c r="Z114" s="181">
        <v>11793</v>
      </c>
      <c r="AA114" s="181">
        <v>11793</v>
      </c>
      <c r="AB114" s="181">
        <v>11793</v>
      </c>
      <c r="AC114" s="137">
        <f t="shared" ref="AC114:AC121" si="48">SUM(Q114:AB114)</f>
        <v>150033.44</v>
      </c>
      <c r="AD114" s="72">
        <f t="shared" ref="AD114:AD122" si="49">P114-AC114</f>
        <v>-13399.290000000008</v>
      </c>
      <c r="AE114" s="192">
        <f t="shared" ref="AE114:AE122" si="50">AD114/AC114</f>
        <v>-8.9308690116016859E-2</v>
      </c>
      <c r="AF114" s="133">
        <v>149544.22999999998</v>
      </c>
      <c r="AG114" s="124">
        <f t="shared" si="42"/>
        <v>12910.079999999987</v>
      </c>
    </row>
    <row r="115" spans="1:33">
      <c r="A115" s="105" t="s">
        <v>125</v>
      </c>
      <c r="B115" s="105" t="s">
        <v>594</v>
      </c>
      <c r="C115" s="105" t="s">
        <v>267</v>
      </c>
      <c r="D115" s="215">
        <v>5188.79</v>
      </c>
      <c r="E115" s="215">
        <v>5188.79</v>
      </c>
      <c r="F115" s="215">
        <v>5188.79</v>
      </c>
      <c r="G115" s="215">
        <v>5188.79</v>
      </c>
      <c r="H115" s="215">
        <v>5188.79</v>
      </c>
      <c r="I115" s="215">
        <v>5275.78</v>
      </c>
      <c r="J115" s="215">
        <v>5369.24</v>
      </c>
      <c r="K115" s="215">
        <v>5369.24</v>
      </c>
      <c r="L115" s="215">
        <v>5369.24</v>
      </c>
      <c r="M115" s="215">
        <v>5369.24</v>
      </c>
      <c r="N115" s="215">
        <v>5369.24</v>
      </c>
      <c r="O115" s="215">
        <v>5369.24</v>
      </c>
      <c r="P115" s="133">
        <f t="shared" ref="P115:P120" si="51">SUM(D115:O115)</f>
        <v>63435.169999999991</v>
      </c>
      <c r="Q115" s="136">
        <v>7098.03</v>
      </c>
      <c r="R115" s="136">
        <v>7098.03</v>
      </c>
      <c r="S115" s="136">
        <v>7098.03</v>
      </c>
      <c r="T115" s="136">
        <v>7098.03</v>
      </c>
      <c r="U115" s="136">
        <v>6563.27</v>
      </c>
      <c r="V115" s="136">
        <v>6563.27</v>
      </c>
      <c r="W115" s="72">
        <v>5018.97</v>
      </c>
      <c r="X115" s="72">
        <v>5018.97</v>
      </c>
      <c r="Y115" s="72">
        <v>5896</v>
      </c>
      <c r="Z115" s="181">
        <v>5896</v>
      </c>
      <c r="AA115" s="181">
        <v>5896</v>
      </c>
      <c r="AB115" s="181">
        <v>5896</v>
      </c>
      <c r="AC115" s="137">
        <f t="shared" si="48"/>
        <v>75140.600000000006</v>
      </c>
      <c r="AD115" s="72">
        <f t="shared" si="49"/>
        <v>-11705.430000000015</v>
      </c>
      <c r="AE115" s="192">
        <f t="shared" si="50"/>
        <v>-0.15578036374476667</v>
      </c>
      <c r="AF115" s="133">
        <v>72549.069999999992</v>
      </c>
      <c r="AG115" s="124">
        <f t="shared" si="42"/>
        <v>9113.9000000000015</v>
      </c>
    </row>
    <row r="116" spans="1:33">
      <c r="A116" s="105" t="s">
        <v>126</v>
      </c>
      <c r="B116" s="105" t="s">
        <v>594</v>
      </c>
      <c r="C116" s="105" t="s">
        <v>268</v>
      </c>
      <c r="D116" s="215">
        <v>348.32</v>
      </c>
      <c r="E116" s="215">
        <v>348.32</v>
      </c>
      <c r="F116" s="215">
        <v>348.32</v>
      </c>
      <c r="G116" s="215">
        <v>348.32</v>
      </c>
      <c r="H116" s="215">
        <v>348.32</v>
      </c>
      <c r="I116" s="215">
        <v>355.01</v>
      </c>
      <c r="J116" s="215">
        <v>362.2</v>
      </c>
      <c r="K116" s="215">
        <v>362.2</v>
      </c>
      <c r="L116" s="215">
        <v>362.2</v>
      </c>
      <c r="M116" s="215">
        <v>362.2</v>
      </c>
      <c r="N116" s="215">
        <v>362.2</v>
      </c>
      <c r="O116" s="215">
        <v>362.2</v>
      </c>
      <c r="P116" s="133">
        <f t="shared" si="51"/>
        <v>4269.8099999999986</v>
      </c>
      <c r="Q116" s="136">
        <v>417.54</v>
      </c>
      <c r="R116" s="136">
        <v>417.54</v>
      </c>
      <c r="S116" s="136">
        <v>417.54</v>
      </c>
      <c r="T116" s="136">
        <v>417.54</v>
      </c>
      <c r="U116" s="136">
        <v>386.08</v>
      </c>
      <c r="V116" s="136">
        <v>386.08</v>
      </c>
      <c r="W116" s="72">
        <v>386.08</v>
      </c>
      <c r="X116" s="72">
        <v>386.08</v>
      </c>
      <c r="Y116" s="72">
        <v>369</v>
      </c>
      <c r="Z116" s="72">
        <v>369</v>
      </c>
      <c r="AA116" s="72">
        <v>369</v>
      </c>
      <c r="AB116" s="72">
        <v>369</v>
      </c>
      <c r="AC116" s="137">
        <f t="shared" si="48"/>
        <v>4690.4799999999996</v>
      </c>
      <c r="AD116" s="72">
        <f t="shared" si="49"/>
        <v>-420.67000000000098</v>
      </c>
      <c r="AE116" s="192">
        <f t="shared" si="50"/>
        <v>-8.968591700636204E-2</v>
      </c>
      <c r="AF116" s="133">
        <v>4445.1100000000006</v>
      </c>
      <c r="AG116" s="124">
        <f t="shared" si="42"/>
        <v>175.300000000002</v>
      </c>
    </row>
    <row r="117" spans="1:33">
      <c r="A117" s="105" t="s">
        <v>127</v>
      </c>
      <c r="B117" s="105" t="s">
        <v>594</v>
      </c>
      <c r="C117" s="105" t="s">
        <v>269</v>
      </c>
      <c r="D117" s="215">
        <v>83.6</v>
      </c>
      <c r="E117" s="215">
        <v>83.6</v>
      </c>
      <c r="F117" s="215">
        <v>83.6</v>
      </c>
      <c r="G117" s="215">
        <v>83.6</v>
      </c>
      <c r="H117" s="215">
        <v>83.6</v>
      </c>
      <c r="I117" s="215">
        <v>85.210000000000008</v>
      </c>
      <c r="J117" s="215">
        <v>86.93</v>
      </c>
      <c r="K117" s="215">
        <v>86.93</v>
      </c>
      <c r="L117" s="215">
        <v>86.93</v>
      </c>
      <c r="M117" s="215">
        <v>86.93</v>
      </c>
      <c r="N117" s="215">
        <v>86.93</v>
      </c>
      <c r="O117" s="215">
        <v>86.93</v>
      </c>
      <c r="P117" s="133">
        <f t="shared" si="51"/>
        <v>1024.7900000000004</v>
      </c>
      <c r="Q117" s="136">
        <v>100.21</v>
      </c>
      <c r="R117" s="136">
        <v>100.21</v>
      </c>
      <c r="S117" s="136">
        <v>100.21</v>
      </c>
      <c r="T117" s="136">
        <v>100.21</v>
      </c>
      <c r="U117" s="136">
        <v>92.66</v>
      </c>
      <c r="V117" s="136">
        <v>92.66</v>
      </c>
      <c r="W117" s="72">
        <v>92.66</v>
      </c>
      <c r="X117" s="72">
        <v>92.66</v>
      </c>
      <c r="Y117" s="72">
        <v>105</v>
      </c>
      <c r="Z117" s="72">
        <v>105</v>
      </c>
      <c r="AA117" s="72">
        <v>105</v>
      </c>
      <c r="AB117" s="72">
        <v>105</v>
      </c>
      <c r="AC117" s="137">
        <f t="shared" si="48"/>
        <v>1191.48</v>
      </c>
      <c r="AD117" s="72">
        <f t="shared" si="49"/>
        <v>-166.6899999999996</v>
      </c>
      <c r="AE117" s="192">
        <f t="shared" si="50"/>
        <v>-0.13990163494141705</v>
      </c>
      <c r="AF117" s="133">
        <v>1422.49</v>
      </c>
      <c r="AG117" s="124">
        <f t="shared" si="42"/>
        <v>397.69999999999959</v>
      </c>
    </row>
    <row r="118" spans="1:33">
      <c r="A118" s="105" t="s">
        <v>128</v>
      </c>
      <c r="B118" s="105" t="s">
        <v>594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3">
        <f t="shared" si="51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8"/>
        <v>0</v>
      </c>
      <c r="AD118" s="72">
        <f t="shared" si="49"/>
        <v>0</v>
      </c>
      <c r="AE118" s="192" t="e">
        <f t="shared" si="50"/>
        <v>#DIV/0!</v>
      </c>
      <c r="AF118" s="133">
        <v>3050.37</v>
      </c>
      <c r="AG118" s="124">
        <f t="shared" si="42"/>
        <v>3050.37</v>
      </c>
    </row>
    <row r="119" spans="1:33">
      <c r="A119" s="105" t="s">
        <v>129</v>
      </c>
      <c r="B119" s="105" t="s">
        <v>594</v>
      </c>
      <c r="C119" s="105" t="s">
        <v>271</v>
      </c>
      <c r="D119" s="215">
        <v>3608</v>
      </c>
      <c r="E119" s="215">
        <v>3608</v>
      </c>
      <c r="F119" s="215">
        <v>3608</v>
      </c>
      <c r="G119" s="215">
        <v>3608</v>
      </c>
      <c r="H119" s="215">
        <v>3608</v>
      </c>
      <c r="I119" s="215">
        <v>3674.92</v>
      </c>
      <c r="J119" s="215">
        <v>3622.01</v>
      </c>
      <c r="K119" s="215">
        <v>3755.06</v>
      </c>
      <c r="L119" s="215">
        <v>3755.06</v>
      </c>
      <c r="M119" s="215">
        <v>3755.06</v>
      </c>
      <c r="N119" s="215">
        <v>3622.01</v>
      </c>
      <c r="O119" s="215">
        <v>3755.06</v>
      </c>
      <c r="P119" s="133">
        <f t="shared" si="51"/>
        <v>43979.18</v>
      </c>
      <c r="Q119" s="136">
        <v>4292</v>
      </c>
      <c r="R119" s="136">
        <v>4292</v>
      </c>
      <c r="S119" s="136">
        <v>4292</v>
      </c>
      <c r="T119" s="136">
        <v>4292</v>
      </c>
      <c r="U119" s="136">
        <v>3977</v>
      </c>
      <c r="V119" s="136">
        <v>3977</v>
      </c>
      <c r="W119" s="72">
        <v>4089</v>
      </c>
      <c r="X119" s="72">
        <v>4089</v>
      </c>
      <c r="Y119" s="72">
        <v>3805</v>
      </c>
      <c r="Z119" s="72">
        <v>3805</v>
      </c>
      <c r="AA119" s="72">
        <v>3805</v>
      </c>
      <c r="AB119" s="72">
        <v>3805</v>
      </c>
      <c r="AC119" s="137">
        <f t="shared" si="48"/>
        <v>48520</v>
      </c>
      <c r="AD119" s="72">
        <f t="shared" si="49"/>
        <v>-4540.82</v>
      </c>
      <c r="AE119" s="192">
        <f t="shared" si="50"/>
        <v>-9.3586562242374272E-2</v>
      </c>
      <c r="AF119" s="133">
        <v>46347</v>
      </c>
      <c r="AG119" s="124">
        <f t="shared" si="42"/>
        <v>2367.8199999999997</v>
      </c>
    </row>
    <row r="120" spans="1:33">
      <c r="A120" s="105" t="s">
        <v>130</v>
      </c>
      <c r="B120" s="105" t="s">
        <v>594</v>
      </c>
      <c r="C120" s="105" t="s">
        <v>272</v>
      </c>
      <c r="D120" s="215">
        <v>1642</v>
      </c>
      <c r="E120" s="215">
        <v>1642</v>
      </c>
      <c r="F120" s="215">
        <v>1674</v>
      </c>
      <c r="G120" s="215">
        <v>1674</v>
      </c>
      <c r="H120" s="215">
        <v>1674</v>
      </c>
      <c r="I120" s="215">
        <v>1765</v>
      </c>
      <c r="J120" s="215">
        <v>1765</v>
      </c>
      <c r="K120" s="215">
        <v>1765</v>
      </c>
      <c r="L120" s="215">
        <v>1765</v>
      </c>
      <c r="M120" s="215">
        <v>1765</v>
      </c>
      <c r="N120" s="215">
        <v>1765</v>
      </c>
      <c r="O120" s="215">
        <v>1765</v>
      </c>
      <c r="P120" s="133">
        <f t="shared" si="51"/>
        <v>20661</v>
      </c>
      <c r="Q120" s="136">
        <v>1493.17</v>
      </c>
      <c r="R120" s="136">
        <v>1810.35</v>
      </c>
      <c r="S120" s="136">
        <v>3928.5</v>
      </c>
      <c r="T120" s="136">
        <v>2093.9299999999998</v>
      </c>
      <c r="U120" s="136">
        <v>1594.56</v>
      </c>
      <c r="V120" s="136">
        <v>1484.09</v>
      </c>
      <c r="W120" s="72">
        <v>1451.2</v>
      </c>
      <c r="X120" s="72">
        <v>1534.72</v>
      </c>
      <c r="Y120" s="72">
        <v>1899</v>
      </c>
      <c r="Z120" s="72">
        <v>1899</v>
      </c>
      <c r="AA120" s="72">
        <v>1899</v>
      </c>
      <c r="AB120" s="72">
        <v>1899</v>
      </c>
      <c r="AC120" s="137">
        <f t="shared" si="48"/>
        <v>22986.52</v>
      </c>
      <c r="AD120" s="72">
        <f t="shared" si="49"/>
        <v>-2325.5200000000004</v>
      </c>
      <c r="AE120" s="192">
        <f t="shared" si="50"/>
        <v>-0.1011688589660375</v>
      </c>
      <c r="AF120" s="133">
        <v>26693.289999999997</v>
      </c>
      <c r="AG120" s="124">
        <f t="shared" si="42"/>
        <v>6032.2899999999972</v>
      </c>
    </row>
    <row r="121" spans="1:33">
      <c r="A121" s="105" t="s">
        <v>566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3">
        <f>SUM(D121:O121)</f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8"/>
        <v>0</v>
      </c>
      <c r="AD121" s="72">
        <f t="shared" si="49"/>
        <v>0</v>
      </c>
      <c r="AE121" s="192" t="e">
        <f t="shared" si="50"/>
        <v>#DIV/0!</v>
      </c>
      <c r="AF121" s="133">
        <v>0</v>
      </c>
      <c r="AG121" s="124">
        <f t="shared" si="42"/>
        <v>0</v>
      </c>
    </row>
    <row r="122" spans="1:33">
      <c r="A122" s="105" t="s">
        <v>273</v>
      </c>
      <c r="C122" s="109" t="s">
        <v>522</v>
      </c>
      <c r="D122" s="133">
        <f t="shared" ref="D122:AC122" si="52">SUM(D114:D121)</f>
        <v>22016.959999999999</v>
      </c>
      <c r="E122" s="133">
        <f t="shared" si="52"/>
        <v>22016.959999999999</v>
      </c>
      <c r="F122" s="133">
        <f t="shared" si="52"/>
        <v>22048.959999999999</v>
      </c>
      <c r="G122" s="133">
        <f t="shared" si="52"/>
        <v>22048.959999999999</v>
      </c>
      <c r="H122" s="133">
        <f t="shared" si="52"/>
        <v>22048.959999999999</v>
      </c>
      <c r="I122" s="133">
        <f t="shared" si="52"/>
        <v>22516.299999999996</v>
      </c>
      <c r="J122" s="135">
        <f t="shared" si="52"/>
        <v>22795.800000000003</v>
      </c>
      <c r="K122" s="135">
        <f t="shared" si="52"/>
        <v>22928.850000000002</v>
      </c>
      <c r="L122" s="135">
        <f t="shared" si="52"/>
        <v>22928.850000000002</v>
      </c>
      <c r="M122" s="135">
        <f t="shared" si="52"/>
        <v>22928.850000000002</v>
      </c>
      <c r="N122" s="135">
        <f t="shared" si="52"/>
        <v>22795.800000000003</v>
      </c>
      <c r="O122" s="135">
        <f t="shared" si="52"/>
        <v>22928.850000000002</v>
      </c>
      <c r="P122" s="133">
        <f t="shared" si="52"/>
        <v>270004.09999999998</v>
      </c>
      <c r="Q122" s="137">
        <f t="shared" si="52"/>
        <v>26761.93</v>
      </c>
      <c r="R122" s="137">
        <f t="shared" si="52"/>
        <v>27079.109999999997</v>
      </c>
      <c r="S122" s="137">
        <f t="shared" si="52"/>
        <v>29197.26</v>
      </c>
      <c r="T122" s="137">
        <f t="shared" si="52"/>
        <v>27362.69</v>
      </c>
      <c r="U122" s="137">
        <f t="shared" si="52"/>
        <v>24967.950000000004</v>
      </c>
      <c r="V122" s="137">
        <f t="shared" si="52"/>
        <v>24857.480000000003</v>
      </c>
      <c r="W122" s="137">
        <f t="shared" si="52"/>
        <v>23392.29</v>
      </c>
      <c r="X122" s="137">
        <f t="shared" si="52"/>
        <v>23475.81</v>
      </c>
      <c r="Y122" s="137">
        <f t="shared" si="52"/>
        <v>23867</v>
      </c>
      <c r="Z122" s="137">
        <f t="shared" si="52"/>
        <v>23867</v>
      </c>
      <c r="AA122" s="137">
        <f t="shared" si="52"/>
        <v>23867</v>
      </c>
      <c r="AB122" s="137">
        <f t="shared" si="52"/>
        <v>23867</v>
      </c>
      <c r="AC122" s="137">
        <f t="shared" si="52"/>
        <v>302562.52</v>
      </c>
      <c r="AD122" s="72">
        <f t="shared" si="49"/>
        <v>-32558.420000000042</v>
      </c>
      <c r="AE122" s="192">
        <f t="shared" si="50"/>
        <v>-0.10760890013739983</v>
      </c>
      <c r="AF122" s="133">
        <v>304051.55999999994</v>
      </c>
      <c r="AG122" s="124">
        <f t="shared" si="42"/>
        <v>34047.459999999963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40"/>
      <c r="K123" s="140"/>
      <c r="L123" s="140"/>
      <c r="M123" s="140"/>
      <c r="N123" s="140"/>
      <c r="O123" s="140"/>
      <c r="P123" s="133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2"/>
        <v>0</v>
      </c>
    </row>
    <row r="124" spans="1:33">
      <c r="A124" s="105" t="s">
        <v>131</v>
      </c>
      <c r="B124" s="105" t="s">
        <v>594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133">
        <f t="shared" ref="P124:P132" si="53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4">SUM(Q124:AB124)</f>
        <v>0</v>
      </c>
      <c r="AD124" s="72">
        <f t="shared" ref="AD124:AD134" si="55">P124-AC124</f>
        <v>0</v>
      </c>
      <c r="AE124" s="192" t="e">
        <f t="shared" ref="AE124:AE134" si="56">AD124/AC124</f>
        <v>#DIV/0!</v>
      </c>
      <c r="AF124" s="133">
        <v>0</v>
      </c>
      <c r="AG124" s="124">
        <f t="shared" si="42"/>
        <v>0</v>
      </c>
    </row>
    <row r="125" spans="1:33">
      <c r="A125" s="105" t="s">
        <v>132</v>
      </c>
      <c r="B125" s="105" t="s">
        <v>594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133">
        <f t="shared" si="53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4"/>
        <v>0</v>
      </c>
      <c r="AD125" s="72">
        <f t="shared" si="55"/>
        <v>0</v>
      </c>
      <c r="AE125" s="192" t="e">
        <f t="shared" si="56"/>
        <v>#DIV/0!</v>
      </c>
      <c r="AF125" s="133">
        <v>0</v>
      </c>
      <c r="AG125" s="124">
        <f t="shared" si="42"/>
        <v>0</v>
      </c>
    </row>
    <row r="126" spans="1:33">
      <c r="A126" s="105" t="s">
        <v>133</v>
      </c>
      <c r="B126" s="105" t="s">
        <v>594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133">
        <f t="shared" si="53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4"/>
        <v>0</v>
      </c>
      <c r="AD126" s="72">
        <f t="shared" si="55"/>
        <v>0</v>
      </c>
      <c r="AE126" s="192" t="e">
        <f t="shared" si="56"/>
        <v>#DIV/0!</v>
      </c>
      <c r="AF126" s="133">
        <v>0</v>
      </c>
      <c r="AG126" s="124">
        <f t="shared" si="42"/>
        <v>0</v>
      </c>
    </row>
    <row r="127" spans="1:33">
      <c r="A127" s="105" t="s">
        <v>134</v>
      </c>
      <c r="B127" s="105" t="s">
        <v>594</v>
      </c>
      <c r="C127" s="105" t="s">
        <v>279</v>
      </c>
      <c r="D127" s="215">
        <v>2266.66</v>
      </c>
      <c r="E127" s="215">
        <v>2266.66</v>
      </c>
      <c r="F127" s="215">
        <v>2266.66</v>
      </c>
      <c r="G127" s="215">
        <v>2266.66</v>
      </c>
      <c r="H127" s="215">
        <v>2266.66</v>
      </c>
      <c r="I127" s="215">
        <v>2266.66</v>
      </c>
      <c r="J127" s="215">
        <v>2266.66</v>
      </c>
      <c r="K127" s="215">
        <v>2266.66</v>
      </c>
      <c r="L127" s="215">
        <v>2266.66</v>
      </c>
      <c r="M127" s="215">
        <v>2266.66</v>
      </c>
      <c r="N127" s="215">
        <v>2266.66</v>
      </c>
      <c r="O127" s="215">
        <v>2266.66</v>
      </c>
      <c r="P127" s="133">
        <f t="shared" si="53"/>
        <v>27199.919999999998</v>
      </c>
      <c r="Q127" s="136">
        <v>2182.4299999999998</v>
      </c>
      <c r="R127" s="136">
        <v>2098</v>
      </c>
      <c r="S127" s="136">
        <v>2242</v>
      </c>
      <c r="T127" s="136">
        <v>2172</v>
      </c>
      <c r="U127" s="136">
        <v>2242</v>
      </c>
      <c r="V127" s="136">
        <v>2172</v>
      </c>
      <c r="W127" s="72">
        <v>2242</v>
      </c>
      <c r="X127" s="72">
        <v>2242</v>
      </c>
      <c r="Y127" s="72">
        <v>2000</v>
      </c>
      <c r="Z127" s="72">
        <v>2000</v>
      </c>
      <c r="AA127" s="72">
        <v>2000</v>
      </c>
      <c r="AB127" s="72">
        <v>2000</v>
      </c>
      <c r="AC127" s="137">
        <f t="shared" si="54"/>
        <v>25592.43</v>
      </c>
      <c r="AD127" s="72">
        <f t="shared" si="55"/>
        <v>1607.489999999998</v>
      </c>
      <c r="AE127" s="192">
        <f t="shared" si="56"/>
        <v>6.2811151578806623E-2</v>
      </c>
      <c r="AF127" s="133">
        <v>19560.099999999999</v>
      </c>
      <c r="AG127" s="124">
        <f t="shared" si="42"/>
        <v>-7639.82</v>
      </c>
    </row>
    <row r="128" spans="1:33">
      <c r="A128" s="105" t="s">
        <v>135</v>
      </c>
      <c r="B128" s="105" t="s">
        <v>594</v>
      </c>
      <c r="C128" s="105" t="s">
        <v>280</v>
      </c>
      <c r="D128" s="215">
        <v>3890.84</v>
      </c>
      <c r="E128" s="215">
        <v>3890.84</v>
      </c>
      <c r="F128" s="215">
        <v>3890.84</v>
      </c>
      <c r="G128" s="215">
        <v>3890.84</v>
      </c>
      <c r="H128" s="215">
        <v>3890.84</v>
      </c>
      <c r="I128" s="215">
        <v>3890.84</v>
      </c>
      <c r="J128" s="215">
        <v>3890.84</v>
      </c>
      <c r="K128" s="215">
        <v>3890.84</v>
      </c>
      <c r="L128" s="215">
        <v>3890.84</v>
      </c>
      <c r="M128" s="215">
        <v>3890.84</v>
      </c>
      <c r="N128" s="215">
        <v>3890.84</v>
      </c>
      <c r="O128" s="215">
        <v>3890.84</v>
      </c>
      <c r="P128" s="133">
        <f t="shared" si="53"/>
        <v>46690.079999999987</v>
      </c>
      <c r="Q128" s="136">
        <v>113.11</v>
      </c>
      <c r="R128" s="136">
        <v>114.06</v>
      </c>
      <c r="S128" s="136">
        <v>113.11</v>
      </c>
      <c r="T128" s="136">
        <v>113.11</v>
      </c>
      <c r="U128" s="136">
        <v>98.37</v>
      </c>
      <c r="V128" s="136">
        <v>98.8</v>
      </c>
      <c r="W128" s="72">
        <v>99.9</v>
      </c>
      <c r="X128" s="72">
        <v>97.94</v>
      </c>
      <c r="Y128" s="72">
        <v>83</v>
      </c>
      <c r="Z128" s="72">
        <v>83</v>
      </c>
      <c r="AA128" s="72">
        <v>83</v>
      </c>
      <c r="AB128" s="72">
        <v>83</v>
      </c>
      <c r="AC128" s="137">
        <f t="shared" si="54"/>
        <v>1180.3999999999999</v>
      </c>
      <c r="AD128" s="72">
        <f t="shared" si="55"/>
        <v>45509.679999999986</v>
      </c>
      <c r="AE128" s="192">
        <f t="shared" si="56"/>
        <v>38.554456116570648</v>
      </c>
      <c r="AF128" s="133">
        <v>72856.77</v>
      </c>
      <c r="AG128" s="124">
        <f t="shared" si="42"/>
        <v>26166.690000000017</v>
      </c>
    </row>
    <row r="129" spans="1:33">
      <c r="A129" s="105" t="s">
        <v>136</v>
      </c>
      <c r="B129" s="105" t="s">
        <v>594</v>
      </c>
      <c r="C129" s="105" t="s">
        <v>282</v>
      </c>
      <c r="D129" s="176">
        <v>0</v>
      </c>
      <c r="E129" s="176">
        <v>0</v>
      </c>
      <c r="F129" s="176">
        <v>0</v>
      </c>
      <c r="G129" s="176">
        <v>0</v>
      </c>
      <c r="H129" s="176">
        <v>0</v>
      </c>
      <c r="I129" s="176">
        <v>0</v>
      </c>
      <c r="J129" s="176">
        <v>0</v>
      </c>
      <c r="K129" s="176">
        <v>0</v>
      </c>
      <c r="L129" s="176">
        <v>0</v>
      </c>
      <c r="M129" s="176">
        <v>0</v>
      </c>
      <c r="N129" s="176">
        <v>0</v>
      </c>
      <c r="O129" s="176">
        <v>0</v>
      </c>
      <c r="P129" s="133">
        <f t="shared" si="53"/>
        <v>0</v>
      </c>
      <c r="Q129" s="136">
        <v>770.52</v>
      </c>
      <c r="R129" s="136">
        <v>979.67</v>
      </c>
      <c r="S129" s="136">
        <v>859.86</v>
      </c>
      <c r="T129" s="136">
        <v>572.6</v>
      </c>
      <c r="U129" s="136">
        <v>573.59</v>
      </c>
      <c r="V129" s="136">
        <v>631.16999999999996</v>
      </c>
      <c r="W129" s="72">
        <v>533.03</v>
      </c>
      <c r="X129" s="72">
        <v>648.36</v>
      </c>
      <c r="Y129" s="72">
        <v>1742</v>
      </c>
      <c r="Z129" s="72">
        <v>1657</v>
      </c>
      <c r="AA129" s="72">
        <v>1549</v>
      </c>
      <c r="AB129" s="72">
        <v>1550</v>
      </c>
      <c r="AC129" s="137">
        <f t="shared" si="54"/>
        <v>12066.8</v>
      </c>
      <c r="AD129" s="72">
        <f t="shared" si="55"/>
        <v>-12066.8</v>
      </c>
      <c r="AE129" s="192">
        <f t="shared" si="56"/>
        <v>-1</v>
      </c>
      <c r="AF129" s="133">
        <v>14328.62</v>
      </c>
      <c r="AG129" s="124">
        <f t="shared" si="42"/>
        <v>14328.62</v>
      </c>
    </row>
    <row r="130" spans="1:33">
      <c r="A130" s="105" t="s">
        <v>137</v>
      </c>
      <c r="B130" s="105" t="s">
        <v>594</v>
      </c>
      <c r="C130" s="105" t="s">
        <v>283</v>
      </c>
      <c r="D130" s="176">
        <v>7482.18</v>
      </c>
      <c r="E130" s="176">
        <v>6610.18</v>
      </c>
      <c r="F130" s="176">
        <v>6619.37</v>
      </c>
      <c r="G130" s="176">
        <v>6692.37</v>
      </c>
      <c r="H130" s="176">
        <v>7053.18</v>
      </c>
      <c r="I130" s="176">
        <v>6695.88</v>
      </c>
      <c r="J130" s="176">
        <v>6664.88</v>
      </c>
      <c r="K130" s="176">
        <v>6660.88</v>
      </c>
      <c r="L130" s="176">
        <v>6692.88</v>
      </c>
      <c r="M130" s="176">
        <v>7464.4</v>
      </c>
      <c r="N130" s="176">
        <v>6676.37</v>
      </c>
      <c r="O130" s="176">
        <v>6672.37</v>
      </c>
      <c r="P130" s="133">
        <f t="shared" si="53"/>
        <v>81984.939999999973</v>
      </c>
      <c r="Q130" s="136">
        <v>15618.97</v>
      </c>
      <c r="R130" s="136">
        <v>16898.5</v>
      </c>
      <c r="S130" s="136">
        <v>18214.3</v>
      </c>
      <c r="T130" s="136">
        <v>16268.55</v>
      </c>
      <c r="U130" s="136">
        <v>16317.26</v>
      </c>
      <c r="V130" s="136">
        <v>14086.58</v>
      </c>
      <c r="W130" s="72">
        <v>14914.79</v>
      </c>
      <c r="X130" s="72">
        <v>17348.78</v>
      </c>
      <c r="Y130" s="72">
        <v>6511</v>
      </c>
      <c r="Z130" s="72">
        <v>7108</v>
      </c>
      <c r="AA130" s="72">
        <v>6583</v>
      </c>
      <c r="AB130" s="72">
        <v>6583</v>
      </c>
      <c r="AC130" s="137">
        <f t="shared" si="54"/>
        <v>156452.73000000001</v>
      </c>
      <c r="AD130" s="72">
        <f t="shared" si="55"/>
        <v>-74467.790000000037</v>
      </c>
      <c r="AE130" s="192">
        <f t="shared" si="56"/>
        <v>-0.47597629009094333</v>
      </c>
      <c r="AF130" s="133">
        <v>338037.54000000004</v>
      </c>
      <c r="AG130" s="124">
        <f t="shared" si="42"/>
        <v>256052.60000000006</v>
      </c>
    </row>
    <row r="131" spans="1:33">
      <c r="A131" s="105" t="s">
        <v>138</v>
      </c>
      <c r="B131" s="105" t="s">
        <v>594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133">
        <f t="shared" si="53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4"/>
        <v>0</v>
      </c>
      <c r="AD131" s="72">
        <f t="shared" si="55"/>
        <v>0</v>
      </c>
      <c r="AE131" s="192" t="e">
        <f t="shared" si="56"/>
        <v>#DIV/0!</v>
      </c>
      <c r="AF131" s="133">
        <v>0</v>
      </c>
      <c r="AG131" s="124">
        <f t="shared" si="42"/>
        <v>0</v>
      </c>
    </row>
    <row r="132" spans="1:33">
      <c r="A132" s="105" t="s">
        <v>140</v>
      </c>
      <c r="B132" s="105" t="s">
        <v>594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133">
        <f t="shared" si="53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4"/>
        <v>0</v>
      </c>
      <c r="AD132" s="72">
        <f t="shared" si="55"/>
        <v>0</v>
      </c>
      <c r="AE132" s="192" t="e">
        <f t="shared" si="56"/>
        <v>#DIV/0!</v>
      </c>
      <c r="AF132" s="133">
        <v>0</v>
      </c>
      <c r="AG132" s="124">
        <f t="shared" si="42"/>
        <v>0</v>
      </c>
    </row>
    <row r="133" spans="1:33">
      <c r="A133" s="105" t="s">
        <v>273</v>
      </c>
      <c r="C133" s="109" t="s">
        <v>523</v>
      </c>
      <c r="D133" s="137">
        <f t="shared" ref="D133:AC133" si="57">SUM(D124:D132)</f>
        <v>13639.68</v>
      </c>
      <c r="E133" s="137">
        <f t="shared" si="57"/>
        <v>12767.68</v>
      </c>
      <c r="F133" s="137">
        <f t="shared" si="57"/>
        <v>12776.869999999999</v>
      </c>
      <c r="G133" s="137">
        <f t="shared" si="57"/>
        <v>12849.869999999999</v>
      </c>
      <c r="H133" s="137">
        <f t="shared" si="57"/>
        <v>13210.68</v>
      </c>
      <c r="I133" s="137">
        <f t="shared" si="57"/>
        <v>12853.380000000001</v>
      </c>
      <c r="J133" s="135">
        <f t="shared" si="57"/>
        <v>12822.380000000001</v>
      </c>
      <c r="K133" s="135">
        <f t="shared" si="57"/>
        <v>12818.380000000001</v>
      </c>
      <c r="L133" s="135">
        <f t="shared" si="57"/>
        <v>12850.380000000001</v>
      </c>
      <c r="M133" s="135">
        <f t="shared" si="57"/>
        <v>13621.9</v>
      </c>
      <c r="N133" s="135">
        <f t="shared" si="57"/>
        <v>12833.869999999999</v>
      </c>
      <c r="O133" s="135">
        <f t="shared" si="57"/>
        <v>12829.869999999999</v>
      </c>
      <c r="P133" s="133">
        <f t="shared" si="57"/>
        <v>155874.93999999994</v>
      </c>
      <c r="Q133" s="137">
        <f t="shared" si="57"/>
        <v>18685.03</v>
      </c>
      <c r="R133" s="137">
        <f t="shared" si="57"/>
        <v>20090.23</v>
      </c>
      <c r="S133" s="137">
        <f t="shared" si="57"/>
        <v>21429.27</v>
      </c>
      <c r="T133" s="137">
        <f t="shared" si="57"/>
        <v>19126.259999999998</v>
      </c>
      <c r="U133" s="137">
        <f t="shared" si="57"/>
        <v>19231.22</v>
      </c>
      <c r="V133" s="137">
        <f t="shared" si="57"/>
        <v>16988.55</v>
      </c>
      <c r="W133" s="137">
        <f t="shared" si="57"/>
        <v>17789.72</v>
      </c>
      <c r="X133" s="137">
        <f t="shared" si="57"/>
        <v>20337.079999999998</v>
      </c>
      <c r="Y133" s="137">
        <f t="shared" si="57"/>
        <v>10336</v>
      </c>
      <c r="Z133" s="137">
        <f t="shared" si="57"/>
        <v>10848</v>
      </c>
      <c r="AA133" s="137">
        <f t="shared" si="57"/>
        <v>10215</v>
      </c>
      <c r="AB133" s="137">
        <f t="shared" si="57"/>
        <v>10216</v>
      </c>
      <c r="AC133" s="137">
        <f t="shared" si="57"/>
        <v>195292.36000000002</v>
      </c>
      <c r="AD133" s="72">
        <f t="shared" si="55"/>
        <v>-39417.420000000071</v>
      </c>
      <c r="AE133" s="192">
        <f t="shared" si="56"/>
        <v>-0.20183800328901791</v>
      </c>
      <c r="AF133" s="133">
        <v>444783.03</v>
      </c>
      <c r="AG133" s="124">
        <f t="shared" si="42"/>
        <v>288908.09000000008</v>
      </c>
    </row>
    <row r="134" spans="1:33">
      <c r="A134" s="105" t="s">
        <v>273</v>
      </c>
      <c r="C134" s="109" t="s">
        <v>524</v>
      </c>
      <c r="D134" s="137">
        <f t="shared" ref="D134:AC134" si="58">D105+D112+D122+D133</f>
        <v>124020.35999999999</v>
      </c>
      <c r="E134" s="137">
        <f t="shared" si="58"/>
        <v>123148.35999999999</v>
      </c>
      <c r="F134" s="137">
        <f t="shared" si="58"/>
        <v>124793.34999999998</v>
      </c>
      <c r="G134" s="137">
        <f t="shared" si="58"/>
        <v>124866.34999999998</v>
      </c>
      <c r="H134" s="137">
        <f t="shared" si="58"/>
        <v>125227.15999999997</v>
      </c>
      <c r="I134" s="137">
        <f t="shared" si="58"/>
        <v>129885.48999999999</v>
      </c>
      <c r="J134" s="135">
        <f t="shared" si="58"/>
        <v>130133.99</v>
      </c>
      <c r="K134" s="135">
        <f t="shared" si="58"/>
        <v>130263.04000000001</v>
      </c>
      <c r="L134" s="135">
        <f t="shared" si="58"/>
        <v>130295.04000000001</v>
      </c>
      <c r="M134" s="135">
        <f t="shared" si="58"/>
        <v>131066.56</v>
      </c>
      <c r="N134" s="135">
        <f t="shared" si="58"/>
        <v>130145.48</v>
      </c>
      <c r="O134" s="135">
        <f t="shared" si="58"/>
        <v>130274.53</v>
      </c>
      <c r="P134" s="133">
        <f t="shared" si="58"/>
        <v>1534119.71</v>
      </c>
      <c r="Q134" s="137">
        <f t="shared" si="58"/>
        <v>138075.66999999998</v>
      </c>
      <c r="R134" s="137">
        <f t="shared" si="58"/>
        <v>145879.19</v>
      </c>
      <c r="S134" s="137">
        <f t="shared" si="58"/>
        <v>143259.99</v>
      </c>
      <c r="T134" s="137">
        <f t="shared" si="58"/>
        <v>136195.53</v>
      </c>
      <c r="U134" s="137">
        <f t="shared" si="58"/>
        <v>128674.08000000002</v>
      </c>
      <c r="V134" s="137">
        <f t="shared" si="58"/>
        <v>126290.44000000002</v>
      </c>
      <c r="W134" s="137">
        <f t="shared" si="58"/>
        <v>125623.56</v>
      </c>
      <c r="X134" s="137">
        <f t="shared" si="58"/>
        <v>127890.61</v>
      </c>
      <c r="Y134" s="137">
        <f t="shared" si="58"/>
        <v>123682</v>
      </c>
      <c r="Z134" s="137">
        <f t="shared" si="58"/>
        <v>128211</v>
      </c>
      <c r="AA134" s="137">
        <f t="shared" si="58"/>
        <v>121703</v>
      </c>
      <c r="AB134" s="137">
        <f t="shared" si="58"/>
        <v>121704</v>
      </c>
      <c r="AC134" s="137">
        <f t="shared" si="58"/>
        <v>1567189.07</v>
      </c>
      <c r="AD134" s="72">
        <f t="shared" si="55"/>
        <v>-33069.360000000102</v>
      </c>
      <c r="AE134" s="192">
        <f t="shared" si="56"/>
        <v>-2.1101065999649997E-2</v>
      </c>
      <c r="AF134" s="133">
        <v>1920444.3800000001</v>
      </c>
      <c r="AG134" s="124">
        <f t="shared" si="42"/>
        <v>386324.67000000016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2"/>
        <v>0</v>
      </c>
    </row>
    <row r="136" spans="1:33" s="224" customFormat="1">
      <c r="A136" s="224" t="s">
        <v>141</v>
      </c>
      <c r="B136" s="224" t="s">
        <v>594</v>
      </c>
      <c r="C136" s="224" t="s">
        <v>142</v>
      </c>
      <c r="D136" s="215">
        <v>4</v>
      </c>
      <c r="E136" s="215">
        <v>4</v>
      </c>
      <c r="F136" s="215">
        <v>4</v>
      </c>
      <c r="G136" s="215">
        <v>4</v>
      </c>
      <c r="H136" s="215">
        <v>4</v>
      </c>
      <c r="I136" s="215">
        <v>4</v>
      </c>
      <c r="J136" s="215">
        <v>4</v>
      </c>
      <c r="K136" s="215">
        <v>4</v>
      </c>
      <c r="L136" s="215">
        <v>4</v>
      </c>
      <c r="M136" s="215">
        <v>4</v>
      </c>
      <c r="N136" s="215">
        <v>4</v>
      </c>
      <c r="O136" s="215">
        <v>4</v>
      </c>
      <c r="P136" s="225">
        <f>SUM(D136:O136)/12</f>
        <v>4</v>
      </c>
      <c r="Q136" s="225">
        <v>6</v>
      </c>
      <c r="R136" s="225">
        <v>6</v>
      </c>
      <c r="S136" s="225">
        <v>6</v>
      </c>
      <c r="T136" s="225">
        <v>6</v>
      </c>
      <c r="U136" s="225">
        <v>5</v>
      </c>
      <c r="V136" s="225">
        <v>5</v>
      </c>
      <c r="W136" s="127">
        <v>5</v>
      </c>
      <c r="X136" s="127">
        <v>5</v>
      </c>
      <c r="Y136" s="127">
        <v>6</v>
      </c>
      <c r="Z136" s="127">
        <v>6</v>
      </c>
      <c r="AA136" s="127">
        <v>6</v>
      </c>
      <c r="AB136" s="127">
        <v>6</v>
      </c>
      <c r="AC136" s="225">
        <f>SUM(Q136:AB136)/12</f>
        <v>5.666666666666667</v>
      </c>
      <c r="AD136" s="225">
        <f t="shared" ref="AD136" si="59">P136-AC136</f>
        <v>-1.666666666666667</v>
      </c>
      <c r="AE136" s="226">
        <f t="shared" ref="AE136" si="60">AD136/AC136</f>
        <v>-0.29411764705882354</v>
      </c>
      <c r="AF136" s="227">
        <v>7</v>
      </c>
      <c r="AG136" s="228">
        <f t="shared" si="42"/>
        <v>3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136">
        <v>3479</v>
      </c>
      <c r="E138" s="136">
        <v>3479</v>
      </c>
      <c r="F138" s="136">
        <v>3479</v>
      </c>
      <c r="G138" s="136">
        <v>3479</v>
      </c>
      <c r="H138" s="136">
        <v>3479</v>
      </c>
      <c r="I138" s="136">
        <v>3479</v>
      </c>
      <c r="J138" s="136">
        <v>3479</v>
      </c>
      <c r="K138" s="136">
        <v>3479</v>
      </c>
      <c r="L138" s="136">
        <v>3479</v>
      </c>
      <c r="M138" s="136">
        <v>3479</v>
      </c>
      <c r="N138" s="136">
        <v>3479</v>
      </c>
      <c r="O138" s="136">
        <v>3479</v>
      </c>
      <c r="P138" s="133">
        <f t="shared" ref="P138:P140" si="61">SUM(D138:O138)</f>
        <v>41748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0</v>
      </c>
      <c r="E139" s="136">
        <v>0</v>
      </c>
      <c r="F139" s="136">
        <v>0</v>
      </c>
      <c r="G139" s="136">
        <v>0</v>
      </c>
      <c r="H139" s="136">
        <v>0</v>
      </c>
      <c r="I139" s="136">
        <v>0</v>
      </c>
      <c r="J139" s="136">
        <v>0</v>
      </c>
      <c r="K139" s="136">
        <v>0</v>
      </c>
      <c r="L139" s="136">
        <v>0</v>
      </c>
      <c r="M139" s="136">
        <v>0</v>
      </c>
      <c r="N139" s="136">
        <v>0</v>
      </c>
      <c r="O139" s="136">
        <v>0</v>
      </c>
      <c r="P139" s="133">
        <f t="shared" si="61"/>
        <v>0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5370.7400000000007</v>
      </c>
      <c r="E140" s="136">
        <v>4008.7699999999995</v>
      </c>
      <c r="F140" s="136">
        <v>4016.7699999999995</v>
      </c>
      <c r="G140" s="136">
        <v>4352.0099999999993</v>
      </c>
      <c r="H140" s="136">
        <v>4386.0099999999993</v>
      </c>
      <c r="I140" s="136">
        <v>4028.7699999999995</v>
      </c>
      <c r="J140" s="136">
        <v>4020.7699999999995</v>
      </c>
      <c r="K140" s="136">
        <v>4019.7699999999995</v>
      </c>
      <c r="L140" s="136">
        <v>4027.7699999999995</v>
      </c>
      <c r="M140" s="136">
        <v>5406.7400000000007</v>
      </c>
      <c r="N140" s="136">
        <v>4030.7699999999995</v>
      </c>
      <c r="O140" s="136">
        <v>4029.7699999999995</v>
      </c>
      <c r="P140" s="133">
        <f t="shared" si="61"/>
        <v>51698.659999999982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8849.7400000000016</v>
      </c>
      <c r="E141" s="117">
        <f t="shared" ref="E141:P141" si="62">SUM(E138:E140)</f>
        <v>7487.7699999999995</v>
      </c>
      <c r="F141" s="117">
        <f t="shared" si="62"/>
        <v>7495.7699999999995</v>
      </c>
      <c r="G141" s="117">
        <f t="shared" si="62"/>
        <v>7831.0099999999993</v>
      </c>
      <c r="H141" s="117">
        <f t="shared" si="62"/>
        <v>7865.0099999999993</v>
      </c>
      <c r="I141" s="117">
        <f t="shared" si="62"/>
        <v>7507.7699999999995</v>
      </c>
      <c r="J141" s="117">
        <f t="shared" si="62"/>
        <v>7499.7699999999995</v>
      </c>
      <c r="K141" s="117">
        <f t="shared" si="62"/>
        <v>7498.7699999999995</v>
      </c>
      <c r="L141" s="117">
        <f t="shared" si="62"/>
        <v>7506.7699999999995</v>
      </c>
      <c r="M141" s="117">
        <f t="shared" si="62"/>
        <v>8885.7400000000016</v>
      </c>
      <c r="N141" s="117">
        <f t="shared" si="62"/>
        <v>7509.7699999999995</v>
      </c>
      <c r="O141" s="117">
        <f t="shared" si="62"/>
        <v>7508.7699999999995</v>
      </c>
      <c r="P141" s="117">
        <f t="shared" si="62"/>
        <v>93446.659999999974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4"/>
      <c r="AG141" s="123"/>
    </row>
    <row r="142" spans="1:33">
      <c r="C142" s="109" t="s">
        <v>600</v>
      </c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>
        <f>48031/7</f>
        <v>6861.5714285714284</v>
      </c>
      <c r="U142" s="136"/>
      <c r="V142" s="136"/>
      <c r="W142" s="136">
        <v>220.33333333333334</v>
      </c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C143" s="105" t="s">
        <v>376</v>
      </c>
      <c r="D143" s="234">
        <f>'F&amp;B+Summary'!D11/'F&amp;B+Summary'!D$24</f>
        <v>0.328710289236605</v>
      </c>
      <c r="E143" s="234">
        <f>'F&amp;B+Summary'!E11/'F&amp;B+Summary'!E$24</f>
        <v>0.33870910236145607</v>
      </c>
      <c r="F143" s="234">
        <f>'F&amp;B+Summary'!F11/'F&amp;B+Summary'!F$24</f>
        <v>0.38020316983881353</v>
      </c>
      <c r="G143" s="234">
        <f>'F&amp;B+Summary'!G11/'F&amp;B+Summary'!G$24</f>
        <v>0.40652000700170932</v>
      </c>
      <c r="H143" s="234">
        <f>'F&amp;B+Summary'!H11/'F&amp;B+Summary'!H$24</f>
        <v>0.40139864287591076</v>
      </c>
      <c r="I143" s="234">
        <f>'F&amp;B+Summary'!I11/'F&amp;B+Summary'!I$24</f>
        <v>0.40944320541043067</v>
      </c>
      <c r="J143" s="234">
        <f>'F&amp;B+Summary'!J11/'F&amp;B+Summary'!J$24</f>
        <v>0.39565438610618398</v>
      </c>
      <c r="K143" s="234">
        <f>'F&amp;B+Summary'!K11/'F&amp;B+Summary'!K$24</f>
        <v>0.38035497897212917</v>
      </c>
      <c r="L143" s="234">
        <f>'F&amp;B+Summary'!L11/'F&amp;B+Summary'!L$24</f>
        <v>0.40580666789135172</v>
      </c>
      <c r="M143" s="234">
        <f>'F&amp;B+Summary'!M11/'F&amp;B+Summary'!M$24</f>
        <v>0.37586078753182212</v>
      </c>
      <c r="N143" s="234">
        <f>'F&amp;B+Summary'!N11/'F&amp;B+Summary'!N$24</f>
        <v>0.36105108341872899</v>
      </c>
      <c r="O143" s="234">
        <f>'F&amp;B+Summary'!O11/'F&amp;B+Summary'!O$24</f>
        <v>0.33703330799586922</v>
      </c>
      <c r="P143" s="198">
        <f>SUM(D143:O143)/12</f>
        <v>0.37672880238675083</v>
      </c>
      <c r="Q143" s="234"/>
      <c r="R143" s="234"/>
      <c r="S143" s="234"/>
      <c r="T143" s="234"/>
      <c r="U143" s="234"/>
      <c r="V143" s="234"/>
      <c r="W143" s="234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C144" s="105" t="s">
        <v>378</v>
      </c>
      <c r="D144" s="234">
        <f>'F&amp;B+Summary'!D12/'F&amp;B+Summary'!D$24</f>
        <v>0.17798719772403984</v>
      </c>
      <c r="E144" s="234">
        <f>'F&amp;B+Summary'!E12/'F&amp;B+Summary'!E$24</f>
        <v>0.16609290797280291</v>
      </c>
      <c r="F144" s="234">
        <f>'F&amp;B+Summary'!F12/'F&amp;B+Summary'!F$24</f>
        <v>0.1479303439165793</v>
      </c>
      <c r="G144" s="234">
        <f>'F&amp;B+Summary'!G12/'F&amp;B+Summary'!G$24</f>
        <v>0.15380804029617612</v>
      </c>
      <c r="H144" s="234">
        <f>'F&amp;B+Summary'!H12/'F&amp;B+Summary'!H$24</f>
        <v>0.16025722758396363</v>
      </c>
      <c r="I144" s="234">
        <f>'F&amp;B+Summary'!I12/'F&amp;B+Summary'!I$24</f>
        <v>0.1334931453343266</v>
      </c>
      <c r="J144" s="234">
        <f>'F&amp;B+Summary'!J12/'F&amp;B+Summary'!J$24</f>
        <v>0.16794549934979511</v>
      </c>
      <c r="K144" s="234">
        <f>'F&amp;B+Summary'!K12/'F&amp;B+Summary'!K$24</f>
        <v>0.16933494903414356</v>
      </c>
      <c r="L144" s="234">
        <f>'F&amp;B+Summary'!L12/'F&amp;B+Summary'!L$24</f>
        <v>0.12619653289576788</v>
      </c>
      <c r="M144" s="234">
        <f>'F&amp;B+Summary'!M12/'F&amp;B+Summary'!M$24</f>
        <v>0.13186080804939926</v>
      </c>
      <c r="N144" s="234">
        <f>'F&amp;B+Summary'!N12/'F&amp;B+Summary'!N$24</f>
        <v>0.12519977275020044</v>
      </c>
      <c r="O144" s="234">
        <f>'F&amp;B+Summary'!O12/'F&amp;B+Summary'!O$24</f>
        <v>0.13114193640100708</v>
      </c>
      <c r="P144" s="198">
        <f t="shared" ref="P144:P155" si="63">SUM(D144:O144)/12</f>
        <v>0.14927069677568347</v>
      </c>
      <c r="Q144" s="234"/>
      <c r="R144" s="234"/>
      <c r="S144" s="234"/>
      <c r="T144" s="234"/>
      <c r="U144" s="234"/>
      <c r="V144" s="234"/>
      <c r="W144" s="234"/>
      <c r="X144" s="136"/>
      <c r="Y144" s="136"/>
      <c r="Z144" s="136"/>
      <c r="AA144" s="136"/>
      <c r="AB144" s="136"/>
      <c r="AC144" s="137"/>
      <c r="AD144" s="136"/>
      <c r="AG144" s="123"/>
    </row>
    <row r="145" spans="3:33">
      <c r="C145" s="105" t="s">
        <v>380</v>
      </c>
      <c r="D145" s="234">
        <f>'F&amp;B+Summary'!D13/'F&amp;B+Summary'!D$24</f>
        <v>0.1251778093883357</v>
      </c>
      <c r="E145" s="234">
        <f>'F&amp;B+Summary'!E13/'F&amp;B+Summary'!E$24</f>
        <v>0.12491961436020954</v>
      </c>
      <c r="F145" s="234">
        <f>'F&amp;B+Summary'!F13/'F&amp;B+Summary'!F$24</f>
        <v>7.4072523441538266E-2</v>
      </c>
      <c r="G145" s="234">
        <f>'F&amp;B+Summary'!G13/'F&amp;B+Summary'!G$24</f>
        <v>6.1217130466139753E-2</v>
      </c>
      <c r="H145" s="234">
        <f>'F&amp;B+Summary'!H13/'F&amp;B+Summary'!H$24</f>
        <v>6.1012593717138436E-2</v>
      </c>
      <c r="I145" s="234">
        <f>'F&amp;B+Summary'!I13/'F&amp;B+Summary'!I$24</f>
        <v>6.9532043067142196E-2</v>
      </c>
      <c r="J145" s="234">
        <f>'F&amp;B+Summary'!J13/'F&amp;B+Summary'!J$24</f>
        <v>7.7410640759905558E-2</v>
      </c>
      <c r="K145" s="234">
        <f>'F&amp;B+Summary'!K13/'F&amp;B+Summary'!K$24</f>
        <v>7.9406942761422766E-2</v>
      </c>
      <c r="L145" s="234">
        <f>'F&amp;B+Summary'!L13/'F&amp;B+Summary'!L$24</f>
        <v>6.4451647253332342E-2</v>
      </c>
      <c r="M145" s="234">
        <f>'F&amp;B+Summary'!M13/'F&amp;B+Summary'!M$24</f>
        <v>5.6600212710674391E-2</v>
      </c>
      <c r="N145" s="234">
        <f>'F&amp;B+Summary'!N13/'F&amp;B+Summary'!N$24</f>
        <v>6.3360925423482831E-2</v>
      </c>
      <c r="O145" s="234">
        <f>'F&amp;B+Summary'!O13/'F&amp;B+Summary'!O$24</f>
        <v>6.5203829520769474E-2</v>
      </c>
      <c r="P145" s="198">
        <f t="shared" si="63"/>
        <v>7.6863826072507593E-2</v>
      </c>
      <c r="Q145" s="234"/>
      <c r="R145" s="234"/>
      <c r="S145" s="234"/>
      <c r="T145" s="234"/>
      <c r="U145" s="234"/>
      <c r="V145" s="234"/>
      <c r="W145" s="234"/>
      <c r="X145" s="136"/>
      <c r="Y145" s="136"/>
      <c r="Z145" s="136"/>
      <c r="AA145" s="136"/>
      <c r="AB145" s="136"/>
      <c r="AC145" s="137"/>
      <c r="AD145" s="136"/>
      <c r="AG145" s="123"/>
    </row>
    <row r="146" spans="3:33">
      <c r="C146" s="105" t="s">
        <v>382</v>
      </c>
      <c r="D146" s="234">
        <f>'F&amp;B+Summary'!D14/'F&amp;B+Summary'!D$24</f>
        <v>9.5145803698435283E-2</v>
      </c>
      <c r="E146" s="234">
        <f>'F&amp;B+Summary'!E14/'F&amp;B+Summary'!E$24</f>
        <v>8.9085115682693616E-2</v>
      </c>
      <c r="F146" s="234">
        <f>'F&amp;B+Summary'!F14/'F&amp;B+Summary'!F$24</f>
        <v>9.927596792122978E-2</v>
      </c>
      <c r="G146" s="234">
        <f>'F&amp;B+Summary'!G14/'F&amp;B+Summary'!G$24</f>
        <v>0.10026218149157451</v>
      </c>
      <c r="H146" s="234">
        <f>'F&amp;B+Summary'!H14/'F&amp;B+Summary'!H$24</f>
        <v>9.8999072344124625E-2</v>
      </c>
      <c r="I146" s="234">
        <f>'F&amp;B+Summary'!I14/'F&amp;B+Summary'!I$24</f>
        <v>9.9448623464509445E-2</v>
      </c>
      <c r="J146" s="234">
        <f>'F&amp;B+Summary'!J14/'F&amp;B+Summary'!J$24</f>
        <v>8.5436433629495767E-2</v>
      </c>
      <c r="K146" s="234">
        <f>'F&amp;B+Summary'!K14/'F&amp;B+Summary'!K$24</f>
        <v>9.5072350131869696E-2</v>
      </c>
      <c r="L146" s="234">
        <f>'F&amp;B+Summary'!L14/'F&amp;B+Summary'!L$24</f>
        <v>0.10005054420646114</v>
      </c>
      <c r="M146" s="234">
        <f>'F&amp;B+Summary'!M14/'F&amp;B+Summary'!M$24</f>
        <v>9.6038002797819266E-2</v>
      </c>
      <c r="N146" s="234">
        <f>'F&amp;B+Summary'!N14/'F&amp;B+Summary'!N$24</f>
        <v>9.3960889672346143E-2</v>
      </c>
      <c r="O146" s="234">
        <f>'F&amp;B+Summary'!O14/'F&amp;B+Summary'!O$24</f>
        <v>8.4825335975948601E-2</v>
      </c>
      <c r="P146" s="198">
        <f t="shared" si="63"/>
        <v>9.4800026751375652E-2</v>
      </c>
      <c r="Q146" s="234"/>
      <c r="R146" s="234"/>
      <c r="S146" s="234"/>
      <c r="T146" s="234"/>
      <c r="U146" s="234"/>
      <c r="V146" s="234"/>
      <c r="W146" s="234"/>
      <c r="X146" s="136"/>
      <c r="Y146" s="136"/>
      <c r="Z146" s="136"/>
      <c r="AA146" s="136"/>
      <c r="AB146" s="136"/>
      <c r="AC146" s="137"/>
      <c r="AD146" s="136"/>
      <c r="AG146" s="123"/>
    </row>
    <row r="147" spans="3:33">
      <c r="C147" s="105" t="s">
        <v>384</v>
      </c>
      <c r="D147" s="234">
        <f>'F&amp;B+Summary'!D15/'F&amp;B+Summary'!D$24</f>
        <v>0.17354196301564723</v>
      </c>
      <c r="E147" s="234">
        <f>'F&amp;B+Summary'!E15/'F&amp;B+Summary'!E$24</f>
        <v>0.16427061338699858</v>
      </c>
      <c r="F147" s="234">
        <f>'F&amp;B+Summary'!F15/'F&amp;B+Summary'!F$24</f>
        <v>0.1631742545378814</v>
      </c>
      <c r="G147" s="234">
        <f>'F&amp;B+Summary'!G15/'F&amp;B+Summary'!G$24</f>
        <v>0.15022109905792574</v>
      </c>
      <c r="H147" s="234">
        <f>'F&amp;B+Summary'!H15/'F&amp;B+Summary'!H$24</f>
        <v>0.15317372212144756</v>
      </c>
      <c r="I147" s="234">
        <f>'F&amp;B+Summary'!I15/'F&amp;B+Summary'!I$24</f>
        <v>0.15845766200180658</v>
      </c>
      <c r="J147" s="234">
        <f>'F&amp;B+Summary'!J15/'F&amp;B+Summary'!J$24</f>
        <v>0.17456544380098704</v>
      </c>
      <c r="K147" s="234">
        <f>'F&amp;B+Summary'!K15/'F&amp;B+Summary'!K$24</f>
        <v>0.17469527407513008</v>
      </c>
      <c r="L147" s="234">
        <f>'F&amp;B+Summary'!L15/'F&amp;B+Summary'!L$24</f>
        <v>0.15526515988886502</v>
      </c>
      <c r="M147" s="234">
        <f>'F&amp;B+Summary'!M15/'F&amp;B+Summary'!M$24</f>
        <v>0.14415366674749885</v>
      </c>
      <c r="N147" s="234">
        <f>'F&amp;B+Summary'!N15/'F&amp;B+Summary'!N$24</f>
        <v>0.13564193643731073</v>
      </c>
      <c r="O147" s="234">
        <f>'F&amp;B+Summary'!O15/'F&amp;B+Summary'!O$24</f>
        <v>0.18301863184743009</v>
      </c>
      <c r="P147" s="198">
        <f t="shared" si="63"/>
        <v>0.1608482855765774</v>
      </c>
      <c r="Q147" s="234"/>
      <c r="R147" s="234"/>
      <c r="S147" s="234"/>
      <c r="T147" s="234"/>
      <c r="U147" s="234"/>
      <c r="V147" s="234"/>
      <c r="W147" s="234"/>
      <c r="X147" s="136"/>
      <c r="Y147" s="136"/>
      <c r="Z147" s="136"/>
      <c r="AA147" s="136"/>
      <c r="AB147" s="136"/>
      <c r="AC147" s="137"/>
      <c r="AD147" s="136"/>
      <c r="AG147" s="123"/>
    </row>
    <row r="148" spans="3:33">
      <c r="C148" s="105" t="s">
        <v>386</v>
      </c>
      <c r="D148" s="234">
        <f>'F&amp;B+Summary'!D16/'F&amp;B+Summary'!D$24</f>
        <v>2.3992413466097675E-2</v>
      </c>
      <c r="E148" s="234">
        <f>'F&amp;B+Summary'!E16/'F&amp;B+Summary'!E$24</f>
        <v>3.8030495703742437E-2</v>
      </c>
      <c r="F148" s="234">
        <f>'F&amp;B+Summary'!F16/'F&amp;B+Summary'!F$24</f>
        <v>3.0953011003348112E-2</v>
      </c>
      <c r="G148" s="234">
        <f>'F&amp;B+Summary'!G16/'F&amp;B+Summary'!G$24</f>
        <v>2.2095558027622315E-2</v>
      </c>
      <c r="H148" s="234">
        <f>'F&amp;B+Summary'!H16/'F&amp;B+Summary'!H$24</f>
        <v>2.3706131614553788E-2</v>
      </c>
      <c r="I148" s="234">
        <f>'F&amp;B+Summary'!I16/'F&amp;B+Summary'!I$24</f>
        <v>2.1466971127656852E-2</v>
      </c>
      <c r="J148" s="234">
        <f>'F&amp;B+Summary'!J16/'F&amp;B+Summary'!J$24</f>
        <v>2.5581102549968791E-2</v>
      </c>
      <c r="K148" s="234">
        <f>'F&amp;B+Summary'!K16/'F&amp;B+Summary'!K$24</f>
        <v>2.7158029795423765E-2</v>
      </c>
      <c r="L148" s="234">
        <f>'F&amp;B+Summary'!L16/'F&amp;B+Summary'!L$24</f>
        <v>2.0757374316693184E-2</v>
      </c>
      <c r="M148" s="234">
        <f>'F&amp;B+Summary'!M16/'F&amp;B+Summary'!M$24</f>
        <v>2.8211668522976768E-2</v>
      </c>
      <c r="N148" s="234">
        <f>'F&amp;B+Summary'!N16/'F&amp;B+Summary'!N$24</f>
        <v>2.0618848636412709E-2</v>
      </c>
      <c r="O148" s="234">
        <f>'F&amp;B+Summary'!O16/'F&amp;B+Summary'!O$24</f>
        <v>1.8944355874277619E-2</v>
      </c>
      <c r="P148" s="198">
        <f t="shared" si="63"/>
        <v>2.5126330053231168E-2</v>
      </c>
      <c r="Q148" s="234"/>
      <c r="R148" s="234"/>
      <c r="S148" s="234"/>
      <c r="T148" s="234"/>
      <c r="U148" s="234"/>
      <c r="V148" s="234"/>
      <c r="W148" s="234"/>
      <c r="X148" s="136"/>
      <c r="Y148" s="136"/>
      <c r="Z148" s="136"/>
      <c r="AA148" s="136"/>
      <c r="AB148" s="136"/>
      <c r="AC148" s="137"/>
      <c r="AD148" s="136"/>
      <c r="AG148" s="123"/>
    </row>
    <row r="149" spans="3:33">
      <c r="C149" s="105" t="s">
        <v>388</v>
      </c>
      <c r="D149" s="234">
        <f>'F&amp;B+Summary'!D17/'F&amp;B+Summary'!D$24</f>
        <v>0</v>
      </c>
      <c r="E149" s="234">
        <f>'F&amp;B+Summary'!E17/'F&amp;B+Summary'!E$24</f>
        <v>0</v>
      </c>
      <c r="F149" s="234">
        <f>'F&amp;B+Summary'!F17/'F&amp;B+Summary'!F$24</f>
        <v>0</v>
      </c>
      <c r="G149" s="234">
        <f>'F&amp;B+Summary'!G17/'F&amp;B+Summary'!G$24</f>
        <v>0</v>
      </c>
      <c r="H149" s="234">
        <f>'F&amp;B+Summary'!H17/'F&amp;B+Summary'!H$24</f>
        <v>0</v>
      </c>
      <c r="I149" s="234">
        <f>'F&amp;B+Summary'!I17/'F&amp;B+Summary'!I$24</f>
        <v>0</v>
      </c>
      <c r="J149" s="234">
        <f>'F&amp;B+Summary'!J17/'F&amp;B+Summary'!J$24</f>
        <v>0</v>
      </c>
      <c r="K149" s="234">
        <f>'F&amp;B+Summary'!K17/'F&amp;B+Summary'!K$24</f>
        <v>0</v>
      </c>
      <c r="L149" s="234">
        <f>'F&amp;B+Summary'!L17/'F&amp;B+Summary'!L$24</f>
        <v>0</v>
      </c>
      <c r="M149" s="234">
        <f>'F&amp;B+Summary'!M17/'F&amp;B+Summary'!M$24</f>
        <v>0</v>
      </c>
      <c r="N149" s="234">
        <f>'F&amp;B+Summary'!N17/'F&amp;B+Summary'!N$24</f>
        <v>0</v>
      </c>
      <c r="O149" s="234">
        <f>'F&amp;B+Summary'!O17/'F&amp;B+Summary'!O$24</f>
        <v>0</v>
      </c>
      <c r="P149" s="198">
        <f t="shared" si="63"/>
        <v>0</v>
      </c>
      <c r="Q149" s="234"/>
      <c r="R149" s="234"/>
      <c r="S149" s="234"/>
      <c r="T149" s="234"/>
      <c r="U149" s="234"/>
      <c r="V149" s="234"/>
      <c r="W149" s="234"/>
      <c r="X149" s="136"/>
      <c r="Y149" s="136"/>
      <c r="Z149" s="136"/>
      <c r="AA149" s="136"/>
      <c r="AB149" s="136"/>
      <c r="AC149" s="137"/>
      <c r="AD149" s="136"/>
      <c r="AG149" s="123"/>
    </row>
    <row r="150" spans="3:33">
      <c r="C150" s="105" t="s">
        <v>390</v>
      </c>
      <c r="D150" s="234">
        <f>'F&amp;B+Summary'!D18/'F&amp;B+Summary'!D$24</f>
        <v>1.3898767188240872E-2</v>
      </c>
      <c r="E150" s="234">
        <f>'F&amp;B+Summary'!E18/'F&amp;B+Summary'!E$24</f>
        <v>2.1055425485978236E-2</v>
      </c>
      <c r="F150" s="234">
        <f>'F&amp;B+Summary'!F18/'F&amp;B+Summary'!F$24</f>
        <v>1.7701364992001419E-2</v>
      </c>
      <c r="G150" s="234">
        <f>'F&amp;B+Summary'!G18/'F&amp;B+Summary'!G$24</f>
        <v>1.8897919478430048E-2</v>
      </c>
      <c r="H150" s="234">
        <f>'F&amp;B+Summary'!H18/'F&amp;B+Summary'!H$24</f>
        <v>1.8982850172148073E-2</v>
      </c>
      <c r="I150" s="234">
        <f>'F&amp;B+Summary'!I18/'F&amp;B+Summary'!I$24</f>
        <v>1.920089671203493E-2</v>
      </c>
      <c r="J150" s="234">
        <f>'F&amp;B+Summary'!J18/'F&amp;B+Summary'!J$24</f>
        <v>1.6491284110546546E-2</v>
      </c>
      <c r="K150" s="234">
        <f>'F&amp;B+Summary'!K18/'F&amp;B+Summary'!K$24</f>
        <v>1.8257181552498395E-2</v>
      </c>
      <c r="L150" s="234">
        <f>'F&amp;B+Summary'!L18/'F&amp;B+Summary'!L$24</f>
        <v>1.8815521949366538E-2</v>
      </c>
      <c r="M150" s="234">
        <f>'F&amp;B+Summary'!M18/'F&amp;B+Summary'!M$24</f>
        <v>1.6884550954253053E-2</v>
      </c>
      <c r="N150" s="234">
        <f>'F&amp;B+Summary'!N18/'F&amp;B+Summary'!N$24</f>
        <v>1.6676489379965558E-2</v>
      </c>
      <c r="O150" s="234">
        <f>'F&amp;B+Summary'!O18/'F&amp;B+Summary'!O$24</f>
        <v>1.3291154483732526E-2</v>
      </c>
      <c r="P150" s="198">
        <f t="shared" si="63"/>
        <v>1.7512783871599682E-2</v>
      </c>
      <c r="Q150" s="234"/>
      <c r="R150" s="234"/>
      <c r="S150" s="234"/>
      <c r="T150" s="234"/>
      <c r="U150" s="234"/>
      <c r="V150" s="234"/>
      <c r="W150" s="234"/>
      <c r="X150" s="136"/>
      <c r="Y150" s="136"/>
      <c r="Z150" s="136"/>
      <c r="AA150" s="136"/>
      <c r="AB150" s="136"/>
      <c r="AC150" s="137"/>
      <c r="AD150" s="136"/>
      <c r="AG150" s="123"/>
    </row>
    <row r="151" spans="3:33">
      <c r="C151" s="105" t="s">
        <v>392</v>
      </c>
      <c r="D151" s="234">
        <f>'F&amp;B+Summary'!D19/'F&amp;B+Summary'!D$24</f>
        <v>0</v>
      </c>
      <c r="E151" s="234">
        <f>'F&amp;B+Summary'!E19/'F&amp;B+Summary'!E$24</f>
        <v>0</v>
      </c>
      <c r="F151" s="234">
        <f>'F&amp;B+Summary'!F19/'F&amp;B+Summary'!F$24</f>
        <v>0</v>
      </c>
      <c r="G151" s="234">
        <f>'F&amp;B+Summary'!G19/'F&amp;B+Summary'!G$24</f>
        <v>0</v>
      </c>
      <c r="H151" s="234">
        <f>'F&amp;B+Summary'!H19/'F&amp;B+Summary'!H$24</f>
        <v>0</v>
      </c>
      <c r="I151" s="234">
        <f>'F&amp;B+Summary'!I19/'F&amp;B+Summary'!I$24</f>
        <v>0</v>
      </c>
      <c r="J151" s="234">
        <f>'F&amp;B+Summary'!J19/'F&amp;B+Summary'!J$24</f>
        <v>0</v>
      </c>
      <c r="K151" s="234">
        <f>'F&amp;B+Summary'!K19/'F&amp;B+Summary'!K$24</f>
        <v>0</v>
      </c>
      <c r="L151" s="234">
        <f>'F&amp;B+Summary'!L19/'F&amp;B+Summary'!L$24</f>
        <v>0</v>
      </c>
      <c r="M151" s="234">
        <f>'F&amp;B+Summary'!M19/'F&amp;B+Summary'!M$24</f>
        <v>0</v>
      </c>
      <c r="N151" s="234">
        <f>'F&amp;B+Summary'!N19/'F&amp;B+Summary'!N$24</f>
        <v>0</v>
      </c>
      <c r="O151" s="234">
        <f>'F&amp;B+Summary'!O19/'F&amp;B+Summary'!O$24</f>
        <v>0</v>
      </c>
      <c r="P151" s="198">
        <f t="shared" si="63"/>
        <v>0</v>
      </c>
      <c r="Q151" s="234"/>
      <c r="R151" s="234"/>
      <c r="S151" s="234"/>
      <c r="T151" s="234"/>
      <c r="U151" s="234"/>
      <c r="V151" s="234"/>
      <c r="W151" s="234"/>
      <c r="X151" s="136"/>
      <c r="Y151" s="136"/>
      <c r="Z151" s="136"/>
      <c r="AA151" s="136"/>
      <c r="AB151" s="136"/>
      <c r="AC151" s="137"/>
      <c r="AD151" s="136"/>
      <c r="AG151" s="123"/>
    </row>
    <row r="152" spans="3:33">
      <c r="C152" s="105" t="s">
        <v>601</v>
      </c>
      <c r="D152" s="234">
        <f>'F&amp;B+Summary'!D20/'F&amp;B+Summary'!D$24</f>
        <v>1.7496443812233285E-2</v>
      </c>
      <c r="E152" s="234">
        <f>'F&amp;B+Summary'!E20/'F&amp;B+Summary'!E$24</f>
        <v>2.3345178248141061E-2</v>
      </c>
      <c r="F152" s="234">
        <f>'F&amp;B+Summary'!F20/'F&amp;B+Summary'!F$24</f>
        <v>2.1401770619580873E-2</v>
      </c>
      <c r="G152" s="234">
        <f>'F&amp;B+Summary'!G20/'F&amp;B+Summary'!G$24</f>
        <v>2.1177301070630219E-2</v>
      </c>
      <c r="H152" s="234">
        <f>'F&amp;B+Summary'!H20/'F&amp;B+Summary'!H$24</f>
        <v>2.514814443324306E-2</v>
      </c>
      <c r="I152" s="234">
        <f>'F&amp;B+Summary'!I20/'F&amp;B+Summary'!I$24</f>
        <v>2.2261144342447824E-2</v>
      </c>
      <c r="J152" s="234">
        <f>'F&amp;B+Summary'!J20/'F&amp;B+Summary'!J$24</f>
        <v>2.1227717932827437E-2</v>
      </c>
      <c r="K152" s="234">
        <f>'F&amp;B+Summary'!K20/'F&amp;B+Summary'!K$24</f>
        <v>2.0165371729987881E-2</v>
      </c>
      <c r="L152" s="234">
        <f>'F&amp;B+Summary'!L20/'F&amp;B+Summary'!L$24</f>
        <v>2.4452186945064572E-2</v>
      </c>
      <c r="M152" s="234">
        <f>'F&amp;B+Summary'!M20/'F&amp;B+Summary'!M$24</f>
        <v>2.1366580298279585E-2</v>
      </c>
      <c r="N152" s="234">
        <f>'F&amp;B+Summary'!N20/'F&amp;B+Summary'!N$24</f>
        <v>1.8468470860168808E-2</v>
      </c>
      <c r="O152" s="234">
        <f>'F&amp;B+Summary'!O20/'F&amp;B+Summary'!O$24</f>
        <v>2.0177941838184069E-2</v>
      </c>
      <c r="P152" s="198">
        <f t="shared" si="63"/>
        <v>2.1390687677565728E-2</v>
      </c>
      <c r="Q152" s="234"/>
      <c r="R152" s="234"/>
      <c r="S152" s="234"/>
      <c r="T152" s="234"/>
      <c r="U152" s="234"/>
      <c r="V152" s="234"/>
      <c r="W152" s="234"/>
      <c r="X152" s="136"/>
      <c r="Y152" s="136"/>
      <c r="Z152" s="136"/>
      <c r="AA152" s="136"/>
      <c r="AB152" s="136"/>
      <c r="AC152" s="137"/>
      <c r="AD152" s="136"/>
      <c r="AG152" s="123"/>
    </row>
    <row r="153" spans="3:33">
      <c r="C153" s="105" t="s">
        <v>396</v>
      </c>
      <c r="D153" s="234">
        <f>'F&amp;B+Summary'!D21/'F&amp;B+Summary'!D$24</f>
        <v>0</v>
      </c>
      <c r="E153" s="234">
        <f>'F&amp;B+Summary'!E21/'F&amp;B+Summary'!E$24</f>
        <v>0</v>
      </c>
      <c r="F153" s="234">
        <f>'F&amp;B+Summary'!F21/'F&amp;B+Summary'!F$24</f>
        <v>0</v>
      </c>
      <c r="G153" s="234">
        <f>'F&amp;B+Summary'!G21/'F&amp;B+Summary'!G$24</f>
        <v>0</v>
      </c>
      <c r="H153" s="234">
        <f>'F&amp;B+Summary'!H21/'F&amp;B+Summary'!H$24</f>
        <v>0</v>
      </c>
      <c r="I153" s="234">
        <f>'F&amp;B+Summary'!I21/'F&amp;B+Summary'!I$24</f>
        <v>0</v>
      </c>
      <c r="J153" s="234">
        <f>'F&amp;B+Summary'!J21/'F&amp;B+Summary'!J$24</f>
        <v>0</v>
      </c>
      <c r="K153" s="234">
        <f>'F&amp;B+Summary'!K21/'F&amp;B+Summary'!K$24</f>
        <v>0</v>
      </c>
      <c r="L153" s="234">
        <f>'F&amp;B+Summary'!L21/'F&amp;B+Summary'!L$24</f>
        <v>0</v>
      </c>
      <c r="M153" s="234">
        <f>'F&amp;B+Summary'!M21/'F&amp;B+Summary'!M$24</f>
        <v>0</v>
      </c>
      <c r="N153" s="234">
        <f>'F&amp;B+Summary'!N21/'F&amp;B+Summary'!N$24</f>
        <v>0</v>
      </c>
      <c r="O153" s="234">
        <f>'F&amp;B+Summary'!O21/'F&amp;B+Summary'!O$24</f>
        <v>0</v>
      </c>
      <c r="P153" s="198">
        <f t="shared" si="63"/>
        <v>0</v>
      </c>
      <c r="Q153" s="234"/>
      <c r="R153" s="234"/>
      <c r="S153" s="234"/>
      <c r="T153" s="234"/>
      <c r="U153" s="234"/>
      <c r="V153" s="234"/>
      <c r="W153" s="234"/>
      <c r="X153" s="136"/>
      <c r="Y153" s="136"/>
      <c r="Z153" s="136"/>
      <c r="AA153" s="136"/>
      <c r="AB153" s="136"/>
      <c r="AC153" s="137"/>
      <c r="AD153" s="136"/>
      <c r="AG153" s="123"/>
    </row>
    <row r="154" spans="3:33">
      <c r="C154" s="105" t="s">
        <v>398</v>
      </c>
      <c r="D154" s="234">
        <f>'F&amp;B+Summary'!D22/'F&amp;B+Summary'!D$24</f>
        <v>2.2119487908961594E-2</v>
      </c>
      <c r="E154" s="234">
        <f>'F&amp;B+Summary'!E22/'F&amp;B+Summary'!E$24</f>
        <v>3.0992212991903995E-2</v>
      </c>
      <c r="F154" s="234">
        <f>'F&amp;B+Summary'!F22/'F&amp;B+Summary'!F$24</f>
        <v>2.6372681051407585E-2</v>
      </c>
      <c r="G154" s="234">
        <f>'F&amp;B+Summary'!G22/'F&amp;B+Summary'!G$24</f>
        <v>2.4192244746087603E-2</v>
      </c>
      <c r="H154" s="234">
        <f>'F&amp;B+Summary'!H22/'F&amp;B+Summary'!H$24</f>
        <v>2.2848555219891844E-2</v>
      </c>
      <c r="I154" s="234">
        <f>'F&amp;B+Summary'!I22/'F&amp;B+Summary'!I$24</f>
        <v>2.4809535607631519E-2</v>
      </c>
      <c r="J154" s="234">
        <f>'F&amp;B+Summary'!J22/'F&amp;B+Summary'!J$24</f>
        <v>2.011638586030879E-2</v>
      </c>
      <c r="K154" s="234">
        <f>'F&amp;B+Summary'!K22/'F&amp;B+Summary'!K$24</f>
        <v>2.058592914676741E-2</v>
      </c>
      <c r="L154" s="234">
        <f>'F&amp;B+Summary'!L22/'F&amp;B+Summary'!L$24</f>
        <v>2.8159453998025975E-2</v>
      </c>
      <c r="M154" s="234">
        <f>'F&amp;B+Summary'!M22/'F&amp;B+Summary'!M$24</f>
        <v>2.8204593496387934E-2</v>
      </c>
      <c r="N154" s="234">
        <f>'F&amp;B+Summary'!N22/'F&amp;B+Summary'!N$24</f>
        <v>2.8742498013334113E-2</v>
      </c>
      <c r="O154" s="234">
        <f>'F&amp;B+Summary'!O22/'F&amp;B+Summary'!O$24</f>
        <v>2.8879128547881345E-2</v>
      </c>
      <c r="P154" s="198">
        <f t="shared" si="63"/>
        <v>2.5501892215715805E-2</v>
      </c>
      <c r="Q154" s="234"/>
      <c r="R154" s="234"/>
      <c r="S154" s="234"/>
      <c r="T154" s="234"/>
      <c r="U154" s="234"/>
      <c r="V154" s="234"/>
      <c r="W154" s="234"/>
      <c r="X154" s="136"/>
      <c r="Y154" s="136"/>
      <c r="Z154" s="136"/>
      <c r="AA154" s="136"/>
      <c r="AB154" s="136"/>
      <c r="AC154" s="137"/>
      <c r="AD154" s="136"/>
      <c r="AG154" s="123"/>
    </row>
    <row r="155" spans="3:33">
      <c r="C155" s="105" t="s">
        <v>404</v>
      </c>
      <c r="D155" s="234">
        <f>'F&amp;B+Summary'!D23/'F&amp;B+Summary'!D$24</f>
        <v>2.1929824561403508E-2</v>
      </c>
      <c r="E155" s="234">
        <f>'F&amp;B+Summary'!E23/'F&amp;B+Summary'!E$24</f>
        <v>3.4993338060735229E-3</v>
      </c>
      <c r="F155" s="234">
        <f>'F&amp;B+Summary'!F23/'F&amp;B+Summary'!F$24</f>
        <v>3.8914912677619741E-2</v>
      </c>
      <c r="G155" s="234">
        <f>'F&amp;B+Summary'!G23/'F&amp;B+Summary'!G$24</f>
        <v>4.1608518363704362E-2</v>
      </c>
      <c r="H155" s="234">
        <f>'F&amp;B+Summary'!H23/'F&amp;B+Summary'!H$24</f>
        <v>3.4473059917578222E-2</v>
      </c>
      <c r="I155" s="234">
        <f>'F&amp;B+Summary'!I23/'F&amp;B+Summary'!I$24</f>
        <v>4.1886772932013372E-2</v>
      </c>
      <c r="J155" s="234">
        <f>'F&amp;B+Summary'!J23/'F&amp;B+Summary'!J$24</f>
        <v>1.5571105899981003E-2</v>
      </c>
      <c r="K155" s="234">
        <f>'F&amp;B+Summary'!K23/'F&amp;B+Summary'!K$24</f>
        <v>1.4968992800627271E-2</v>
      </c>
      <c r="L155" s="234">
        <f>'F&amp;B+Summary'!L23/'F&amp;B+Summary'!L$24</f>
        <v>5.6044910655071598E-2</v>
      </c>
      <c r="M155" s="234">
        <f>'F&amp;B+Summary'!M23/'F&amp;B+Summary'!M$24</f>
        <v>0.10081912889088876</v>
      </c>
      <c r="N155" s="234">
        <f>'F&amp;B+Summary'!N23/'F&amp;B+Summary'!N$24</f>
        <v>0.13627908540804967</v>
      </c>
      <c r="O155" s="234">
        <f>'F&amp;B+Summary'!O23/'F&amp;B+Summary'!O$24</f>
        <v>0.11748437751489996</v>
      </c>
      <c r="P155" s="198">
        <f t="shared" si="63"/>
        <v>5.1956668618992584E-2</v>
      </c>
      <c r="Q155" s="234"/>
      <c r="R155" s="234"/>
      <c r="S155" s="234"/>
      <c r="T155" s="234"/>
      <c r="U155" s="234"/>
      <c r="V155" s="234"/>
      <c r="W155" s="234"/>
      <c r="X155" s="136"/>
      <c r="Y155" s="136"/>
      <c r="Z155" s="136"/>
      <c r="AA155" s="136"/>
      <c r="AB155" s="136"/>
      <c r="AC155" s="137"/>
      <c r="AD155" s="136"/>
      <c r="AG155" s="123"/>
    </row>
    <row r="156" spans="3:33">
      <c r="C156" s="109" t="s">
        <v>602</v>
      </c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3:33">
      <c r="C157" s="105" t="s">
        <v>376</v>
      </c>
      <c r="D157" s="134">
        <f t="shared" ref="D157:O169" si="64">ROUND(-D$81*D143,0)</f>
        <v>47181</v>
      </c>
      <c r="E157" s="134">
        <f t="shared" si="64"/>
        <v>47852</v>
      </c>
      <c r="F157" s="134">
        <f t="shared" si="64"/>
        <v>54344</v>
      </c>
      <c r="G157" s="134">
        <f t="shared" si="64"/>
        <v>62339</v>
      </c>
      <c r="H157" s="134">
        <f t="shared" si="64"/>
        <v>57701</v>
      </c>
      <c r="I157" s="134">
        <f t="shared" si="64"/>
        <v>59672</v>
      </c>
      <c r="J157" s="134">
        <f t="shared" si="64"/>
        <v>60257</v>
      </c>
      <c r="K157" s="134">
        <f t="shared" si="64"/>
        <v>57595</v>
      </c>
      <c r="L157" s="134">
        <f t="shared" si="64"/>
        <v>59311</v>
      </c>
      <c r="M157" s="134">
        <f t="shared" si="64"/>
        <v>60378</v>
      </c>
      <c r="N157" s="134">
        <f t="shared" si="64"/>
        <v>54630</v>
      </c>
      <c r="O157" s="134">
        <f t="shared" si="64"/>
        <v>51005</v>
      </c>
      <c r="P157" s="133">
        <f>SUM(D157:O157)</f>
        <v>672265</v>
      </c>
      <c r="Q157" s="134"/>
      <c r="R157" s="134"/>
      <c r="S157" s="134"/>
      <c r="T157" s="134"/>
      <c r="U157" s="134"/>
      <c r="V157" s="134"/>
      <c r="W157" s="134"/>
      <c r="X157" s="136"/>
      <c r="Y157" s="136"/>
      <c r="Z157" s="136"/>
      <c r="AA157" s="136"/>
      <c r="AB157" s="136"/>
      <c r="AC157" s="137"/>
      <c r="AD157" s="136"/>
      <c r="AG157" s="123"/>
    </row>
    <row r="158" spans="3:33">
      <c r="C158" s="105" t="s">
        <v>378</v>
      </c>
      <c r="D158" s="134">
        <f t="shared" si="64"/>
        <v>25547</v>
      </c>
      <c r="E158" s="134">
        <f t="shared" si="64"/>
        <v>23465</v>
      </c>
      <c r="F158" s="134">
        <f t="shared" si="64"/>
        <v>21144</v>
      </c>
      <c r="G158" s="134">
        <f t="shared" si="64"/>
        <v>23586</v>
      </c>
      <c r="H158" s="134">
        <f t="shared" si="64"/>
        <v>23037</v>
      </c>
      <c r="I158" s="134">
        <f t="shared" si="64"/>
        <v>19455</v>
      </c>
      <c r="J158" s="134">
        <f t="shared" si="64"/>
        <v>25578</v>
      </c>
      <c r="K158" s="134">
        <f t="shared" si="64"/>
        <v>25641</v>
      </c>
      <c r="L158" s="134">
        <f t="shared" si="64"/>
        <v>18444</v>
      </c>
      <c r="M158" s="134">
        <f t="shared" si="64"/>
        <v>21182</v>
      </c>
      <c r="N158" s="134">
        <f t="shared" si="64"/>
        <v>18944</v>
      </c>
      <c r="O158" s="134">
        <f t="shared" si="64"/>
        <v>19847</v>
      </c>
      <c r="P158" s="133">
        <f t="shared" ref="P158:P169" si="65">SUM(D158:O158)</f>
        <v>265870</v>
      </c>
      <c r="Q158" s="134"/>
      <c r="R158" s="134"/>
      <c r="S158" s="134"/>
      <c r="T158" s="134"/>
      <c r="U158" s="134"/>
      <c r="V158" s="134"/>
      <c r="W158" s="134"/>
      <c r="X158" s="136"/>
      <c r="Y158" s="136"/>
      <c r="Z158" s="136"/>
      <c r="AA158" s="136"/>
      <c r="AB158" s="136"/>
      <c r="AC158" s="137"/>
      <c r="AD158" s="136"/>
      <c r="AG158" s="123"/>
    </row>
    <row r="159" spans="3:33">
      <c r="C159" s="105" t="s">
        <v>380</v>
      </c>
      <c r="D159" s="134">
        <f t="shared" si="64"/>
        <v>17967</v>
      </c>
      <c r="E159" s="134">
        <f t="shared" si="64"/>
        <v>17648</v>
      </c>
      <c r="F159" s="134">
        <f t="shared" si="64"/>
        <v>10587</v>
      </c>
      <c r="G159" s="134">
        <f t="shared" si="64"/>
        <v>9388</v>
      </c>
      <c r="H159" s="134">
        <f t="shared" si="64"/>
        <v>8771</v>
      </c>
      <c r="I159" s="134">
        <f t="shared" si="64"/>
        <v>10134</v>
      </c>
      <c r="J159" s="134">
        <f t="shared" si="64"/>
        <v>11789</v>
      </c>
      <c r="K159" s="134">
        <f t="shared" si="64"/>
        <v>12024</v>
      </c>
      <c r="L159" s="134">
        <f t="shared" si="64"/>
        <v>9420</v>
      </c>
      <c r="M159" s="134">
        <f t="shared" si="64"/>
        <v>9092</v>
      </c>
      <c r="N159" s="134">
        <f t="shared" si="64"/>
        <v>9587</v>
      </c>
      <c r="O159" s="134">
        <f t="shared" si="64"/>
        <v>9868</v>
      </c>
      <c r="P159" s="133">
        <f t="shared" si="65"/>
        <v>136275</v>
      </c>
      <c r="Q159" s="134"/>
      <c r="R159" s="134"/>
      <c r="S159" s="134"/>
      <c r="T159" s="134"/>
      <c r="U159" s="134"/>
      <c r="V159" s="134"/>
      <c r="W159" s="134"/>
      <c r="X159" s="136"/>
      <c r="Y159" s="136"/>
      <c r="Z159" s="136"/>
      <c r="AA159" s="136"/>
      <c r="AB159" s="136"/>
      <c r="AC159" s="137"/>
      <c r="AD159" s="136"/>
      <c r="AG159" s="123"/>
    </row>
    <row r="160" spans="3:33">
      <c r="C160" s="105" t="s">
        <v>382</v>
      </c>
      <c r="D160" s="134">
        <f t="shared" si="64"/>
        <v>13657</v>
      </c>
      <c r="E160" s="134">
        <f t="shared" si="64"/>
        <v>12586</v>
      </c>
      <c r="F160" s="134">
        <f t="shared" si="64"/>
        <v>14190</v>
      </c>
      <c r="G160" s="134">
        <f t="shared" si="64"/>
        <v>15375</v>
      </c>
      <c r="H160" s="134">
        <f t="shared" si="64"/>
        <v>14231</v>
      </c>
      <c r="I160" s="134">
        <f t="shared" si="64"/>
        <v>14494</v>
      </c>
      <c r="J160" s="134">
        <f t="shared" si="64"/>
        <v>13012</v>
      </c>
      <c r="K160" s="134">
        <f t="shared" si="64"/>
        <v>14396</v>
      </c>
      <c r="L160" s="134">
        <f t="shared" si="64"/>
        <v>14623</v>
      </c>
      <c r="M160" s="134">
        <f t="shared" si="64"/>
        <v>15428</v>
      </c>
      <c r="N160" s="134">
        <f t="shared" si="64"/>
        <v>14217</v>
      </c>
      <c r="O160" s="134">
        <f t="shared" si="64"/>
        <v>12837</v>
      </c>
      <c r="P160" s="133">
        <f t="shared" si="65"/>
        <v>169046</v>
      </c>
      <c r="Q160" s="134"/>
      <c r="R160" s="134"/>
      <c r="S160" s="134"/>
      <c r="T160" s="134"/>
      <c r="U160" s="134"/>
      <c r="V160" s="134"/>
      <c r="W160" s="134"/>
      <c r="X160" s="136"/>
      <c r="Y160" s="136"/>
      <c r="Z160" s="136"/>
      <c r="AA160" s="136"/>
      <c r="AB160" s="136"/>
      <c r="AC160" s="137"/>
      <c r="AD160" s="136"/>
      <c r="AG160" s="123"/>
    </row>
    <row r="161" spans="3:33">
      <c r="C161" s="105" t="s">
        <v>384</v>
      </c>
      <c r="D161" s="134">
        <f t="shared" si="64"/>
        <v>24909</v>
      </c>
      <c r="E161" s="134">
        <f t="shared" si="64"/>
        <v>23208</v>
      </c>
      <c r="F161" s="134">
        <f t="shared" si="64"/>
        <v>23323</v>
      </c>
      <c r="G161" s="134">
        <f t="shared" si="64"/>
        <v>23036</v>
      </c>
      <c r="H161" s="134">
        <f t="shared" si="64"/>
        <v>22019</v>
      </c>
      <c r="I161" s="134">
        <f t="shared" si="64"/>
        <v>23094</v>
      </c>
      <c r="J161" s="134">
        <f t="shared" si="64"/>
        <v>26586</v>
      </c>
      <c r="K161" s="134">
        <f t="shared" si="64"/>
        <v>26453</v>
      </c>
      <c r="L161" s="134">
        <f t="shared" si="64"/>
        <v>22693</v>
      </c>
      <c r="M161" s="134">
        <f t="shared" si="64"/>
        <v>23157</v>
      </c>
      <c r="N161" s="134">
        <f t="shared" si="64"/>
        <v>20524</v>
      </c>
      <c r="O161" s="134">
        <f t="shared" si="64"/>
        <v>27697</v>
      </c>
      <c r="P161" s="133">
        <f t="shared" si="65"/>
        <v>286699</v>
      </c>
      <c r="Q161" s="134"/>
      <c r="R161" s="134"/>
      <c r="S161" s="134"/>
      <c r="T161" s="134"/>
      <c r="U161" s="134"/>
      <c r="V161" s="134"/>
      <c r="W161" s="134"/>
      <c r="X161" s="136"/>
      <c r="Y161" s="136"/>
      <c r="Z161" s="136"/>
      <c r="AA161" s="136"/>
      <c r="AB161" s="136"/>
      <c r="AC161" s="137"/>
      <c r="AD161" s="136"/>
      <c r="AG161" s="123"/>
    </row>
    <row r="162" spans="3:33">
      <c r="C162" s="105" t="s">
        <v>386</v>
      </c>
      <c r="D162" s="134">
        <f t="shared" si="64"/>
        <v>3444</v>
      </c>
      <c r="E162" s="134">
        <f t="shared" si="64"/>
        <v>5373</v>
      </c>
      <c r="F162" s="134">
        <f t="shared" si="64"/>
        <v>4424</v>
      </c>
      <c r="G162" s="134">
        <f t="shared" si="64"/>
        <v>3388</v>
      </c>
      <c r="H162" s="134">
        <f t="shared" si="64"/>
        <v>3408</v>
      </c>
      <c r="I162" s="134">
        <f t="shared" si="64"/>
        <v>3129</v>
      </c>
      <c r="J162" s="134">
        <f t="shared" si="64"/>
        <v>3896</v>
      </c>
      <c r="K162" s="134">
        <f t="shared" si="64"/>
        <v>4112</v>
      </c>
      <c r="L162" s="134">
        <f t="shared" si="64"/>
        <v>3034</v>
      </c>
      <c r="M162" s="134">
        <f t="shared" si="64"/>
        <v>4532</v>
      </c>
      <c r="N162" s="134">
        <f t="shared" si="64"/>
        <v>3120</v>
      </c>
      <c r="O162" s="134">
        <f t="shared" si="64"/>
        <v>2867</v>
      </c>
      <c r="P162" s="133">
        <f t="shared" si="65"/>
        <v>44727</v>
      </c>
      <c r="Q162" s="134"/>
      <c r="R162" s="134"/>
      <c r="S162" s="134"/>
      <c r="T162" s="134"/>
      <c r="U162" s="134"/>
      <c r="V162" s="134"/>
      <c r="W162" s="134"/>
      <c r="X162" s="136"/>
      <c r="Y162" s="136"/>
      <c r="Z162" s="136"/>
      <c r="AA162" s="136"/>
      <c r="AB162" s="136"/>
      <c r="AC162" s="137"/>
      <c r="AD162" s="136"/>
      <c r="AG162" s="123"/>
    </row>
    <row r="163" spans="3:33">
      <c r="C163" s="105" t="s">
        <v>388</v>
      </c>
      <c r="D163" s="134">
        <f t="shared" si="64"/>
        <v>0</v>
      </c>
      <c r="E163" s="134">
        <f t="shared" si="64"/>
        <v>0</v>
      </c>
      <c r="F163" s="134">
        <f t="shared" si="64"/>
        <v>0</v>
      </c>
      <c r="G163" s="134">
        <f t="shared" si="64"/>
        <v>0</v>
      </c>
      <c r="H163" s="134">
        <f t="shared" si="64"/>
        <v>0</v>
      </c>
      <c r="I163" s="134">
        <f t="shared" si="64"/>
        <v>0</v>
      </c>
      <c r="J163" s="134">
        <f t="shared" si="64"/>
        <v>0</v>
      </c>
      <c r="K163" s="134">
        <f t="shared" si="64"/>
        <v>0</v>
      </c>
      <c r="L163" s="134">
        <f t="shared" si="64"/>
        <v>0</v>
      </c>
      <c r="M163" s="134">
        <f t="shared" si="64"/>
        <v>0</v>
      </c>
      <c r="N163" s="134">
        <f t="shared" si="64"/>
        <v>0</v>
      </c>
      <c r="O163" s="134">
        <f t="shared" si="64"/>
        <v>0</v>
      </c>
      <c r="P163" s="133">
        <f t="shared" si="65"/>
        <v>0</v>
      </c>
      <c r="Q163" s="134"/>
      <c r="R163" s="134"/>
      <c r="S163" s="134"/>
      <c r="T163" s="134"/>
      <c r="U163" s="134"/>
      <c r="V163" s="134"/>
      <c r="W163" s="134"/>
      <c r="X163" s="136"/>
      <c r="Y163" s="136"/>
      <c r="Z163" s="136"/>
      <c r="AA163" s="136"/>
      <c r="AB163" s="136"/>
      <c r="AC163" s="137"/>
      <c r="AD163" s="136"/>
      <c r="AG163" s="123"/>
    </row>
    <row r="164" spans="3:33">
      <c r="C164" s="105" t="s">
        <v>390</v>
      </c>
      <c r="D164" s="134">
        <f t="shared" si="64"/>
        <v>1995</v>
      </c>
      <c r="E164" s="134">
        <f t="shared" si="64"/>
        <v>2975</v>
      </c>
      <c r="F164" s="134">
        <f t="shared" si="64"/>
        <v>2530</v>
      </c>
      <c r="G164" s="134">
        <f t="shared" si="64"/>
        <v>2898</v>
      </c>
      <c r="H164" s="134">
        <f t="shared" si="64"/>
        <v>2729</v>
      </c>
      <c r="I164" s="134">
        <f t="shared" si="64"/>
        <v>2798</v>
      </c>
      <c r="J164" s="134">
        <f t="shared" si="64"/>
        <v>2512</v>
      </c>
      <c r="K164" s="134">
        <f t="shared" si="64"/>
        <v>2765</v>
      </c>
      <c r="L164" s="134">
        <f t="shared" si="64"/>
        <v>2750</v>
      </c>
      <c r="M164" s="134">
        <f t="shared" si="64"/>
        <v>2712</v>
      </c>
      <c r="N164" s="134">
        <f t="shared" si="64"/>
        <v>2523</v>
      </c>
      <c r="O164" s="134">
        <f t="shared" si="64"/>
        <v>2011</v>
      </c>
      <c r="P164" s="133">
        <f t="shared" si="65"/>
        <v>31198</v>
      </c>
      <c r="Q164" s="134"/>
      <c r="R164" s="134"/>
      <c r="S164" s="134"/>
      <c r="T164" s="134"/>
      <c r="U164" s="134"/>
      <c r="V164" s="134"/>
      <c r="W164" s="134"/>
      <c r="X164" s="136"/>
      <c r="Y164" s="136"/>
      <c r="Z164" s="136"/>
      <c r="AA164" s="136"/>
      <c r="AB164" s="136"/>
      <c r="AC164" s="137"/>
      <c r="AD164" s="136"/>
      <c r="AG164" s="123"/>
    </row>
    <row r="165" spans="3:33">
      <c r="C165" s="235" t="s">
        <v>392</v>
      </c>
      <c r="D165" s="236">
        <f t="shared" si="64"/>
        <v>0</v>
      </c>
      <c r="E165" s="236">
        <f t="shared" si="64"/>
        <v>0</v>
      </c>
      <c r="F165" s="236">
        <f t="shared" si="64"/>
        <v>0</v>
      </c>
      <c r="G165" s="236">
        <f t="shared" si="64"/>
        <v>0</v>
      </c>
      <c r="H165" s="236">
        <f t="shared" si="64"/>
        <v>0</v>
      </c>
      <c r="I165" s="236">
        <f t="shared" si="64"/>
        <v>0</v>
      </c>
      <c r="J165" s="236">
        <f t="shared" si="64"/>
        <v>0</v>
      </c>
      <c r="K165" s="236">
        <f t="shared" si="64"/>
        <v>0</v>
      </c>
      <c r="L165" s="236">
        <f t="shared" si="64"/>
        <v>0</v>
      </c>
      <c r="M165" s="236">
        <f t="shared" si="64"/>
        <v>0</v>
      </c>
      <c r="N165" s="236">
        <f t="shared" si="64"/>
        <v>0</v>
      </c>
      <c r="O165" s="236">
        <f t="shared" si="64"/>
        <v>0</v>
      </c>
      <c r="P165" s="237">
        <f t="shared" si="65"/>
        <v>0</v>
      </c>
      <c r="Q165" s="236"/>
      <c r="R165" s="236"/>
      <c r="S165" s="236"/>
      <c r="T165" s="236"/>
      <c r="U165" s="236"/>
      <c r="V165" s="236"/>
      <c r="W165" s="236"/>
    </row>
    <row r="166" spans="3:33">
      <c r="C166" s="235" t="s">
        <v>601</v>
      </c>
      <c r="D166" s="236">
        <f t="shared" si="64"/>
        <v>2511</v>
      </c>
      <c r="E166" s="236">
        <f t="shared" si="64"/>
        <v>3298</v>
      </c>
      <c r="F166" s="236">
        <f t="shared" si="64"/>
        <v>3059</v>
      </c>
      <c r="G166" s="236">
        <f t="shared" si="64"/>
        <v>3248</v>
      </c>
      <c r="H166" s="236">
        <f t="shared" si="64"/>
        <v>3615</v>
      </c>
      <c r="I166" s="236">
        <f t="shared" si="64"/>
        <v>3244</v>
      </c>
      <c r="J166" s="236">
        <f t="shared" si="64"/>
        <v>3233</v>
      </c>
      <c r="K166" s="236">
        <f t="shared" si="64"/>
        <v>3054</v>
      </c>
      <c r="L166" s="236">
        <f t="shared" si="64"/>
        <v>3574</v>
      </c>
      <c r="M166" s="236">
        <f t="shared" si="64"/>
        <v>3432</v>
      </c>
      <c r="N166" s="236">
        <f t="shared" si="64"/>
        <v>2794</v>
      </c>
      <c r="O166" s="236">
        <f t="shared" si="64"/>
        <v>3054</v>
      </c>
      <c r="P166" s="237">
        <f t="shared" si="65"/>
        <v>38116</v>
      </c>
      <c r="Q166" s="236"/>
      <c r="R166" s="236"/>
      <c r="S166" s="236"/>
      <c r="T166" s="236"/>
      <c r="U166" s="236"/>
      <c r="V166" s="236"/>
      <c r="W166" s="236"/>
    </row>
    <row r="167" spans="3:33">
      <c r="C167" s="235" t="s">
        <v>396</v>
      </c>
      <c r="D167" s="236">
        <f t="shared" si="64"/>
        <v>0</v>
      </c>
      <c r="E167" s="236">
        <f t="shared" si="64"/>
        <v>0</v>
      </c>
      <c r="F167" s="236">
        <f t="shared" si="64"/>
        <v>0</v>
      </c>
      <c r="G167" s="236">
        <f t="shared" si="64"/>
        <v>0</v>
      </c>
      <c r="H167" s="236">
        <f t="shared" si="64"/>
        <v>0</v>
      </c>
      <c r="I167" s="236">
        <f t="shared" si="64"/>
        <v>0</v>
      </c>
      <c r="J167" s="236">
        <f t="shared" si="64"/>
        <v>0</v>
      </c>
      <c r="K167" s="236">
        <f t="shared" si="64"/>
        <v>0</v>
      </c>
      <c r="L167" s="236">
        <f t="shared" si="64"/>
        <v>0</v>
      </c>
      <c r="M167" s="236">
        <f t="shared" si="64"/>
        <v>0</v>
      </c>
      <c r="N167" s="236">
        <f t="shared" si="64"/>
        <v>0</v>
      </c>
      <c r="O167" s="236">
        <f t="shared" si="64"/>
        <v>0</v>
      </c>
      <c r="P167" s="237">
        <f t="shared" si="65"/>
        <v>0</v>
      </c>
      <c r="Q167" s="236"/>
      <c r="R167" s="236"/>
      <c r="S167" s="236"/>
      <c r="T167" s="236"/>
      <c r="U167" s="236"/>
      <c r="V167" s="236"/>
      <c r="W167" s="236"/>
    </row>
    <row r="168" spans="3:33">
      <c r="C168" s="235" t="s">
        <v>398</v>
      </c>
      <c r="D168" s="236">
        <f t="shared" si="64"/>
        <v>3175</v>
      </c>
      <c r="E168" s="236">
        <f t="shared" si="64"/>
        <v>4378</v>
      </c>
      <c r="F168" s="236">
        <f t="shared" si="64"/>
        <v>3770</v>
      </c>
      <c r="G168" s="236">
        <f t="shared" si="64"/>
        <v>3710</v>
      </c>
      <c r="H168" s="236">
        <f t="shared" si="64"/>
        <v>3284</v>
      </c>
      <c r="I168" s="236">
        <f t="shared" si="64"/>
        <v>3616</v>
      </c>
      <c r="J168" s="236">
        <f t="shared" si="64"/>
        <v>3064</v>
      </c>
      <c r="K168" s="236">
        <f t="shared" si="64"/>
        <v>3117</v>
      </c>
      <c r="L168" s="236">
        <f t="shared" si="64"/>
        <v>4116</v>
      </c>
      <c r="M168" s="236">
        <f t="shared" si="64"/>
        <v>4531</v>
      </c>
      <c r="N168" s="236">
        <f t="shared" si="64"/>
        <v>4349</v>
      </c>
      <c r="O168" s="236">
        <f t="shared" si="64"/>
        <v>4370</v>
      </c>
      <c r="P168" s="237">
        <f t="shared" si="65"/>
        <v>45480</v>
      </c>
      <c r="Q168" s="236"/>
      <c r="R168" s="236"/>
      <c r="S168" s="236"/>
      <c r="T168" s="236"/>
      <c r="U168" s="236"/>
      <c r="V168" s="236"/>
      <c r="W168" s="236"/>
    </row>
    <row r="169" spans="3:33">
      <c r="C169" s="235" t="s">
        <v>404</v>
      </c>
      <c r="D169" s="236">
        <f t="shared" si="64"/>
        <v>3148</v>
      </c>
      <c r="E169" s="236">
        <f t="shared" si="64"/>
        <v>494</v>
      </c>
      <c r="F169" s="236">
        <f t="shared" si="64"/>
        <v>5562</v>
      </c>
      <c r="G169" s="236">
        <f t="shared" si="64"/>
        <v>6381</v>
      </c>
      <c r="H169" s="236">
        <f t="shared" si="64"/>
        <v>4956</v>
      </c>
      <c r="I169" s="236">
        <f t="shared" si="64"/>
        <v>6105</v>
      </c>
      <c r="J169" s="236">
        <f t="shared" si="64"/>
        <v>2371</v>
      </c>
      <c r="K169" s="236">
        <f t="shared" si="64"/>
        <v>2267</v>
      </c>
      <c r="L169" s="236">
        <f t="shared" si="64"/>
        <v>8191</v>
      </c>
      <c r="M169" s="236">
        <f t="shared" si="64"/>
        <v>16196</v>
      </c>
      <c r="N169" s="236">
        <f t="shared" si="64"/>
        <v>20620</v>
      </c>
      <c r="O169" s="236">
        <f t="shared" si="64"/>
        <v>17780</v>
      </c>
      <c r="P169" s="237">
        <f t="shared" si="65"/>
        <v>94071</v>
      </c>
      <c r="Q169" s="236"/>
      <c r="R169" s="236"/>
      <c r="S169" s="236"/>
      <c r="T169" s="236"/>
      <c r="U169" s="236"/>
      <c r="V169" s="236"/>
      <c r="W169" s="236"/>
    </row>
    <row r="170" spans="3:33">
      <c r="D170" s="111">
        <f>SUM(D157:D169)</f>
        <v>143534</v>
      </c>
      <c r="E170" s="111">
        <f t="shared" ref="E170:P170" si="66">SUM(E157:E169)</f>
        <v>141277</v>
      </c>
      <c r="F170" s="111">
        <f t="shared" si="66"/>
        <v>142933</v>
      </c>
      <c r="G170" s="111">
        <f t="shared" si="66"/>
        <v>153349</v>
      </c>
      <c r="H170" s="111">
        <f t="shared" si="66"/>
        <v>143751</v>
      </c>
      <c r="I170" s="111">
        <f t="shared" si="66"/>
        <v>145741</v>
      </c>
      <c r="J170" s="111">
        <f t="shared" si="66"/>
        <v>152298</v>
      </c>
      <c r="K170" s="111">
        <f t="shared" si="66"/>
        <v>151424</v>
      </c>
      <c r="L170" s="111">
        <f t="shared" si="66"/>
        <v>146156</v>
      </c>
      <c r="M170" s="111">
        <f t="shared" si="66"/>
        <v>160640</v>
      </c>
      <c r="N170" s="111">
        <f t="shared" si="66"/>
        <v>151308</v>
      </c>
      <c r="O170" s="111">
        <f t="shared" si="66"/>
        <v>151336</v>
      </c>
      <c r="P170" s="129">
        <f t="shared" si="66"/>
        <v>1783747</v>
      </c>
      <c r="Q170" s="111"/>
      <c r="R170" s="111"/>
      <c r="S170" s="111"/>
      <c r="T170" s="111"/>
      <c r="U170" s="111"/>
      <c r="V170" s="111"/>
      <c r="W170" s="111"/>
    </row>
    <row r="171" spans="3:33">
      <c r="D171" s="72">
        <f>D170+D81</f>
        <v>-1.0999999999767169</v>
      </c>
      <c r="E171" s="72">
        <f t="shared" ref="E171:P171" si="67">E170+E81</f>
        <v>-0.12999999997555278</v>
      </c>
      <c r="F171" s="72">
        <f t="shared" si="67"/>
        <v>-0.11999999996623956</v>
      </c>
      <c r="G171" s="72">
        <f t="shared" si="67"/>
        <v>0.64000000001396984</v>
      </c>
      <c r="H171" s="72">
        <f t="shared" si="67"/>
        <v>0.83000000001629815</v>
      </c>
      <c r="I171" s="72">
        <f t="shared" si="67"/>
        <v>1.7400000000197906</v>
      </c>
      <c r="J171" s="72">
        <f t="shared" si="67"/>
        <v>1.2399999999906868</v>
      </c>
      <c r="K171" s="72">
        <f t="shared" si="67"/>
        <v>0.19000000000232831</v>
      </c>
      <c r="L171" s="72">
        <f t="shared" si="67"/>
        <v>1.1900000000023283</v>
      </c>
      <c r="M171" s="72">
        <f t="shared" si="67"/>
        <v>-0.29999999998835847</v>
      </c>
      <c r="N171" s="72">
        <f t="shared" si="67"/>
        <v>-1.25</v>
      </c>
      <c r="O171" s="72">
        <f t="shared" si="67"/>
        <v>-0.29999999998835847</v>
      </c>
      <c r="P171" s="127">
        <f t="shared" si="67"/>
        <v>2.6300000001210719</v>
      </c>
    </row>
  </sheetData>
  <phoneticPr fontId="7" type="noConversion"/>
  <dataValidations count="116">
    <dataValidation type="textLength" errorStyle="information" allowBlank="1" showInputMessage="1" showErrorMessage="1" error="XLBVal:6=4292_x000d__x000a_" sqref="Q119:T119">
      <formula1>0</formula1>
      <formula2>300</formula2>
    </dataValidation>
    <dataValidation type="textLength" errorStyle="information" allowBlank="1" showInputMessage="1" showErrorMessage="1" error="XLBVal:6=100.21_x000d__x000a_" sqref="Q117:T117">
      <formula1>0</formula1>
      <formula2>300</formula2>
    </dataValidation>
    <dataValidation type="textLength" errorStyle="information" allowBlank="1" showInputMessage="1" showErrorMessage="1" error="XLBVal:6=417.54_x000d__x000a_" sqref="Q116:T116">
      <formula1>0</formula1>
      <formula2>300</formula2>
    </dataValidation>
    <dataValidation type="textLength" errorStyle="information" allowBlank="1" showInputMessage="1" showErrorMessage="1" error="XLBVal:6=7098.03_x000d__x000a_" sqref="Q115:T115">
      <formula1>0</formula1>
      <formula2>300</formula2>
    </dataValidation>
    <dataValidation type="textLength" errorStyle="information" allowBlank="1" showInputMessage="1" showErrorMessage="1" error="XLBVal:6=13360.98_x000d__x000a_" sqref="Q114:T114">
      <formula1>0</formula1>
      <formula2>300</formula2>
    </dataValidation>
    <dataValidation type="textLength" errorStyle="information" allowBlank="1" showInputMessage="1" showErrorMessage="1" error="XLBVal:6=18138.71_x000d__x000a_" sqref="Q108">
      <formula1>0</formula1>
      <formula2>300</formula2>
    </dataValidation>
    <dataValidation type="textLength" errorStyle="information" allowBlank="1" showInputMessage="1" showErrorMessage="1" error="XLBVal:6=-9176.58_x000d__x000a_" sqref="U76">
      <formula1>0</formula1>
      <formula2>300</formula2>
    </dataValidation>
    <dataValidation type="textLength" errorStyle="information" allowBlank="1" showInputMessage="1" showErrorMessage="1" error="XLBVal:6=18442_x000d__x000a_" sqref="T76">
      <formula1>0</formula1>
      <formula2>300</formula2>
    </dataValidation>
    <dataValidation type="textLength" errorStyle="information" allowBlank="1" showInputMessage="1" showErrorMessage="1" error="XLBVal:6=28.3_x000d__x000a_" sqref="V70">
      <formula1>0</formula1>
      <formula2>300</formula2>
    </dataValidation>
    <dataValidation type="textLength" errorStyle="information" allowBlank="1" showInputMessage="1" showErrorMessage="1" error="XLBVal:6=81.13_x000d__x000a_" sqref="S70">
      <formula1>0</formula1>
      <formula2>300</formula2>
    </dataValidation>
    <dataValidation type="textLength" errorStyle="information" allowBlank="1" showInputMessage="1" showErrorMessage="1" error="XLBVal:6=13.77_x000d__x000a_" sqref="U63">
      <formula1>0</formula1>
      <formula2>300</formula2>
    </dataValidation>
    <dataValidation type="textLength" errorStyle="information" allowBlank="1" showInputMessage="1" showErrorMessage="1" error="XLBVal:6=9.18_x000d__x000a_" sqref="S63:T63">
      <formula1>0</formula1>
      <formula2>300</formula2>
    </dataValidation>
    <dataValidation type="textLength" errorStyle="information" allowBlank="1" showInputMessage="1" showErrorMessage="1" error="XLBVal:6=58.68_x000d__x000a_" sqref="R63">
      <formula1>0</formula1>
      <formula2>300</formula2>
    </dataValidation>
    <dataValidation type="textLength" errorStyle="information" allowBlank="1" showInputMessage="1" showErrorMessage="1" error="XLBVal:6=55.08_x000d__x000a_" sqref="Q63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331_x000d__x000a_" sqref="Q59:S59">
      <formula1>0</formula1>
      <formula2>300</formula2>
    </dataValidation>
    <dataValidation type="textLength" errorStyle="information" allowBlank="1" showInputMessage="1" showErrorMessage="1" error="XLBVal:6=2913_x000d__x000a_" sqref="S56">
      <formula1>0</formula1>
      <formula2>300</formula2>
    </dataValidation>
    <dataValidation type="textLength" errorStyle="information" allowBlank="1" showInputMessage="1" showErrorMessage="1" error="XLBVal:6=300.64_x000d__x000a_" sqref="V46">
      <formula1>0</formula1>
      <formula2>300</formula2>
    </dataValidation>
    <dataValidation type="textLength" errorStyle="information" allowBlank="1" showInputMessage="1" showErrorMessage="1" error="XLBVal:6=110.22_x000d__x000a_" sqref="U46">
      <formula1>0</formula1>
      <formula2>300</formula2>
    </dataValidation>
    <dataValidation type="textLength" errorStyle="information" allowBlank="1" showInputMessage="1" showErrorMessage="1" error="XLBVal:6=34143_x000d__x000a_" sqref="D102:D104 D107:O111 D114:O121 D124:O128 D136:O136">
      <formula1>0</formula1>
      <formula2>300</formula2>
    </dataValidation>
    <dataValidation type="textLength" errorStyle="information" allowBlank="1" showInputMessage="1" showErrorMessage="1" error="XLBVal:6=11884.41_x000d__x000a_" sqref="V108">
      <formula1>0</formula1>
      <formula2>300</formula2>
    </dataValidation>
    <dataValidation type="textLength" errorStyle="information" allowBlank="1" showInputMessage="1" showErrorMessage="1" error="XLBVal:6=11899.91_x000d__x000a_" sqref="U108">
      <formula1>0</formula1>
      <formula2>300</formula2>
    </dataValidation>
    <dataValidation type="textLength" errorStyle="information" allowBlank="1" showInputMessage="1" showErrorMessage="1" error="XLBVal:6=7319.12_x000d__x000a_" sqref="U78">
      <formula1>0</formula1>
      <formula2>300</formula2>
    </dataValidation>
    <dataValidation type="textLength" errorStyle="information" allowBlank="1" showInputMessage="1" showErrorMessage="1" error="XLBVal:6=132.89_x000d__x000a_" sqref="T46">
      <formula1>0</formula1>
      <formula2>300</formula2>
    </dataValidation>
    <dataValidation type="textLength" errorStyle="information" allowBlank="1" showInputMessage="1" showErrorMessage="1" error="XLBVal:6=2172_x000d__x000a_" sqref="V127 T127">
      <formula1>0</formula1>
      <formula2>300</formula2>
    </dataValidation>
    <dataValidation type="textLength" errorStyle="information" allowBlank="1" showInputMessage="1" showErrorMessage="1" error="XLBVal:6=2242_x000d__x000a_" sqref="U127 S127">
      <formula1>0</formula1>
      <formula2>300</formula2>
    </dataValidation>
    <dataValidation type="textLength" errorStyle="information" allowBlank="1" showInputMessage="1" showErrorMessage="1" error="XLBVal:6=1260_x000d__x000a_" sqref="V109">
      <formula1>0</formula1>
      <formula2>300</formula2>
    </dataValidation>
    <dataValidation type="textLength" errorStyle="information" allowBlank="1" showInputMessage="1" showErrorMessage="1" error="XLBVal:6=5988.61_x000d__x000a_" sqref="V75">
      <formula1>0</formula1>
      <formula2>300</formula2>
    </dataValidation>
    <dataValidation type="textLength" errorStyle="information" allowBlank="1" showInputMessage="1" showErrorMessage="1" error="XLBVal:6=7288.41_x000d__x000a_" sqref="R75">
      <formula1>0</formula1>
      <formula2>300</formula2>
    </dataValidation>
    <dataValidation type="textLength" errorStyle="information" allowBlank="1" showInputMessage="1" showErrorMessage="1" error="XLBVal:6=4450.61_x000d__x000a_" sqref="V43">
      <formula1>0</formula1>
      <formula2>300</formula2>
    </dataValidation>
    <dataValidation type="textLength" errorStyle="information" allowBlank="1" showInputMessage="1" showErrorMessage="1" error="XLBVal:6=3985.5_x000d__x000a_" sqref="U43">
      <formula1>0</formula1>
      <formula2>300</formula2>
    </dataValidation>
    <dataValidation type="textLength" errorStyle="information" allowBlank="1" showInputMessage="1" showErrorMessage="1" error="XLBVal:6=65524.65_x000d__x000a_" sqref="T43">
      <formula1>0</formula1>
      <formula2>300</formula2>
    </dataValidation>
    <dataValidation type="textLength" errorStyle="information" allowBlank="1" showInputMessage="1" showErrorMessage="1" error="XLBVal:6=17691.7_x000d__x000a_" sqref="S43">
      <formula1>0</formula1>
      <formula2>300</formula2>
    </dataValidation>
    <dataValidation type="textLength" errorStyle="information" allowBlank="1" showInputMessage="1" showErrorMessage="1" error="XLBVal:6=48490.43_x000d__x000a_" sqref="R43">
      <formula1>0</formula1>
      <formula2>300</formula2>
    </dataValidation>
    <dataValidation type="textLength" errorStyle="information" allowBlank="1" showInputMessage="1" showErrorMessage="1" error="XLBVal:6=32142.44_x000d__x000a_" sqref="Q43">
      <formula1>0</formula1>
      <formula2>300</formula2>
    </dataValidation>
    <dataValidation type="textLength" errorStyle="information" allowBlank="1" showInputMessage="1" showErrorMessage="1" error="XLBVal:6=18143.46_x000d__x000a_" sqref="S108">
      <formula1>0</formula1>
      <formula2>300</formula2>
    </dataValidation>
    <dataValidation type="textLength" errorStyle="information" allowBlank="1" showInputMessage="1" showErrorMessage="1" error="XLBVal:6=18138.51_x000d__x000a_" sqref="R108">
      <formula1>0</formula1>
      <formula2>300</formula2>
    </dataValidation>
    <dataValidation type="textLength" errorStyle="information" allowBlank="1" showInputMessage="1" showErrorMessage="1" error="XLBVal:6=58.8_x000d__x000a_" sqref="V78">
      <formula1>0</formula1>
      <formula2>300</formula2>
    </dataValidation>
    <dataValidation type="textLength" errorStyle="information" allowBlank="1" showInputMessage="1" showErrorMessage="1" error="XLBVal:6=82600_x000d__x000a_" sqref="E102:O104">
      <formula1>0</formula1>
      <formula2>300</formula2>
    </dataValidation>
    <dataValidation type="textLength" errorStyle="information" allowBlank="1" showInputMessage="1" showErrorMessage="1" error="XLBVal:6=386.08_x000d__x000a_" sqref="U116:V116">
      <formula1>0</formula1>
      <formula2>300</formula2>
    </dataValidation>
    <dataValidation type="textLength" errorStyle="information" allowBlank="1" showInputMessage="1" showErrorMessage="1" error="XLBVal:6=1447.42_x000d__x000a_" sqref="T109">
      <formula1>0</formula1>
      <formula2>300</formula2>
    </dataValidation>
    <dataValidation type="textLength" errorStyle="information" allowBlank="1" showInputMessage="1" showErrorMessage="1" error="XLBVal:6=1730_x000d__x000a_" sqref="R109">
      <formula1>0</formula1>
      <formula2>300</formula2>
    </dataValidation>
    <dataValidation type="textLength" errorStyle="information" allowBlank="1" showInputMessage="1" showErrorMessage="1" error="XLBVal:6=1690_x000d__x000a_" sqref="Q109 S109">
      <formula1>0</formula1>
      <formula2>300</formula2>
    </dataValidation>
    <dataValidation type="textLength" errorStyle="information" allowBlank="1" showInputMessage="1" showErrorMessage="1" error="XLBVal:6=12611.73_x000d__x000a_" sqref="T108">
      <formula1>0</formula1>
      <formula2>300</formula2>
    </dataValidation>
    <dataValidation type="textLength" errorStyle="information" allowBlank="1" showInputMessage="1" showErrorMessage="1" error="XLBVal:6=64500_x000d__x000a_" sqref="Q102:S102">
      <formula1>0</formula1>
      <formula2>300</formula2>
    </dataValidation>
    <dataValidation type="textLength" errorStyle="information" allowBlank="1" showInputMessage="1" showErrorMessage="1" error="XLBVal:6=5220.62_x000d__x000a_" sqref="U75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6_x000d__x000a_" sqref="Q136:T136">
      <formula1>0</formula1>
      <formula2>300</formula2>
    </dataValidation>
    <dataValidation type="textLength" errorStyle="information" allowBlank="1" showInputMessage="1" showErrorMessage="1" error="XLBVal:6=14086.58_x000d__x000a_" sqref="V130">
      <formula1>0</formula1>
      <formula2>300</formula2>
    </dataValidation>
    <dataValidation type="textLength" errorStyle="information" allowBlank="1" showInputMessage="1" showErrorMessage="1" error="XLBVal:6=16317.26_x000d__x000a_" sqref="U130">
      <formula1>0</formula1>
      <formula2>300</formula2>
    </dataValidation>
    <dataValidation type="textLength" errorStyle="information" allowBlank="1" showInputMessage="1" showErrorMessage="1" error="XLBVal:6=16268.55_x000d__x000a_" sqref="T130">
      <formula1>0</formula1>
      <formula2>300</formula2>
    </dataValidation>
    <dataValidation type="textLength" errorStyle="information" allowBlank="1" showInputMessage="1" showErrorMessage="1" error="XLBVal:6=18214.3_x000d__x000a_" sqref="S130">
      <formula1>0</formula1>
      <formula2>300</formula2>
    </dataValidation>
    <dataValidation type="textLength" errorStyle="information" allowBlank="1" showInputMessage="1" showErrorMessage="1" error="XLBVal:6=16898.5_x000d__x000a_" sqref="R130">
      <formula1>0</formula1>
      <formula2>300</formula2>
    </dataValidation>
    <dataValidation type="textLength" errorStyle="information" allowBlank="1" showInputMessage="1" showErrorMessage="1" error="XLBVal:6=15618.97_x000d__x000a_" sqref="Q130">
      <formula1>0</formula1>
      <formula2>300</formula2>
    </dataValidation>
    <dataValidation type="textLength" errorStyle="information" allowBlank="1" showInputMessage="1" showErrorMessage="1" error="XLBVal:6=631.17_x000d__x000a_" sqref="V129">
      <formula1>0</formula1>
      <formula2>300</formula2>
    </dataValidation>
    <dataValidation type="textLength" errorStyle="information" allowBlank="1" showInputMessage="1" showErrorMessage="1" error="XLBVal:6=573.59_x000d__x000a_" sqref="U129">
      <formula1>0</formula1>
      <formula2>300</formula2>
    </dataValidation>
    <dataValidation type="textLength" errorStyle="information" allowBlank="1" showInputMessage="1" showErrorMessage="1" error="XLBVal:6=572.6_x000d__x000a_" sqref="T129">
      <formula1>0</formula1>
      <formula2>300</formula2>
    </dataValidation>
    <dataValidation type="textLength" errorStyle="information" allowBlank="1" showInputMessage="1" showErrorMessage="1" error="XLBVal:6=859.86_x000d__x000a_" sqref="S129">
      <formula1>0</formula1>
      <formula2>300</formula2>
    </dataValidation>
    <dataValidation type="textLength" errorStyle="information" allowBlank="1" showInputMessage="1" showErrorMessage="1" error="XLBVal:6=979.67_x000d__x000a_" sqref="R129">
      <formula1>0</formula1>
      <formula2>300</formula2>
    </dataValidation>
    <dataValidation type="textLength" errorStyle="information" allowBlank="1" showInputMessage="1" showErrorMessage="1" error="XLBVal:6=770.52_x000d__x000a_" sqref="Q129">
      <formula1>0</formula1>
      <formula2>300</formula2>
    </dataValidation>
    <dataValidation type="textLength" errorStyle="information" allowBlank="1" showInputMessage="1" showErrorMessage="1" error="XLBVal:6=98.8_x000d__x000a_" sqref="V128">
      <formula1>0</formula1>
      <formula2>300</formula2>
    </dataValidation>
    <dataValidation type="textLength" errorStyle="information" allowBlank="1" showInputMessage="1" showErrorMessage="1" error="XLBVal:6=98.37_x000d__x000a_" sqref="U128">
      <formula1>0</formula1>
      <formula2>300</formula2>
    </dataValidation>
    <dataValidation type="textLength" errorStyle="information" allowBlank="1" showInputMessage="1" showErrorMessage="1" error="XLBVal:6=114.06_x000d__x000a_" sqref="R128">
      <formula1>0</formula1>
      <formula2>300</formula2>
    </dataValidation>
    <dataValidation type="textLength" errorStyle="information" allowBlank="1" showInputMessage="1" showErrorMessage="1" error="XLBVal:6=113.11_x000d__x000a_" sqref="Q128 S128:T128">
      <formula1>0</formula1>
      <formula2>300</formula2>
    </dataValidation>
    <dataValidation type="textLength" errorStyle="information" allowBlank="1" showInputMessage="1" showErrorMessage="1" error="XLBVal:6=2098_x000d__x000a_" sqref="R127">
      <formula1>0</formula1>
      <formula2>300</formula2>
    </dataValidation>
    <dataValidation type="textLength" errorStyle="information" allowBlank="1" showInputMessage="1" showErrorMessage="1" error="XLBVal:6=2182.43_x000d__x000a_" sqref="Q127">
      <formula1>0</formula1>
      <formula2>300</formula2>
    </dataValidation>
    <dataValidation type="textLength" errorStyle="information" allowBlank="1" showInputMessage="1" showErrorMessage="1" error="XLBVal:6=1484.09_x000d__x000a_" sqref="V120">
      <formula1>0</formula1>
      <formula2>300</formula2>
    </dataValidation>
    <dataValidation type="textLength" errorStyle="information" allowBlank="1" showInputMessage="1" showErrorMessage="1" error="XLBVal:6=1594.56_x000d__x000a_" sqref="U120">
      <formula1>0</formula1>
      <formula2>300</formula2>
    </dataValidation>
    <dataValidation type="textLength" errorStyle="information" allowBlank="1" showInputMessage="1" showErrorMessage="1" error="XLBVal:6=2093.93_x000d__x000a_" sqref="T120">
      <formula1>0</formula1>
      <formula2>300</formula2>
    </dataValidation>
    <dataValidation type="textLength" errorStyle="information" allowBlank="1" showInputMessage="1" showErrorMessage="1" error="XLBVal:6=3928.5_x000d__x000a_" sqref="S120">
      <formula1>0</formula1>
      <formula2>300</formula2>
    </dataValidation>
    <dataValidation type="textLength" errorStyle="information" allowBlank="1" showInputMessage="1" showErrorMessage="1" error="XLBVal:6=1810.35_x000d__x000a_" sqref="R120">
      <formula1>0</formula1>
      <formula2>300</formula2>
    </dataValidation>
    <dataValidation type="textLength" errorStyle="information" allowBlank="1" showInputMessage="1" showErrorMessage="1" error="XLBVal:6=1493.17_x000d__x000a_" sqref="Q120">
      <formula1>0</formula1>
      <formula2>300</formula2>
    </dataValidation>
    <dataValidation type="textLength" errorStyle="information" allowBlank="1" showInputMessage="1" showErrorMessage="1" error="XLBVal:6=3977_x000d__x000a_" sqref="U119:V119">
      <formula1>0</formula1>
      <formula2>300</formula2>
    </dataValidation>
    <dataValidation type="textLength" errorStyle="information" allowBlank="1" showInputMessage="1" showErrorMessage="1" error="XLBVal:6=92.66_x000d__x000a_" sqref="U117:V117">
      <formula1>0</formula1>
      <formula2>300</formula2>
    </dataValidation>
    <dataValidation type="textLength" errorStyle="information" allowBlank="1" showInputMessage="1" showErrorMessage="1" error="XLBVal:6=6563.27_x000d__x000a_" sqref="U115:V115">
      <formula1>0</formula1>
      <formula2>300</formula2>
    </dataValidation>
    <dataValidation type="textLength" errorStyle="information" allowBlank="1" showInputMessage="1" showErrorMessage="1" error="XLBVal:6=12354.38_x000d__x000a_" sqref="U114:V114">
      <formula1>0</formula1>
      <formula2>300</formula2>
    </dataValidation>
    <dataValidation type="textLength" errorStyle="information" allowBlank="1" showInputMessage="1" showErrorMessage="1" error="XLBVal:6=200_x000d__x000a_" sqref="Q111:S111">
      <formula1>0</formula1>
      <formula2>300</formula2>
    </dataValidation>
    <dataValidation type="textLength" errorStyle="information" allowBlank="1" showInputMessage="1" showErrorMessage="1" error="XLBVal:6=1275_x000d__x000a_" sqref="U109">
      <formula1>0</formula1>
      <formula2>300</formula2>
    </dataValidation>
    <dataValidation type="textLength" errorStyle="information" allowBlank="1" showInputMessage="1" showErrorMessage="1" error="XLBVal:6=6041.34_x000d__x000a_" sqref="R107">
      <formula1>0</formula1>
      <formula2>300</formula2>
    </dataValidation>
    <dataValidation type="textLength" errorStyle="information" allowBlank="1" showInputMessage="1" showErrorMessage="1" error="XLBVal:6=8147.43_x000d__x000a_" sqref="T103">
      <formula1>0</formula1>
      <formula2>300</formula2>
    </dataValidation>
    <dataValidation type="textLength" errorStyle="information" allowBlank="1" showInputMessage="1" showErrorMessage="1" error="XLBVal:6=8100_x000d__x000a_" sqref="Q103:S103">
      <formula1>0</formula1>
      <formula2>300</formula2>
    </dataValidation>
    <dataValidation type="textLength" errorStyle="information" allowBlank="1" showInputMessage="1" showErrorMessage="1" error="XLBVal:6=3800_x000d__x000a_" sqref="U103:V103">
      <formula1>0</formula1>
      <formula2>300</formula2>
    </dataValidation>
    <dataValidation type="textLength" errorStyle="information" allowBlank="1" showInputMessage="1" showErrorMessage="1" error="XLBVal:6=67500_x000d__x000a_" sqref="T102:V102">
      <formula1>0</formula1>
      <formula2>300</formula2>
    </dataValidation>
    <dataValidation type="textLength" errorStyle="information" allowBlank="1" showInputMessage="1" showErrorMessage="1" error="XLBVal:6=58.24_x000d__x000a_" sqref="T78">
      <formula1>0</formula1>
      <formula2>300</formula2>
    </dataValidation>
    <dataValidation type="textLength" errorStyle="information" allowBlank="1" showInputMessage="1" showErrorMessage="1" error="XLBVal:6=712.5_x000d__x000a_" sqref="S78">
      <formula1>0</formula1>
      <formula2>300</formula2>
    </dataValidation>
    <dataValidation type="textLength" errorStyle="information" allowBlank="1" showInputMessage="1" showErrorMessage="1" error="XLBVal:6=596.87_x000d__x000a_" sqref="R78">
      <formula1>0</formula1>
      <formula2>300</formula2>
    </dataValidation>
    <dataValidation type="textLength" errorStyle="information" allowBlank="1" showInputMessage="1" showErrorMessage="1" error="XLBVal:6=735.69_x000d__x000a_" sqref="Q78">
      <formula1>0</formula1>
      <formula2>300</formula2>
    </dataValidation>
    <dataValidation type="textLength" errorStyle="information" allowBlank="1" showInputMessage="1" showErrorMessage="1" error="XLBVal:6=5568.44_x000d__x000a_" sqref="T75">
      <formula1>0</formula1>
      <formula2>300</formula2>
    </dataValidation>
    <dataValidation type="textLength" errorStyle="information" allowBlank="1" showInputMessage="1" showErrorMessage="1" error="XLBVal:6=4887.33_x000d__x000a_" sqref="S75">
      <formula1>0</formula1>
      <formula2>300</formula2>
    </dataValidation>
    <dataValidation type="textLength" errorStyle="information" allowBlank="1" showInputMessage="1" showErrorMessage="1" error="XLBVal:6=6836.19_x000d__x000a_" sqref="Q75">
      <formula1>0</formula1>
      <formula2>300</formula2>
    </dataValidation>
    <dataValidation type="textLength" errorStyle="information" allowBlank="1" showInputMessage="1" showErrorMessage="1" error="XLBVal:6=817.82_x000d__x000a_" sqref="V74">
      <formula1>0</formula1>
      <formula2>300</formula2>
    </dataValidation>
    <dataValidation type="textLength" errorStyle="information" allowBlank="1" showInputMessage="1" showErrorMessage="1" error="XLBVal:6=402.19_x000d__x000a_" sqref="U74">
      <formula1>0</formula1>
      <formula2>300</formula2>
    </dataValidation>
    <dataValidation type="textLength" errorStyle="information" allowBlank="1" showInputMessage="1" showErrorMessage="1" error="XLBVal:6=897.79_x000d__x000a_" sqref="T74">
      <formula1>0</formula1>
      <formula2>300</formula2>
    </dataValidation>
    <dataValidation type="textLength" errorStyle="information" allowBlank="1" showInputMessage="1" showErrorMessage="1" error="XLBVal:6=1426.84_x000d__x000a_" sqref="S74">
      <formula1>0</formula1>
      <formula2>300</formula2>
    </dataValidation>
    <dataValidation type="textLength" errorStyle="information" allowBlank="1" showInputMessage="1" showErrorMessage="1" error="XLBVal:6=868.16_x000d__x000a_" sqref="R74">
      <formula1>0</formula1>
      <formula2>300</formula2>
    </dataValidation>
    <dataValidation type="textLength" errorStyle="information" allowBlank="1" showInputMessage="1" showErrorMessage="1" error="XLBVal:6=983.25_x000d__x000a_" sqref="Q74">
      <formula1>0</formula1>
      <formula2>300</formula2>
    </dataValidation>
    <dataValidation type="textLength" errorStyle="information" allowBlank="1" showInputMessage="1" showErrorMessage="1" error="XLBVal:6=391.35_x000d__x000a_" sqref="V72">
      <formula1>0</formula1>
      <formula2>300</formula2>
    </dataValidation>
    <dataValidation type="textLength" errorStyle="information" allowBlank="1" showInputMessage="1" showErrorMessage="1" error="XLBVal:6=90.7_x000d__x000a_" sqref="U72">
      <formula1>0</formula1>
      <formula2>300</formula2>
    </dataValidation>
    <dataValidation type="textLength" errorStyle="information" allowBlank="1" showInputMessage="1" showErrorMessage="1" error="XLBVal:6=269.41_x000d__x000a_" sqref="T72">
      <formula1>0</formula1>
      <formula2>300</formula2>
    </dataValidation>
    <dataValidation type="textLength" errorStyle="information" allowBlank="1" showInputMessage="1" showErrorMessage="1" error="XLBVal:6=230.4_x000d__x000a_" sqref="S72">
      <formula1>0</formula1>
      <formula2>300</formula2>
    </dataValidation>
    <dataValidation type="textLength" errorStyle="information" allowBlank="1" showInputMessage="1" showErrorMessage="1" error="XLBVal:6=375.46_x000d__x000a_" sqref="R72">
      <formula1>0</formula1>
      <formula2>300</formula2>
    </dataValidation>
    <dataValidation type="textLength" errorStyle="information" allowBlank="1" showInputMessage="1" showErrorMessage="1" error="XLBVal:6=330.19_x000d__x000a_" sqref="Q72">
      <formula1>0</formula1>
      <formula2>300</formula2>
    </dataValidation>
    <dataValidation type="textLength" errorStyle="information" allowBlank="1" showInputMessage="1" showErrorMessage="1" error="XLBVal:6=3359.81_x000d__x000a_" sqref="V71">
      <formula1>0</formula1>
      <formula2>300</formula2>
    </dataValidation>
    <dataValidation type="textLength" errorStyle="information" allowBlank="1" showInputMessage="1" showErrorMessage="1" error="XLBVal:6=4981.84_x000d__x000a_" sqref="U71">
      <formula1>0</formula1>
      <formula2>300</formula2>
    </dataValidation>
    <dataValidation type="textLength" errorStyle="information" allowBlank="1" showInputMessage="1" showErrorMessage="1" error="XLBVal:6=3712.73_x000d__x000a_" sqref="T71">
      <formula1>0</formula1>
      <formula2>300</formula2>
    </dataValidation>
    <dataValidation type="textLength" errorStyle="information" allowBlank="1" showInputMessage="1" showErrorMessage="1" error="XLBVal:6=11382.06_x000d__x000a_" sqref="S71">
      <formula1>0</formula1>
      <formula2>300</formula2>
    </dataValidation>
    <dataValidation type="textLength" errorStyle="information" allowBlank="1" showInputMessage="1" showErrorMessage="1" error="XLBVal:6=6642.62_x000d__x000a_" sqref="R71">
      <formula1>0</formula1>
      <formula2>300</formula2>
    </dataValidation>
    <dataValidation type="textLength" errorStyle="information" allowBlank="1" showInputMessage="1" showErrorMessage="1" error="XLBVal:6=7383.61_x000d__x000a_" sqref="Q71">
      <formula1>0</formula1>
      <formula2>300</formula2>
    </dataValidation>
    <dataValidation type="textLength" errorStyle="information" allowBlank="1" showInputMessage="1" showErrorMessage="1" error="XLBVal:6=58.03_x000d__x000a_" sqref="T70">
      <formula1>0</formula1>
      <formula2>300</formula2>
    </dataValidation>
    <dataValidation type="textLength" errorStyle="information" allowBlank="1" showInputMessage="1" showErrorMessage="1" error="XLBVal:6=376.62_x000d__x000a_" sqref="S46">
      <formula1>0</formula1>
      <formula2>300</formula2>
    </dataValidation>
    <dataValidation type="textLength" errorStyle="information" allowBlank="1" showInputMessage="1" showErrorMessage="1" error="XLBVal:6=35503_x000d__x000a_" sqref="S76">
      <formula1>0</formula1>
      <formula2>300</formula2>
    </dataValidation>
    <dataValidation type="textLength" errorStyle="information" allowBlank="1" showInputMessage="1" showErrorMessage="1" error="XLBVal:6=5_x000d__x000a_" sqref="U136:V136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-1308550.61_x000d__x000a_" sqref="Q79:V79">
      <formula1>0</formula1>
      <formula2>300</formula2>
    </dataValidation>
    <dataValidation type="textLength" errorStyle="information" allowBlank="1" showInputMessage="1" showErrorMessage="1" error="XLBVal:2=0_x000d__x000a_" sqref="W108:AB109 Q76:R76 Q9:AB13 Q121:AB121 D31:I32 D85:I89 Q17:AB21 Q110:AB110 Q124:V126 Q118:V118 D24:I26 W38:AB44 D131:I132 Q30:AB32 D38:O42 Q46:R56 D17:I21 W124:AB132 W136:AB136 W114:AB120 Q70:R70 S47:S55 W78:AB79 Q24:AB26 D9:O13 Q38:V42 W74:AB76 Q45:AB45 Q131:V132 Q85:AB89 Q73:AB73 Q77:AB77 Q104:AB104 W102:AB103 Q64:V69 Q57:V58 W93:AB97 Q60:V62 T47:V56 W46:AB72 T111:AB111 D44:O71 S107:AB107 V76 V63 Q44:V44 U59:V59 Q107 U70 D73:O78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  <colBreaks count="1" manualBreakCount="1">
    <brk id="19" max="13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AK171"/>
  <sheetViews>
    <sheetView view="pageBreakPreview" zoomScaleNormal="100" zoomScaleSheetLayoutView="100" workbookViewId="0">
      <pane xSplit="4" ySplit="7" topLeftCell="N119" activePane="bottomRight" state="frozen"/>
      <selection activeCell="AP43" sqref="AP43"/>
      <selection pane="topRight" activeCell="AP43" sqref="AP43"/>
      <selection pane="bottomLeft" activeCell="AP43" sqref="AP43"/>
      <selection pane="bottomRight" activeCell="P105" sqref="P105"/>
    </sheetView>
  </sheetViews>
  <sheetFormatPr defaultColWidth="9" defaultRowHeight="14.25" outlineLevelCol="2"/>
  <cols>
    <col min="1" max="2" width="9" style="105" hidden="1" customWidth="1" outlineLevel="1"/>
    <col min="3" max="3" width="54.5" style="105" customWidth="1" collapsed="1"/>
    <col min="4" max="15" width="14.5" style="72" bestFit="1" customWidth="1"/>
    <col min="16" max="16" width="19.5" style="127" bestFit="1" customWidth="1"/>
    <col min="17" max="23" width="15.75" style="72" hidden="1" customWidth="1" outlineLevel="1"/>
    <col min="24" max="25" width="15.75" style="72" hidden="1" customWidth="1" outlineLevel="2"/>
    <col min="26" max="28" width="13.25" style="72" hidden="1" customWidth="1" outlineLevel="2"/>
    <col min="29" max="29" width="17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36" width="9" style="105"/>
    <col min="37" max="37" width="11.625" style="105" bestFit="1" customWidth="1"/>
    <col min="38" max="16384" width="9" style="105"/>
  </cols>
  <sheetData>
    <row r="1" spans="1:33" s="100" customFormat="1">
      <c r="A1" s="100" t="s">
        <v>314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6" t="s">
        <v>603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0</v>
      </c>
      <c r="S3" s="108" t="s">
        <v>0</v>
      </c>
      <c r="T3" s="108" t="s">
        <v>556</v>
      </c>
      <c r="U3" s="108" t="s">
        <v>556</v>
      </c>
      <c r="V3" s="108" t="s">
        <v>0</v>
      </c>
      <c r="W3" s="108" t="s">
        <v>556</v>
      </c>
      <c r="X3" s="108" t="s">
        <v>0</v>
      </c>
      <c r="Y3" s="108" t="s">
        <v>0</v>
      </c>
      <c r="Z3" s="108" t="s">
        <v>556</v>
      </c>
      <c r="AA3" s="108" t="s">
        <v>0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203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0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220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04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604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1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0</v>
      </c>
      <c r="AG9" s="124">
        <f t="shared" ref="AG9:AG27" si="3">P9-AF9</f>
        <v>0</v>
      </c>
    </row>
    <row r="10" spans="1:33">
      <c r="A10" s="105" t="s">
        <v>482</v>
      </c>
      <c r="B10" s="105" t="s">
        <v>604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17">
        <f>SUM(D10:O10)</f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0</v>
      </c>
      <c r="AD10" s="72">
        <f t="shared" si="1"/>
        <v>0</v>
      </c>
      <c r="AE10" s="192" t="e">
        <f t="shared" si="2"/>
        <v>#DIV/0!</v>
      </c>
      <c r="AF10" s="129">
        <v>0</v>
      </c>
      <c r="AG10" s="124">
        <f t="shared" si="3"/>
        <v>0</v>
      </c>
    </row>
    <row r="11" spans="1:33">
      <c r="A11" s="105" t="s">
        <v>484</v>
      </c>
      <c r="B11" s="105" t="s">
        <v>604</v>
      </c>
      <c r="C11" s="105" t="s">
        <v>485</v>
      </c>
      <c r="D11" s="210">
        <f t="shared" si="4"/>
        <v>0</v>
      </c>
      <c r="E11" s="210">
        <f t="shared" si="4"/>
        <v>0</v>
      </c>
      <c r="F11" s="210">
        <f t="shared" si="4"/>
        <v>0</v>
      </c>
      <c r="G11" s="210">
        <f t="shared" si="4"/>
        <v>0</v>
      </c>
      <c r="H11" s="210">
        <f t="shared" si="4"/>
        <v>0</v>
      </c>
      <c r="I11" s="210">
        <f t="shared" si="4"/>
        <v>0</v>
      </c>
      <c r="J11" s="210">
        <f t="shared" si="4"/>
        <v>0</v>
      </c>
      <c r="K11" s="210">
        <f t="shared" si="4"/>
        <v>0</v>
      </c>
      <c r="L11" s="210">
        <f t="shared" si="4"/>
        <v>0</v>
      </c>
      <c r="M11" s="210">
        <f t="shared" si="4"/>
        <v>0</v>
      </c>
      <c r="N11" s="210">
        <f t="shared" si="4"/>
        <v>0</v>
      </c>
      <c r="O11" s="210">
        <f t="shared" si="4"/>
        <v>0</v>
      </c>
      <c r="P11" s="117">
        <f>SUM(D11:O11)</f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127">
        <f>SUM(Q11:AB11)</f>
        <v>0</v>
      </c>
      <c r="AD11" s="72">
        <f t="shared" si="1"/>
        <v>0</v>
      </c>
      <c r="AE11" s="192" t="e">
        <f t="shared" si="2"/>
        <v>#DIV/0!</v>
      </c>
      <c r="AF11" s="129">
        <v>0</v>
      </c>
      <c r="AG11" s="124">
        <f t="shared" si="3"/>
        <v>0</v>
      </c>
    </row>
    <row r="12" spans="1:33">
      <c r="A12" s="105" t="s">
        <v>486</v>
      </c>
      <c r="B12" s="105" t="s">
        <v>604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1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604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1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0</v>
      </c>
      <c r="E14" s="127">
        <f t="shared" si="5"/>
        <v>0</v>
      </c>
      <c r="F14" s="127">
        <f t="shared" si="5"/>
        <v>0</v>
      </c>
      <c r="G14" s="127">
        <f t="shared" si="5"/>
        <v>0</v>
      </c>
      <c r="H14" s="127">
        <f t="shared" si="5"/>
        <v>0</v>
      </c>
      <c r="I14" s="127">
        <f t="shared" si="5"/>
        <v>0</v>
      </c>
      <c r="J14" s="127">
        <f t="shared" si="5"/>
        <v>0</v>
      </c>
      <c r="K14" s="127">
        <f t="shared" si="5"/>
        <v>0</v>
      </c>
      <c r="L14" s="127">
        <f t="shared" si="5"/>
        <v>0</v>
      </c>
      <c r="M14" s="127">
        <f t="shared" si="5"/>
        <v>0</v>
      </c>
      <c r="N14" s="127">
        <f t="shared" si="5"/>
        <v>0</v>
      </c>
      <c r="O14" s="127">
        <f t="shared" si="5"/>
        <v>0</v>
      </c>
      <c r="P14" s="117">
        <f t="shared" si="5"/>
        <v>0</v>
      </c>
      <c r="Q14" s="127">
        <f t="shared" si="5"/>
        <v>0</v>
      </c>
      <c r="R14" s="127">
        <f t="shared" si="5"/>
        <v>0</v>
      </c>
      <c r="S14" s="127">
        <f t="shared" si="5"/>
        <v>0</v>
      </c>
      <c r="T14" s="127">
        <f t="shared" si="5"/>
        <v>0</v>
      </c>
      <c r="U14" s="127">
        <f t="shared" si="5"/>
        <v>0</v>
      </c>
      <c r="V14" s="127">
        <f t="shared" si="5"/>
        <v>0</v>
      </c>
      <c r="W14" s="127">
        <f t="shared" si="5"/>
        <v>0</v>
      </c>
      <c r="X14" s="127">
        <f t="shared" si="5"/>
        <v>0</v>
      </c>
      <c r="Y14" s="127">
        <f t="shared" si="5"/>
        <v>0</v>
      </c>
      <c r="Z14" s="127">
        <f t="shared" si="5"/>
        <v>0</v>
      </c>
      <c r="AA14" s="127">
        <f t="shared" si="5"/>
        <v>0</v>
      </c>
      <c r="AB14" s="127">
        <f t="shared" si="5"/>
        <v>0</v>
      </c>
      <c r="AC14" s="127">
        <f t="shared" si="5"/>
        <v>0</v>
      </c>
      <c r="AD14" s="72">
        <f t="shared" si="1"/>
        <v>0</v>
      </c>
      <c r="AE14" s="192" t="e">
        <f t="shared" si="2"/>
        <v>#DIV/0!</v>
      </c>
      <c r="AF14" s="129">
        <v>0</v>
      </c>
      <c r="AG14" s="124">
        <f t="shared" si="3"/>
        <v>0</v>
      </c>
    </row>
    <row r="15" spans="1:33">
      <c r="C15" s="105" t="s">
        <v>154</v>
      </c>
      <c r="P15" s="117"/>
      <c r="AF15" s="129"/>
      <c r="AG15" s="124">
        <f t="shared" si="3"/>
        <v>0</v>
      </c>
    </row>
    <row r="16" spans="1:33">
      <c r="C16" s="105" t="s">
        <v>491</v>
      </c>
      <c r="P16" s="117"/>
      <c r="AF16" s="129"/>
      <c r="AG16" s="124">
        <f t="shared" si="3"/>
        <v>0</v>
      </c>
    </row>
    <row r="17" spans="1:33">
      <c r="A17" s="105" t="s">
        <v>605</v>
      </c>
      <c r="B17" s="105" t="s">
        <v>604</v>
      </c>
      <c r="C17" s="105" t="s">
        <v>481</v>
      </c>
      <c r="P17" s="11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0</v>
      </c>
      <c r="AG17" s="124">
        <f t="shared" si="3"/>
        <v>0</v>
      </c>
    </row>
    <row r="18" spans="1:33">
      <c r="A18" s="105" t="s">
        <v>606</v>
      </c>
      <c r="B18" s="105" t="s">
        <v>604</v>
      </c>
      <c r="C18" s="105" t="s">
        <v>483</v>
      </c>
      <c r="P18" s="11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0</v>
      </c>
      <c r="AG18" s="124">
        <f t="shared" si="3"/>
        <v>0</v>
      </c>
    </row>
    <row r="19" spans="1:33">
      <c r="A19" s="105" t="s">
        <v>607</v>
      </c>
      <c r="B19" s="105" t="s">
        <v>604</v>
      </c>
      <c r="C19" s="105" t="s">
        <v>485</v>
      </c>
      <c r="P19" s="117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0</v>
      </c>
      <c r="AG19" s="124">
        <f t="shared" si="3"/>
        <v>0</v>
      </c>
    </row>
    <row r="20" spans="1:33">
      <c r="A20" s="105" t="s">
        <v>608</v>
      </c>
      <c r="B20" s="105" t="s">
        <v>604</v>
      </c>
      <c r="C20" s="105" t="s">
        <v>487</v>
      </c>
      <c r="P20" s="11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</row>
    <row r="21" spans="1:33">
      <c r="A21" s="105" t="s">
        <v>609</v>
      </c>
      <c r="B21" s="105" t="s">
        <v>604</v>
      </c>
      <c r="C21" s="105" t="s">
        <v>489</v>
      </c>
      <c r="P21" s="11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7">
        <f t="shared" si="8"/>
        <v>0</v>
      </c>
      <c r="K22" s="127">
        <f t="shared" si="8"/>
        <v>0</v>
      </c>
      <c r="L22" s="127">
        <f t="shared" si="8"/>
        <v>0</v>
      </c>
      <c r="M22" s="127">
        <f t="shared" si="8"/>
        <v>0</v>
      </c>
      <c r="N22" s="127">
        <f t="shared" si="8"/>
        <v>0</v>
      </c>
      <c r="O22" s="127">
        <f t="shared" si="8"/>
        <v>0</v>
      </c>
      <c r="P22" s="117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0</v>
      </c>
      <c r="AG22" s="124">
        <f t="shared" si="3"/>
        <v>0</v>
      </c>
    </row>
    <row r="23" spans="1:33">
      <c r="C23" s="105" t="s">
        <v>154</v>
      </c>
      <c r="P23" s="117"/>
      <c r="AF23" s="129"/>
      <c r="AG23" s="124">
        <f t="shared" si="3"/>
        <v>0</v>
      </c>
    </row>
    <row r="24" spans="1:33">
      <c r="A24" s="105" t="s">
        <v>406</v>
      </c>
      <c r="B24" s="105" t="s">
        <v>604</v>
      </c>
      <c r="C24" s="105" t="s">
        <v>408</v>
      </c>
      <c r="J24" s="123"/>
      <c r="K24" s="123"/>
      <c r="L24" s="123"/>
      <c r="M24" s="123"/>
      <c r="N24" s="123"/>
      <c r="O24" s="123"/>
      <c r="P24" s="11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604</v>
      </c>
      <c r="C25" s="105" t="s">
        <v>499</v>
      </c>
      <c r="P25" s="11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</row>
    <row r="26" spans="1:33">
      <c r="A26" s="105" t="s">
        <v>169</v>
      </c>
      <c r="B26" s="105" t="s">
        <v>604</v>
      </c>
      <c r="C26" s="105" t="s">
        <v>170</v>
      </c>
      <c r="P26" s="117">
        <f>SUM(D26:O26)</f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0</v>
      </c>
      <c r="AD26" s="72">
        <f>P26-AC26</f>
        <v>0</v>
      </c>
      <c r="AE26" s="192" t="e">
        <f>AD26/AC26</f>
        <v>#DIV/0!</v>
      </c>
      <c r="AF26" s="129">
        <v>0</v>
      </c>
      <c r="AG26" s="124">
        <f t="shared" si="3"/>
        <v>0</v>
      </c>
    </row>
    <row r="27" spans="1:33">
      <c r="C27" s="109" t="s">
        <v>500</v>
      </c>
      <c r="D27" s="127">
        <f t="shared" ref="D27:P27" si="10">SUM(D24:D26)+D14+D22</f>
        <v>0</v>
      </c>
      <c r="E27" s="127">
        <f t="shared" si="10"/>
        <v>0</v>
      </c>
      <c r="F27" s="127">
        <f t="shared" si="10"/>
        <v>0</v>
      </c>
      <c r="G27" s="127">
        <f t="shared" si="10"/>
        <v>0</v>
      </c>
      <c r="H27" s="127">
        <f t="shared" si="10"/>
        <v>0</v>
      </c>
      <c r="I27" s="127">
        <f t="shared" si="10"/>
        <v>0</v>
      </c>
      <c r="J27" s="127">
        <f t="shared" si="10"/>
        <v>0</v>
      </c>
      <c r="K27" s="127">
        <f t="shared" si="10"/>
        <v>0</v>
      </c>
      <c r="L27" s="127">
        <f t="shared" si="10"/>
        <v>0</v>
      </c>
      <c r="M27" s="127">
        <f t="shared" si="10"/>
        <v>0</v>
      </c>
      <c r="N27" s="127">
        <f t="shared" si="10"/>
        <v>0</v>
      </c>
      <c r="O27" s="127">
        <f t="shared" si="10"/>
        <v>0</v>
      </c>
      <c r="P27" s="117">
        <f t="shared" si="10"/>
        <v>0</v>
      </c>
      <c r="Q27" s="127">
        <f t="shared" ref="Q27:V27" si="11">SUM(Q24:Q26)+Q14+Q22</f>
        <v>0</v>
      </c>
      <c r="R27" s="127">
        <f t="shared" si="11"/>
        <v>0</v>
      </c>
      <c r="S27" s="127">
        <f t="shared" si="11"/>
        <v>0</v>
      </c>
      <c r="T27" s="127">
        <f t="shared" si="11"/>
        <v>0</v>
      </c>
      <c r="U27" s="127">
        <f t="shared" si="11"/>
        <v>0</v>
      </c>
      <c r="V27" s="127">
        <f t="shared" si="11"/>
        <v>0</v>
      </c>
      <c r="W27" s="127">
        <f t="shared" ref="W27:AC27" si="12">SUM(W24:W26)+W14+W22</f>
        <v>0</v>
      </c>
      <c r="X27" s="127">
        <f t="shared" si="12"/>
        <v>0</v>
      </c>
      <c r="Y27" s="127">
        <f t="shared" si="12"/>
        <v>0</v>
      </c>
      <c r="Z27" s="127">
        <f t="shared" si="12"/>
        <v>0</v>
      </c>
      <c r="AA27" s="127">
        <f t="shared" si="12"/>
        <v>0</v>
      </c>
      <c r="AB27" s="127">
        <f t="shared" si="12"/>
        <v>0</v>
      </c>
      <c r="AC27" s="127">
        <f t="shared" si="12"/>
        <v>0</v>
      </c>
      <c r="AD27" s="72">
        <f>P27-AC27</f>
        <v>0</v>
      </c>
      <c r="AE27" s="192" t="e">
        <f>AD27/AC27</f>
        <v>#DIV/0!</v>
      </c>
      <c r="AF27" s="129">
        <v>0</v>
      </c>
      <c r="AG27" s="124">
        <f t="shared" si="3"/>
        <v>0</v>
      </c>
    </row>
    <row r="28" spans="1:33">
      <c r="C28" s="105" t="s">
        <v>154</v>
      </c>
      <c r="P28" s="117"/>
      <c r="AF28" s="129"/>
    </row>
    <row r="29" spans="1:33">
      <c r="C29" s="105" t="s">
        <v>414</v>
      </c>
      <c r="P29" s="117"/>
      <c r="AF29" s="129"/>
    </row>
    <row r="30" spans="1:33">
      <c r="A30" s="105" t="s">
        <v>415</v>
      </c>
      <c r="B30" s="105" t="s">
        <v>604</v>
      </c>
      <c r="C30" s="105" t="s">
        <v>416</v>
      </c>
      <c r="P30" s="117">
        <f>SUM(D30:O30)</f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127">
        <f>SUM(Q30:AB30)</f>
        <v>0</v>
      </c>
      <c r="AD30" s="72">
        <f t="shared" ref="AD30:AD33" si="13">P30-AC30</f>
        <v>0</v>
      </c>
      <c r="AE30" s="192" t="e">
        <f t="shared" ref="AE30:AE33" si="14">AD30/AC30</f>
        <v>#DIV/0!</v>
      </c>
      <c r="AF30" s="129">
        <v>0</v>
      </c>
      <c r="AG30" s="124">
        <f t="shared" ref="AG30:AG80" si="15">AF30-P30</f>
        <v>0</v>
      </c>
    </row>
    <row r="31" spans="1:33">
      <c r="A31" s="105" t="s">
        <v>417</v>
      </c>
      <c r="B31" s="105" t="s">
        <v>604</v>
      </c>
      <c r="C31" s="105" t="s">
        <v>418</v>
      </c>
      <c r="P31" s="117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3"/>
        <v>0</v>
      </c>
      <c r="AE31" s="192" t="e">
        <f t="shared" si="14"/>
        <v>#DIV/0!</v>
      </c>
      <c r="AF31" s="129">
        <v>0</v>
      </c>
      <c r="AG31" s="124">
        <f t="shared" si="15"/>
        <v>0</v>
      </c>
    </row>
    <row r="32" spans="1:33">
      <c r="A32" s="105" t="s">
        <v>421</v>
      </c>
      <c r="B32" s="105" t="s">
        <v>604</v>
      </c>
      <c r="C32" s="105" t="s">
        <v>422</v>
      </c>
      <c r="P32" s="11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3"/>
        <v>0</v>
      </c>
      <c r="AE32" s="192" t="e">
        <f t="shared" si="14"/>
        <v>#DIV/0!</v>
      </c>
      <c r="AF32" s="129">
        <v>0</v>
      </c>
      <c r="AG32" s="124">
        <f t="shared" si="15"/>
        <v>0</v>
      </c>
    </row>
    <row r="33" spans="1:33">
      <c r="C33" s="109" t="s">
        <v>501</v>
      </c>
      <c r="D33" s="127">
        <f t="shared" ref="D33:AC33" si="16">SUM(D30:D32)</f>
        <v>0</v>
      </c>
      <c r="E33" s="127">
        <f t="shared" si="16"/>
        <v>0</v>
      </c>
      <c r="F33" s="127">
        <f t="shared" si="16"/>
        <v>0</v>
      </c>
      <c r="G33" s="127">
        <f t="shared" si="16"/>
        <v>0</v>
      </c>
      <c r="H33" s="127">
        <f t="shared" si="16"/>
        <v>0</v>
      </c>
      <c r="I33" s="127">
        <f t="shared" si="16"/>
        <v>0</v>
      </c>
      <c r="J33" s="127">
        <f t="shared" si="16"/>
        <v>0</v>
      </c>
      <c r="K33" s="127">
        <f t="shared" si="16"/>
        <v>0</v>
      </c>
      <c r="L33" s="127">
        <f t="shared" si="16"/>
        <v>0</v>
      </c>
      <c r="M33" s="127">
        <f t="shared" si="16"/>
        <v>0</v>
      </c>
      <c r="N33" s="127">
        <f t="shared" si="16"/>
        <v>0</v>
      </c>
      <c r="O33" s="127">
        <f t="shared" si="16"/>
        <v>0</v>
      </c>
      <c r="P33" s="117">
        <f t="shared" si="16"/>
        <v>0</v>
      </c>
      <c r="Q33" s="127">
        <f t="shared" si="16"/>
        <v>0</v>
      </c>
      <c r="R33" s="127">
        <f t="shared" si="16"/>
        <v>0</v>
      </c>
      <c r="S33" s="127">
        <f t="shared" si="16"/>
        <v>0</v>
      </c>
      <c r="T33" s="127">
        <f t="shared" si="16"/>
        <v>0</v>
      </c>
      <c r="U33" s="127">
        <f t="shared" si="16"/>
        <v>0</v>
      </c>
      <c r="V33" s="127">
        <f t="shared" si="16"/>
        <v>0</v>
      </c>
      <c r="W33" s="127">
        <f t="shared" si="16"/>
        <v>0</v>
      </c>
      <c r="X33" s="127">
        <f t="shared" si="16"/>
        <v>0</v>
      </c>
      <c r="Y33" s="127">
        <f t="shared" si="16"/>
        <v>0</v>
      </c>
      <c r="Z33" s="127">
        <f t="shared" si="16"/>
        <v>0</v>
      </c>
      <c r="AA33" s="127">
        <f t="shared" si="16"/>
        <v>0</v>
      </c>
      <c r="AB33" s="127">
        <f t="shared" si="16"/>
        <v>0</v>
      </c>
      <c r="AC33" s="127">
        <f t="shared" si="16"/>
        <v>0</v>
      </c>
      <c r="AD33" s="72">
        <f t="shared" si="13"/>
        <v>0</v>
      </c>
      <c r="AE33" s="192" t="e">
        <f t="shared" si="14"/>
        <v>#DIV/0!</v>
      </c>
      <c r="AF33" s="129">
        <v>0</v>
      </c>
      <c r="AG33" s="124">
        <f t="shared" si="15"/>
        <v>0</v>
      </c>
    </row>
    <row r="34" spans="1:33">
      <c r="C34" s="105" t="s">
        <v>154</v>
      </c>
      <c r="P34" s="117"/>
      <c r="AF34" s="129"/>
      <c r="AG34" s="124">
        <f t="shared" si="15"/>
        <v>0</v>
      </c>
    </row>
    <row r="35" spans="1:33" s="109" customFormat="1">
      <c r="C35" s="109" t="s">
        <v>289</v>
      </c>
      <c r="D35" s="127">
        <f t="shared" ref="D35:AB35" si="17">D134</f>
        <v>56389.62999999999</v>
      </c>
      <c r="E35" s="127">
        <f t="shared" si="17"/>
        <v>44578.520000000004</v>
      </c>
      <c r="F35" s="127">
        <f t="shared" si="17"/>
        <v>44630.71</v>
      </c>
      <c r="G35" s="127">
        <f t="shared" si="17"/>
        <v>47163.16</v>
      </c>
      <c r="H35" s="127">
        <f t="shared" si="17"/>
        <v>49548.020000000004</v>
      </c>
      <c r="I35" s="127">
        <f t="shared" si="17"/>
        <v>44796.22</v>
      </c>
      <c r="J35" s="127">
        <f t="shared" si="17"/>
        <v>45268.06</v>
      </c>
      <c r="K35" s="127">
        <f t="shared" si="17"/>
        <v>45075.9</v>
      </c>
      <c r="L35" s="127">
        <f t="shared" si="17"/>
        <v>45113.9</v>
      </c>
      <c r="M35" s="127">
        <f t="shared" si="17"/>
        <v>56775.529999999992</v>
      </c>
      <c r="N35" s="127">
        <f t="shared" si="17"/>
        <v>45246.549999999996</v>
      </c>
      <c r="O35" s="127">
        <f t="shared" si="17"/>
        <v>45034.39</v>
      </c>
      <c r="P35" s="117">
        <f t="shared" si="17"/>
        <v>569620.59000000008</v>
      </c>
      <c r="Q35" s="127">
        <f t="shared" si="17"/>
        <v>53522.76</v>
      </c>
      <c r="R35" s="127">
        <f t="shared" si="17"/>
        <v>60347.07</v>
      </c>
      <c r="S35" s="127">
        <f t="shared" si="17"/>
        <v>49772.87</v>
      </c>
      <c r="T35" s="127">
        <f t="shared" si="17"/>
        <v>50290.91</v>
      </c>
      <c r="U35" s="127">
        <f t="shared" si="17"/>
        <v>48190.44</v>
      </c>
      <c r="V35" s="127">
        <f t="shared" si="17"/>
        <v>49286.29</v>
      </c>
      <c r="W35" s="127">
        <f t="shared" si="17"/>
        <v>45903.83</v>
      </c>
      <c r="X35" s="127">
        <f t="shared" si="17"/>
        <v>44986.479999999996</v>
      </c>
      <c r="Y35" s="127">
        <f t="shared" si="17"/>
        <v>173515.19</v>
      </c>
      <c r="Z35" s="127">
        <f t="shared" si="17"/>
        <v>155952.19</v>
      </c>
      <c r="AA35" s="127">
        <f t="shared" si="17"/>
        <v>176084.19</v>
      </c>
      <c r="AB35" s="127">
        <f t="shared" si="17"/>
        <v>186080.19</v>
      </c>
      <c r="AC35" s="127">
        <f>SUM(Q35:AB35)</f>
        <v>1093932.4099999999</v>
      </c>
      <c r="AD35" s="127">
        <f>AC35-P35</f>
        <v>524311.81999999983</v>
      </c>
      <c r="AE35" s="132">
        <f>AD35/AC35</f>
        <v>0.47929087319023655</v>
      </c>
      <c r="AF35" s="129">
        <v>1964236.04</v>
      </c>
      <c r="AG35" s="124">
        <f t="shared" si="15"/>
        <v>1394615.45</v>
      </c>
    </row>
    <row r="36" spans="1:33">
      <c r="C36" s="105" t="s">
        <v>154</v>
      </c>
      <c r="P36" s="117"/>
      <c r="AF36" s="129"/>
      <c r="AG36" s="124">
        <f t="shared" si="15"/>
        <v>0</v>
      </c>
    </row>
    <row r="37" spans="1:33">
      <c r="C37" s="109" t="s">
        <v>502</v>
      </c>
      <c r="P37" s="117"/>
      <c r="AF37" s="129"/>
      <c r="AG37" s="124">
        <f t="shared" si="15"/>
        <v>0</v>
      </c>
    </row>
    <row r="38" spans="1:33">
      <c r="A38" s="105" t="s">
        <v>424</v>
      </c>
      <c r="B38" s="105" t="s">
        <v>604</v>
      </c>
      <c r="C38" s="105" t="s">
        <v>425</v>
      </c>
      <c r="P38" s="200">
        <f t="shared" ref="P38:P78" si="18">SUM(D38:O38)</f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ref="AC38:AC79" si="19">SUM(Q38:AB38)</f>
        <v>0</v>
      </c>
      <c r="AD38" s="72">
        <f t="shared" ref="AD38:AD82" si="20">P38-AC38</f>
        <v>0</v>
      </c>
      <c r="AE38" s="192" t="e">
        <f t="shared" ref="AE38:AE82" si="21">AD38/AC38</f>
        <v>#DIV/0!</v>
      </c>
      <c r="AF38" s="129">
        <v>0</v>
      </c>
      <c r="AG38" s="124">
        <f t="shared" si="15"/>
        <v>0</v>
      </c>
    </row>
    <row r="39" spans="1:33">
      <c r="A39" s="105" t="s">
        <v>549</v>
      </c>
      <c r="C39" s="105" t="s">
        <v>426</v>
      </c>
      <c r="P39" s="200">
        <f t="shared" si="18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19"/>
        <v>0</v>
      </c>
      <c r="AD39" s="72">
        <f t="shared" si="20"/>
        <v>0</v>
      </c>
      <c r="AE39" s="192" t="e">
        <f t="shared" si="21"/>
        <v>#DIV/0!</v>
      </c>
      <c r="AF39" s="129">
        <v>0</v>
      </c>
      <c r="AG39" s="124">
        <f t="shared" si="15"/>
        <v>0</v>
      </c>
    </row>
    <row r="40" spans="1:33">
      <c r="A40" s="105" t="s">
        <v>549</v>
      </c>
      <c r="C40" s="105" t="s">
        <v>427</v>
      </c>
      <c r="P40" s="200">
        <f t="shared" si="18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19"/>
        <v>0</v>
      </c>
      <c r="AD40" s="72">
        <f t="shared" si="20"/>
        <v>0</v>
      </c>
      <c r="AE40" s="192" t="e">
        <f t="shared" si="21"/>
        <v>#DIV/0!</v>
      </c>
      <c r="AF40" s="129">
        <v>0</v>
      </c>
      <c r="AG40" s="124">
        <f t="shared" si="15"/>
        <v>0</v>
      </c>
    </row>
    <row r="41" spans="1:33">
      <c r="A41" s="105" t="s">
        <v>549</v>
      </c>
      <c r="C41" s="105" t="s">
        <v>428</v>
      </c>
      <c r="P41" s="200">
        <f t="shared" si="18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19"/>
        <v>0</v>
      </c>
      <c r="AD41" s="72">
        <f t="shared" si="20"/>
        <v>0</v>
      </c>
      <c r="AE41" s="192" t="e">
        <f t="shared" si="21"/>
        <v>#DIV/0!</v>
      </c>
      <c r="AF41" s="129">
        <v>0</v>
      </c>
      <c r="AG41" s="124">
        <f t="shared" si="15"/>
        <v>0</v>
      </c>
    </row>
    <row r="42" spans="1:33">
      <c r="A42" s="105" t="s">
        <v>550</v>
      </c>
      <c r="B42" s="105" t="s">
        <v>604</v>
      </c>
      <c r="C42" s="105" t="s">
        <v>143</v>
      </c>
      <c r="P42" s="200">
        <f t="shared" si="18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19"/>
        <v>0</v>
      </c>
      <c r="AD42" s="72">
        <f t="shared" si="20"/>
        <v>0</v>
      </c>
      <c r="AE42" s="192" t="e">
        <f t="shared" si="21"/>
        <v>#DIV/0!</v>
      </c>
      <c r="AF42" s="129">
        <v>710145.98</v>
      </c>
      <c r="AG42" s="124">
        <f t="shared" si="15"/>
        <v>710145.98</v>
      </c>
    </row>
    <row r="43" spans="1:33">
      <c r="A43" s="105" t="s">
        <v>180</v>
      </c>
      <c r="B43" s="105" t="s">
        <v>604</v>
      </c>
      <c r="C43" s="105" t="s">
        <v>144</v>
      </c>
      <c r="D43" s="174">
        <f t="shared" ref="D43:O43" si="22">+D138+D139+D140</f>
        <v>158038.44999999998</v>
      </c>
      <c r="E43" s="174">
        <f t="shared" si="22"/>
        <v>136630.35</v>
      </c>
      <c r="F43" s="174">
        <f t="shared" si="22"/>
        <v>138423.35</v>
      </c>
      <c r="G43" s="174">
        <f t="shared" si="22"/>
        <v>141587.47</v>
      </c>
      <c r="H43" s="174">
        <f t="shared" si="22"/>
        <v>148183.64000000001</v>
      </c>
      <c r="I43" s="174">
        <f t="shared" si="22"/>
        <v>138866.35</v>
      </c>
      <c r="J43" s="174">
        <f t="shared" si="22"/>
        <v>140084.41999999998</v>
      </c>
      <c r="K43" s="174">
        <f t="shared" si="22"/>
        <v>139235.95000000001</v>
      </c>
      <c r="L43" s="174">
        <f t="shared" si="22"/>
        <v>139318.95000000001</v>
      </c>
      <c r="M43" s="174">
        <f t="shared" si="22"/>
        <v>162869.94</v>
      </c>
      <c r="N43" s="174">
        <f t="shared" si="22"/>
        <v>140026.41999999998</v>
      </c>
      <c r="O43" s="174">
        <f t="shared" si="22"/>
        <v>139099.95000000001</v>
      </c>
      <c r="P43" s="200">
        <f t="shared" si="18"/>
        <v>1722365.2399999998</v>
      </c>
      <c r="Q43" s="72">
        <v>120016.66</v>
      </c>
      <c r="R43" s="72">
        <v>173575.81</v>
      </c>
      <c r="S43" s="72">
        <v>171524.03</v>
      </c>
      <c r="T43" s="72">
        <v>143386.48000000001</v>
      </c>
      <c r="U43" s="72">
        <v>137590.60999999999</v>
      </c>
      <c r="V43" s="72">
        <v>132837.16</v>
      </c>
      <c r="W43" s="72">
        <v>145065.03</v>
      </c>
      <c r="X43" s="72">
        <v>140828.29999999999</v>
      </c>
      <c r="Y43" s="72">
        <v>-3489.0200000000186</v>
      </c>
      <c r="Z43" s="72">
        <v>26617.979999999981</v>
      </c>
      <c r="AA43" s="72">
        <v>3623.9799999999814</v>
      </c>
      <c r="AB43" s="72">
        <v>-3371.0200000000186</v>
      </c>
      <c r="AC43" s="127">
        <f t="shared" si="19"/>
        <v>1188206</v>
      </c>
      <c r="AD43" s="72">
        <f t="shared" si="20"/>
        <v>534159.23999999976</v>
      </c>
      <c r="AE43" s="192">
        <f t="shared" si="21"/>
        <v>0.44955103744636854</v>
      </c>
      <c r="AF43" s="129">
        <v>3780.09</v>
      </c>
      <c r="AG43" s="124">
        <f t="shared" si="15"/>
        <v>-1718585.1499999997</v>
      </c>
    </row>
    <row r="44" spans="1:33">
      <c r="A44" s="105" t="s">
        <v>181</v>
      </c>
      <c r="B44" s="105" t="s">
        <v>604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200">
        <f t="shared" si="18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19"/>
        <v>0</v>
      </c>
      <c r="AD44" s="72">
        <f t="shared" si="20"/>
        <v>0</v>
      </c>
      <c r="AE44" s="192" t="e">
        <f t="shared" si="21"/>
        <v>#DIV/0!</v>
      </c>
      <c r="AF44" s="129">
        <v>0</v>
      </c>
      <c r="AG44" s="124">
        <f t="shared" si="15"/>
        <v>0</v>
      </c>
    </row>
    <row r="45" spans="1:33">
      <c r="A45" s="105" t="s">
        <v>430</v>
      </c>
      <c r="B45" s="105" t="s">
        <v>604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200">
        <f t="shared" si="18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19"/>
        <v>0</v>
      </c>
      <c r="AD45" s="72">
        <f t="shared" si="20"/>
        <v>0</v>
      </c>
      <c r="AE45" s="192" t="e">
        <f t="shared" si="21"/>
        <v>#DIV/0!</v>
      </c>
      <c r="AF45" s="129">
        <v>0</v>
      </c>
      <c r="AG45" s="124">
        <f t="shared" si="15"/>
        <v>0</v>
      </c>
    </row>
    <row r="46" spans="1:33">
      <c r="A46" s="105" t="s">
        <v>183</v>
      </c>
      <c r="B46" s="105" t="s">
        <v>604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200">
        <f t="shared" si="18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19"/>
        <v>0</v>
      </c>
      <c r="AD46" s="72">
        <f t="shared" si="20"/>
        <v>0</v>
      </c>
      <c r="AE46" s="192" t="e">
        <f t="shared" si="21"/>
        <v>#DIV/0!</v>
      </c>
      <c r="AF46" s="129">
        <v>0</v>
      </c>
      <c r="AG46" s="124">
        <f t="shared" si="15"/>
        <v>0</v>
      </c>
    </row>
    <row r="47" spans="1:33">
      <c r="A47" s="105" t="s">
        <v>549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200">
        <f t="shared" si="18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19"/>
        <v>0</v>
      </c>
      <c r="AD47" s="72">
        <f t="shared" si="20"/>
        <v>0</v>
      </c>
      <c r="AE47" s="192" t="e">
        <f t="shared" si="21"/>
        <v>#DIV/0!</v>
      </c>
      <c r="AF47" s="129">
        <v>0</v>
      </c>
      <c r="AG47" s="124">
        <f t="shared" si="15"/>
        <v>0</v>
      </c>
    </row>
    <row r="48" spans="1:33">
      <c r="A48" s="105" t="s">
        <v>185</v>
      </c>
      <c r="B48" s="105" t="s">
        <v>604</v>
      </c>
      <c r="C48" s="105" t="s">
        <v>186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200">
        <f t="shared" si="18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19"/>
        <v>0</v>
      </c>
      <c r="AD48" s="72">
        <f t="shared" si="20"/>
        <v>0</v>
      </c>
      <c r="AE48" s="192" t="e">
        <f t="shared" si="21"/>
        <v>#DIV/0!</v>
      </c>
      <c r="AF48" s="129">
        <v>0</v>
      </c>
      <c r="AG48" s="124">
        <f t="shared" si="15"/>
        <v>0</v>
      </c>
    </row>
    <row r="49" spans="1:37">
      <c r="A49" s="105" t="s">
        <v>187</v>
      </c>
      <c r="B49" s="105" t="s">
        <v>604</v>
      </c>
      <c r="C49" s="105" t="s">
        <v>188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200">
        <f t="shared" si="18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127">
        <f t="shared" si="19"/>
        <v>0</v>
      </c>
      <c r="AD49" s="72">
        <f t="shared" si="20"/>
        <v>0</v>
      </c>
      <c r="AE49" s="192" t="e">
        <f t="shared" si="21"/>
        <v>#DIV/0!</v>
      </c>
      <c r="AF49" s="129">
        <v>0</v>
      </c>
      <c r="AG49" s="124">
        <f t="shared" si="15"/>
        <v>0</v>
      </c>
    </row>
    <row r="50" spans="1:37">
      <c r="A50" s="105" t="s">
        <v>195</v>
      </c>
      <c r="B50" s="105" t="s">
        <v>604</v>
      </c>
      <c r="C50" s="105" t="s">
        <v>196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200">
        <f t="shared" si="18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19"/>
        <v>0</v>
      </c>
      <c r="AD50" s="72">
        <f t="shared" si="20"/>
        <v>0</v>
      </c>
      <c r="AE50" s="192" t="e">
        <f t="shared" si="21"/>
        <v>#DIV/0!</v>
      </c>
      <c r="AF50" s="129">
        <v>0</v>
      </c>
      <c r="AG50" s="124">
        <f t="shared" si="15"/>
        <v>0</v>
      </c>
    </row>
    <row r="51" spans="1:37">
      <c r="A51" s="105" t="s">
        <v>197</v>
      </c>
      <c r="B51" s="105" t="s">
        <v>604</v>
      </c>
      <c r="C51" s="105" t="s">
        <v>305</v>
      </c>
      <c r="D51" s="72">
        <v>50000</v>
      </c>
      <c r="E51" s="72">
        <v>60000</v>
      </c>
      <c r="F51" s="72">
        <v>50000</v>
      </c>
      <c r="G51" s="72">
        <v>40000</v>
      </c>
      <c r="H51" s="72">
        <v>50000</v>
      </c>
      <c r="I51" s="72">
        <v>35000</v>
      </c>
      <c r="J51" s="72">
        <v>50000</v>
      </c>
      <c r="K51" s="72">
        <v>50000</v>
      </c>
      <c r="L51" s="72">
        <v>35000</v>
      </c>
      <c r="M51" s="72">
        <v>40000</v>
      </c>
      <c r="N51" s="72">
        <v>40000</v>
      </c>
      <c r="O51" s="72">
        <v>40000</v>
      </c>
      <c r="P51" s="200">
        <f t="shared" si="18"/>
        <v>540000</v>
      </c>
      <c r="Q51" s="72">
        <v>37021.629999999997</v>
      </c>
      <c r="R51" s="72">
        <v>55130.39</v>
      </c>
      <c r="S51" s="72">
        <v>66472.149999999994</v>
      </c>
      <c r="T51" s="72">
        <v>49248.13</v>
      </c>
      <c r="U51" s="72">
        <v>-41270.239999999998</v>
      </c>
      <c r="V51" s="72">
        <v>51742.95</v>
      </c>
      <c r="W51" s="72">
        <v>77429.27</v>
      </c>
      <c r="X51" s="72">
        <v>49924.13</v>
      </c>
      <c r="Y51" s="72">
        <v>51870</v>
      </c>
      <c r="Z51" s="72">
        <v>50146</v>
      </c>
      <c r="AA51" s="72">
        <v>50283</v>
      </c>
      <c r="AB51" s="72">
        <v>40000</v>
      </c>
      <c r="AC51" s="127">
        <f t="shared" si="19"/>
        <v>537997.41</v>
      </c>
      <c r="AD51" s="72">
        <f t="shared" si="20"/>
        <v>2002.5899999999674</v>
      </c>
      <c r="AE51" s="192">
        <f t="shared" si="21"/>
        <v>3.7223041649958265E-3</v>
      </c>
      <c r="AF51" s="129">
        <v>311016.56000000006</v>
      </c>
      <c r="AG51" s="124">
        <f t="shared" si="15"/>
        <v>-228983.43999999994</v>
      </c>
      <c r="AK51" s="124">
        <v>0.9</v>
      </c>
    </row>
    <row r="52" spans="1:37">
      <c r="A52" s="105" t="s">
        <v>434</v>
      </c>
      <c r="B52" s="105" t="s">
        <v>604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200">
        <f t="shared" si="18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19"/>
        <v>0</v>
      </c>
      <c r="AD52" s="72">
        <f t="shared" si="20"/>
        <v>0</v>
      </c>
      <c r="AE52" s="192" t="e">
        <f t="shared" si="21"/>
        <v>#DIV/0!</v>
      </c>
      <c r="AF52" s="129">
        <v>0</v>
      </c>
      <c r="AG52" s="124">
        <f t="shared" si="15"/>
        <v>0</v>
      </c>
    </row>
    <row r="53" spans="1:37">
      <c r="A53" s="105" t="s">
        <v>436</v>
      </c>
      <c r="B53" s="105" t="s">
        <v>604</v>
      </c>
      <c r="C53" s="105" t="s">
        <v>437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200">
        <f t="shared" si="18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19"/>
        <v>0</v>
      </c>
      <c r="AD53" s="72">
        <f t="shared" si="20"/>
        <v>0</v>
      </c>
      <c r="AE53" s="192" t="e">
        <f t="shared" si="21"/>
        <v>#DIV/0!</v>
      </c>
      <c r="AF53" s="129">
        <v>0</v>
      </c>
      <c r="AG53" s="124">
        <f t="shared" si="15"/>
        <v>0</v>
      </c>
    </row>
    <row r="54" spans="1:37">
      <c r="A54" s="105" t="s">
        <v>199</v>
      </c>
      <c r="B54" s="105" t="s">
        <v>604</v>
      </c>
      <c r="C54" s="105" t="s">
        <v>200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2">
        <v>0</v>
      </c>
      <c r="P54" s="200">
        <f t="shared" si="18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19"/>
        <v>0</v>
      </c>
      <c r="AD54" s="72">
        <f t="shared" si="20"/>
        <v>0</v>
      </c>
      <c r="AE54" s="192" t="e">
        <f t="shared" si="21"/>
        <v>#DIV/0!</v>
      </c>
      <c r="AF54" s="129">
        <v>0</v>
      </c>
      <c r="AG54" s="124">
        <f t="shared" si="15"/>
        <v>0</v>
      </c>
    </row>
    <row r="55" spans="1:37">
      <c r="A55" s="105" t="s">
        <v>438</v>
      </c>
      <c r="B55" s="105" t="s">
        <v>604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200">
        <f t="shared" si="18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19"/>
        <v>0</v>
      </c>
      <c r="AD55" s="72">
        <f t="shared" si="20"/>
        <v>0</v>
      </c>
      <c r="AE55" s="192" t="e">
        <f t="shared" si="21"/>
        <v>#DIV/0!</v>
      </c>
      <c r="AF55" s="129">
        <v>0</v>
      </c>
      <c r="AG55" s="124">
        <f t="shared" si="15"/>
        <v>0</v>
      </c>
    </row>
    <row r="56" spans="1:37">
      <c r="A56" s="105" t="s">
        <v>201</v>
      </c>
      <c r="B56" s="105" t="s">
        <v>604</v>
      </c>
      <c r="C56" s="105" t="s">
        <v>202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0</v>
      </c>
      <c r="M56" s="72">
        <v>0</v>
      </c>
      <c r="N56" s="72">
        <v>0</v>
      </c>
      <c r="O56" s="72">
        <v>0</v>
      </c>
      <c r="P56" s="200">
        <f t="shared" si="18"/>
        <v>0</v>
      </c>
      <c r="Q56" s="72"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2000</v>
      </c>
      <c r="Z56" s="72">
        <v>2000</v>
      </c>
      <c r="AA56" s="72">
        <v>2000</v>
      </c>
      <c r="AB56" s="72">
        <v>2000</v>
      </c>
      <c r="AC56" s="127">
        <f t="shared" si="19"/>
        <v>8000</v>
      </c>
      <c r="AD56" s="72">
        <f t="shared" si="20"/>
        <v>-8000</v>
      </c>
      <c r="AE56" s="192">
        <f t="shared" si="21"/>
        <v>-1</v>
      </c>
      <c r="AF56" s="129">
        <v>0</v>
      </c>
      <c r="AG56" s="124">
        <f t="shared" si="15"/>
        <v>0</v>
      </c>
    </row>
    <row r="57" spans="1:37">
      <c r="A57" s="105" t="s">
        <v>440</v>
      </c>
      <c r="B57" s="105" t="s">
        <v>604</v>
      </c>
      <c r="C57" s="105" t="s">
        <v>441</v>
      </c>
      <c r="D57" s="72">
        <v>10000</v>
      </c>
      <c r="E57" s="72">
        <v>10000</v>
      </c>
      <c r="F57" s="72">
        <v>10000</v>
      </c>
      <c r="G57" s="72">
        <v>10000</v>
      </c>
      <c r="H57" s="72">
        <v>10000</v>
      </c>
      <c r="I57" s="72">
        <v>10000</v>
      </c>
      <c r="J57" s="72">
        <v>10000</v>
      </c>
      <c r="K57" s="72">
        <v>10000</v>
      </c>
      <c r="L57" s="72">
        <v>10000</v>
      </c>
      <c r="M57" s="72">
        <v>10000</v>
      </c>
      <c r="N57" s="72">
        <v>10000</v>
      </c>
      <c r="O57" s="72">
        <v>10000</v>
      </c>
      <c r="P57" s="200">
        <f t="shared" si="18"/>
        <v>120000</v>
      </c>
      <c r="Q57" s="72">
        <v>50540</v>
      </c>
      <c r="R57" s="72">
        <v>50000.01</v>
      </c>
      <c r="S57" s="72">
        <v>5000.01</v>
      </c>
      <c r="T57" s="72">
        <v>-540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19"/>
        <v>105000.02</v>
      </c>
      <c r="AD57" s="72">
        <f t="shared" si="20"/>
        <v>14999.979999999996</v>
      </c>
      <c r="AE57" s="192">
        <f t="shared" si="21"/>
        <v>0.14285692517010945</v>
      </c>
      <c r="AF57" s="129">
        <v>54957.57</v>
      </c>
      <c r="AG57" s="124">
        <f t="shared" si="15"/>
        <v>-65042.43</v>
      </c>
    </row>
    <row r="58" spans="1:37">
      <c r="A58" s="105" t="s">
        <v>442</v>
      </c>
      <c r="B58" s="105" t="s">
        <v>604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200">
        <f t="shared" si="18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19"/>
        <v>0</v>
      </c>
      <c r="AD58" s="72">
        <f t="shared" si="20"/>
        <v>0</v>
      </c>
      <c r="AE58" s="192" t="e">
        <f t="shared" si="21"/>
        <v>#DIV/0!</v>
      </c>
      <c r="AF58" s="129">
        <v>0</v>
      </c>
      <c r="AG58" s="124">
        <f t="shared" si="15"/>
        <v>0</v>
      </c>
    </row>
    <row r="59" spans="1:37">
      <c r="A59" s="105" t="s">
        <v>203</v>
      </c>
      <c r="B59" s="105" t="s">
        <v>604</v>
      </c>
      <c r="C59" s="105" t="s">
        <v>204</v>
      </c>
      <c r="D59" s="72">
        <v>1184</v>
      </c>
      <c r="E59" s="72">
        <v>1184</v>
      </c>
      <c r="F59" s="72">
        <v>1184</v>
      </c>
      <c r="G59" s="72">
        <v>1184</v>
      </c>
      <c r="H59" s="72">
        <v>1184</v>
      </c>
      <c r="I59" s="72">
        <v>1184</v>
      </c>
      <c r="J59" s="72">
        <v>1184</v>
      </c>
      <c r="K59" s="72">
        <v>1184</v>
      </c>
      <c r="L59" s="72">
        <v>1184</v>
      </c>
      <c r="M59" s="72">
        <v>1184</v>
      </c>
      <c r="N59" s="72">
        <v>1184</v>
      </c>
      <c r="O59" s="72">
        <v>1184</v>
      </c>
      <c r="P59" s="200">
        <f t="shared" si="18"/>
        <v>14208</v>
      </c>
      <c r="Q59" s="72">
        <v>1226</v>
      </c>
      <c r="R59" s="72">
        <v>1226</v>
      </c>
      <c r="S59" s="72">
        <v>1226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19"/>
        <v>3678</v>
      </c>
      <c r="AD59" s="72">
        <f t="shared" si="20"/>
        <v>10530</v>
      </c>
      <c r="AE59" s="192">
        <f t="shared" si="21"/>
        <v>2.862969004893964</v>
      </c>
      <c r="AF59" s="129">
        <v>11185.029999999999</v>
      </c>
      <c r="AG59" s="124">
        <f t="shared" si="15"/>
        <v>-3022.9700000000012</v>
      </c>
    </row>
    <row r="60" spans="1:37">
      <c r="A60" s="105" t="s">
        <v>444</v>
      </c>
      <c r="B60" s="105" t="s">
        <v>604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200">
        <f t="shared" si="18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19"/>
        <v>0</v>
      </c>
      <c r="AD60" s="72">
        <f t="shared" si="20"/>
        <v>0</v>
      </c>
      <c r="AE60" s="192" t="e">
        <f t="shared" si="21"/>
        <v>#DIV/0!</v>
      </c>
      <c r="AF60" s="129">
        <v>0</v>
      </c>
      <c r="AG60" s="124">
        <f t="shared" si="15"/>
        <v>0</v>
      </c>
    </row>
    <row r="61" spans="1:37">
      <c r="A61" s="105" t="s">
        <v>446</v>
      </c>
      <c r="B61" s="105" t="s">
        <v>604</v>
      </c>
      <c r="C61" s="105" t="s">
        <v>447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200">
        <f t="shared" si="18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19"/>
        <v>0</v>
      </c>
      <c r="AD61" s="72">
        <f t="shared" si="20"/>
        <v>0</v>
      </c>
      <c r="AE61" s="192" t="e">
        <f t="shared" si="21"/>
        <v>#DIV/0!</v>
      </c>
      <c r="AF61" s="129">
        <v>0</v>
      </c>
      <c r="AG61" s="124">
        <f t="shared" si="15"/>
        <v>0</v>
      </c>
    </row>
    <row r="62" spans="1:37">
      <c r="A62" s="105" t="s">
        <v>549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200">
        <f t="shared" si="18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19"/>
        <v>0</v>
      </c>
      <c r="AD62" s="72">
        <f t="shared" si="20"/>
        <v>0</v>
      </c>
      <c r="AE62" s="192" t="e">
        <f t="shared" si="21"/>
        <v>#DIV/0!</v>
      </c>
      <c r="AF62" s="129">
        <v>0</v>
      </c>
      <c r="AG62" s="124">
        <f t="shared" si="15"/>
        <v>0</v>
      </c>
    </row>
    <row r="63" spans="1:37">
      <c r="A63" s="105" t="s">
        <v>207</v>
      </c>
      <c r="B63" s="105" t="s">
        <v>604</v>
      </c>
      <c r="C63" s="105" t="s">
        <v>208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200">
        <f t="shared" si="18"/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19"/>
        <v>0</v>
      </c>
      <c r="AD63" s="72">
        <f t="shared" si="20"/>
        <v>0</v>
      </c>
      <c r="AE63" s="192" t="e">
        <f t="shared" si="21"/>
        <v>#DIV/0!</v>
      </c>
      <c r="AF63" s="129">
        <v>0</v>
      </c>
      <c r="AG63" s="124">
        <f t="shared" si="15"/>
        <v>0</v>
      </c>
    </row>
    <row r="64" spans="1:37">
      <c r="A64" s="105" t="s">
        <v>449</v>
      </c>
      <c r="B64" s="105" t="s">
        <v>604</v>
      </c>
      <c r="C64" s="105" t="s">
        <v>450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200">
        <f t="shared" si="18"/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19"/>
        <v>0</v>
      </c>
      <c r="AD64" s="72">
        <f t="shared" si="20"/>
        <v>0</v>
      </c>
      <c r="AE64" s="192" t="e">
        <f t="shared" si="21"/>
        <v>#DIV/0!</v>
      </c>
      <c r="AF64" s="129">
        <v>0</v>
      </c>
      <c r="AG64" s="124">
        <f t="shared" si="15"/>
        <v>0</v>
      </c>
    </row>
    <row r="65" spans="1:33">
      <c r="A65" s="105" t="s">
        <v>549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200">
        <f t="shared" si="18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19"/>
        <v>0</v>
      </c>
      <c r="AD65" s="72">
        <f t="shared" si="20"/>
        <v>0</v>
      </c>
      <c r="AE65" s="192" t="e">
        <f t="shared" si="21"/>
        <v>#DIV/0!</v>
      </c>
      <c r="AF65" s="129">
        <v>0</v>
      </c>
      <c r="AG65" s="124">
        <f t="shared" si="15"/>
        <v>0</v>
      </c>
    </row>
    <row r="66" spans="1:33">
      <c r="A66" s="105" t="s">
        <v>452</v>
      </c>
      <c r="B66" s="105" t="s">
        <v>604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200">
        <f t="shared" si="18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19"/>
        <v>0</v>
      </c>
      <c r="AD66" s="72">
        <f t="shared" si="20"/>
        <v>0</v>
      </c>
      <c r="AE66" s="192" t="e">
        <f t="shared" si="21"/>
        <v>#DIV/0!</v>
      </c>
      <c r="AF66" s="129">
        <v>0</v>
      </c>
      <c r="AG66" s="124">
        <f t="shared" si="15"/>
        <v>0</v>
      </c>
    </row>
    <row r="67" spans="1:33">
      <c r="A67" s="105" t="s">
        <v>454</v>
      </c>
      <c r="B67" s="105" t="s">
        <v>604</v>
      </c>
      <c r="C67" s="105" t="s">
        <v>455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200">
        <f t="shared" si="18"/>
        <v>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2000</v>
      </c>
      <c r="Z67" s="72">
        <v>2000</v>
      </c>
      <c r="AA67" s="72">
        <v>2000</v>
      </c>
      <c r="AB67" s="72">
        <v>2000</v>
      </c>
      <c r="AC67" s="137">
        <f t="shared" si="19"/>
        <v>8000</v>
      </c>
      <c r="AD67" s="72">
        <f t="shared" si="20"/>
        <v>-8000</v>
      </c>
      <c r="AE67" s="192">
        <f t="shared" si="21"/>
        <v>-1</v>
      </c>
      <c r="AF67" s="133">
        <v>0</v>
      </c>
      <c r="AG67" s="124">
        <f t="shared" si="15"/>
        <v>0</v>
      </c>
    </row>
    <row r="68" spans="1:33">
      <c r="A68" s="105" t="s">
        <v>456</v>
      </c>
      <c r="B68" s="105" t="s">
        <v>604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200">
        <f t="shared" si="18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19"/>
        <v>0</v>
      </c>
      <c r="AD68" s="72">
        <f t="shared" si="20"/>
        <v>0</v>
      </c>
      <c r="AE68" s="192" t="e">
        <f t="shared" si="21"/>
        <v>#DIV/0!</v>
      </c>
      <c r="AF68" s="133">
        <v>0</v>
      </c>
      <c r="AG68" s="124">
        <f t="shared" si="15"/>
        <v>0</v>
      </c>
    </row>
    <row r="69" spans="1:33">
      <c r="A69" s="105" t="s">
        <v>551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200">
        <f t="shared" si="18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19"/>
        <v>0</v>
      </c>
      <c r="AD69" s="72">
        <f t="shared" si="20"/>
        <v>0</v>
      </c>
      <c r="AE69" s="192" t="e">
        <f t="shared" si="21"/>
        <v>#DIV/0!</v>
      </c>
      <c r="AF69" s="133">
        <v>0</v>
      </c>
      <c r="AG69" s="124">
        <f t="shared" si="15"/>
        <v>0</v>
      </c>
    </row>
    <row r="70" spans="1:33">
      <c r="A70" s="105" t="s">
        <v>209</v>
      </c>
      <c r="B70" s="105" t="s">
        <v>604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200">
        <f t="shared" si="18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19"/>
        <v>0</v>
      </c>
      <c r="AD70" s="72">
        <f t="shared" si="20"/>
        <v>0</v>
      </c>
      <c r="AE70" s="192" t="e">
        <f t="shared" si="21"/>
        <v>#DIV/0!</v>
      </c>
      <c r="AF70" s="133">
        <v>0</v>
      </c>
      <c r="AG70" s="124">
        <f t="shared" si="15"/>
        <v>0</v>
      </c>
    </row>
    <row r="71" spans="1:33">
      <c r="A71" s="105" t="s">
        <v>211</v>
      </c>
      <c r="B71" s="105" t="s">
        <v>604</v>
      </c>
      <c r="C71" s="105" t="s">
        <v>212</v>
      </c>
      <c r="D71" s="72">
        <v>300</v>
      </c>
      <c r="E71" s="72">
        <v>300</v>
      </c>
      <c r="F71" s="72">
        <v>300</v>
      </c>
      <c r="G71" s="72">
        <v>300</v>
      </c>
      <c r="H71" s="72">
        <v>300</v>
      </c>
      <c r="I71" s="72">
        <v>300</v>
      </c>
      <c r="J71" s="72">
        <v>300</v>
      </c>
      <c r="K71" s="72">
        <v>300</v>
      </c>
      <c r="L71" s="72">
        <v>300</v>
      </c>
      <c r="M71" s="72">
        <v>300</v>
      </c>
      <c r="N71" s="72">
        <v>300</v>
      </c>
      <c r="O71" s="72">
        <v>300</v>
      </c>
      <c r="P71" s="200">
        <f t="shared" si="18"/>
        <v>3600</v>
      </c>
      <c r="Q71" s="136">
        <v>46</v>
      </c>
      <c r="R71" s="136">
        <v>110.34</v>
      </c>
      <c r="S71" s="136">
        <v>0</v>
      </c>
      <c r="T71" s="136">
        <v>2205</v>
      </c>
      <c r="U71" s="136">
        <v>774.34</v>
      </c>
      <c r="V71" s="136">
        <v>301.68</v>
      </c>
      <c r="W71" s="72">
        <v>637.13</v>
      </c>
      <c r="X71" s="72">
        <v>0</v>
      </c>
      <c r="Y71" s="72">
        <v>600</v>
      </c>
      <c r="Z71" s="72">
        <v>0</v>
      </c>
      <c r="AA71" s="72">
        <v>0</v>
      </c>
      <c r="AB71" s="72">
        <v>0</v>
      </c>
      <c r="AC71" s="137">
        <f t="shared" si="19"/>
        <v>4674.49</v>
      </c>
      <c r="AD71" s="72">
        <f t="shared" si="20"/>
        <v>-1074.4899999999998</v>
      </c>
      <c r="AE71" s="192">
        <f t="shared" si="21"/>
        <v>-0.22986250906516001</v>
      </c>
      <c r="AF71" s="133">
        <v>1467.79</v>
      </c>
      <c r="AG71" s="124">
        <f t="shared" si="15"/>
        <v>-2132.21</v>
      </c>
    </row>
    <row r="72" spans="1:33">
      <c r="A72" s="105" t="s">
        <v>213</v>
      </c>
      <c r="B72" s="105" t="s">
        <v>604</v>
      </c>
      <c r="C72" s="105" t="s">
        <v>214</v>
      </c>
      <c r="D72" s="222">
        <f>Laundry!E138</f>
        <v>814</v>
      </c>
      <c r="E72" s="222">
        <f>Laundry!F138</f>
        <v>742</v>
      </c>
      <c r="F72" s="222">
        <f>Laundry!G138</f>
        <v>750</v>
      </c>
      <c r="G72" s="222">
        <f>Laundry!H138</f>
        <v>771</v>
      </c>
      <c r="H72" s="222">
        <f>Laundry!I138</f>
        <v>793</v>
      </c>
      <c r="I72" s="222">
        <f>Laundry!J138</f>
        <v>757</v>
      </c>
      <c r="J72" s="222">
        <f>Laundry!K138</f>
        <v>808</v>
      </c>
      <c r="K72" s="222">
        <f>Laundry!L138</f>
        <v>804</v>
      </c>
      <c r="L72" s="222">
        <f>Laundry!M138</f>
        <v>776</v>
      </c>
      <c r="M72" s="222">
        <f>Laundry!N138</f>
        <v>883</v>
      </c>
      <c r="N72" s="222">
        <f>Laundry!O138</f>
        <v>780</v>
      </c>
      <c r="O72" s="222">
        <f>Laundry!P138</f>
        <v>776</v>
      </c>
      <c r="P72" s="200">
        <f t="shared" si="18"/>
        <v>9454</v>
      </c>
      <c r="Q72" s="136">
        <v>623.67999999999995</v>
      </c>
      <c r="R72" s="136">
        <v>1126.3800000000001</v>
      </c>
      <c r="S72" s="136">
        <v>835.2</v>
      </c>
      <c r="T72" s="136">
        <v>835.16</v>
      </c>
      <c r="U72" s="136">
        <v>302.33</v>
      </c>
      <c r="V72" s="136">
        <v>842.91</v>
      </c>
      <c r="W72" s="72">
        <v>723.54</v>
      </c>
      <c r="X72" s="72">
        <v>609.1</v>
      </c>
      <c r="Y72" s="72">
        <v>879</v>
      </c>
      <c r="Z72" s="72">
        <v>983</v>
      </c>
      <c r="AA72" s="72">
        <v>826</v>
      </c>
      <c r="AB72" s="72">
        <v>845</v>
      </c>
      <c r="AC72" s="137">
        <f t="shared" si="19"/>
        <v>9431.2999999999993</v>
      </c>
      <c r="AD72" s="72">
        <f t="shared" si="20"/>
        <v>22.700000000000728</v>
      </c>
      <c r="AE72" s="192">
        <f t="shared" si="21"/>
        <v>2.4068792213163327E-3</v>
      </c>
      <c r="AF72" s="133">
        <v>7943.8800000000019</v>
      </c>
      <c r="AG72" s="124">
        <f t="shared" si="15"/>
        <v>-1510.1199999999981</v>
      </c>
    </row>
    <row r="73" spans="1:33">
      <c r="A73" s="105" t="s">
        <v>306</v>
      </c>
      <c r="B73" s="105" t="s">
        <v>604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200">
        <f t="shared" si="18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19"/>
        <v>0</v>
      </c>
      <c r="AD73" s="72">
        <f t="shared" si="20"/>
        <v>0</v>
      </c>
      <c r="AE73" s="192" t="e">
        <f t="shared" si="21"/>
        <v>#DIV/0!</v>
      </c>
      <c r="AF73" s="133">
        <v>0</v>
      </c>
      <c r="AG73" s="124">
        <f t="shared" si="15"/>
        <v>0</v>
      </c>
    </row>
    <row r="74" spans="1:33">
      <c r="A74" s="105" t="s">
        <v>215</v>
      </c>
      <c r="B74" s="105" t="s">
        <v>604</v>
      </c>
      <c r="C74" s="105" t="s">
        <v>216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72">
        <v>0</v>
      </c>
      <c r="O74" s="72">
        <v>0</v>
      </c>
      <c r="P74" s="200">
        <f t="shared" si="18"/>
        <v>0</v>
      </c>
      <c r="Q74" s="136">
        <v>0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72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137">
        <f t="shared" si="19"/>
        <v>0</v>
      </c>
      <c r="AD74" s="72">
        <f t="shared" si="20"/>
        <v>0</v>
      </c>
      <c r="AE74" s="192" t="e">
        <f t="shared" si="21"/>
        <v>#DIV/0!</v>
      </c>
      <c r="AF74" s="133">
        <v>0</v>
      </c>
      <c r="AG74" s="124">
        <f t="shared" si="15"/>
        <v>0</v>
      </c>
    </row>
    <row r="75" spans="1:33">
      <c r="A75" s="105" t="s">
        <v>217</v>
      </c>
      <c r="B75" s="105" t="s">
        <v>604</v>
      </c>
      <c r="C75" s="105" t="s">
        <v>218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200">
        <f t="shared" si="18"/>
        <v>0</v>
      </c>
      <c r="Q75" s="136">
        <v>0</v>
      </c>
      <c r="R75" s="136">
        <v>0</v>
      </c>
      <c r="S75" s="136">
        <v>0</v>
      </c>
      <c r="T75" s="136">
        <v>0</v>
      </c>
      <c r="U75" s="136">
        <v>0</v>
      </c>
      <c r="V75" s="136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137">
        <f t="shared" si="19"/>
        <v>0</v>
      </c>
      <c r="AD75" s="72">
        <f t="shared" si="20"/>
        <v>0</v>
      </c>
      <c r="AE75" s="192" t="e">
        <f t="shared" si="21"/>
        <v>#DIV/0!</v>
      </c>
      <c r="AF75" s="133">
        <v>578.11999999999989</v>
      </c>
      <c r="AG75" s="124">
        <f t="shared" si="15"/>
        <v>578.11999999999989</v>
      </c>
    </row>
    <row r="76" spans="1:33">
      <c r="A76" s="105" t="s">
        <v>219</v>
      </c>
      <c r="B76" s="105" t="s">
        <v>604</v>
      </c>
      <c r="C76" s="105" t="s">
        <v>220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200">
        <f t="shared" si="18"/>
        <v>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19"/>
        <v>0</v>
      </c>
      <c r="AD76" s="72">
        <f t="shared" si="20"/>
        <v>0</v>
      </c>
      <c r="AE76" s="192" t="e">
        <f t="shared" si="21"/>
        <v>#DIV/0!</v>
      </c>
      <c r="AF76" s="133">
        <v>0</v>
      </c>
      <c r="AG76" s="124">
        <f t="shared" si="15"/>
        <v>0</v>
      </c>
    </row>
    <row r="77" spans="1:33">
      <c r="A77" s="105" t="s">
        <v>610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200">
        <f t="shared" si="18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19"/>
        <v>0</v>
      </c>
      <c r="AD77" s="72">
        <f t="shared" si="20"/>
        <v>0</v>
      </c>
      <c r="AE77" s="192" t="e">
        <f t="shared" si="21"/>
        <v>#DIV/0!</v>
      </c>
      <c r="AF77" s="133">
        <v>0</v>
      </c>
      <c r="AG77" s="124">
        <f t="shared" si="15"/>
        <v>0</v>
      </c>
    </row>
    <row r="78" spans="1:33">
      <c r="A78" s="105" t="s">
        <v>221</v>
      </c>
      <c r="B78" s="105" t="s">
        <v>604</v>
      </c>
      <c r="C78" s="105" t="s">
        <v>222</v>
      </c>
      <c r="D78" s="72">
        <v>25000</v>
      </c>
      <c r="E78" s="72">
        <v>25000</v>
      </c>
      <c r="F78" s="72">
        <v>25000</v>
      </c>
      <c r="G78" s="72">
        <v>25000</v>
      </c>
      <c r="H78" s="72">
        <v>25000</v>
      </c>
      <c r="I78" s="72">
        <v>25000</v>
      </c>
      <c r="J78" s="72">
        <v>25000</v>
      </c>
      <c r="K78" s="72">
        <v>25000</v>
      </c>
      <c r="L78" s="72">
        <v>25000</v>
      </c>
      <c r="M78" s="72">
        <v>25000</v>
      </c>
      <c r="N78" s="72">
        <v>25000</v>
      </c>
      <c r="O78" s="72">
        <v>25000</v>
      </c>
      <c r="P78" s="200">
        <f t="shared" si="18"/>
        <v>300000</v>
      </c>
      <c r="Q78" s="136">
        <v>26125.13</v>
      </c>
      <c r="R78" s="136">
        <v>46313.8</v>
      </c>
      <c r="S78" s="136">
        <v>27688.799999999999</v>
      </c>
      <c r="T78" s="136">
        <v>17376.27</v>
      </c>
      <c r="U78" s="136">
        <v>20355.900000000001</v>
      </c>
      <c r="V78" s="136">
        <v>11487.2</v>
      </c>
      <c r="W78" s="72">
        <v>39401.360000000001</v>
      </c>
      <c r="X78" s="72">
        <v>26854.95</v>
      </c>
      <c r="Y78" s="72">
        <v>20000</v>
      </c>
      <c r="Z78" s="72">
        <v>20000</v>
      </c>
      <c r="AA78" s="72">
        <v>16568</v>
      </c>
      <c r="AB78" s="72">
        <v>20000</v>
      </c>
      <c r="AC78" s="137">
        <f t="shared" si="19"/>
        <v>292171.41000000003</v>
      </c>
      <c r="AD78" s="72">
        <f t="shared" si="20"/>
        <v>7828.5899999999674</v>
      </c>
      <c r="AE78" s="192">
        <f t="shared" si="21"/>
        <v>2.6794510797616942E-2</v>
      </c>
      <c r="AF78" s="133">
        <v>215808.25999999998</v>
      </c>
      <c r="AG78" s="124">
        <f t="shared" si="15"/>
        <v>-84191.74000000002</v>
      </c>
    </row>
    <row r="79" spans="1:33">
      <c r="A79" s="105" t="s">
        <v>505</v>
      </c>
      <c r="B79" s="105" t="s">
        <v>604</v>
      </c>
      <c r="C79" s="105" t="s">
        <v>506</v>
      </c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135">
        <f>SUM(D79:O79)</f>
        <v>0</v>
      </c>
      <c r="Q79" s="136"/>
      <c r="R79" s="136"/>
      <c r="S79" s="136"/>
      <c r="T79" s="136"/>
      <c r="U79" s="136"/>
      <c r="V79" s="136"/>
      <c r="W79" s="72">
        <v>0</v>
      </c>
      <c r="X79" s="72">
        <v>0</v>
      </c>
      <c r="Y79" s="72">
        <v>0</v>
      </c>
      <c r="Z79" s="72">
        <v>0</v>
      </c>
      <c r="AA79" s="72">
        <v>0</v>
      </c>
      <c r="AB79" s="72">
        <v>0</v>
      </c>
      <c r="AC79" s="137">
        <f t="shared" si="19"/>
        <v>0</v>
      </c>
      <c r="AD79" s="72">
        <f t="shared" si="20"/>
        <v>0</v>
      </c>
      <c r="AE79" s="192" t="e">
        <f t="shared" si="21"/>
        <v>#DIV/0!</v>
      </c>
      <c r="AF79" s="133">
        <v>0</v>
      </c>
      <c r="AG79" s="124">
        <f t="shared" si="15"/>
        <v>0</v>
      </c>
    </row>
    <row r="80" spans="1:33">
      <c r="C80" s="109" t="s">
        <v>507</v>
      </c>
      <c r="D80" s="137">
        <f t="shared" ref="D80:O80" si="23">SUM(D38:D79)</f>
        <v>245336.44999999998</v>
      </c>
      <c r="E80" s="137">
        <f t="shared" si="23"/>
        <v>233856.35</v>
      </c>
      <c r="F80" s="137">
        <f t="shared" si="23"/>
        <v>225657.35</v>
      </c>
      <c r="G80" s="137">
        <f t="shared" si="23"/>
        <v>218842.47</v>
      </c>
      <c r="H80" s="137">
        <f t="shared" si="23"/>
        <v>235460.64</v>
      </c>
      <c r="I80" s="137">
        <f t="shared" si="23"/>
        <v>211107.35</v>
      </c>
      <c r="J80" s="137">
        <f t="shared" si="23"/>
        <v>227376.41999999998</v>
      </c>
      <c r="K80" s="137">
        <f t="shared" si="23"/>
        <v>226523.95</v>
      </c>
      <c r="L80" s="137">
        <f t="shared" si="23"/>
        <v>211578.95</v>
      </c>
      <c r="M80" s="137">
        <f t="shared" si="23"/>
        <v>240236.94</v>
      </c>
      <c r="N80" s="137">
        <f t="shared" si="23"/>
        <v>217290.41999999998</v>
      </c>
      <c r="O80" s="137">
        <f t="shared" si="23"/>
        <v>216359.95</v>
      </c>
      <c r="P80" s="135">
        <f>SUM(P38:P79)</f>
        <v>2709627.2399999998</v>
      </c>
      <c r="Q80" s="137">
        <f t="shared" ref="Q80:AC80" si="24">SUM(Q38:Q79)</f>
        <v>235599.1</v>
      </c>
      <c r="R80" s="137">
        <f t="shared" si="24"/>
        <v>327482.73000000004</v>
      </c>
      <c r="S80" s="137">
        <f t="shared" si="24"/>
        <v>272746.19</v>
      </c>
      <c r="T80" s="137">
        <f t="shared" si="24"/>
        <v>212511.04</v>
      </c>
      <c r="U80" s="137">
        <f t="shared" si="24"/>
        <v>117752.94</v>
      </c>
      <c r="V80" s="137">
        <f t="shared" si="24"/>
        <v>197211.9</v>
      </c>
      <c r="W80" s="137">
        <f t="shared" si="24"/>
        <v>263256.33</v>
      </c>
      <c r="X80" s="137">
        <f t="shared" si="24"/>
        <v>218216.48</v>
      </c>
      <c r="Y80" s="137">
        <f t="shared" si="24"/>
        <v>73859.979999999981</v>
      </c>
      <c r="Z80" s="137">
        <f t="shared" si="24"/>
        <v>101746.97999999998</v>
      </c>
      <c r="AA80" s="137">
        <f t="shared" si="24"/>
        <v>75300.979999999981</v>
      </c>
      <c r="AB80" s="137">
        <f t="shared" si="24"/>
        <v>61473.979999999981</v>
      </c>
      <c r="AC80" s="137">
        <f t="shared" si="24"/>
        <v>2157158.6300000004</v>
      </c>
      <c r="AD80" s="72">
        <f t="shared" si="20"/>
        <v>552468.6099999994</v>
      </c>
      <c r="AE80" s="192">
        <f t="shared" si="21"/>
        <v>0.25610940350733469</v>
      </c>
      <c r="AF80" s="133">
        <v>1316883.28</v>
      </c>
      <c r="AG80" s="124">
        <f t="shared" si="15"/>
        <v>-1392743.9599999997</v>
      </c>
    </row>
    <row r="81" spans="1:33">
      <c r="C81" s="109" t="s">
        <v>599</v>
      </c>
      <c r="D81" s="137">
        <f t="shared" ref="D81:AC81" si="25">D27-D33-D35-D80</f>
        <v>-301726.07999999996</v>
      </c>
      <c r="E81" s="137">
        <f t="shared" si="25"/>
        <v>-278434.87</v>
      </c>
      <c r="F81" s="137">
        <f t="shared" si="25"/>
        <v>-270288.06</v>
      </c>
      <c r="G81" s="137">
        <f t="shared" si="25"/>
        <v>-266005.63</v>
      </c>
      <c r="H81" s="137">
        <f t="shared" si="25"/>
        <v>-285008.66000000003</v>
      </c>
      <c r="I81" s="137">
        <f t="shared" si="25"/>
        <v>-255903.57</v>
      </c>
      <c r="J81" s="137">
        <f t="shared" si="25"/>
        <v>-272644.47999999998</v>
      </c>
      <c r="K81" s="137">
        <f t="shared" si="25"/>
        <v>-271599.85000000003</v>
      </c>
      <c r="L81" s="137">
        <f t="shared" si="25"/>
        <v>-256692.85</v>
      </c>
      <c r="M81" s="137">
        <f t="shared" si="25"/>
        <v>-297012.46999999997</v>
      </c>
      <c r="N81" s="137">
        <f t="shared" si="25"/>
        <v>-262536.96999999997</v>
      </c>
      <c r="O81" s="137">
        <f t="shared" si="25"/>
        <v>-261394.34000000003</v>
      </c>
      <c r="P81" s="135">
        <f t="shared" si="25"/>
        <v>-3279247.83</v>
      </c>
      <c r="Q81" s="137">
        <f t="shared" si="25"/>
        <v>-289121.86</v>
      </c>
      <c r="R81" s="137">
        <f t="shared" si="25"/>
        <v>-387829.80000000005</v>
      </c>
      <c r="S81" s="137">
        <f t="shared" si="25"/>
        <v>-322519.06</v>
      </c>
      <c r="T81" s="137">
        <f t="shared" si="25"/>
        <v>-262801.95</v>
      </c>
      <c r="U81" s="137">
        <f t="shared" si="25"/>
        <v>-165943.38</v>
      </c>
      <c r="V81" s="137">
        <f t="shared" si="25"/>
        <v>-246498.19</v>
      </c>
      <c r="W81" s="137">
        <f t="shared" si="25"/>
        <v>-309160.16000000003</v>
      </c>
      <c r="X81" s="137">
        <f t="shared" si="25"/>
        <v>-263202.96000000002</v>
      </c>
      <c r="Y81" s="137">
        <f t="shared" si="25"/>
        <v>-247375.16999999998</v>
      </c>
      <c r="Z81" s="137">
        <f t="shared" si="25"/>
        <v>-257699.16999999998</v>
      </c>
      <c r="AA81" s="137">
        <f t="shared" si="25"/>
        <v>-251385.16999999998</v>
      </c>
      <c r="AB81" s="137">
        <f t="shared" si="25"/>
        <v>-247554.16999999998</v>
      </c>
      <c r="AC81" s="137">
        <f t="shared" si="25"/>
        <v>-3251091.04</v>
      </c>
      <c r="AD81" s="72">
        <f t="shared" si="20"/>
        <v>-28156.790000000037</v>
      </c>
      <c r="AE81" s="192">
        <f t="shared" si="21"/>
        <v>8.6607202485477104E-3</v>
      </c>
      <c r="AF81" s="133">
        <v>-3281119.3200000003</v>
      </c>
      <c r="AG81" s="124">
        <f>P81-AF81</f>
        <v>1871.4900000002235</v>
      </c>
    </row>
    <row r="82" spans="1:33">
      <c r="C82" s="109" t="s">
        <v>509</v>
      </c>
      <c r="D82" s="213" t="e">
        <f t="shared" ref="D82:AC82" si="26">D81/D27</f>
        <v>#DIV/0!</v>
      </c>
      <c r="E82" s="213" t="e">
        <f t="shared" si="26"/>
        <v>#DIV/0!</v>
      </c>
      <c r="F82" s="213" t="e">
        <f t="shared" si="26"/>
        <v>#DIV/0!</v>
      </c>
      <c r="G82" s="213" t="e">
        <f t="shared" si="26"/>
        <v>#DIV/0!</v>
      </c>
      <c r="H82" s="213" t="e">
        <f t="shared" si="26"/>
        <v>#DIV/0!</v>
      </c>
      <c r="I82" s="213" t="e">
        <f t="shared" si="26"/>
        <v>#DIV/0!</v>
      </c>
      <c r="J82" s="213" t="e">
        <f t="shared" si="26"/>
        <v>#DIV/0!</v>
      </c>
      <c r="K82" s="213" t="e">
        <f t="shared" si="26"/>
        <v>#DIV/0!</v>
      </c>
      <c r="L82" s="213" t="e">
        <f t="shared" si="26"/>
        <v>#DIV/0!</v>
      </c>
      <c r="M82" s="213" t="e">
        <f t="shared" si="26"/>
        <v>#DIV/0!</v>
      </c>
      <c r="N82" s="213" t="e">
        <f t="shared" si="26"/>
        <v>#DIV/0!</v>
      </c>
      <c r="O82" s="213" t="e">
        <f t="shared" si="26"/>
        <v>#DIV/0!</v>
      </c>
      <c r="P82" s="213" t="e">
        <f t="shared" si="26"/>
        <v>#DIV/0!</v>
      </c>
      <c r="Q82" s="213" t="e">
        <f t="shared" si="26"/>
        <v>#DIV/0!</v>
      </c>
      <c r="R82" s="213" t="e">
        <f t="shared" si="26"/>
        <v>#DIV/0!</v>
      </c>
      <c r="S82" s="213" t="e">
        <f t="shared" si="26"/>
        <v>#DIV/0!</v>
      </c>
      <c r="T82" s="213" t="e">
        <f t="shared" si="26"/>
        <v>#DIV/0!</v>
      </c>
      <c r="U82" s="213" t="e">
        <f t="shared" si="26"/>
        <v>#DIV/0!</v>
      </c>
      <c r="V82" s="213" t="e">
        <f t="shared" si="26"/>
        <v>#DIV/0!</v>
      </c>
      <c r="W82" s="213" t="e">
        <f t="shared" si="26"/>
        <v>#DIV/0!</v>
      </c>
      <c r="X82" s="213" t="e">
        <f t="shared" si="26"/>
        <v>#DIV/0!</v>
      </c>
      <c r="Y82" s="213" t="e">
        <f t="shared" si="26"/>
        <v>#DIV/0!</v>
      </c>
      <c r="Z82" s="213" t="e">
        <f t="shared" si="26"/>
        <v>#DIV/0!</v>
      </c>
      <c r="AA82" s="213" t="e">
        <f t="shared" si="26"/>
        <v>#DIV/0!</v>
      </c>
      <c r="AB82" s="213" t="e">
        <f t="shared" si="26"/>
        <v>#DIV/0!</v>
      </c>
      <c r="AC82" s="213" t="e">
        <f t="shared" si="26"/>
        <v>#DIV/0!</v>
      </c>
      <c r="AD82" s="72" t="e">
        <f t="shared" si="20"/>
        <v>#DIV/0!</v>
      </c>
      <c r="AE82" s="192" t="e">
        <f t="shared" si="21"/>
        <v>#DIV/0!</v>
      </c>
      <c r="AF82" s="133" t="e">
        <v>#DIV/0!</v>
      </c>
      <c r="AG82" s="124" t="e">
        <f>P82-AF82</f>
        <v>#DIV/0!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604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72">
        <f t="shared" ref="AD85:AD90" si="27">P85-AC85</f>
        <v>0</v>
      </c>
      <c r="AE85" s="192" t="e">
        <f t="shared" ref="AE85:AE90" si="28">AD85/AC85</f>
        <v>#DIV/0!</v>
      </c>
      <c r="AF85" s="133">
        <v>0</v>
      </c>
      <c r="AG85" s="124">
        <f t="shared" ref="AG85:AG98" si="29">P85-AF85</f>
        <v>0</v>
      </c>
    </row>
    <row r="86" spans="1:33">
      <c r="A86" s="105" t="s">
        <v>511</v>
      </c>
      <c r="B86" s="105" t="s">
        <v>604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0</v>
      </c>
      <c r="S86" s="136">
        <v>0</v>
      </c>
      <c r="T86" s="136">
        <v>0</v>
      </c>
      <c r="U86" s="136">
        <v>0</v>
      </c>
      <c r="V86" s="136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0</v>
      </c>
      <c r="AD86" s="72">
        <f t="shared" si="27"/>
        <v>0</v>
      </c>
      <c r="AE86" s="192" t="e">
        <f t="shared" si="28"/>
        <v>#DIV/0!</v>
      </c>
      <c r="AF86" s="133">
        <v>0</v>
      </c>
      <c r="AG86" s="124">
        <f t="shared" si="29"/>
        <v>0</v>
      </c>
    </row>
    <row r="87" spans="1:33">
      <c r="A87" s="105" t="s">
        <v>512</v>
      </c>
      <c r="B87" s="105" t="s">
        <v>604</v>
      </c>
      <c r="C87" s="105" t="s">
        <v>485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>
        <f>SUM(D87:O87)</f>
        <v>0</v>
      </c>
      <c r="Q87" s="136">
        <v>0</v>
      </c>
      <c r="R87" s="136">
        <v>0</v>
      </c>
      <c r="S87" s="136">
        <v>0</v>
      </c>
      <c r="T87" s="136">
        <v>0</v>
      </c>
      <c r="U87" s="136">
        <v>0</v>
      </c>
      <c r="V87" s="136">
        <v>0</v>
      </c>
      <c r="W87" s="72">
        <v>0</v>
      </c>
      <c r="X87" s="72">
        <v>0</v>
      </c>
      <c r="Y87" s="72">
        <v>0</v>
      </c>
      <c r="Z87" s="72">
        <v>0</v>
      </c>
      <c r="AA87" s="72">
        <v>0</v>
      </c>
      <c r="AB87" s="72">
        <v>0</v>
      </c>
      <c r="AC87" s="137">
        <f>SUM(Q87:AB87)</f>
        <v>0</v>
      </c>
      <c r="AD87" s="72">
        <f t="shared" si="27"/>
        <v>0</v>
      </c>
      <c r="AE87" s="192" t="e">
        <f t="shared" si="28"/>
        <v>#DIV/0!</v>
      </c>
      <c r="AF87" s="133">
        <v>0</v>
      </c>
      <c r="AG87" s="124">
        <f t="shared" si="29"/>
        <v>0</v>
      </c>
    </row>
    <row r="88" spans="1:33">
      <c r="A88" s="105" t="s">
        <v>513</v>
      </c>
      <c r="B88" s="105" t="s">
        <v>604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27"/>
        <v>0</v>
      </c>
      <c r="AE88" s="192" t="e">
        <f t="shared" si="28"/>
        <v>#DIV/0!</v>
      </c>
      <c r="AF88" s="133">
        <v>0</v>
      </c>
      <c r="AG88" s="124">
        <f t="shared" si="29"/>
        <v>0</v>
      </c>
    </row>
    <row r="89" spans="1:33">
      <c r="A89" s="105" t="s">
        <v>514</v>
      </c>
      <c r="B89" s="105" t="s">
        <v>604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72">
        <f t="shared" si="27"/>
        <v>0</v>
      </c>
      <c r="AE89" s="192" t="e">
        <f t="shared" si="28"/>
        <v>#DIV/0!</v>
      </c>
      <c r="AF89" s="133">
        <v>0</v>
      </c>
      <c r="AG89" s="124">
        <f t="shared" si="29"/>
        <v>0</v>
      </c>
    </row>
    <row r="90" spans="1:33">
      <c r="C90" s="109" t="s">
        <v>462</v>
      </c>
      <c r="D90" s="137">
        <f t="shared" ref="D90:AC90" si="30">SUM(D85:D89)</f>
        <v>0</v>
      </c>
      <c r="E90" s="137">
        <f t="shared" si="30"/>
        <v>0</v>
      </c>
      <c r="F90" s="137">
        <f t="shared" si="30"/>
        <v>0</v>
      </c>
      <c r="G90" s="137">
        <f t="shared" si="30"/>
        <v>0</v>
      </c>
      <c r="H90" s="137">
        <f t="shared" si="30"/>
        <v>0</v>
      </c>
      <c r="I90" s="137">
        <f t="shared" si="30"/>
        <v>0</v>
      </c>
      <c r="J90" s="137">
        <f t="shared" si="30"/>
        <v>0</v>
      </c>
      <c r="K90" s="137">
        <f t="shared" si="30"/>
        <v>0</v>
      </c>
      <c r="L90" s="137">
        <f t="shared" si="30"/>
        <v>0</v>
      </c>
      <c r="M90" s="137">
        <f t="shared" si="30"/>
        <v>0</v>
      </c>
      <c r="N90" s="137">
        <f t="shared" si="30"/>
        <v>0</v>
      </c>
      <c r="O90" s="137">
        <f t="shared" si="30"/>
        <v>0</v>
      </c>
      <c r="P90" s="137">
        <f t="shared" si="30"/>
        <v>0</v>
      </c>
      <c r="Q90" s="137">
        <f t="shared" si="30"/>
        <v>0</v>
      </c>
      <c r="R90" s="137">
        <f t="shared" si="30"/>
        <v>0</v>
      </c>
      <c r="S90" s="137">
        <f t="shared" si="30"/>
        <v>0</v>
      </c>
      <c r="T90" s="137">
        <f t="shared" si="30"/>
        <v>0</v>
      </c>
      <c r="U90" s="137">
        <f t="shared" si="30"/>
        <v>0</v>
      </c>
      <c r="V90" s="137">
        <f t="shared" si="30"/>
        <v>0</v>
      </c>
      <c r="W90" s="137">
        <f t="shared" si="30"/>
        <v>0</v>
      </c>
      <c r="X90" s="137">
        <f t="shared" si="30"/>
        <v>0</v>
      </c>
      <c r="Y90" s="137">
        <f t="shared" si="30"/>
        <v>0</v>
      </c>
      <c r="Z90" s="137">
        <f t="shared" si="30"/>
        <v>0</v>
      </c>
      <c r="AA90" s="137">
        <f t="shared" si="30"/>
        <v>0</v>
      </c>
      <c r="AB90" s="137">
        <f t="shared" si="30"/>
        <v>0</v>
      </c>
      <c r="AC90" s="137">
        <f t="shared" si="30"/>
        <v>0</v>
      </c>
      <c r="AD90" s="72">
        <f t="shared" si="27"/>
        <v>0</v>
      </c>
      <c r="AE90" s="192" t="e">
        <f t="shared" si="28"/>
        <v>#DIV/0!</v>
      </c>
      <c r="AF90" s="133">
        <v>0</v>
      </c>
      <c r="AG90" s="124">
        <f t="shared" si="29"/>
        <v>0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29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29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1">P9/P85</f>
        <v>#DIV/0!</v>
      </c>
      <c r="Q93" s="136" t="e">
        <f t="shared" si="31"/>
        <v>#DIV/0!</v>
      </c>
      <c r="R93" s="136" t="e">
        <f t="shared" si="31"/>
        <v>#DIV/0!</v>
      </c>
      <c r="S93" s="136" t="e">
        <f t="shared" si="31"/>
        <v>#DIV/0!</v>
      </c>
      <c r="T93" s="136" t="e">
        <f t="shared" si="31"/>
        <v>#DIV/0!</v>
      </c>
      <c r="U93" s="136" t="e">
        <f t="shared" si="31"/>
        <v>#DIV/0!</v>
      </c>
      <c r="V93" s="136" t="e">
        <f t="shared" si="31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2">AC9/AC85</f>
        <v>#DIV/0!</v>
      </c>
      <c r="AD93" s="72" t="e">
        <f t="shared" ref="AD93:AD98" si="33">P93-AC93</f>
        <v>#DIV/0!</v>
      </c>
      <c r="AE93" s="192" t="e">
        <f t="shared" ref="AE93:AE98" si="34">AD93/AC93</f>
        <v>#DIV/0!</v>
      </c>
      <c r="AF93" s="133" t="e">
        <v>#DIV/0!</v>
      </c>
      <c r="AG93" s="124" t="e">
        <f t="shared" si="29"/>
        <v>#DIV/0!</v>
      </c>
    </row>
    <row r="94" spans="1:33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1"/>
        <v>#DIV/0!</v>
      </c>
      <c r="Q94" s="136" t="e">
        <f t="shared" si="31"/>
        <v>#DIV/0!</v>
      </c>
      <c r="R94" s="136" t="e">
        <f t="shared" si="31"/>
        <v>#DIV/0!</v>
      </c>
      <c r="S94" s="136" t="e">
        <f t="shared" si="31"/>
        <v>#DIV/0!</v>
      </c>
      <c r="T94" s="136" t="e">
        <f t="shared" si="31"/>
        <v>#DIV/0!</v>
      </c>
      <c r="U94" s="136" t="e">
        <f t="shared" si="31"/>
        <v>#DIV/0!</v>
      </c>
      <c r="V94" s="136" t="e">
        <f t="shared" si="31"/>
        <v>#DIV/0!</v>
      </c>
      <c r="W94" s="72" t="e">
        <v>#DIV/0!</v>
      </c>
      <c r="X94" s="72" t="e">
        <v>#DIV/0!</v>
      </c>
      <c r="Y94" s="72">
        <v>0</v>
      </c>
      <c r="Z94" s="72">
        <v>0</v>
      </c>
      <c r="AA94" s="72">
        <v>0</v>
      </c>
      <c r="AB94" s="72">
        <v>0</v>
      </c>
      <c r="AC94" s="137" t="e">
        <f t="shared" si="32"/>
        <v>#DIV/0!</v>
      </c>
      <c r="AD94" s="72" t="e">
        <f t="shared" si="33"/>
        <v>#DIV/0!</v>
      </c>
      <c r="AE94" s="192" t="e">
        <f t="shared" si="34"/>
        <v>#DIV/0!</v>
      </c>
      <c r="AF94" s="133" t="e">
        <v>#DIV/0!</v>
      </c>
      <c r="AG94" s="124" t="e">
        <f t="shared" si="29"/>
        <v>#DIV/0!</v>
      </c>
    </row>
    <row r="95" spans="1:33">
      <c r="C95" s="105" t="s">
        <v>485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 t="e">
        <f t="shared" si="31"/>
        <v>#DIV/0!</v>
      </c>
      <c r="Q95" s="136" t="e">
        <f t="shared" si="31"/>
        <v>#DIV/0!</v>
      </c>
      <c r="R95" s="136" t="e">
        <f t="shared" si="31"/>
        <v>#DIV/0!</v>
      </c>
      <c r="S95" s="136" t="e">
        <f t="shared" si="31"/>
        <v>#DIV/0!</v>
      </c>
      <c r="T95" s="136" t="e">
        <f t="shared" si="31"/>
        <v>#DIV/0!</v>
      </c>
      <c r="U95" s="136" t="e">
        <f t="shared" si="31"/>
        <v>#DIV/0!</v>
      </c>
      <c r="V95" s="136" t="e">
        <f t="shared" si="31"/>
        <v>#DIV/0!</v>
      </c>
      <c r="W95" s="72" t="e">
        <v>#DIV/0!</v>
      </c>
      <c r="X95" s="72" t="e">
        <v>#DIV/0!</v>
      </c>
      <c r="Y95" s="72">
        <v>0</v>
      </c>
      <c r="Z95" s="72">
        <v>0</v>
      </c>
      <c r="AA95" s="72">
        <v>0</v>
      </c>
      <c r="AB95" s="72">
        <v>0</v>
      </c>
      <c r="AC95" s="137" t="e">
        <f t="shared" si="32"/>
        <v>#DIV/0!</v>
      </c>
      <c r="AD95" s="72" t="e">
        <f t="shared" si="33"/>
        <v>#DIV/0!</v>
      </c>
      <c r="AE95" s="192" t="e">
        <f t="shared" si="34"/>
        <v>#DIV/0!</v>
      </c>
      <c r="AF95" s="133" t="e">
        <v>#DIV/0!</v>
      </c>
      <c r="AG95" s="124" t="e">
        <f t="shared" si="29"/>
        <v>#DIV/0!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1"/>
        <v>#DIV/0!</v>
      </c>
      <c r="Q96" s="136" t="e">
        <f t="shared" si="31"/>
        <v>#DIV/0!</v>
      </c>
      <c r="R96" s="136" t="e">
        <f t="shared" si="31"/>
        <v>#DIV/0!</v>
      </c>
      <c r="S96" s="136" t="e">
        <f t="shared" si="31"/>
        <v>#DIV/0!</v>
      </c>
      <c r="T96" s="136" t="e">
        <f t="shared" si="31"/>
        <v>#DIV/0!</v>
      </c>
      <c r="U96" s="136" t="e">
        <f t="shared" si="31"/>
        <v>#DIV/0!</v>
      </c>
      <c r="V96" s="136" t="e">
        <f t="shared" si="31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2"/>
        <v>#DIV/0!</v>
      </c>
      <c r="AD96" s="72" t="e">
        <f t="shared" si="33"/>
        <v>#DIV/0!</v>
      </c>
      <c r="AE96" s="192" t="e">
        <f t="shared" si="34"/>
        <v>#DIV/0!</v>
      </c>
      <c r="AF96" s="133" t="e">
        <v>#DIV/0!</v>
      </c>
      <c r="AG96" s="124" t="e">
        <f t="shared" si="29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1"/>
        <v>#DIV/0!</v>
      </c>
      <c r="Q97" s="136" t="e">
        <f t="shared" si="31"/>
        <v>#DIV/0!</v>
      </c>
      <c r="R97" s="136" t="e">
        <f t="shared" si="31"/>
        <v>#DIV/0!</v>
      </c>
      <c r="S97" s="136" t="e">
        <f t="shared" si="31"/>
        <v>#DIV/0!</v>
      </c>
      <c r="T97" s="136" t="e">
        <f t="shared" si="31"/>
        <v>#DIV/0!</v>
      </c>
      <c r="U97" s="136" t="e">
        <f t="shared" si="31"/>
        <v>#DIV/0!</v>
      </c>
      <c r="V97" s="136" t="e">
        <f t="shared" si="31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2"/>
        <v>#DIV/0!</v>
      </c>
      <c r="AD97" s="72" t="e">
        <f t="shared" si="33"/>
        <v>#DIV/0!</v>
      </c>
      <c r="AE97" s="192" t="e">
        <f t="shared" si="34"/>
        <v>#DIV/0!</v>
      </c>
      <c r="AF97" s="133" t="e">
        <v>#DIV/0!</v>
      </c>
      <c r="AG97" s="124" t="e">
        <f t="shared" si="29"/>
        <v>#DIV/0!</v>
      </c>
    </row>
    <row r="98" spans="1:33">
      <c r="C98" s="109" t="s">
        <v>463</v>
      </c>
      <c r="D98" s="136" t="e">
        <f t="shared" ref="D98:O98" si="35">D14/D90</f>
        <v>#DIV/0!</v>
      </c>
      <c r="E98" s="136" t="e">
        <f t="shared" si="35"/>
        <v>#DIV/0!</v>
      </c>
      <c r="F98" s="136" t="e">
        <f t="shared" si="35"/>
        <v>#DIV/0!</v>
      </c>
      <c r="G98" s="136" t="e">
        <f t="shared" si="35"/>
        <v>#DIV/0!</v>
      </c>
      <c r="H98" s="136" t="e">
        <f t="shared" si="35"/>
        <v>#DIV/0!</v>
      </c>
      <c r="I98" s="136" t="e">
        <f t="shared" si="35"/>
        <v>#DIV/0!</v>
      </c>
      <c r="J98" s="136" t="e">
        <f t="shared" si="35"/>
        <v>#DIV/0!</v>
      </c>
      <c r="K98" s="136" t="e">
        <f t="shared" si="35"/>
        <v>#DIV/0!</v>
      </c>
      <c r="L98" s="136" t="e">
        <f t="shared" si="35"/>
        <v>#DIV/0!</v>
      </c>
      <c r="M98" s="136" t="e">
        <f t="shared" si="35"/>
        <v>#DIV/0!</v>
      </c>
      <c r="N98" s="136" t="e">
        <f t="shared" si="35"/>
        <v>#DIV/0!</v>
      </c>
      <c r="O98" s="136" t="e">
        <f t="shared" si="35"/>
        <v>#DIV/0!</v>
      </c>
      <c r="P98" s="137" t="e">
        <f t="shared" si="31"/>
        <v>#DIV/0!</v>
      </c>
      <c r="Q98" s="136" t="e">
        <f t="shared" si="31"/>
        <v>#DIV/0!</v>
      </c>
      <c r="R98" s="136" t="e">
        <f t="shared" si="31"/>
        <v>#DIV/0!</v>
      </c>
      <c r="S98" s="136" t="e">
        <f t="shared" si="31"/>
        <v>#DIV/0!</v>
      </c>
      <c r="T98" s="136" t="e">
        <f t="shared" si="31"/>
        <v>#DIV/0!</v>
      </c>
      <c r="U98" s="136" t="e">
        <f t="shared" si="31"/>
        <v>#DIV/0!</v>
      </c>
      <c r="V98" s="136" t="e">
        <f t="shared" si="31"/>
        <v>#DIV/0!</v>
      </c>
      <c r="W98" s="136" t="e">
        <f t="shared" si="31"/>
        <v>#DIV/0!</v>
      </c>
      <c r="X98" s="136" t="e">
        <f t="shared" si="31"/>
        <v>#DIV/0!</v>
      </c>
      <c r="Y98" s="136" t="e">
        <f t="shared" si="31"/>
        <v>#DIV/0!</v>
      </c>
      <c r="Z98" s="136" t="e">
        <f t="shared" si="31"/>
        <v>#DIV/0!</v>
      </c>
      <c r="AA98" s="136" t="e">
        <f t="shared" si="31"/>
        <v>#DIV/0!</v>
      </c>
      <c r="AB98" s="136" t="e">
        <f t="shared" si="31"/>
        <v>#DIV/0!</v>
      </c>
      <c r="AC98" s="137" t="e">
        <f t="shared" si="32"/>
        <v>#DIV/0!</v>
      </c>
      <c r="AD98" s="72" t="e">
        <f t="shared" si="33"/>
        <v>#DIV/0!</v>
      </c>
      <c r="AE98" s="192" t="e">
        <f t="shared" si="34"/>
        <v>#DIV/0!</v>
      </c>
      <c r="AF98" s="133" t="e">
        <v>#DIV/0!</v>
      </c>
      <c r="AG98" s="124" t="e">
        <f t="shared" si="29"/>
        <v>#DIV/0!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604</v>
      </c>
      <c r="C102" s="105" t="s">
        <v>250</v>
      </c>
      <c r="D102" s="215">
        <v>5200</v>
      </c>
      <c r="E102" s="136">
        <v>5200</v>
      </c>
      <c r="F102" s="136">
        <v>5226</v>
      </c>
      <c r="G102" s="136">
        <v>5226</v>
      </c>
      <c r="H102" s="136">
        <v>5226</v>
      </c>
      <c r="I102" s="136">
        <v>5226</v>
      </c>
      <c r="J102" s="136">
        <v>5226</v>
      </c>
      <c r="K102" s="136">
        <v>5226</v>
      </c>
      <c r="L102" s="136">
        <v>5226</v>
      </c>
      <c r="M102" s="136">
        <v>5226</v>
      </c>
      <c r="N102" s="136">
        <v>5226</v>
      </c>
      <c r="O102" s="136">
        <v>5226</v>
      </c>
      <c r="P102" s="135">
        <f>SUM(D102:O102)</f>
        <v>62660</v>
      </c>
      <c r="Q102" s="136">
        <v>5200</v>
      </c>
      <c r="R102" s="136">
        <v>5200</v>
      </c>
      <c r="S102" s="136">
        <v>5200</v>
      </c>
      <c r="T102" s="136">
        <v>5200</v>
      </c>
      <c r="U102" s="136">
        <v>5200</v>
      </c>
      <c r="V102" s="136">
        <v>5200</v>
      </c>
      <c r="W102" s="72">
        <v>5200</v>
      </c>
      <c r="X102" s="72">
        <v>5200</v>
      </c>
      <c r="Y102" s="72">
        <v>5200</v>
      </c>
      <c r="Z102" s="72">
        <v>5200</v>
      </c>
      <c r="AA102" s="72">
        <v>5200</v>
      </c>
      <c r="AB102" s="72">
        <v>5200</v>
      </c>
      <c r="AC102" s="137">
        <f>SUM(Q102:AB102)</f>
        <v>62400</v>
      </c>
      <c r="AD102" s="72">
        <f t="shared" ref="AD102:AD105" si="36">P102-AC102</f>
        <v>260</v>
      </c>
      <c r="AE102" s="192">
        <f t="shared" ref="AE102:AE105" si="37">AD102/AC102</f>
        <v>4.1666666666666666E-3</v>
      </c>
      <c r="AF102" s="133">
        <v>205055.33000000002</v>
      </c>
      <c r="AG102" s="124">
        <f t="shared" ref="AG102:AG136" si="38">AF102-P102</f>
        <v>142395.33000000002</v>
      </c>
    </row>
    <row r="103" spans="1:33">
      <c r="A103" s="105" t="s">
        <v>273</v>
      </c>
      <c r="C103" s="105" t="s">
        <v>468</v>
      </c>
      <c r="D103" s="215">
        <v>13790</v>
      </c>
      <c r="E103" s="136">
        <v>13790</v>
      </c>
      <c r="F103" s="136">
        <v>13790</v>
      </c>
      <c r="G103" s="136">
        <v>13790</v>
      </c>
      <c r="H103" s="136">
        <v>13790</v>
      </c>
      <c r="I103" s="136">
        <v>13790</v>
      </c>
      <c r="J103" s="136">
        <v>13790</v>
      </c>
      <c r="K103" s="136">
        <v>13790</v>
      </c>
      <c r="L103" s="136">
        <v>13790</v>
      </c>
      <c r="M103" s="136">
        <v>13790</v>
      </c>
      <c r="N103" s="136">
        <v>13790</v>
      </c>
      <c r="O103" s="136">
        <v>13790</v>
      </c>
      <c r="P103" s="135">
        <f>SUM(D103:O103)</f>
        <v>165480</v>
      </c>
      <c r="Q103" s="136">
        <v>0</v>
      </c>
      <c r="R103" s="136">
        <v>0</v>
      </c>
      <c r="S103" s="136">
        <v>0</v>
      </c>
      <c r="T103" s="136">
        <v>0</v>
      </c>
      <c r="U103" s="136">
        <v>0</v>
      </c>
      <c r="V103" s="136">
        <v>0</v>
      </c>
      <c r="W103" s="72">
        <v>0</v>
      </c>
      <c r="X103" s="72">
        <v>0</v>
      </c>
      <c r="Y103" s="72">
        <v>0</v>
      </c>
      <c r="Z103" s="72">
        <v>0</v>
      </c>
      <c r="AA103" s="72">
        <v>0</v>
      </c>
      <c r="AB103" s="72">
        <v>0</v>
      </c>
      <c r="AC103" s="137">
        <f>SUM(Q103:AB103)</f>
        <v>0</v>
      </c>
      <c r="AD103" s="72">
        <f t="shared" si="36"/>
        <v>165480</v>
      </c>
      <c r="AE103" s="192" t="e">
        <f t="shared" si="37"/>
        <v>#DIV/0!</v>
      </c>
      <c r="AF103" s="133">
        <v>0</v>
      </c>
      <c r="AG103" s="124">
        <f t="shared" si="38"/>
        <v>-165480</v>
      </c>
    </row>
    <row r="104" spans="1:33">
      <c r="A104" s="105" t="s">
        <v>251</v>
      </c>
      <c r="B104" s="105" t="s">
        <v>604</v>
      </c>
      <c r="C104" s="105" t="s">
        <v>470</v>
      </c>
      <c r="D104" s="136">
        <v>0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5">
        <f>SUM(D104:O104)</f>
        <v>0</v>
      </c>
      <c r="Q104" s="136">
        <v>14000</v>
      </c>
      <c r="R104" s="136">
        <v>14000</v>
      </c>
      <c r="S104" s="136">
        <v>14000</v>
      </c>
      <c r="T104" s="136">
        <v>14085.5</v>
      </c>
      <c r="U104" s="136">
        <v>13839.08</v>
      </c>
      <c r="V104" s="136">
        <v>14000</v>
      </c>
      <c r="W104" s="72">
        <v>14000</v>
      </c>
      <c r="X104" s="72">
        <v>14000</v>
      </c>
      <c r="Y104" s="72">
        <v>54301</v>
      </c>
      <c r="Z104" s="72">
        <v>54301</v>
      </c>
      <c r="AA104" s="72">
        <v>54301</v>
      </c>
      <c r="AB104" s="72">
        <v>54301</v>
      </c>
      <c r="AC104" s="137">
        <f>SUM(Q104:AB104)</f>
        <v>329128.58</v>
      </c>
      <c r="AD104" s="72">
        <f t="shared" si="36"/>
        <v>-329128.58</v>
      </c>
      <c r="AE104" s="192">
        <f t="shared" si="37"/>
        <v>-1</v>
      </c>
      <c r="AF104" s="133">
        <v>621464.1</v>
      </c>
      <c r="AG104" s="124">
        <f t="shared" si="38"/>
        <v>621464.1</v>
      </c>
    </row>
    <row r="105" spans="1:33">
      <c r="A105" s="105" t="s">
        <v>273</v>
      </c>
      <c r="C105" s="109" t="s">
        <v>520</v>
      </c>
      <c r="D105" s="137">
        <f t="shared" ref="D105:AC105" si="39">SUM(D102:D104)</f>
        <v>18990</v>
      </c>
      <c r="E105" s="137">
        <f t="shared" si="39"/>
        <v>18990</v>
      </c>
      <c r="F105" s="137">
        <f t="shared" si="39"/>
        <v>19016</v>
      </c>
      <c r="G105" s="137">
        <f t="shared" si="39"/>
        <v>19016</v>
      </c>
      <c r="H105" s="137">
        <f t="shared" si="39"/>
        <v>19016</v>
      </c>
      <c r="I105" s="137">
        <f t="shared" si="39"/>
        <v>19016</v>
      </c>
      <c r="J105" s="137">
        <f t="shared" si="39"/>
        <v>19016</v>
      </c>
      <c r="K105" s="137">
        <f t="shared" si="39"/>
        <v>19016</v>
      </c>
      <c r="L105" s="137">
        <f t="shared" si="39"/>
        <v>19016</v>
      </c>
      <c r="M105" s="137">
        <f t="shared" si="39"/>
        <v>19016</v>
      </c>
      <c r="N105" s="137">
        <f t="shared" si="39"/>
        <v>19016</v>
      </c>
      <c r="O105" s="137">
        <f t="shared" si="39"/>
        <v>19016</v>
      </c>
      <c r="P105" s="135">
        <f t="shared" si="39"/>
        <v>228140</v>
      </c>
      <c r="Q105" s="137">
        <f t="shared" si="39"/>
        <v>19200</v>
      </c>
      <c r="R105" s="137">
        <f t="shared" si="39"/>
        <v>19200</v>
      </c>
      <c r="S105" s="137">
        <f t="shared" si="39"/>
        <v>19200</v>
      </c>
      <c r="T105" s="137">
        <f t="shared" si="39"/>
        <v>19285.5</v>
      </c>
      <c r="U105" s="137">
        <f t="shared" si="39"/>
        <v>19039.080000000002</v>
      </c>
      <c r="V105" s="137">
        <f t="shared" si="39"/>
        <v>19200</v>
      </c>
      <c r="W105" s="137">
        <f t="shared" si="39"/>
        <v>19200</v>
      </c>
      <c r="X105" s="137">
        <f t="shared" si="39"/>
        <v>19200</v>
      </c>
      <c r="Y105" s="137">
        <f t="shared" si="39"/>
        <v>59501</v>
      </c>
      <c r="Z105" s="137">
        <f t="shared" si="39"/>
        <v>59501</v>
      </c>
      <c r="AA105" s="137">
        <f t="shared" si="39"/>
        <v>59501</v>
      </c>
      <c r="AB105" s="137">
        <f t="shared" si="39"/>
        <v>59501</v>
      </c>
      <c r="AC105" s="137">
        <f t="shared" si="39"/>
        <v>391528.58</v>
      </c>
      <c r="AD105" s="72">
        <f t="shared" si="36"/>
        <v>-163388.58000000002</v>
      </c>
      <c r="AE105" s="192">
        <f t="shared" si="37"/>
        <v>-0.41730945924816015</v>
      </c>
      <c r="AF105" s="133">
        <v>826519.42999999993</v>
      </c>
      <c r="AG105" s="124">
        <f t="shared" si="38"/>
        <v>598379.42999999993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38"/>
        <v>0</v>
      </c>
    </row>
    <row r="107" spans="1:33">
      <c r="A107" s="105" t="s">
        <v>119</v>
      </c>
      <c r="B107" s="105" t="s">
        <v>604</v>
      </c>
      <c r="C107" s="105" t="s">
        <v>260</v>
      </c>
      <c r="D107" s="215">
        <v>10593.109999999999</v>
      </c>
      <c r="E107" s="215">
        <v>0</v>
      </c>
      <c r="F107" s="215">
        <v>0</v>
      </c>
      <c r="G107" s="215">
        <v>2303.4499999999998</v>
      </c>
      <c r="H107" s="215">
        <v>4234.5</v>
      </c>
      <c r="I107" s="215">
        <v>0</v>
      </c>
      <c r="J107" s="215">
        <v>0</v>
      </c>
      <c r="K107" s="215">
        <v>0</v>
      </c>
      <c r="L107" s="215">
        <v>0</v>
      </c>
      <c r="M107" s="215">
        <v>10593.109999999999</v>
      </c>
      <c r="N107" s="215">
        <v>0</v>
      </c>
      <c r="O107" s="215">
        <v>0</v>
      </c>
      <c r="P107" s="135">
        <f>SUM(D107:O107)</f>
        <v>27724.17</v>
      </c>
      <c r="Q107" s="136">
        <v>2648.25</v>
      </c>
      <c r="R107" s="136">
        <v>6510.27</v>
      </c>
      <c r="S107" s="136">
        <v>0</v>
      </c>
      <c r="T107" s="136">
        <v>2303.4299999999998</v>
      </c>
      <c r="U107" s="136">
        <v>2303.4299999999998</v>
      </c>
      <c r="V107" s="136">
        <v>2303.4299999999998</v>
      </c>
      <c r="W107" s="72">
        <v>0</v>
      </c>
      <c r="X107" s="72">
        <v>0</v>
      </c>
      <c r="Y107" s="72">
        <v>3638</v>
      </c>
      <c r="Z107" s="72">
        <v>10914</v>
      </c>
      <c r="AA107" s="72">
        <v>0</v>
      </c>
      <c r="AB107" s="72">
        <v>0</v>
      </c>
      <c r="AC107" s="137">
        <f>SUM(Q107:AB107)</f>
        <v>30620.81</v>
      </c>
      <c r="AD107" s="72">
        <f t="shared" ref="AD107:AD112" si="40">P107-AC107</f>
        <v>-2896.6400000000031</v>
      </c>
      <c r="AE107" s="192">
        <f t="shared" ref="AE107:AE112" si="41">AD107/AC107</f>
        <v>-9.4597105693807679E-2</v>
      </c>
      <c r="AF107" s="133">
        <v>67118.37</v>
      </c>
      <c r="AG107" s="124">
        <f t="shared" si="38"/>
        <v>39394.199999999997</v>
      </c>
    </row>
    <row r="108" spans="1:33">
      <c r="A108" s="105" t="s">
        <v>120</v>
      </c>
      <c r="B108" s="105" t="s">
        <v>604</v>
      </c>
      <c r="C108" s="105" t="s">
        <v>261</v>
      </c>
      <c r="D108" s="215">
        <v>3200.02</v>
      </c>
      <c r="E108" s="215">
        <v>3200.02</v>
      </c>
      <c r="F108" s="215">
        <v>3200.02</v>
      </c>
      <c r="G108" s="215">
        <v>3200.02</v>
      </c>
      <c r="H108" s="215">
        <v>3200.02</v>
      </c>
      <c r="I108" s="215">
        <v>3200.02</v>
      </c>
      <c r="J108" s="215">
        <v>3200.02</v>
      </c>
      <c r="K108" s="215">
        <v>3200.02</v>
      </c>
      <c r="L108" s="215">
        <v>3200.02</v>
      </c>
      <c r="M108" s="215">
        <v>3200.02</v>
      </c>
      <c r="N108" s="215">
        <v>3200.02</v>
      </c>
      <c r="O108" s="215">
        <v>3200.02</v>
      </c>
      <c r="P108" s="135">
        <f>SUM(D108:O108)</f>
        <v>38400.239999999998</v>
      </c>
      <c r="Q108" s="136">
        <v>4795.29</v>
      </c>
      <c r="R108" s="136">
        <v>4823.3500000000004</v>
      </c>
      <c r="S108" s="136">
        <v>4806.66</v>
      </c>
      <c r="T108" s="136">
        <v>3198.63</v>
      </c>
      <c r="U108" s="136">
        <v>3193.73</v>
      </c>
      <c r="V108" s="136">
        <v>3213.19</v>
      </c>
      <c r="W108" s="72">
        <v>3220.64</v>
      </c>
      <c r="X108" s="72">
        <v>3212.32</v>
      </c>
      <c r="Y108" s="72">
        <v>3250.17</v>
      </c>
      <c r="Z108" s="72">
        <v>3250.17</v>
      </c>
      <c r="AA108" s="72">
        <v>3250.17</v>
      </c>
      <c r="AB108" s="72">
        <v>3250.17</v>
      </c>
      <c r="AC108" s="137">
        <f>SUM(Q108:AB108)</f>
        <v>43464.489999999991</v>
      </c>
      <c r="AD108" s="72">
        <f t="shared" si="40"/>
        <v>-5064.2499999999927</v>
      </c>
      <c r="AE108" s="192">
        <f t="shared" si="41"/>
        <v>-0.1165146536862619</v>
      </c>
      <c r="AF108" s="133">
        <v>106247.75</v>
      </c>
      <c r="AG108" s="124">
        <f t="shared" si="38"/>
        <v>67847.510000000009</v>
      </c>
    </row>
    <row r="109" spans="1:33">
      <c r="A109" s="105" t="s">
        <v>121</v>
      </c>
      <c r="B109" s="105" t="s">
        <v>604</v>
      </c>
      <c r="C109" s="105" t="s">
        <v>262</v>
      </c>
      <c r="D109" s="215">
        <v>5380</v>
      </c>
      <c r="E109" s="215">
        <v>5380</v>
      </c>
      <c r="F109" s="215">
        <v>5380</v>
      </c>
      <c r="G109" s="215">
        <v>5380</v>
      </c>
      <c r="H109" s="215">
        <v>5380</v>
      </c>
      <c r="I109" s="215">
        <v>5380</v>
      </c>
      <c r="J109" s="215">
        <v>5380</v>
      </c>
      <c r="K109" s="215">
        <v>5380</v>
      </c>
      <c r="L109" s="215">
        <v>5380</v>
      </c>
      <c r="M109" s="215">
        <v>5380</v>
      </c>
      <c r="N109" s="215">
        <v>5380</v>
      </c>
      <c r="O109" s="215">
        <v>5380</v>
      </c>
      <c r="P109" s="135">
        <f>SUM(D109:O109)</f>
        <v>64560</v>
      </c>
      <c r="Q109" s="136">
        <v>5380</v>
      </c>
      <c r="R109" s="136">
        <v>5380</v>
      </c>
      <c r="S109" s="136">
        <v>5380</v>
      </c>
      <c r="T109" s="136">
        <v>5380</v>
      </c>
      <c r="U109" s="136">
        <v>5370.32</v>
      </c>
      <c r="V109" s="136">
        <v>5380</v>
      </c>
      <c r="W109" s="72">
        <v>5380</v>
      </c>
      <c r="X109" s="72">
        <v>5369.35</v>
      </c>
      <c r="Y109" s="72">
        <v>12888</v>
      </c>
      <c r="Z109" s="72">
        <v>12888</v>
      </c>
      <c r="AA109" s="72">
        <v>12888</v>
      </c>
      <c r="AB109" s="72">
        <v>12888</v>
      </c>
      <c r="AC109" s="137">
        <f>SUM(Q109:AB109)</f>
        <v>94571.67</v>
      </c>
      <c r="AD109" s="72">
        <f t="shared" si="40"/>
        <v>-30011.67</v>
      </c>
      <c r="AE109" s="192">
        <f t="shared" si="41"/>
        <v>-0.31734313246239598</v>
      </c>
      <c r="AF109" s="133">
        <v>124416</v>
      </c>
      <c r="AG109" s="124">
        <f t="shared" si="38"/>
        <v>59856</v>
      </c>
    </row>
    <row r="110" spans="1:33">
      <c r="A110" s="105" t="s">
        <v>122</v>
      </c>
      <c r="B110" s="105" t="s">
        <v>604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0"/>
        <v>0</v>
      </c>
      <c r="AE110" s="192" t="e">
        <f t="shared" si="41"/>
        <v>#DIV/0!</v>
      </c>
      <c r="AF110" s="133">
        <v>0</v>
      </c>
      <c r="AG110" s="124">
        <f t="shared" si="38"/>
        <v>0</v>
      </c>
    </row>
    <row r="111" spans="1:33">
      <c r="A111" s="105" t="s">
        <v>123</v>
      </c>
      <c r="B111" s="105" t="s">
        <v>604</v>
      </c>
      <c r="C111" s="105" t="s">
        <v>264</v>
      </c>
      <c r="D111" s="215">
        <v>1000</v>
      </c>
      <c r="E111" s="215">
        <v>1000</v>
      </c>
      <c r="F111" s="215">
        <v>1000</v>
      </c>
      <c r="G111" s="215">
        <v>1000</v>
      </c>
      <c r="H111" s="215">
        <v>1000</v>
      </c>
      <c r="I111" s="215">
        <v>1000</v>
      </c>
      <c r="J111" s="215">
        <v>1000</v>
      </c>
      <c r="K111" s="215">
        <v>1000</v>
      </c>
      <c r="L111" s="215">
        <v>1000</v>
      </c>
      <c r="M111" s="215">
        <v>1000</v>
      </c>
      <c r="N111" s="215">
        <v>1000</v>
      </c>
      <c r="O111" s="215">
        <v>1000</v>
      </c>
      <c r="P111" s="135">
        <f>SUM(D111:O111)</f>
        <v>12000</v>
      </c>
      <c r="Q111" s="136">
        <v>1000</v>
      </c>
      <c r="R111" s="136">
        <v>1000</v>
      </c>
      <c r="S111" s="136">
        <v>1000</v>
      </c>
      <c r="T111" s="136">
        <v>992.8</v>
      </c>
      <c r="U111" s="136">
        <v>800</v>
      </c>
      <c r="V111" s="136">
        <v>1000</v>
      </c>
      <c r="W111" s="72">
        <v>1000</v>
      </c>
      <c r="X111" s="72">
        <v>956</v>
      </c>
      <c r="Y111" s="72">
        <v>1600</v>
      </c>
      <c r="Z111" s="72">
        <v>1600</v>
      </c>
      <c r="AA111" s="72">
        <v>1600</v>
      </c>
      <c r="AB111" s="72">
        <v>1600</v>
      </c>
      <c r="AC111" s="137">
        <f>SUM(Q111:AB111)</f>
        <v>14148.8</v>
      </c>
      <c r="AD111" s="72">
        <f t="shared" si="40"/>
        <v>-2148.7999999999993</v>
      </c>
      <c r="AE111" s="192">
        <f t="shared" si="41"/>
        <v>-0.15187153680877527</v>
      </c>
      <c r="AF111" s="133">
        <v>49649.4</v>
      </c>
      <c r="AG111" s="124">
        <f t="shared" si="38"/>
        <v>37649.4</v>
      </c>
    </row>
    <row r="112" spans="1:33">
      <c r="A112" s="105" t="s">
        <v>273</v>
      </c>
      <c r="C112" s="109" t="s">
        <v>521</v>
      </c>
      <c r="D112" s="137">
        <f t="shared" ref="D112:O112" si="42">SUM(D107:D111)</f>
        <v>20173.129999999997</v>
      </c>
      <c r="E112" s="137">
        <f t="shared" si="42"/>
        <v>9580.02</v>
      </c>
      <c r="F112" s="137">
        <f t="shared" si="42"/>
        <v>9580.02</v>
      </c>
      <c r="G112" s="137">
        <f t="shared" si="42"/>
        <v>11883.47</v>
      </c>
      <c r="H112" s="137">
        <f t="shared" si="42"/>
        <v>13814.52</v>
      </c>
      <c r="I112" s="137">
        <f t="shared" si="42"/>
        <v>9580.02</v>
      </c>
      <c r="J112" s="137">
        <f t="shared" si="42"/>
        <v>9580.02</v>
      </c>
      <c r="K112" s="137">
        <f t="shared" si="42"/>
        <v>9580.02</v>
      </c>
      <c r="L112" s="137">
        <f t="shared" si="42"/>
        <v>9580.02</v>
      </c>
      <c r="M112" s="137">
        <f t="shared" si="42"/>
        <v>20173.129999999997</v>
      </c>
      <c r="N112" s="137">
        <f t="shared" si="42"/>
        <v>9580.02</v>
      </c>
      <c r="O112" s="137">
        <f t="shared" si="42"/>
        <v>9580.02</v>
      </c>
      <c r="P112" s="135">
        <f>SUM(P107:P111)</f>
        <v>142684.41</v>
      </c>
      <c r="Q112" s="137">
        <f t="shared" ref="Q112:AC112" si="43">SUM(Q107:Q111)</f>
        <v>13823.54</v>
      </c>
      <c r="R112" s="137">
        <f t="shared" si="43"/>
        <v>17713.620000000003</v>
      </c>
      <c r="S112" s="137">
        <f t="shared" si="43"/>
        <v>11186.66</v>
      </c>
      <c r="T112" s="137">
        <f t="shared" si="43"/>
        <v>11874.859999999999</v>
      </c>
      <c r="U112" s="137">
        <f t="shared" si="43"/>
        <v>11667.48</v>
      </c>
      <c r="V112" s="137">
        <f t="shared" si="43"/>
        <v>11896.619999999999</v>
      </c>
      <c r="W112" s="137">
        <f t="shared" si="43"/>
        <v>9600.64</v>
      </c>
      <c r="X112" s="137">
        <f t="shared" si="43"/>
        <v>9537.67</v>
      </c>
      <c r="Y112" s="137">
        <f t="shared" si="43"/>
        <v>21376.17</v>
      </c>
      <c r="Z112" s="137">
        <f t="shared" si="43"/>
        <v>28652.17</v>
      </c>
      <c r="AA112" s="137">
        <f t="shared" si="43"/>
        <v>17738.169999999998</v>
      </c>
      <c r="AB112" s="137">
        <f t="shared" si="43"/>
        <v>17738.169999999998</v>
      </c>
      <c r="AC112" s="137">
        <f t="shared" si="43"/>
        <v>182805.76999999996</v>
      </c>
      <c r="AD112" s="72">
        <f t="shared" si="40"/>
        <v>-40121.359999999957</v>
      </c>
      <c r="AE112" s="192">
        <f t="shared" si="41"/>
        <v>-0.21947534807024946</v>
      </c>
      <c r="AF112" s="133">
        <v>347431.52</v>
      </c>
      <c r="AG112" s="124">
        <f t="shared" si="38"/>
        <v>204747.11000000002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38"/>
        <v>0</v>
      </c>
    </row>
    <row r="114" spans="1:33">
      <c r="A114" s="105" t="s">
        <v>124</v>
      </c>
      <c r="B114" s="105" t="s">
        <v>604</v>
      </c>
      <c r="C114" s="105" t="s">
        <v>266</v>
      </c>
      <c r="D114" s="215">
        <v>5507.95</v>
      </c>
      <c r="E114" s="215">
        <v>5507.95</v>
      </c>
      <c r="F114" s="215">
        <v>5507.95</v>
      </c>
      <c r="G114" s="215">
        <v>5507.95</v>
      </c>
      <c r="H114" s="215">
        <v>5507.95</v>
      </c>
      <c r="I114" s="215">
        <v>5507.95</v>
      </c>
      <c r="J114" s="215">
        <v>5725.71</v>
      </c>
      <c r="K114" s="215">
        <v>5725.71</v>
      </c>
      <c r="L114" s="215">
        <v>5725.71</v>
      </c>
      <c r="M114" s="215">
        <v>5725.71</v>
      </c>
      <c r="N114" s="215">
        <v>5725.71</v>
      </c>
      <c r="O114" s="215">
        <v>5725.71</v>
      </c>
      <c r="P114" s="135">
        <f>SUM(D114:O114)</f>
        <v>67401.959999999992</v>
      </c>
      <c r="Q114" s="136">
        <v>5521.39</v>
      </c>
      <c r="R114" s="136">
        <v>5521.39</v>
      </c>
      <c r="S114" s="136">
        <v>5521.39</v>
      </c>
      <c r="T114" s="136">
        <v>5521.39</v>
      </c>
      <c r="U114" s="136">
        <v>5521.39</v>
      </c>
      <c r="V114" s="136">
        <v>5521.39</v>
      </c>
      <c r="W114" s="72">
        <v>5521.39</v>
      </c>
      <c r="X114" s="72">
        <v>4748.59</v>
      </c>
      <c r="Y114" s="72">
        <v>7694</v>
      </c>
      <c r="Z114" s="181">
        <v>7694</v>
      </c>
      <c r="AA114" s="181">
        <v>7694</v>
      </c>
      <c r="AB114" s="181">
        <v>7694</v>
      </c>
      <c r="AC114" s="137">
        <f t="shared" ref="AC114:AC121" si="44">SUM(Q114:AB114)</f>
        <v>74174.320000000007</v>
      </c>
      <c r="AD114" s="72">
        <f t="shared" ref="AD114:AD122" si="45">P114-AC114</f>
        <v>-6772.3600000000151</v>
      </c>
      <c r="AE114" s="192">
        <f t="shared" ref="AE114:AE122" si="46">AD114/AC114</f>
        <v>-9.1303297421533688E-2</v>
      </c>
      <c r="AF114" s="133">
        <v>158037.67000000001</v>
      </c>
      <c r="AG114" s="124">
        <f t="shared" si="38"/>
        <v>90635.710000000021</v>
      </c>
    </row>
    <row r="115" spans="1:33">
      <c r="A115" s="105" t="s">
        <v>125</v>
      </c>
      <c r="B115" s="105" t="s">
        <v>604</v>
      </c>
      <c r="C115" s="105" t="s">
        <v>267</v>
      </c>
      <c r="D115" s="215">
        <v>2223.8999999999996</v>
      </c>
      <c r="E115" s="215">
        <v>2223.8999999999996</v>
      </c>
      <c r="F115" s="215">
        <v>2223.8999999999996</v>
      </c>
      <c r="G115" s="215">
        <v>2223.8999999999996</v>
      </c>
      <c r="H115" s="215">
        <v>2223.8999999999996</v>
      </c>
      <c r="I115" s="215">
        <v>2223.8999999999996</v>
      </c>
      <c r="J115" s="215">
        <v>2298.66</v>
      </c>
      <c r="K115" s="215">
        <v>2298.66</v>
      </c>
      <c r="L115" s="215">
        <v>2298.66</v>
      </c>
      <c r="M115" s="215">
        <v>2298.66</v>
      </c>
      <c r="N115" s="215">
        <v>2298.66</v>
      </c>
      <c r="O115" s="215">
        <v>2298.66</v>
      </c>
      <c r="P115" s="135">
        <f t="shared" ref="P115:P121" si="47">SUM(D115:O115)</f>
        <v>27135.359999999997</v>
      </c>
      <c r="Q115" s="136">
        <v>2933.24</v>
      </c>
      <c r="R115" s="136">
        <v>2933.24</v>
      </c>
      <c r="S115" s="136">
        <v>2933.24</v>
      </c>
      <c r="T115" s="136">
        <v>2933.24</v>
      </c>
      <c r="U115" s="136">
        <v>2933.24</v>
      </c>
      <c r="V115" s="136">
        <v>2933.24</v>
      </c>
      <c r="W115" s="72">
        <v>2243.06</v>
      </c>
      <c r="X115" s="72">
        <v>1929.11</v>
      </c>
      <c r="Y115" s="72">
        <v>3893</v>
      </c>
      <c r="Z115" s="181">
        <v>3893</v>
      </c>
      <c r="AA115" s="181">
        <v>3893</v>
      </c>
      <c r="AB115" s="181">
        <v>3893</v>
      </c>
      <c r="AC115" s="137">
        <f t="shared" si="44"/>
        <v>37343.61</v>
      </c>
      <c r="AD115" s="72">
        <f t="shared" si="45"/>
        <v>-10208.250000000004</v>
      </c>
      <c r="AE115" s="192">
        <f t="shared" si="46"/>
        <v>-0.27336002063003562</v>
      </c>
      <c r="AF115" s="133">
        <v>76813.09</v>
      </c>
      <c r="AG115" s="124">
        <f t="shared" si="38"/>
        <v>49677.729999999996</v>
      </c>
    </row>
    <row r="116" spans="1:33">
      <c r="A116" s="105" t="s">
        <v>126</v>
      </c>
      <c r="B116" s="105" t="s">
        <v>604</v>
      </c>
      <c r="C116" s="105" t="s">
        <v>268</v>
      </c>
      <c r="D116" s="215">
        <v>171.07999999999998</v>
      </c>
      <c r="E116" s="215">
        <v>171.07999999999998</v>
      </c>
      <c r="F116" s="215">
        <v>171.07999999999998</v>
      </c>
      <c r="G116" s="215">
        <v>171.07999999999998</v>
      </c>
      <c r="H116" s="215">
        <v>171.07999999999998</v>
      </c>
      <c r="I116" s="215">
        <v>171.07999999999998</v>
      </c>
      <c r="J116" s="215">
        <v>176.84</v>
      </c>
      <c r="K116" s="215">
        <v>176.84</v>
      </c>
      <c r="L116" s="215">
        <v>176.84</v>
      </c>
      <c r="M116" s="215">
        <v>176.84</v>
      </c>
      <c r="N116" s="215">
        <v>176.84</v>
      </c>
      <c r="O116" s="215">
        <v>176.84</v>
      </c>
      <c r="P116" s="135">
        <f t="shared" si="47"/>
        <v>2087.5199999999995</v>
      </c>
      <c r="Q116" s="136">
        <v>172.55</v>
      </c>
      <c r="R116" s="136">
        <v>172.55</v>
      </c>
      <c r="S116" s="136">
        <v>172.55</v>
      </c>
      <c r="T116" s="136">
        <v>172.55</v>
      </c>
      <c r="U116" s="136">
        <v>172.55</v>
      </c>
      <c r="V116" s="136">
        <v>172.55</v>
      </c>
      <c r="W116" s="72">
        <v>172.55</v>
      </c>
      <c r="X116" s="72">
        <v>148.4</v>
      </c>
      <c r="Y116" s="72">
        <v>243</v>
      </c>
      <c r="Z116" s="72">
        <v>243</v>
      </c>
      <c r="AA116" s="72">
        <v>243</v>
      </c>
      <c r="AB116" s="72">
        <v>243</v>
      </c>
      <c r="AC116" s="137">
        <f t="shared" si="44"/>
        <v>2328.25</v>
      </c>
      <c r="AD116" s="72">
        <f t="shared" si="45"/>
        <v>-240.73000000000047</v>
      </c>
      <c r="AE116" s="192">
        <f t="shared" si="46"/>
        <v>-0.10339525394609705</v>
      </c>
      <c r="AF116" s="133">
        <v>4704.82</v>
      </c>
      <c r="AG116" s="124">
        <f t="shared" si="38"/>
        <v>2617.3000000000002</v>
      </c>
    </row>
    <row r="117" spans="1:33">
      <c r="A117" s="105" t="s">
        <v>127</v>
      </c>
      <c r="B117" s="105" t="s">
        <v>604</v>
      </c>
      <c r="C117" s="105" t="s">
        <v>269</v>
      </c>
      <c r="D117" s="215">
        <v>41.06</v>
      </c>
      <c r="E117" s="215">
        <v>41.06</v>
      </c>
      <c r="F117" s="215">
        <v>41.06</v>
      </c>
      <c r="G117" s="215">
        <v>41.06</v>
      </c>
      <c r="H117" s="215">
        <v>41.06</v>
      </c>
      <c r="I117" s="215">
        <v>41.06</v>
      </c>
      <c r="J117" s="215">
        <v>42.46</v>
      </c>
      <c r="K117" s="215">
        <v>42.46</v>
      </c>
      <c r="L117" s="215">
        <v>42.46</v>
      </c>
      <c r="M117" s="215">
        <v>42.46</v>
      </c>
      <c r="N117" s="215">
        <v>42.46</v>
      </c>
      <c r="O117" s="215">
        <v>42.46</v>
      </c>
      <c r="P117" s="135">
        <f t="shared" si="47"/>
        <v>501.11999999999989</v>
      </c>
      <c r="Q117" s="136">
        <v>41.43</v>
      </c>
      <c r="R117" s="136">
        <v>41.43</v>
      </c>
      <c r="S117" s="136">
        <v>41.43</v>
      </c>
      <c r="T117" s="136">
        <v>41.43</v>
      </c>
      <c r="U117" s="136">
        <v>41.43</v>
      </c>
      <c r="V117" s="136">
        <v>41.43</v>
      </c>
      <c r="W117" s="72">
        <v>41.43</v>
      </c>
      <c r="X117" s="72">
        <v>35.630000000000003</v>
      </c>
      <c r="Y117" s="72">
        <v>76</v>
      </c>
      <c r="Z117" s="72">
        <v>76</v>
      </c>
      <c r="AA117" s="72">
        <v>76</v>
      </c>
      <c r="AB117" s="72">
        <v>76</v>
      </c>
      <c r="AC117" s="137">
        <f t="shared" si="44"/>
        <v>629.64</v>
      </c>
      <c r="AD117" s="72">
        <f t="shared" si="45"/>
        <v>-128.5200000000001</v>
      </c>
      <c r="AE117" s="192">
        <f t="shared" si="46"/>
        <v>-0.20411663807890237</v>
      </c>
      <c r="AF117" s="133">
        <v>1505.6499999999999</v>
      </c>
      <c r="AG117" s="124">
        <f t="shared" si="38"/>
        <v>1004.53</v>
      </c>
    </row>
    <row r="118" spans="1:33">
      <c r="A118" s="105" t="s">
        <v>128</v>
      </c>
      <c r="B118" s="105" t="s">
        <v>604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47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4"/>
        <v>0</v>
      </c>
      <c r="AD118" s="72">
        <f t="shared" si="45"/>
        <v>0</v>
      </c>
      <c r="AE118" s="192" t="e">
        <f t="shared" si="46"/>
        <v>#DIV/0!</v>
      </c>
      <c r="AF118" s="133">
        <v>3168.5099999999998</v>
      </c>
      <c r="AG118" s="124">
        <f t="shared" si="38"/>
        <v>3168.5099999999998</v>
      </c>
    </row>
    <row r="119" spans="1:33">
      <c r="A119" s="105" t="s">
        <v>129</v>
      </c>
      <c r="B119" s="105" t="s">
        <v>604</v>
      </c>
      <c r="C119" s="105" t="s">
        <v>271</v>
      </c>
      <c r="D119" s="215">
        <v>1563.06</v>
      </c>
      <c r="E119" s="215">
        <v>1563.06</v>
      </c>
      <c r="F119" s="215">
        <v>1563.06</v>
      </c>
      <c r="G119" s="215">
        <v>1563.06</v>
      </c>
      <c r="H119" s="215">
        <v>1563.06</v>
      </c>
      <c r="I119" s="215">
        <v>1563.06</v>
      </c>
      <c r="J119" s="215">
        <v>1768.2199999999998</v>
      </c>
      <c r="K119" s="215">
        <v>1563.06</v>
      </c>
      <c r="L119" s="215">
        <v>1563.06</v>
      </c>
      <c r="M119" s="215">
        <v>1563.06</v>
      </c>
      <c r="N119" s="215">
        <v>1768.2199999999998</v>
      </c>
      <c r="O119" s="215">
        <v>1563.06</v>
      </c>
      <c r="P119" s="135">
        <f t="shared" si="47"/>
        <v>19167.039999999997</v>
      </c>
      <c r="Q119" s="136">
        <v>1669</v>
      </c>
      <c r="R119" s="136">
        <v>1669</v>
      </c>
      <c r="S119" s="136">
        <v>1669</v>
      </c>
      <c r="T119" s="136">
        <v>1669</v>
      </c>
      <c r="U119" s="136">
        <v>1669</v>
      </c>
      <c r="V119" s="136">
        <v>1669</v>
      </c>
      <c r="W119" s="72">
        <v>1669</v>
      </c>
      <c r="X119" s="72">
        <v>1442</v>
      </c>
      <c r="Y119" s="72">
        <v>2152</v>
      </c>
      <c r="Z119" s="72">
        <v>2152</v>
      </c>
      <c r="AA119" s="72">
        <v>2152</v>
      </c>
      <c r="AB119" s="72">
        <v>2152</v>
      </c>
      <c r="AC119" s="137">
        <f t="shared" si="44"/>
        <v>21733</v>
      </c>
      <c r="AD119" s="72">
        <f t="shared" si="45"/>
        <v>-2565.9600000000028</v>
      </c>
      <c r="AE119" s="192">
        <f t="shared" si="46"/>
        <v>-0.11806745502231641</v>
      </c>
      <c r="AF119" s="133">
        <v>39341</v>
      </c>
      <c r="AG119" s="124">
        <f t="shared" si="38"/>
        <v>20173.960000000003</v>
      </c>
    </row>
    <row r="120" spans="1:33">
      <c r="A120" s="105" t="s">
        <v>130</v>
      </c>
      <c r="B120" s="105" t="s">
        <v>604</v>
      </c>
      <c r="C120" s="105" t="s">
        <v>272</v>
      </c>
      <c r="D120" s="215">
        <v>783</v>
      </c>
      <c r="E120" s="215">
        <v>571</v>
      </c>
      <c r="F120" s="215">
        <v>572</v>
      </c>
      <c r="G120" s="215">
        <v>618</v>
      </c>
      <c r="H120" s="215">
        <v>657</v>
      </c>
      <c r="I120" s="215">
        <v>572</v>
      </c>
      <c r="J120" s="215">
        <v>572</v>
      </c>
      <c r="K120" s="215">
        <v>572</v>
      </c>
      <c r="L120" s="215">
        <v>572</v>
      </c>
      <c r="M120" s="215">
        <v>784</v>
      </c>
      <c r="N120" s="215">
        <v>572</v>
      </c>
      <c r="O120" s="215">
        <v>572</v>
      </c>
      <c r="P120" s="135">
        <f t="shared" si="47"/>
        <v>7417</v>
      </c>
      <c r="Q120" s="136">
        <v>564.57000000000005</v>
      </c>
      <c r="R120" s="136">
        <v>641.80999999999995</v>
      </c>
      <c r="S120" s="136">
        <v>1104.98</v>
      </c>
      <c r="T120" s="136">
        <v>954.82</v>
      </c>
      <c r="U120" s="136">
        <v>550.26</v>
      </c>
      <c r="V120" s="136">
        <v>557.66999999999996</v>
      </c>
      <c r="W120" s="72">
        <v>511.6</v>
      </c>
      <c r="X120" s="72">
        <v>510.51</v>
      </c>
      <c r="Y120" s="72">
        <v>865</v>
      </c>
      <c r="Z120" s="72">
        <v>865</v>
      </c>
      <c r="AA120" s="72">
        <v>865</v>
      </c>
      <c r="AB120" s="72">
        <v>865</v>
      </c>
      <c r="AC120" s="137">
        <f t="shared" si="44"/>
        <v>8856.2200000000012</v>
      </c>
      <c r="AD120" s="72">
        <f t="shared" si="45"/>
        <v>-1439.2200000000012</v>
      </c>
      <c r="AE120" s="192">
        <f t="shared" si="46"/>
        <v>-0.1625095130879767</v>
      </c>
      <c r="AF120" s="133">
        <v>25968.920000000002</v>
      </c>
      <c r="AG120" s="124">
        <f t="shared" si="38"/>
        <v>18551.920000000002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47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4"/>
        <v>0</v>
      </c>
      <c r="AD121" s="72">
        <f t="shared" si="45"/>
        <v>0</v>
      </c>
      <c r="AE121" s="192" t="e">
        <f t="shared" si="46"/>
        <v>#DIV/0!</v>
      </c>
      <c r="AF121" s="133">
        <v>0</v>
      </c>
      <c r="AG121" s="124">
        <f t="shared" si="38"/>
        <v>0</v>
      </c>
    </row>
    <row r="122" spans="1:33">
      <c r="A122" s="105" t="s">
        <v>273</v>
      </c>
      <c r="C122" s="109" t="s">
        <v>522</v>
      </c>
      <c r="D122" s="137">
        <f t="shared" ref="D122:AC122" si="48">SUM(D114:D121)</f>
        <v>10290.049999999999</v>
      </c>
      <c r="E122" s="137">
        <f t="shared" si="48"/>
        <v>10078.049999999999</v>
      </c>
      <c r="F122" s="137">
        <f t="shared" si="48"/>
        <v>10079.049999999999</v>
      </c>
      <c r="G122" s="137">
        <f t="shared" si="48"/>
        <v>10125.049999999999</v>
      </c>
      <c r="H122" s="137">
        <f t="shared" si="48"/>
        <v>10164.049999999999</v>
      </c>
      <c r="I122" s="137">
        <f t="shared" si="48"/>
        <v>10079.049999999999</v>
      </c>
      <c r="J122" s="137">
        <f t="shared" si="48"/>
        <v>10583.889999999998</v>
      </c>
      <c r="K122" s="137">
        <f t="shared" si="48"/>
        <v>10378.729999999998</v>
      </c>
      <c r="L122" s="137">
        <f t="shared" si="48"/>
        <v>10378.729999999998</v>
      </c>
      <c r="M122" s="137">
        <f t="shared" si="48"/>
        <v>10590.729999999998</v>
      </c>
      <c r="N122" s="137">
        <f t="shared" si="48"/>
        <v>10583.889999999998</v>
      </c>
      <c r="O122" s="137">
        <f t="shared" si="48"/>
        <v>10378.729999999998</v>
      </c>
      <c r="P122" s="135">
        <f t="shared" si="48"/>
        <v>123709.99999999999</v>
      </c>
      <c r="Q122" s="137">
        <f t="shared" si="48"/>
        <v>10902.18</v>
      </c>
      <c r="R122" s="137">
        <f t="shared" si="48"/>
        <v>10979.42</v>
      </c>
      <c r="S122" s="137">
        <f t="shared" si="48"/>
        <v>11442.59</v>
      </c>
      <c r="T122" s="137">
        <f t="shared" si="48"/>
        <v>11292.43</v>
      </c>
      <c r="U122" s="137">
        <f t="shared" si="48"/>
        <v>10887.87</v>
      </c>
      <c r="V122" s="137">
        <f t="shared" si="48"/>
        <v>10895.28</v>
      </c>
      <c r="W122" s="137">
        <f t="shared" si="48"/>
        <v>10159.030000000001</v>
      </c>
      <c r="X122" s="137">
        <f t="shared" si="48"/>
        <v>8814.24</v>
      </c>
      <c r="Y122" s="137">
        <f t="shared" si="48"/>
        <v>14923</v>
      </c>
      <c r="Z122" s="137">
        <f t="shared" si="48"/>
        <v>14923</v>
      </c>
      <c r="AA122" s="137">
        <f t="shared" si="48"/>
        <v>14923</v>
      </c>
      <c r="AB122" s="137">
        <f t="shared" si="48"/>
        <v>14923</v>
      </c>
      <c r="AC122" s="137">
        <f t="shared" si="48"/>
        <v>145065.04</v>
      </c>
      <c r="AD122" s="72">
        <f t="shared" si="45"/>
        <v>-21355.040000000023</v>
      </c>
      <c r="AE122" s="192">
        <f t="shared" si="46"/>
        <v>-0.1472101065839159</v>
      </c>
      <c r="AF122" s="133">
        <v>309539.65999999997</v>
      </c>
      <c r="AG122" s="124">
        <f t="shared" si="38"/>
        <v>185829.65999999997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38"/>
        <v>0</v>
      </c>
    </row>
    <row r="124" spans="1:33">
      <c r="A124" s="105" t="s">
        <v>131</v>
      </c>
      <c r="B124" s="105" t="s">
        <v>604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49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0">SUM(Q124:AB124)</f>
        <v>0</v>
      </c>
      <c r="AD124" s="72">
        <f t="shared" ref="AD124:AD134" si="51">P124-AC124</f>
        <v>0</v>
      </c>
      <c r="AE124" s="192" t="e">
        <f t="shared" ref="AE124:AE134" si="52">AD124/AC124</f>
        <v>#DIV/0!</v>
      </c>
      <c r="AF124" s="133">
        <v>0</v>
      </c>
      <c r="AG124" s="124">
        <f t="shared" si="38"/>
        <v>0</v>
      </c>
    </row>
    <row r="125" spans="1:33">
      <c r="A125" s="105" t="s">
        <v>132</v>
      </c>
      <c r="B125" s="105" t="s">
        <v>604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49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0"/>
        <v>0</v>
      </c>
      <c r="AD125" s="72">
        <f t="shared" si="51"/>
        <v>0</v>
      </c>
      <c r="AE125" s="192" t="e">
        <f t="shared" si="52"/>
        <v>#DIV/0!</v>
      </c>
      <c r="AF125" s="133">
        <v>0</v>
      </c>
      <c r="AG125" s="124">
        <f t="shared" si="38"/>
        <v>0</v>
      </c>
    </row>
    <row r="126" spans="1:33">
      <c r="A126" s="105" t="s">
        <v>133</v>
      </c>
      <c r="B126" s="105" t="s">
        <v>604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49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0"/>
        <v>0</v>
      </c>
      <c r="AD126" s="72">
        <f t="shared" si="51"/>
        <v>0</v>
      </c>
      <c r="AE126" s="192" t="e">
        <f t="shared" si="52"/>
        <v>#DIV/0!</v>
      </c>
      <c r="AF126" s="133">
        <v>0</v>
      </c>
      <c r="AG126" s="124">
        <f t="shared" si="38"/>
        <v>0</v>
      </c>
    </row>
    <row r="127" spans="1:33">
      <c r="A127" s="105" t="s">
        <v>134</v>
      </c>
      <c r="B127" s="105" t="s">
        <v>604</v>
      </c>
      <c r="C127" s="105" t="s">
        <v>279</v>
      </c>
      <c r="D127" s="215">
        <v>0</v>
      </c>
      <c r="E127" s="215">
        <v>0</v>
      </c>
      <c r="F127" s="215">
        <v>0</v>
      </c>
      <c r="G127" s="215">
        <v>0</v>
      </c>
      <c r="H127" s="215">
        <v>0</v>
      </c>
      <c r="I127" s="215">
        <v>0</v>
      </c>
      <c r="J127" s="215">
        <v>0</v>
      </c>
      <c r="K127" s="215">
        <v>0</v>
      </c>
      <c r="L127" s="215">
        <v>0</v>
      </c>
      <c r="M127" s="215">
        <v>0</v>
      </c>
      <c r="N127" s="215">
        <v>0</v>
      </c>
      <c r="O127" s="215">
        <v>0</v>
      </c>
      <c r="P127" s="200">
        <f t="shared" si="49"/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72">
        <v>0</v>
      </c>
      <c r="X127" s="72">
        <v>0</v>
      </c>
      <c r="Y127" s="72">
        <v>0</v>
      </c>
      <c r="Z127" s="72">
        <v>0</v>
      </c>
      <c r="AA127" s="72">
        <v>0</v>
      </c>
      <c r="AB127" s="72">
        <v>0</v>
      </c>
      <c r="AC127" s="137">
        <f t="shared" si="50"/>
        <v>0</v>
      </c>
      <c r="AD127" s="72">
        <f t="shared" si="51"/>
        <v>0</v>
      </c>
      <c r="AE127" s="192" t="e">
        <f t="shared" si="52"/>
        <v>#DIV/0!</v>
      </c>
      <c r="AF127" s="133">
        <v>0</v>
      </c>
      <c r="AG127" s="124">
        <f t="shared" si="38"/>
        <v>0</v>
      </c>
    </row>
    <row r="128" spans="1:33">
      <c r="A128" s="105" t="s">
        <v>135</v>
      </c>
      <c r="B128" s="105" t="s">
        <v>604</v>
      </c>
      <c r="C128" s="105" t="s">
        <v>280</v>
      </c>
      <c r="D128" s="215">
        <v>136.26999999999998</v>
      </c>
      <c r="E128" s="215">
        <v>136.26999999999998</v>
      </c>
      <c r="F128" s="215">
        <v>136.26999999999998</v>
      </c>
      <c r="G128" s="215">
        <v>136.26999999999998</v>
      </c>
      <c r="H128" s="215">
        <v>136.26999999999998</v>
      </c>
      <c r="I128" s="215">
        <v>136.26999999999998</v>
      </c>
      <c r="J128" s="215">
        <v>136.26999999999998</v>
      </c>
      <c r="K128" s="215">
        <v>136.26999999999998</v>
      </c>
      <c r="L128" s="215">
        <v>136.26999999999998</v>
      </c>
      <c r="M128" s="215">
        <v>136.26999999999998</v>
      </c>
      <c r="N128" s="215">
        <v>136.26999999999998</v>
      </c>
      <c r="O128" s="215">
        <v>136.26999999999998</v>
      </c>
      <c r="P128" s="200">
        <f t="shared" si="49"/>
        <v>1635.2399999999998</v>
      </c>
      <c r="Q128" s="136">
        <v>113.11</v>
      </c>
      <c r="R128" s="136">
        <v>114.06</v>
      </c>
      <c r="S128" s="136">
        <v>113.11</v>
      </c>
      <c r="T128" s="136">
        <v>113.11</v>
      </c>
      <c r="U128" s="136">
        <v>118.04</v>
      </c>
      <c r="V128" s="136">
        <v>118.56</v>
      </c>
      <c r="W128" s="72">
        <v>119.88</v>
      </c>
      <c r="X128" s="72">
        <v>117.53</v>
      </c>
      <c r="Y128" s="72">
        <v>257</v>
      </c>
      <c r="Z128" s="72">
        <v>257</v>
      </c>
      <c r="AA128" s="72">
        <v>257</v>
      </c>
      <c r="AB128" s="72">
        <v>257</v>
      </c>
      <c r="AC128" s="137">
        <f t="shared" si="50"/>
        <v>1955.4</v>
      </c>
      <c r="AD128" s="72">
        <f t="shared" si="51"/>
        <v>-320.16000000000031</v>
      </c>
      <c r="AE128" s="192">
        <f t="shared" si="52"/>
        <v>-0.16373120589137788</v>
      </c>
      <c r="AF128" s="133">
        <v>7830.04</v>
      </c>
      <c r="AG128" s="124">
        <f t="shared" si="38"/>
        <v>6194.8</v>
      </c>
    </row>
    <row r="129" spans="1:33">
      <c r="A129" s="105" t="s">
        <v>136</v>
      </c>
      <c r="B129" s="105" t="s">
        <v>604</v>
      </c>
      <c r="C129" s="105" t="s">
        <v>282</v>
      </c>
      <c r="D129" s="164">
        <v>814</v>
      </c>
      <c r="E129" s="164">
        <v>748</v>
      </c>
      <c r="F129" s="164">
        <v>758</v>
      </c>
      <c r="G129" s="164">
        <v>855</v>
      </c>
      <c r="H129" s="164">
        <v>884</v>
      </c>
      <c r="I129" s="164">
        <v>838</v>
      </c>
      <c r="J129" s="164">
        <v>842</v>
      </c>
      <c r="K129" s="164">
        <v>860</v>
      </c>
      <c r="L129" s="164">
        <v>860</v>
      </c>
      <c r="M129" s="164">
        <v>864</v>
      </c>
      <c r="N129" s="164">
        <v>802</v>
      </c>
      <c r="O129" s="164">
        <v>800</v>
      </c>
      <c r="P129" s="200">
        <f t="shared" si="49"/>
        <v>9925</v>
      </c>
      <c r="Q129" s="136">
        <v>130.94</v>
      </c>
      <c r="R129" s="136">
        <v>5057.3599999999997</v>
      </c>
      <c r="S129" s="136">
        <v>870.56</v>
      </c>
      <c r="T129" s="136">
        <v>1017.78</v>
      </c>
      <c r="U129" s="136">
        <v>1516.72</v>
      </c>
      <c r="V129" s="136">
        <v>1516.58</v>
      </c>
      <c r="W129" s="72">
        <v>1294.29</v>
      </c>
      <c r="X129" s="72">
        <v>1560.15</v>
      </c>
      <c r="Y129" s="72">
        <v>2613</v>
      </c>
      <c r="Z129" s="72">
        <v>2485</v>
      </c>
      <c r="AA129" s="72">
        <v>2324</v>
      </c>
      <c r="AB129" s="72">
        <v>2325</v>
      </c>
      <c r="AC129" s="137">
        <f t="shared" si="50"/>
        <v>22711.379999999997</v>
      </c>
      <c r="AD129" s="72">
        <f t="shared" si="51"/>
        <v>-12786.379999999997</v>
      </c>
      <c r="AE129" s="192">
        <f t="shared" si="52"/>
        <v>-0.56299441073153633</v>
      </c>
      <c r="AF129" s="133">
        <v>84461.150000000009</v>
      </c>
      <c r="AG129" s="124">
        <f t="shared" si="38"/>
        <v>74536.150000000009</v>
      </c>
    </row>
    <row r="130" spans="1:33">
      <c r="A130" s="105" t="s">
        <v>137</v>
      </c>
      <c r="B130" s="105" t="s">
        <v>604</v>
      </c>
      <c r="C130" s="105" t="s">
        <v>283</v>
      </c>
      <c r="D130" s="164">
        <v>5986.18</v>
      </c>
      <c r="E130" s="164">
        <v>5046.18</v>
      </c>
      <c r="F130" s="164">
        <v>5061.37</v>
      </c>
      <c r="G130" s="164">
        <v>5147.37</v>
      </c>
      <c r="H130" s="164">
        <v>5533.18</v>
      </c>
      <c r="I130" s="164">
        <v>5146.88</v>
      </c>
      <c r="J130" s="164">
        <v>5109.88</v>
      </c>
      <c r="K130" s="164">
        <v>5104.88</v>
      </c>
      <c r="L130" s="164">
        <v>5142.88</v>
      </c>
      <c r="M130" s="164">
        <v>5995.4</v>
      </c>
      <c r="N130" s="164">
        <v>5128.37</v>
      </c>
      <c r="O130" s="164">
        <v>5123.37</v>
      </c>
      <c r="P130" s="200">
        <f t="shared" si="49"/>
        <v>63525.94</v>
      </c>
      <c r="Q130" s="136">
        <v>9352.99</v>
      </c>
      <c r="R130" s="136">
        <v>7282.61</v>
      </c>
      <c r="S130" s="136">
        <v>6959.95</v>
      </c>
      <c r="T130" s="136">
        <v>6707.23</v>
      </c>
      <c r="U130" s="136">
        <v>4961.25</v>
      </c>
      <c r="V130" s="136">
        <v>5659.25</v>
      </c>
      <c r="W130" s="72">
        <v>5529.99</v>
      </c>
      <c r="X130" s="72">
        <v>5756.89</v>
      </c>
      <c r="Y130" s="72">
        <v>74845.020000000019</v>
      </c>
      <c r="Z130" s="72">
        <v>50134.020000000019</v>
      </c>
      <c r="AA130" s="72">
        <v>81341.020000000019</v>
      </c>
      <c r="AB130" s="72">
        <v>91336.020000000019</v>
      </c>
      <c r="AC130" s="137">
        <f t="shared" si="50"/>
        <v>349866.24000000011</v>
      </c>
      <c r="AD130" s="72">
        <f t="shared" si="51"/>
        <v>-286340.3000000001</v>
      </c>
      <c r="AE130" s="192">
        <f t="shared" si="52"/>
        <v>-0.81842792262551545</v>
      </c>
      <c r="AF130" s="133">
        <v>388454.24000000005</v>
      </c>
      <c r="AG130" s="124">
        <f t="shared" si="38"/>
        <v>324928.30000000005</v>
      </c>
    </row>
    <row r="131" spans="1:33">
      <c r="A131" s="105" t="s">
        <v>138</v>
      </c>
      <c r="B131" s="105" t="s">
        <v>604</v>
      </c>
      <c r="C131" s="105" t="s">
        <v>611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49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0"/>
        <v>0</v>
      </c>
      <c r="AD131" s="72">
        <f t="shared" si="51"/>
        <v>0</v>
      </c>
      <c r="AE131" s="192" t="e">
        <f t="shared" si="52"/>
        <v>#DIV/0!</v>
      </c>
      <c r="AF131" s="133">
        <v>0</v>
      </c>
      <c r="AG131" s="124">
        <f t="shared" si="38"/>
        <v>0</v>
      </c>
    </row>
    <row r="132" spans="1:33">
      <c r="A132" s="105" t="s">
        <v>140</v>
      </c>
      <c r="B132" s="105" t="s">
        <v>604</v>
      </c>
      <c r="C132" s="105" t="s">
        <v>473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49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0"/>
        <v>0</v>
      </c>
      <c r="AD132" s="72">
        <f t="shared" si="51"/>
        <v>0</v>
      </c>
      <c r="AE132" s="192" t="e">
        <f t="shared" si="52"/>
        <v>#DIV/0!</v>
      </c>
      <c r="AF132" s="133">
        <v>0</v>
      </c>
      <c r="AG132" s="124">
        <f t="shared" si="38"/>
        <v>0</v>
      </c>
    </row>
    <row r="133" spans="1:33">
      <c r="A133" s="105" t="s">
        <v>566</v>
      </c>
      <c r="C133" s="109" t="s">
        <v>523</v>
      </c>
      <c r="D133" s="137">
        <f t="shared" ref="D133:AC133" si="53">SUM(D124:D132)</f>
        <v>6936.4500000000007</v>
      </c>
      <c r="E133" s="137">
        <f t="shared" si="53"/>
        <v>5930.4500000000007</v>
      </c>
      <c r="F133" s="137">
        <f t="shared" si="53"/>
        <v>5955.6399999999994</v>
      </c>
      <c r="G133" s="137">
        <f t="shared" si="53"/>
        <v>6138.6399999999994</v>
      </c>
      <c r="H133" s="137">
        <f t="shared" si="53"/>
        <v>6553.4500000000007</v>
      </c>
      <c r="I133" s="137">
        <f t="shared" si="53"/>
        <v>6121.15</v>
      </c>
      <c r="J133" s="137">
        <f t="shared" si="53"/>
        <v>6088.15</v>
      </c>
      <c r="K133" s="137">
        <f t="shared" si="53"/>
        <v>6101.15</v>
      </c>
      <c r="L133" s="137">
        <f t="shared" si="53"/>
        <v>6139.15</v>
      </c>
      <c r="M133" s="137">
        <f t="shared" si="53"/>
        <v>6995.67</v>
      </c>
      <c r="N133" s="137">
        <f t="shared" si="53"/>
        <v>6066.6399999999994</v>
      </c>
      <c r="O133" s="137">
        <f t="shared" si="53"/>
        <v>6059.6399999999994</v>
      </c>
      <c r="P133" s="135">
        <f t="shared" si="53"/>
        <v>75086.180000000008</v>
      </c>
      <c r="Q133" s="137">
        <f t="shared" si="53"/>
        <v>9597.0399999999991</v>
      </c>
      <c r="R133" s="137">
        <f t="shared" si="53"/>
        <v>12454.029999999999</v>
      </c>
      <c r="S133" s="137">
        <f t="shared" si="53"/>
        <v>7943.62</v>
      </c>
      <c r="T133" s="137">
        <f t="shared" si="53"/>
        <v>7838.119999999999</v>
      </c>
      <c r="U133" s="137">
        <f t="shared" si="53"/>
        <v>6596.01</v>
      </c>
      <c r="V133" s="137">
        <f t="shared" si="53"/>
        <v>7294.3899999999994</v>
      </c>
      <c r="W133" s="137">
        <f t="shared" si="53"/>
        <v>6944.16</v>
      </c>
      <c r="X133" s="137">
        <f t="shared" si="53"/>
        <v>7434.5700000000006</v>
      </c>
      <c r="Y133" s="137">
        <f t="shared" si="53"/>
        <v>77715.020000000019</v>
      </c>
      <c r="Z133" s="137">
        <f t="shared" si="53"/>
        <v>52876.020000000019</v>
      </c>
      <c r="AA133" s="137">
        <f t="shared" si="53"/>
        <v>83922.020000000019</v>
      </c>
      <c r="AB133" s="137">
        <f t="shared" si="53"/>
        <v>93918.020000000019</v>
      </c>
      <c r="AC133" s="137">
        <f t="shared" si="53"/>
        <v>374533.02000000014</v>
      </c>
      <c r="AD133" s="72">
        <f t="shared" si="51"/>
        <v>-299446.84000000014</v>
      </c>
      <c r="AE133" s="192">
        <f t="shared" si="52"/>
        <v>-0.79952053359674413</v>
      </c>
      <c r="AF133" s="133">
        <v>480745.43000000005</v>
      </c>
      <c r="AG133" s="124">
        <f t="shared" si="38"/>
        <v>405659.25000000006</v>
      </c>
    </row>
    <row r="134" spans="1:33">
      <c r="A134" s="105" t="s">
        <v>566</v>
      </c>
      <c r="C134" s="109" t="s">
        <v>524</v>
      </c>
      <c r="D134" s="137">
        <f t="shared" ref="D134:AC134" si="54">D105+D112+D122+D133</f>
        <v>56389.62999999999</v>
      </c>
      <c r="E134" s="137">
        <f t="shared" si="54"/>
        <v>44578.520000000004</v>
      </c>
      <c r="F134" s="137">
        <f t="shared" si="54"/>
        <v>44630.71</v>
      </c>
      <c r="G134" s="137">
        <f t="shared" si="54"/>
        <v>47163.16</v>
      </c>
      <c r="H134" s="137">
        <f t="shared" si="54"/>
        <v>49548.020000000004</v>
      </c>
      <c r="I134" s="137">
        <f t="shared" si="54"/>
        <v>44796.22</v>
      </c>
      <c r="J134" s="137">
        <f t="shared" si="54"/>
        <v>45268.06</v>
      </c>
      <c r="K134" s="137">
        <f t="shared" si="54"/>
        <v>45075.9</v>
      </c>
      <c r="L134" s="137">
        <f t="shared" si="54"/>
        <v>45113.9</v>
      </c>
      <c r="M134" s="137">
        <f t="shared" si="54"/>
        <v>56775.529999999992</v>
      </c>
      <c r="N134" s="137">
        <f t="shared" si="54"/>
        <v>45246.549999999996</v>
      </c>
      <c r="O134" s="137">
        <f t="shared" si="54"/>
        <v>45034.39</v>
      </c>
      <c r="P134" s="135">
        <f t="shared" si="54"/>
        <v>569620.59000000008</v>
      </c>
      <c r="Q134" s="137">
        <f t="shared" si="54"/>
        <v>53522.76</v>
      </c>
      <c r="R134" s="137">
        <f t="shared" si="54"/>
        <v>60347.07</v>
      </c>
      <c r="S134" s="137">
        <f t="shared" si="54"/>
        <v>49772.87</v>
      </c>
      <c r="T134" s="137">
        <f t="shared" si="54"/>
        <v>50290.91</v>
      </c>
      <c r="U134" s="137">
        <f t="shared" si="54"/>
        <v>48190.44</v>
      </c>
      <c r="V134" s="137">
        <f t="shared" si="54"/>
        <v>49286.29</v>
      </c>
      <c r="W134" s="137">
        <f t="shared" si="54"/>
        <v>45903.83</v>
      </c>
      <c r="X134" s="137">
        <f t="shared" si="54"/>
        <v>44986.479999999996</v>
      </c>
      <c r="Y134" s="137">
        <f t="shared" si="54"/>
        <v>173515.19</v>
      </c>
      <c r="Z134" s="137">
        <f t="shared" si="54"/>
        <v>155952.19</v>
      </c>
      <c r="AA134" s="137">
        <f t="shared" si="54"/>
        <v>176084.19</v>
      </c>
      <c r="AB134" s="137">
        <f t="shared" si="54"/>
        <v>186080.19</v>
      </c>
      <c r="AC134" s="137">
        <f t="shared" si="54"/>
        <v>1093932.4100000001</v>
      </c>
      <c r="AD134" s="72">
        <f t="shared" si="51"/>
        <v>-524311.82000000007</v>
      </c>
      <c r="AE134" s="192">
        <f t="shared" si="52"/>
        <v>-0.47929087319023667</v>
      </c>
      <c r="AF134" s="133">
        <v>1964236.04</v>
      </c>
      <c r="AG134" s="124">
        <f t="shared" si="38"/>
        <v>1394615.45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38"/>
        <v>0</v>
      </c>
    </row>
    <row r="136" spans="1:33" s="224" customFormat="1">
      <c r="A136" s="224" t="s">
        <v>141</v>
      </c>
      <c r="B136" s="224" t="s">
        <v>604</v>
      </c>
      <c r="C136" s="224" t="s">
        <v>142</v>
      </c>
      <c r="D136" s="215">
        <v>5</v>
      </c>
      <c r="E136" s="215">
        <v>5</v>
      </c>
      <c r="F136" s="215">
        <v>5</v>
      </c>
      <c r="G136" s="215">
        <v>5</v>
      </c>
      <c r="H136" s="215">
        <v>5</v>
      </c>
      <c r="I136" s="215">
        <v>5</v>
      </c>
      <c r="J136" s="215">
        <v>5</v>
      </c>
      <c r="K136" s="215">
        <v>5</v>
      </c>
      <c r="L136" s="215">
        <v>5</v>
      </c>
      <c r="M136" s="215">
        <v>5</v>
      </c>
      <c r="N136" s="215">
        <v>5</v>
      </c>
      <c r="O136" s="215">
        <v>5</v>
      </c>
      <c r="P136" s="225">
        <f>SUM(D136:O136)/12</f>
        <v>5</v>
      </c>
      <c r="Q136" s="225">
        <v>6</v>
      </c>
      <c r="R136" s="225">
        <v>6</v>
      </c>
      <c r="S136" s="225">
        <v>6</v>
      </c>
      <c r="T136" s="225">
        <v>6</v>
      </c>
      <c r="U136" s="225">
        <v>6</v>
      </c>
      <c r="V136" s="225">
        <v>6</v>
      </c>
      <c r="W136" s="127">
        <v>6</v>
      </c>
      <c r="X136" s="127">
        <v>6</v>
      </c>
      <c r="Y136" s="127">
        <v>8</v>
      </c>
      <c r="Z136" s="127">
        <v>8</v>
      </c>
      <c r="AA136" s="127">
        <v>8</v>
      </c>
      <c r="AB136" s="127">
        <v>8</v>
      </c>
      <c r="AC136" s="225">
        <f>SUM(Q136:AB136)/12</f>
        <v>6.666666666666667</v>
      </c>
      <c r="AD136" s="225">
        <f t="shared" ref="AD136" si="55">P136-AC136</f>
        <v>-1.666666666666667</v>
      </c>
      <c r="AE136" s="226">
        <f t="shared" ref="AE136" si="56">AD136/AC136</f>
        <v>-0.25000000000000006</v>
      </c>
      <c r="AF136" s="227">
        <v>23.583333333333332</v>
      </c>
      <c r="AG136" s="228">
        <f t="shared" si="38"/>
        <v>18.583333333333332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229">
        <v>51697</v>
      </c>
      <c r="E138" s="229">
        <v>51697</v>
      </c>
      <c r="F138" s="229">
        <v>51697</v>
      </c>
      <c r="G138" s="229">
        <v>51697</v>
      </c>
      <c r="H138" s="229">
        <v>51697</v>
      </c>
      <c r="I138" s="229">
        <v>51697</v>
      </c>
      <c r="J138" s="229">
        <v>51697</v>
      </c>
      <c r="K138" s="229">
        <v>51697</v>
      </c>
      <c r="L138" s="229">
        <v>51697</v>
      </c>
      <c r="M138" s="229">
        <v>51697</v>
      </c>
      <c r="N138" s="229">
        <v>51697</v>
      </c>
      <c r="O138" s="229">
        <v>51697</v>
      </c>
      <c r="P138" s="200">
        <f t="shared" ref="P138:P140" si="57">SUM(D138:O138)</f>
        <v>620364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106341.44999999998</v>
      </c>
      <c r="E139" s="136">
        <v>84933.35</v>
      </c>
      <c r="F139" s="136">
        <v>86726.35</v>
      </c>
      <c r="G139" s="136">
        <v>89890.47</v>
      </c>
      <c r="H139" s="136">
        <v>96486.64</v>
      </c>
      <c r="I139" s="136">
        <v>87169.35</v>
      </c>
      <c r="J139" s="136">
        <v>88387.42</v>
      </c>
      <c r="K139" s="136">
        <v>87538.95</v>
      </c>
      <c r="L139" s="136">
        <v>87621.95</v>
      </c>
      <c r="M139" s="136">
        <v>111172.94</v>
      </c>
      <c r="N139" s="136">
        <v>88329.42</v>
      </c>
      <c r="O139" s="136">
        <v>87402.95</v>
      </c>
      <c r="P139" s="200">
        <f t="shared" si="57"/>
        <v>1102001.24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0</v>
      </c>
      <c r="E140" s="136">
        <v>0</v>
      </c>
      <c r="F140" s="136">
        <v>0</v>
      </c>
      <c r="G140" s="136">
        <v>0</v>
      </c>
      <c r="H140" s="136">
        <v>0</v>
      </c>
      <c r="I140" s="136">
        <v>0</v>
      </c>
      <c r="J140" s="136">
        <v>0</v>
      </c>
      <c r="K140" s="136">
        <v>0</v>
      </c>
      <c r="L140" s="136">
        <v>0</v>
      </c>
      <c r="M140" s="136">
        <v>0</v>
      </c>
      <c r="N140" s="136">
        <v>0</v>
      </c>
      <c r="O140" s="136">
        <v>0</v>
      </c>
      <c r="P140" s="200">
        <f t="shared" si="57"/>
        <v>0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158038.44999999998</v>
      </c>
      <c r="E141" s="117">
        <f t="shared" ref="E141:P141" si="58">SUM(E138:E140)</f>
        <v>136630.35</v>
      </c>
      <c r="F141" s="117">
        <f t="shared" si="58"/>
        <v>138423.35</v>
      </c>
      <c r="G141" s="117">
        <f t="shared" si="58"/>
        <v>141587.47</v>
      </c>
      <c r="H141" s="117">
        <f t="shared" si="58"/>
        <v>148183.64000000001</v>
      </c>
      <c r="I141" s="117">
        <f t="shared" si="58"/>
        <v>138866.35</v>
      </c>
      <c r="J141" s="117">
        <f t="shared" si="58"/>
        <v>140084.41999999998</v>
      </c>
      <c r="K141" s="117">
        <f t="shared" si="58"/>
        <v>139235.95000000001</v>
      </c>
      <c r="L141" s="117">
        <f t="shared" si="58"/>
        <v>139318.95000000001</v>
      </c>
      <c r="M141" s="117">
        <f t="shared" si="58"/>
        <v>162869.94</v>
      </c>
      <c r="N141" s="117">
        <f t="shared" si="58"/>
        <v>140026.41999999998</v>
      </c>
      <c r="O141" s="117">
        <f t="shared" si="58"/>
        <v>139099.95000000001</v>
      </c>
      <c r="P141" s="117">
        <f t="shared" si="58"/>
        <v>1722365.24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C142" s="109" t="s">
        <v>600</v>
      </c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C143" s="105" t="s">
        <v>376</v>
      </c>
      <c r="D143" s="234">
        <f>'F&amp;B Admin'!D143</f>
        <v>0.328710289236605</v>
      </c>
      <c r="E143" s="234">
        <f>'F&amp;B Admin'!E143</f>
        <v>0.33870910236145607</v>
      </c>
      <c r="F143" s="234">
        <f>'F&amp;B Admin'!F143</f>
        <v>0.38020316983881353</v>
      </c>
      <c r="G143" s="234">
        <f>'F&amp;B Admin'!G143</f>
        <v>0.40652000700170932</v>
      </c>
      <c r="H143" s="234">
        <f>'F&amp;B Admin'!H143</f>
        <v>0.40139864287591076</v>
      </c>
      <c r="I143" s="234">
        <f>'F&amp;B Admin'!I143</f>
        <v>0.40944320541043067</v>
      </c>
      <c r="J143" s="234">
        <f>'F&amp;B Admin'!J143</f>
        <v>0.39565438610618398</v>
      </c>
      <c r="K143" s="234">
        <f>'F&amp;B Admin'!K143</f>
        <v>0.38035497897212917</v>
      </c>
      <c r="L143" s="234">
        <f>'F&amp;B Admin'!L143</f>
        <v>0.40580666789135172</v>
      </c>
      <c r="M143" s="234">
        <f>'F&amp;B Admin'!M143</f>
        <v>0.37586078753182212</v>
      </c>
      <c r="N143" s="234">
        <f>'F&amp;B Admin'!N143</f>
        <v>0.36105108341872899</v>
      </c>
      <c r="O143" s="234">
        <f>'F&amp;B Admin'!O143</f>
        <v>0.33703330799586922</v>
      </c>
      <c r="P143" s="198">
        <f>SUM(D143:O143)/12</f>
        <v>0.37672880238675083</v>
      </c>
      <c r="Q143" s="234"/>
      <c r="R143" s="234"/>
      <c r="S143" s="234"/>
      <c r="T143" s="234"/>
      <c r="U143" s="234"/>
      <c r="V143" s="234"/>
      <c r="W143" s="234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C144" s="105" t="s">
        <v>378</v>
      </c>
      <c r="D144" s="234">
        <f>'F&amp;B Admin'!D144</f>
        <v>0.17798719772403984</v>
      </c>
      <c r="E144" s="234">
        <f>'F&amp;B Admin'!E144</f>
        <v>0.16609290797280291</v>
      </c>
      <c r="F144" s="234">
        <f>'F&amp;B Admin'!F144</f>
        <v>0.1479303439165793</v>
      </c>
      <c r="G144" s="234">
        <f>'F&amp;B Admin'!G144</f>
        <v>0.15380804029617612</v>
      </c>
      <c r="H144" s="234">
        <f>'F&amp;B Admin'!H144</f>
        <v>0.16025722758396363</v>
      </c>
      <c r="I144" s="234">
        <f>'F&amp;B Admin'!I144</f>
        <v>0.1334931453343266</v>
      </c>
      <c r="J144" s="234">
        <f>'F&amp;B Admin'!J144</f>
        <v>0.16794549934979511</v>
      </c>
      <c r="K144" s="234">
        <f>'F&amp;B Admin'!K144</f>
        <v>0.16933494903414356</v>
      </c>
      <c r="L144" s="234">
        <f>'F&amp;B Admin'!L144</f>
        <v>0.12619653289576788</v>
      </c>
      <c r="M144" s="234">
        <f>'F&amp;B Admin'!M144</f>
        <v>0.13186080804939926</v>
      </c>
      <c r="N144" s="234">
        <f>'F&amp;B Admin'!N144</f>
        <v>0.12519977275020044</v>
      </c>
      <c r="O144" s="234">
        <f>'F&amp;B Admin'!O144</f>
        <v>0.13114193640100708</v>
      </c>
      <c r="P144" s="198">
        <f t="shared" ref="P144:P155" si="59">SUM(D144:O144)/12</f>
        <v>0.14927069677568347</v>
      </c>
      <c r="Q144" s="234"/>
      <c r="R144" s="234"/>
      <c r="S144" s="234"/>
      <c r="T144" s="234"/>
      <c r="U144" s="234"/>
      <c r="V144" s="234"/>
      <c r="W144" s="234"/>
      <c r="X144" s="136"/>
      <c r="Y144" s="136"/>
      <c r="Z144" s="136"/>
      <c r="AA144" s="136"/>
      <c r="AB144" s="136"/>
      <c r="AC144" s="137"/>
      <c r="AD144" s="136"/>
      <c r="AG144" s="123"/>
    </row>
    <row r="145" spans="3:33">
      <c r="C145" s="105" t="s">
        <v>380</v>
      </c>
      <c r="D145" s="234">
        <f>'F&amp;B Admin'!D145</f>
        <v>0.1251778093883357</v>
      </c>
      <c r="E145" s="234">
        <f>'F&amp;B Admin'!E145</f>
        <v>0.12491961436020954</v>
      </c>
      <c r="F145" s="234">
        <f>'F&amp;B Admin'!F145</f>
        <v>7.4072523441538266E-2</v>
      </c>
      <c r="G145" s="234">
        <f>'F&amp;B Admin'!G145</f>
        <v>6.1217130466139753E-2</v>
      </c>
      <c r="H145" s="234">
        <f>'F&amp;B Admin'!H145</f>
        <v>6.1012593717138436E-2</v>
      </c>
      <c r="I145" s="234">
        <f>'F&amp;B Admin'!I145</f>
        <v>6.9532043067142196E-2</v>
      </c>
      <c r="J145" s="234">
        <f>'F&amp;B Admin'!J145</f>
        <v>7.7410640759905558E-2</v>
      </c>
      <c r="K145" s="234">
        <f>'F&amp;B Admin'!K145</f>
        <v>7.9406942761422766E-2</v>
      </c>
      <c r="L145" s="234">
        <f>'F&amp;B Admin'!L145</f>
        <v>6.4451647253332342E-2</v>
      </c>
      <c r="M145" s="234">
        <f>'F&amp;B Admin'!M145</f>
        <v>5.6600212710674391E-2</v>
      </c>
      <c r="N145" s="234">
        <f>'F&amp;B Admin'!N145</f>
        <v>6.3360925423482831E-2</v>
      </c>
      <c r="O145" s="234">
        <f>'F&amp;B Admin'!O145</f>
        <v>6.5203829520769474E-2</v>
      </c>
      <c r="P145" s="198">
        <f t="shared" si="59"/>
        <v>7.6863826072507593E-2</v>
      </c>
      <c r="Q145" s="234"/>
      <c r="R145" s="234"/>
      <c r="S145" s="234"/>
      <c r="T145" s="234"/>
      <c r="U145" s="234"/>
      <c r="V145" s="234"/>
      <c r="W145" s="234"/>
      <c r="X145" s="136"/>
      <c r="Y145" s="136"/>
      <c r="Z145" s="136"/>
      <c r="AA145" s="136"/>
      <c r="AB145" s="136"/>
      <c r="AC145" s="137"/>
      <c r="AD145" s="136"/>
      <c r="AG145" s="123"/>
    </row>
    <row r="146" spans="3:33">
      <c r="C146" s="105" t="s">
        <v>382</v>
      </c>
      <c r="D146" s="234">
        <f>'F&amp;B Admin'!D146</f>
        <v>9.5145803698435283E-2</v>
      </c>
      <c r="E146" s="234">
        <f>'F&amp;B Admin'!E146</f>
        <v>8.9085115682693616E-2</v>
      </c>
      <c r="F146" s="234">
        <f>'F&amp;B Admin'!F146</f>
        <v>9.927596792122978E-2</v>
      </c>
      <c r="G146" s="234">
        <f>'F&amp;B Admin'!G146</f>
        <v>0.10026218149157451</v>
      </c>
      <c r="H146" s="234">
        <f>'F&amp;B Admin'!H146</f>
        <v>9.8999072344124625E-2</v>
      </c>
      <c r="I146" s="234">
        <f>'F&amp;B Admin'!I146</f>
        <v>9.9448623464509445E-2</v>
      </c>
      <c r="J146" s="234">
        <f>'F&amp;B Admin'!J146</f>
        <v>8.5436433629495767E-2</v>
      </c>
      <c r="K146" s="234">
        <f>'F&amp;B Admin'!K146</f>
        <v>9.5072350131869696E-2</v>
      </c>
      <c r="L146" s="234">
        <f>'F&amp;B Admin'!L146</f>
        <v>0.10005054420646114</v>
      </c>
      <c r="M146" s="234">
        <f>'F&amp;B Admin'!M146</f>
        <v>9.6038002797819266E-2</v>
      </c>
      <c r="N146" s="234">
        <f>'F&amp;B Admin'!N146</f>
        <v>9.3960889672346143E-2</v>
      </c>
      <c r="O146" s="234">
        <f>'F&amp;B Admin'!O146</f>
        <v>8.4825335975948601E-2</v>
      </c>
      <c r="P146" s="198">
        <f t="shared" si="59"/>
        <v>9.4800026751375652E-2</v>
      </c>
      <c r="Q146" s="234"/>
      <c r="R146" s="234"/>
      <c r="S146" s="234"/>
      <c r="T146" s="234"/>
      <c r="U146" s="234"/>
      <c r="V146" s="234"/>
      <c r="W146" s="234"/>
      <c r="X146" s="136"/>
      <c r="Y146" s="136"/>
      <c r="Z146" s="136"/>
      <c r="AA146" s="136"/>
      <c r="AB146" s="136"/>
      <c r="AC146" s="137"/>
      <c r="AD146" s="136"/>
      <c r="AG146" s="123"/>
    </row>
    <row r="147" spans="3:33">
      <c r="C147" s="105" t="s">
        <v>384</v>
      </c>
      <c r="D147" s="234">
        <f>'F&amp;B Admin'!D147</f>
        <v>0.17354196301564723</v>
      </c>
      <c r="E147" s="234">
        <f>'F&amp;B Admin'!E147</f>
        <v>0.16427061338699858</v>
      </c>
      <c r="F147" s="234">
        <f>'F&amp;B Admin'!F147</f>
        <v>0.1631742545378814</v>
      </c>
      <c r="G147" s="234">
        <f>'F&amp;B Admin'!G147</f>
        <v>0.15022109905792574</v>
      </c>
      <c r="H147" s="234">
        <f>'F&amp;B Admin'!H147</f>
        <v>0.15317372212144756</v>
      </c>
      <c r="I147" s="234">
        <f>'F&amp;B Admin'!I147</f>
        <v>0.15845766200180658</v>
      </c>
      <c r="J147" s="234">
        <f>'F&amp;B Admin'!J147</f>
        <v>0.17456544380098704</v>
      </c>
      <c r="K147" s="234">
        <f>'F&amp;B Admin'!K147</f>
        <v>0.17469527407513008</v>
      </c>
      <c r="L147" s="234">
        <f>'F&amp;B Admin'!L147</f>
        <v>0.15526515988886502</v>
      </c>
      <c r="M147" s="234">
        <f>'F&amp;B Admin'!M147</f>
        <v>0.14415366674749885</v>
      </c>
      <c r="N147" s="234">
        <f>'F&amp;B Admin'!N147</f>
        <v>0.13564193643731073</v>
      </c>
      <c r="O147" s="234">
        <f>'F&amp;B Admin'!O147</f>
        <v>0.18301863184743009</v>
      </c>
      <c r="P147" s="198">
        <f t="shared" si="59"/>
        <v>0.1608482855765774</v>
      </c>
      <c r="Q147" s="234"/>
      <c r="R147" s="234"/>
      <c r="S147" s="234"/>
      <c r="T147" s="234"/>
      <c r="U147" s="234"/>
      <c r="V147" s="234"/>
      <c r="W147" s="234"/>
      <c r="X147" s="136"/>
      <c r="Y147" s="136"/>
      <c r="Z147" s="136"/>
      <c r="AA147" s="136"/>
      <c r="AB147" s="136"/>
      <c r="AC147" s="137"/>
      <c r="AD147" s="136"/>
      <c r="AG147" s="123"/>
    </row>
    <row r="148" spans="3:33">
      <c r="C148" s="105" t="s">
        <v>386</v>
      </c>
      <c r="D148" s="234">
        <f>'F&amp;B Admin'!D148</f>
        <v>2.3992413466097675E-2</v>
      </c>
      <c r="E148" s="234">
        <f>'F&amp;B Admin'!E148</f>
        <v>3.8030495703742437E-2</v>
      </c>
      <c r="F148" s="234">
        <f>'F&amp;B Admin'!F148</f>
        <v>3.0953011003348112E-2</v>
      </c>
      <c r="G148" s="234">
        <f>'F&amp;B Admin'!G148</f>
        <v>2.2095558027622315E-2</v>
      </c>
      <c r="H148" s="234">
        <f>'F&amp;B Admin'!H148</f>
        <v>2.3706131614553788E-2</v>
      </c>
      <c r="I148" s="234">
        <f>'F&amp;B Admin'!I148</f>
        <v>2.1466971127656852E-2</v>
      </c>
      <c r="J148" s="234">
        <f>'F&amp;B Admin'!J148</f>
        <v>2.5581102549968791E-2</v>
      </c>
      <c r="K148" s="234">
        <f>'F&amp;B Admin'!K148</f>
        <v>2.7158029795423765E-2</v>
      </c>
      <c r="L148" s="234">
        <f>'F&amp;B Admin'!L148</f>
        <v>2.0757374316693184E-2</v>
      </c>
      <c r="M148" s="234">
        <f>'F&amp;B Admin'!M148</f>
        <v>2.8211668522976768E-2</v>
      </c>
      <c r="N148" s="234">
        <f>'F&amp;B Admin'!N148</f>
        <v>2.0618848636412709E-2</v>
      </c>
      <c r="O148" s="234">
        <f>'F&amp;B Admin'!O148</f>
        <v>1.8944355874277619E-2</v>
      </c>
      <c r="P148" s="198">
        <f t="shared" si="59"/>
        <v>2.5126330053231168E-2</v>
      </c>
      <c r="Q148" s="234"/>
      <c r="R148" s="234"/>
      <c r="S148" s="234"/>
      <c r="T148" s="234"/>
      <c r="U148" s="234"/>
      <c r="V148" s="234"/>
      <c r="W148" s="234"/>
      <c r="X148" s="136"/>
      <c r="Y148" s="136"/>
      <c r="Z148" s="136"/>
      <c r="AA148" s="136"/>
      <c r="AB148" s="136"/>
      <c r="AC148" s="137"/>
      <c r="AD148" s="136"/>
      <c r="AG148" s="123"/>
    </row>
    <row r="149" spans="3:33">
      <c r="C149" s="105" t="s">
        <v>388</v>
      </c>
      <c r="D149" s="234">
        <f>'F&amp;B Admin'!D149</f>
        <v>0</v>
      </c>
      <c r="E149" s="234">
        <f>'F&amp;B Admin'!E149</f>
        <v>0</v>
      </c>
      <c r="F149" s="234">
        <f>'F&amp;B Admin'!F149</f>
        <v>0</v>
      </c>
      <c r="G149" s="234">
        <f>'F&amp;B Admin'!G149</f>
        <v>0</v>
      </c>
      <c r="H149" s="234">
        <f>'F&amp;B Admin'!H149</f>
        <v>0</v>
      </c>
      <c r="I149" s="234">
        <f>'F&amp;B Admin'!I149</f>
        <v>0</v>
      </c>
      <c r="J149" s="234">
        <f>'F&amp;B Admin'!J149</f>
        <v>0</v>
      </c>
      <c r="K149" s="234">
        <f>'F&amp;B Admin'!K149</f>
        <v>0</v>
      </c>
      <c r="L149" s="234">
        <f>'F&amp;B Admin'!L149</f>
        <v>0</v>
      </c>
      <c r="M149" s="234">
        <f>'F&amp;B Admin'!M149</f>
        <v>0</v>
      </c>
      <c r="N149" s="234">
        <f>'F&amp;B Admin'!N149</f>
        <v>0</v>
      </c>
      <c r="O149" s="234">
        <f>'F&amp;B Admin'!O149</f>
        <v>0</v>
      </c>
      <c r="P149" s="198">
        <f t="shared" si="59"/>
        <v>0</v>
      </c>
      <c r="Q149" s="234"/>
      <c r="R149" s="234"/>
      <c r="S149" s="234"/>
      <c r="T149" s="234"/>
      <c r="U149" s="234"/>
      <c r="V149" s="234"/>
      <c r="W149" s="234"/>
      <c r="X149" s="136"/>
      <c r="Y149" s="136"/>
      <c r="Z149" s="136"/>
      <c r="AA149" s="136"/>
      <c r="AB149" s="136"/>
      <c r="AC149" s="137"/>
      <c r="AD149" s="136"/>
      <c r="AG149" s="123"/>
    </row>
    <row r="150" spans="3:33">
      <c r="C150" s="105" t="s">
        <v>390</v>
      </c>
      <c r="D150" s="234">
        <f>'F&amp;B Admin'!D150</f>
        <v>1.3898767188240872E-2</v>
      </c>
      <c r="E150" s="234">
        <f>'F&amp;B Admin'!E150</f>
        <v>2.1055425485978236E-2</v>
      </c>
      <c r="F150" s="234">
        <f>'F&amp;B Admin'!F150</f>
        <v>1.7701364992001419E-2</v>
      </c>
      <c r="G150" s="234">
        <f>'F&amp;B Admin'!G150</f>
        <v>1.8897919478430048E-2</v>
      </c>
      <c r="H150" s="234">
        <f>'F&amp;B Admin'!H150</f>
        <v>1.8982850172148073E-2</v>
      </c>
      <c r="I150" s="234">
        <f>'F&amp;B Admin'!I150</f>
        <v>1.920089671203493E-2</v>
      </c>
      <c r="J150" s="234">
        <f>'F&amp;B Admin'!J150</f>
        <v>1.6491284110546546E-2</v>
      </c>
      <c r="K150" s="234">
        <f>'F&amp;B Admin'!K150</f>
        <v>1.8257181552498395E-2</v>
      </c>
      <c r="L150" s="234">
        <f>'F&amp;B Admin'!L150</f>
        <v>1.8815521949366538E-2</v>
      </c>
      <c r="M150" s="234">
        <f>'F&amp;B Admin'!M150</f>
        <v>1.6884550954253053E-2</v>
      </c>
      <c r="N150" s="234">
        <f>'F&amp;B Admin'!N150</f>
        <v>1.6676489379965558E-2</v>
      </c>
      <c r="O150" s="234">
        <f>'F&amp;B Admin'!O150</f>
        <v>1.3291154483732526E-2</v>
      </c>
      <c r="P150" s="198">
        <f t="shared" si="59"/>
        <v>1.7512783871599682E-2</v>
      </c>
      <c r="Q150" s="234"/>
      <c r="R150" s="234"/>
      <c r="S150" s="234"/>
      <c r="T150" s="234"/>
      <c r="U150" s="234"/>
      <c r="V150" s="234"/>
      <c r="W150" s="234"/>
      <c r="X150" s="136"/>
      <c r="Y150" s="136"/>
      <c r="Z150" s="136"/>
      <c r="AA150" s="136"/>
      <c r="AB150" s="136"/>
      <c r="AC150" s="137"/>
      <c r="AD150" s="136"/>
      <c r="AG150" s="123"/>
    </row>
    <row r="151" spans="3:33">
      <c r="C151" s="105" t="s">
        <v>392</v>
      </c>
      <c r="D151" s="234">
        <f>'F&amp;B Admin'!D151</f>
        <v>0</v>
      </c>
      <c r="E151" s="234">
        <f>'F&amp;B Admin'!E151</f>
        <v>0</v>
      </c>
      <c r="F151" s="234">
        <f>'F&amp;B Admin'!F151</f>
        <v>0</v>
      </c>
      <c r="G151" s="234">
        <f>'F&amp;B Admin'!G151</f>
        <v>0</v>
      </c>
      <c r="H151" s="234">
        <f>'F&amp;B Admin'!H151</f>
        <v>0</v>
      </c>
      <c r="I151" s="234">
        <f>'F&amp;B Admin'!I151</f>
        <v>0</v>
      </c>
      <c r="J151" s="234">
        <f>'F&amp;B Admin'!J151</f>
        <v>0</v>
      </c>
      <c r="K151" s="234">
        <f>'F&amp;B Admin'!K151</f>
        <v>0</v>
      </c>
      <c r="L151" s="234">
        <f>'F&amp;B Admin'!L151</f>
        <v>0</v>
      </c>
      <c r="M151" s="234">
        <f>'F&amp;B Admin'!M151</f>
        <v>0</v>
      </c>
      <c r="N151" s="234">
        <f>'F&amp;B Admin'!N151</f>
        <v>0</v>
      </c>
      <c r="O151" s="234">
        <f>'F&amp;B Admin'!O151</f>
        <v>0</v>
      </c>
      <c r="P151" s="198">
        <f t="shared" si="59"/>
        <v>0</v>
      </c>
      <c r="Q151" s="234"/>
      <c r="R151" s="234"/>
      <c r="S151" s="234"/>
      <c r="T151" s="234"/>
      <c r="U151" s="234"/>
      <c r="V151" s="234"/>
      <c r="W151" s="234"/>
      <c r="X151" s="136"/>
      <c r="Y151" s="136"/>
      <c r="Z151" s="136"/>
      <c r="AA151" s="136"/>
      <c r="AB151" s="136"/>
      <c r="AC151" s="137"/>
      <c r="AD151" s="136"/>
      <c r="AG151" s="123"/>
    </row>
    <row r="152" spans="3:33">
      <c r="C152" s="105" t="s">
        <v>601</v>
      </c>
      <c r="D152" s="234">
        <f>'F&amp;B Admin'!D152</f>
        <v>1.7496443812233285E-2</v>
      </c>
      <c r="E152" s="234">
        <f>'F&amp;B Admin'!E152</f>
        <v>2.3345178248141061E-2</v>
      </c>
      <c r="F152" s="234">
        <f>'F&amp;B Admin'!F152</f>
        <v>2.1401770619580873E-2</v>
      </c>
      <c r="G152" s="234">
        <f>'F&amp;B Admin'!G152</f>
        <v>2.1177301070630219E-2</v>
      </c>
      <c r="H152" s="234">
        <f>'F&amp;B Admin'!H152</f>
        <v>2.514814443324306E-2</v>
      </c>
      <c r="I152" s="234">
        <f>'F&amp;B Admin'!I152</f>
        <v>2.2261144342447824E-2</v>
      </c>
      <c r="J152" s="234">
        <f>'F&amp;B Admin'!J152</f>
        <v>2.1227717932827437E-2</v>
      </c>
      <c r="K152" s="234">
        <f>'F&amp;B Admin'!K152</f>
        <v>2.0165371729987881E-2</v>
      </c>
      <c r="L152" s="234">
        <f>'F&amp;B Admin'!L152</f>
        <v>2.4452186945064572E-2</v>
      </c>
      <c r="M152" s="234">
        <f>'F&amp;B Admin'!M152</f>
        <v>2.1366580298279585E-2</v>
      </c>
      <c r="N152" s="234">
        <f>'F&amp;B Admin'!N152</f>
        <v>1.8468470860168808E-2</v>
      </c>
      <c r="O152" s="234">
        <f>'F&amp;B Admin'!O152</f>
        <v>2.0177941838184069E-2</v>
      </c>
      <c r="P152" s="198">
        <f t="shared" si="59"/>
        <v>2.1390687677565728E-2</v>
      </c>
      <c r="Q152" s="234"/>
      <c r="R152" s="234"/>
      <c r="S152" s="234"/>
      <c r="T152" s="234"/>
      <c r="U152" s="234"/>
      <c r="V152" s="234"/>
      <c r="W152" s="234"/>
      <c r="X152" s="136"/>
      <c r="Y152" s="136"/>
      <c r="Z152" s="136"/>
      <c r="AA152" s="136"/>
      <c r="AB152" s="136"/>
      <c r="AC152" s="137"/>
      <c r="AD152" s="136"/>
      <c r="AG152" s="123"/>
    </row>
    <row r="153" spans="3:33">
      <c r="C153" s="105" t="s">
        <v>396</v>
      </c>
      <c r="D153" s="234">
        <f>'F&amp;B Admin'!D153</f>
        <v>0</v>
      </c>
      <c r="E153" s="234">
        <f>'F&amp;B Admin'!E153</f>
        <v>0</v>
      </c>
      <c r="F153" s="234">
        <f>'F&amp;B Admin'!F153</f>
        <v>0</v>
      </c>
      <c r="G153" s="234">
        <f>'F&amp;B Admin'!G153</f>
        <v>0</v>
      </c>
      <c r="H153" s="234">
        <f>'F&amp;B Admin'!H153</f>
        <v>0</v>
      </c>
      <c r="I153" s="234">
        <f>'F&amp;B Admin'!I153</f>
        <v>0</v>
      </c>
      <c r="J153" s="234">
        <f>'F&amp;B Admin'!J153</f>
        <v>0</v>
      </c>
      <c r="K153" s="234">
        <f>'F&amp;B Admin'!K153</f>
        <v>0</v>
      </c>
      <c r="L153" s="234">
        <f>'F&amp;B Admin'!L153</f>
        <v>0</v>
      </c>
      <c r="M153" s="234">
        <f>'F&amp;B Admin'!M153</f>
        <v>0</v>
      </c>
      <c r="N153" s="234">
        <f>'F&amp;B Admin'!N153</f>
        <v>0</v>
      </c>
      <c r="O153" s="234">
        <f>'F&amp;B Admin'!O153</f>
        <v>0</v>
      </c>
      <c r="P153" s="198">
        <f t="shared" si="59"/>
        <v>0</v>
      </c>
      <c r="Q153" s="234"/>
      <c r="R153" s="234"/>
      <c r="S153" s="234"/>
      <c r="T153" s="234"/>
      <c r="U153" s="234"/>
      <c r="V153" s="234"/>
      <c r="W153" s="234"/>
      <c r="X153" s="136"/>
      <c r="Y153" s="136"/>
      <c r="Z153" s="136"/>
      <c r="AA153" s="136"/>
      <c r="AB153" s="136"/>
      <c r="AC153" s="137"/>
      <c r="AD153" s="136"/>
      <c r="AG153" s="123"/>
    </row>
    <row r="154" spans="3:33">
      <c r="C154" s="105" t="s">
        <v>398</v>
      </c>
      <c r="D154" s="234">
        <f>'F&amp;B Admin'!D154</f>
        <v>2.2119487908961594E-2</v>
      </c>
      <c r="E154" s="234">
        <f>'F&amp;B Admin'!E154</f>
        <v>3.0992212991903995E-2</v>
      </c>
      <c r="F154" s="234">
        <f>'F&amp;B Admin'!F154</f>
        <v>2.6372681051407585E-2</v>
      </c>
      <c r="G154" s="234">
        <f>'F&amp;B Admin'!G154</f>
        <v>2.4192244746087603E-2</v>
      </c>
      <c r="H154" s="234">
        <f>'F&amp;B Admin'!H154</f>
        <v>2.2848555219891844E-2</v>
      </c>
      <c r="I154" s="234">
        <f>'F&amp;B Admin'!I154</f>
        <v>2.4809535607631519E-2</v>
      </c>
      <c r="J154" s="234">
        <f>'F&amp;B Admin'!J154</f>
        <v>2.011638586030879E-2</v>
      </c>
      <c r="K154" s="234">
        <f>'F&amp;B Admin'!K154</f>
        <v>2.058592914676741E-2</v>
      </c>
      <c r="L154" s="234">
        <f>'F&amp;B Admin'!L154</f>
        <v>2.8159453998025975E-2</v>
      </c>
      <c r="M154" s="234">
        <f>'F&amp;B Admin'!M154</f>
        <v>2.8204593496387934E-2</v>
      </c>
      <c r="N154" s="234">
        <f>'F&amp;B Admin'!N154</f>
        <v>2.8742498013334113E-2</v>
      </c>
      <c r="O154" s="234">
        <f>'F&amp;B Admin'!O154</f>
        <v>2.8879128547881345E-2</v>
      </c>
      <c r="P154" s="198">
        <f t="shared" si="59"/>
        <v>2.5501892215715805E-2</v>
      </c>
      <c r="Q154" s="234"/>
      <c r="R154" s="234"/>
      <c r="S154" s="234"/>
      <c r="T154" s="234"/>
      <c r="U154" s="234"/>
      <c r="V154" s="234"/>
      <c r="W154" s="234"/>
      <c r="X154" s="136"/>
      <c r="Y154" s="136"/>
      <c r="Z154" s="136"/>
      <c r="AA154" s="136"/>
      <c r="AB154" s="136"/>
      <c r="AC154" s="137"/>
      <c r="AD154" s="136"/>
      <c r="AG154" s="123"/>
    </row>
    <row r="155" spans="3:33">
      <c r="C155" s="105" t="s">
        <v>404</v>
      </c>
      <c r="D155" s="234">
        <f>'F&amp;B Admin'!D155</f>
        <v>2.1929824561403508E-2</v>
      </c>
      <c r="E155" s="234">
        <f>'F&amp;B Admin'!E155</f>
        <v>3.4993338060735229E-3</v>
      </c>
      <c r="F155" s="234">
        <f>'F&amp;B Admin'!F155</f>
        <v>3.8914912677619741E-2</v>
      </c>
      <c r="G155" s="234">
        <f>'F&amp;B Admin'!G155</f>
        <v>4.1608518363704362E-2</v>
      </c>
      <c r="H155" s="234">
        <f>'F&amp;B Admin'!H155</f>
        <v>3.4473059917578222E-2</v>
      </c>
      <c r="I155" s="234">
        <f>'F&amp;B Admin'!I155</f>
        <v>4.1886772932013372E-2</v>
      </c>
      <c r="J155" s="234">
        <f>'F&amp;B Admin'!J155</f>
        <v>1.5571105899981003E-2</v>
      </c>
      <c r="K155" s="234">
        <f>'F&amp;B Admin'!K155</f>
        <v>1.4968992800627271E-2</v>
      </c>
      <c r="L155" s="234">
        <f>'F&amp;B Admin'!L155</f>
        <v>5.6044910655071598E-2</v>
      </c>
      <c r="M155" s="234">
        <f>'F&amp;B Admin'!M155</f>
        <v>0.10081912889088876</v>
      </c>
      <c r="N155" s="234">
        <f>'F&amp;B Admin'!N155</f>
        <v>0.13627908540804967</v>
      </c>
      <c r="O155" s="234">
        <f>'F&amp;B Admin'!O155</f>
        <v>0.11748437751489996</v>
      </c>
      <c r="P155" s="198">
        <f t="shared" si="59"/>
        <v>5.1956668618992584E-2</v>
      </c>
      <c r="Q155" s="234"/>
      <c r="R155" s="234"/>
      <c r="S155" s="234"/>
      <c r="T155" s="234"/>
      <c r="U155" s="234"/>
      <c r="V155" s="234"/>
      <c r="W155" s="234"/>
      <c r="X155" s="136"/>
      <c r="Y155" s="136"/>
      <c r="Z155" s="136"/>
      <c r="AA155" s="136"/>
      <c r="AB155" s="136"/>
      <c r="AC155" s="137"/>
      <c r="AD155" s="136"/>
      <c r="AG155" s="123"/>
    </row>
    <row r="156" spans="3:33">
      <c r="C156" s="109" t="s">
        <v>602</v>
      </c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3:33">
      <c r="C157" s="105" t="s">
        <v>376</v>
      </c>
      <c r="D157" s="134">
        <f t="shared" ref="D157:O169" si="60">ROUND(-D$81*D143,0)</f>
        <v>99180</v>
      </c>
      <c r="E157" s="134">
        <f t="shared" si="60"/>
        <v>94308</v>
      </c>
      <c r="F157" s="134">
        <f t="shared" si="60"/>
        <v>102764</v>
      </c>
      <c r="G157" s="134">
        <f t="shared" si="60"/>
        <v>108137</v>
      </c>
      <c r="H157" s="134">
        <f t="shared" si="60"/>
        <v>114402</v>
      </c>
      <c r="I157" s="134">
        <f t="shared" si="60"/>
        <v>104778</v>
      </c>
      <c r="J157" s="134">
        <f t="shared" si="60"/>
        <v>107873</v>
      </c>
      <c r="K157" s="134">
        <f t="shared" si="60"/>
        <v>103304</v>
      </c>
      <c r="L157" s="134">
        <f t="shared" si="60"/>
        <v>104168</v>
      </c>
      <c r="M157" s="134">
        <f t="shared" si="60"/>
        <v>111635</v>
      </c>
      <c r="N157" s="134">
        <f t="shared" si="60"/>
        <v>94789</v>
      </c>
      <c r="O157" s="134">
        <f t="shared" si="60"/>
        <v>88099</v>
      </c>
      <c r="P157" s="133">
        <f>SUM(D157:O157)</f>
        <v>1233437</v>
      </c>
      <c r="Q157" s="134"/>
      <c r="R157" s="134"/>
      <c r="S157" s="134"/>
      <c r="T157" s="134"/>
      <c r="U157" s="134"/>
      <c r="V157" s="134"/>
      <c r="W157" s="134"/>
      <c r="X157" s="136"/>
      <c r="Y157" s="136"/>
      <c r="Z157" s="136"/>
      <c r="AA157" s="136"/>
      <c r="AB157" s="136"/>
      <c r="AC157" s="137"/>
      <c r="AD157" s="136"/>
      <c r="AG157" s="123"/>
    </row>
    <row r="158" spans="3:33">
      <c r="C158" s="105" t="s">
        <v>378</v>
      </c>
      <c r="D158" s="134">
        <f t="shared" si="60"/>
        <v>53703</v>
      </c>
      <c r="E158" s="134">
        <f t="shared" si="60"/>
        <v>46246</v>
      </c>
      <c r="F158" s="134">
        <f t="shared" si="60"/>
        <v>39984</v>
      </c>
      <c r="G158" s="134">
        <f t="shared" si="60"/>
        <v>40914</v>
      </c>
      <c r="H158" s="134">
        <f t="shared" si="60"/>
        <v>45675</v>
      </c>
      <c r="I158" s="134">
        <f t="shared" si="60"/>
        <v>34161</v>
      </c>
      <c r="J158" s="134">
        <f t="shared" si="60"/>
        <v>45789</v>
      </c>
      <c r="K158" s="134">
        <f t="shared" si="60"/>
        <v>45991</v>
      </c>
      <c r="L158" s="134">
        <f t="shared" si="60"/>
        <v>32394</v>
      </c>
      <c r="M158" s="134">
        <f t="shared" si="60"/>
        <v>39164</v>
      </c>
      <c r="N158" s="134">
        <f t="shared" si="60"/>
        <v>32870</v>
      </c>
      <c r="O158" s="134">
        <f t="shared" si="60"/>
        <v>34280</v>
      </c>
      <c r="P158" s="133">
        <f t="shared" ref="P158:P169" si="61">SUM(D158:O158)</f>
        <v>491171</v>
      </c>
      <c r="Q158" s="134"/>
      <c r="R158" s="134"/>
      <c r="S158" s="134"/>
      <c r="T158" s="134"/>
      <c r="U158" s="134"/>
      <c r="V158" s="134"/>
      <c r="W158" s="134"/>
      <c r="X158" s="136"/>
      <c r="Y158" s="136"/>
      <c r="Z158" s="136"/>
      <c r="AA158" s="136"/>
      <c r="AB158" s="136"/>
      <c r="AC158" s="137"/>
      <c r="AD158" s="136"/>
      <c r="AG158" s="123"/>
    </row>
    <row r="159" spans="3:33">
      <c r="C159" s="105" t="s">
        <v>380</v>
      </c>
      <c r="D159" s="134">
        <f t="shared" si="60"/>
        <v>37769</v>
      </c>
      <c r="E159" s="134">
        <f t="shared" si="60"/>
        <v>34782</v>
      </c>
      <c r="F159" s="134">
        <f t="shared" si="60"/>
        <v>20021</v>
      </c>
      <c r="G159" s="134">
        <f t="shared" si="60"/>
        <v>16284</v>
      </c>
      <c r="H159" s="134">
        <f t="shared" si="60"/>
        <v>17389</v>
      </c>
      <c r="I159" s="134">
        <f t="shared" si="60"/>
        <v>17793</v>
      </c>
      <c r="J159" s="134">
        <f t="shared" si="60"/>
        <v>21106</v>
      </c>
      <c r="K159" s="134">
        <f t="shared" si="60"/>
        <v>21567</v>
      </c>
      <c r="L159" s="134">
        <f t="shared" si="60"/>
        <v>16544</v>
      </c>
      <c r="M159" s="134">
        <f t="shared" si="60"/>
        <v>16811</v>
      </c>
      <c r="N159" s="134">
        <f t="shared" si="60"/>
        <v>16635</v>
      </c>
      <c r="O159" s="134">
        <f t="shared" si="60"/>
        <v>17044</v>
      </c>
      <c r="P159" s="133">
        <f t="shared" si="61"/>
        <v>253745</v>
      </c>
      <c r="Q159" s="134"/>
      <c r="R159" s="134"/>
      <c r="S159" s="134"/>
      <c r="T159" s="134"/>
      <c r="U159" s="134"/>
      <c r="V159" s="134"/>
      <c r="W159" s="134"/>
      <c r="X159" s="136"/>
      <c r="Y159" s="136"/>
      <c r="Z159" s="136"/>
      <c r="AA159" s="136"/>
      <c r="AB159" s="136"/>
      <c r="AC159" s="137"/>
      <c r="AD159" s="136"/>
      <c r="AG159" s="123"/>
    </row>
    <row r="160" spans="3:33">
      <c r="C160" s="105" t="s">
        <v>382</v>
      </c>
      <c r="D160" s="134">
        <f t="shared" si="60"/>
        <v>28708</v>
      </c>
      <c r="E160" s="134">
        <f t="shared" si="60"/>
        <v>24804</v>
      </c>
      <c r="F160" s="134">
        <f t="shared" si="60"/>
        <v>26833</v>
      </c>
      <c r="G160" s="134">
        <f t="shared" si="60"/>
        <v>26670</v>
      </c>
      <c r="H160" s="134">
        <f t="shared" si="60"/>
        <v>28216</v>
      </c>
      <c r="I160" s="134">
        <f t="shared" si="60"/>
        <v>25449</v>
      </c>
      <c r="J160" s="134">
        <f t="shared" si="60"/>
        <v>23294</v>
      </c>
      <c r="K160" s="134">
        <f t="shared" si="60"/>
        <v>25822</v>
      </c>
      <c r="L160" s="134">
        <f t="shared" si="60"/>
        <v>25682</v>
      </c>
      <c r="M160" s="134">
        <f t="shared" si="60"/>
        <v>28524</v>
      </c>
      <c r="N160" s="134">
        <f t="shared" si="60"/>
        <v>24668</v>
      </c>
      <c r="O160" s="134">
        <f t="shared" si="60"/>
        <v>22173</v>
      </c>
      <c r="P160" s="133">
        <f t="shared" si="61"/>
        <v>310843</v>
      </c>
      <c r="Q160" s="134"/>
      <c r="R160" s="134"/>
      <c r="S160" s="134"/>
      <c r="T160" s="134"/>
      <c r="U160" s="134"/>
      <c r="V160" s="134"/>
      <c r="W160" s="134"/>
      <c r="X160" s="136"/>
      <c r="Y160" s="136"/>
      <c r="Z160" s="136"/>
      <c r="AA160" s="136"/>
      <c r="AB160" s="136"/>
      <c r="AC160" s="137"/>
      <c r="AD160" s="136"/>
      <c r="AG160" s="123"/>
    </row>
    <row r="161" spans="3:33">
      <c r="C161" s="105" t="s">
        <v>384</v>
      </c>
      <c r="D161" s="134">
        <f t="shared" si="60"/>
        <v>52362</v>
      </c>
      <c r="E161" s="134">
        <f t="shared" si="60"/>
        <v>45739</v>
      </c>
      <c r="F161" s="134">
        <f t="shared" si="60"/>
        <v>44104</v>
      </c>
      <c r="G161" s="134">
        <f t="shared" si="60"/>
        <v>39960</v>
      </c>
      <c r="H161" s="134">
        <f t="shared" si="60"/>
        <v>43656</v>
      </c>
      <c r="I161" s="134">
        <f t="shared" si="60"/>
        <v>40550</v>
      </c>
      <c r="J161" s="134">
        <f t="shared" si="60"/>
        <v>47594</v>
      </c>
      <c r="K161" s="134">
        <f t="shared" si="60"/>
        <v>47447</v>
      </c>
      <c r="L161" s="134">
        <f t="shared" si="60"/>
        <v>39855</v>
      </c>
      <c r="M161" s="134">
        <f t="shared" si="60"/>
        <v>42815</v>
      </c>
      <c r="N161" s="134">
        <f t="shared" si="60"/>
        <v>35611</v>
      </c>
      <c r="O161" s="134">
        <f t="shared" si="60"/>
        <v>47840</v>
      </c>
      <c r="P161" s="133">
        <f t="shared" si="61"/>
        <v>527533</v>
      </c>
      <c r="Q161" s="134"/>
      <c r="R161" s="134"/>
      <c r="S161" s="134"/>
      <c r="T161" s="134"/>
      <c r="U161" s="134"/>
      <c r="V161" s="134"/>
      <c r="W161" s="134"/>
      <c r="X161" s="136"/>
      <c r="Y161" s="136"/>
      <c r="Z161" s="136"/>
      <c r="AA161" s="136"/>
      <c r="AB161" s="136"/>
      <c r="AC161" s="137"/>
      <c r="AD161" s="136"/>
      <c r="AG161" s="123"/>
    </row>
    <row r="162" spans="3:33">
      <c r="C162" s="105" t="s">
        <v>386</v>
      </c>
      <c r="D162" s="134">
        <f t="shared" si="60"/>
        <v>7239</v>
      </c>
      <c r="E162" s="134">
        <f t="shared" si="60"/>
        <v>10589</v>
      </c>
      <c r="F162" s="134">
        <f t="shared" si="60"/>
        <v>8366</v>
      </c>
      <c r="G162" s="134">
        <f t="shared" si="60"/>
        <v>5878</v>
      </c>
      <c r="H162" s="134">
        <f t="shared" si="60"/>
        <v>6756</v>
      </c>
      <c r="I162" s="134">
        <f t="shared" si="60"/>
        <v>5493</v>
      </c>
      <c r="J162" s="134">
        <f t="shared" si="60"/>
        <v>6975</v>
      </c>
      <c r="K162" s="134">
        <f t="shared" si="60"/>
        <v>7376</v>
      </c>
      <c r="L162" s="134">
        <f t="shared" si="60"/>
        <v>5328</v>
      </c>
      <c r="M162" s="134">
        <f t="shared" si="60"/>
        <v>8379</v>
      </c>
      <c r="N162" s="134">
        <f t="shared" si="60"/>
        <v>5413</v>
      </c>
      <c r="O162" s="134">
        <f t="shared" si="60"/>
        <v>4952</v>
      </c>
      <c r="P162" s="133">
        <f t="shared" si="61"/>
        <v>82744</v>
      </c>
      <c r="Q162" s="134"/>
      <c r="R162" s="134"/>
      <c r="S162" s="134"/>
      <c r="T162" s="134"/>
      <c r="U162" s="134"/>
      <c r="V162" s="134"/>
      <c r="W162" s="134"/>
      <c r="X162" s="136"/>
      <c r="Y162" s="136"/>
      <c r="Z162" s="136"/>
      <c r="AA162" s="136"/>
      <c r="AB162" s="136"/>
      <c r="AC162" s="137"/>
      <c r="AD162" s="136"/>
      <c r="AG162" s="123"/>
    </row>
    <row r="163" spans="3:33">
      <c r="C163" s="105" t="s">
        <v>388</v>
      </c>
      <c r="D163" s="134">
        <f t="shared" si="60"/>
        <v>0</v>
      </c>
      <c r="E163" s="134">
        <f t="shared" si="60"/>
        <v>0</v>
      </c>
      <c r="F163" s="134">
        <f t="shared" si="60"/>
        <v>0</v>
      </c>
      <c r="G163" s="134">
        <f t="shared" si="60"/>
        <v>0</v>
      </c>
      <c r="H163" s="134">
        <f t="shared" si="60"/>
        <v>0</v>
      </c>
      <c r="I163" s="134">
        <f t="shared" si="60"/>
        <v>0</v>
      </c>
      <c r="J163" s="134">
        <f t="shared" si="60"/>
        <v>0</v>
      </c>
      <c r="K163" s="134">
        <f t="shared" si="60"/>
        <v>0</v>
      </c>
      <c r="L163" s="134">
        <f t="shared" si="60"/>
        <v>0</v>
      </c>
      <c r="M163" s="134">
        <f t="shared" si="60"/>
        <v>0</v>
      </c>
      <c r="N163" s="134">
        <f t="shared" si="60"/>
        <v>0</v>
      </c>
      <c r="O163" s="134">
        <f t="shared" si="60"/>
        <v>0</v>
      </c>
      <c r="P163" s="133">
        <f t="shared" si="61"/>
        <v>0</v>
      </c>
      <c r="Q163" s="134"/>
      <c r="R163" s="134"/>
      <c r="S163" s="134"/>
      <c r="T163" s="134"/>
      <c r="U163" s="134"/>
      <c r="V163" s="134"/>
      <c r="W163" s="134"/>
      <c r="X163" s="136"/>
      <c r="Y163" s="136"/>
      <c r="Z163" s="136"/>
      <c r="AA163" s="136"/>
      <c r="AB163" s="136"/>
      <c r="AC163" s="137"/>
      <c r="AD163" s="136"/>
      <c r="AG163" s="123"/>
    </row>
    <row r="164" spans="3:33">
      <c r="C164" s="105" t="s">
        <v>390</v>
      </c>
      <c r="D164" s="134">
        <f t="shared" si="60"/>
        <v>4194</v>
      </c>
      <c r="E164" s="134">
        <f t="shared" si="60"/>
        <v>5863</v>
      </c>
      <c r="F164" s="134">
        <f t="shared" si="60"/>
        <v>4784</v>
      </c>
      <c r="G164" s="134">
        <f t="shared" si="60"/>
        <v>5027</v>
      </c>
      <c r="H164" s="134">
        <f t="shared" si="60"/>
        <v>5410</v>
      </c>
      <c r="I164" s="134">
        <f t="shared" si="60"/>
        <v>4914</v>
      </c>
      <c r="J164" s="134">
        <f t="shared" si="60"/>
        <v>4496</v>
      </c>
      <c r="K164" s="134">
        <f t="shared" si="60"/>
        <v>4959</v>
      </c>
      <c r="L164" s="134">
        <f t="shared" si="60"/>
        <v>4830</v>
      </c>
      <c r="M164" s="134">
        <f t="shared" si="60"/>
        <v>5015</v>
      </c>
      <c r="N164" s="134">
        <f t="shared" si="60"/>
        <v>4378</v>
      </c>
      <c r="O164" s="134">
        <f t="shared" si="60"/>
        <v>3474</v>
      </c>
      <c r="P164" s="133">
        <f t="shared" si="61"/>
        <v>57344</v>
      </c>
      <c r="Q164" s="134"/>
      <c r="R164" s="134"/>
      <c r="S164" s="134"/>
      <c r="T164" s="134"/>
      <c r="U164" s="134"/>
      <c r="V164" s="134"/>
      <c r="W164" s="134"/>
      <c r="X164" s="136"/>
      <c r="Y164" s="136"/>
      <c r="Z164" s="136"/>
      <c r="AA164" s="136"/>
      <c r="AB164" s="136"/>
      <c r="AC164" s="137"/>
      <c r="AD164" s="136"/>
      <c r="AG164" s="123"/>
    </row>
    <row r="165" spans="3:33">
      <c r="C165" s="235" t="s">
        <v>392</v>
      </c>
      <c r="D165" s="236">
        <f t="shared" si="60"/>
        <v>0</v>
      </c>
      <c r="E165" s="236">
        <f t="shared" si="60"/>
        <v>0</v>
      </c>
      <c r="F165" s="236">
        <f t="shared" si="60"/>
        <v>0</v>
      </c>
      <c r="G165" s="236">
        <f t="shared" si="60"/>
        <v>0</v>
      </c>
      <c r="H165" s="236">
        <f t="shared" si="60"/>
        <v>0</v>
      </c>
      <c r="I165" s="236">
        <f t="shared" si="60"/>
        <v>0</v>
      </c>
      <c r="J165" s="236">
        <f t="shared" si="60"/>
        <v>0</v>
      </c>
      <c r="K165" s="236">
        <f t="shared" si="60"/>
        <v>0</v>
      </c>
      <c r="L165" s="236">
        <f t="shared" si="60"/>
        <v>0</v>
      </c>
      <c r="M165" s="236">
        <f t="shared" si="60"/>
        <v>0</v>
      </c>
      <c r="N165" s="236">
        <f t="shared" si="60"/>
        <v>0</v>
      </c>
      <c r="O165" s="236">
        <f t="shared" si="60"/>
        <v>0</v>
      </c>
      <c r="P165" s="237">
        <f t="shared" si="61"/>
        <v>0</v>
      </c>
      <c r="Q165" s="236"/>
      <c r="R165" s="236"/>
      <c r="S165" s="236"/>
      <c r="T165" s="236"/>
      <c r="U165" s="236"/>
      <c r="V165" s="236"/>
      <c r="W165" s="236"/>
    </row>
    <row r="166" spans="3:33">
      <c r="C166" s="235" t="s">
        <v>601</v>
      </c>
      <c r="D166" s="236">
        <f t="shared" si="60"/>
        <v>5279</v>
      </c>
      <c r="E166" s="236">
        <f t="shared" si="60"/>
        <v>6500</v>
      </c>
      <c r="F166" s="236">
        <f t="shared" si="60"/>
        <v>5785</v>
      </c>
      <c r="G166" s="236">
        <f t="shared" si="60"/>
        <v>5633</v>
      </c>
      <c r="H166" s="236">
        <f t="shared" si="60"/>
        <v>7167</v>
      </c>
      <c r="I166" s="236">
        <f t="shared" si="60"/>
        <v>5697</v>
      </c>
      <c r="J166" s="236">
        <f t="shared" si="60"/>
        <v>5788</v>
      </c>
      <c r="K166" s="236">
        <f t="shared" si="60"/>
        <v>5477</v>
      </c>
      <c r="L166" s="236">
        <f t="shared" si="60"/>
        <v>6277</v>
      </c>
      <c r="M166" s="236">
        <f t="shared" si="60"/>
        <v>6346</v>
      </c>
      <c r="N166" s="236">
        <f t="shared" si="60"/>
        <v>4849</v>
      </c>
      <c r="O166" s="236">
        <f t="shared" si="60"/>
        <v>5274</v>
      </c>
      <c r="P166" s="237">
        <f t="shared" si="61"/>
        <v>70072</v>
      </c>
      <c r="Q166" s="236"/>
      <c r="R166" s="236"/>
      <c r="S166" s="236"/>
      <c r="T166" s="236"/>
      <c r="U166" s="236"/>
      <c r="V166" s="236"/>
      <c r="W166" s="236"/>
    </row>
    <row r="167" spans="3:33">
      <c r="C167" s="235" t="s">
        <v>396</v>
      </c>
      <c r="D167" s="236">
        <f t="shared" si="60"/>
        <v>0</v>
      </c>
      <c r="E167" s="236">
        <f t="shared" si="60"/>
        <v>0</v>
      </c>
      <c r="F167" s="236">
        <f t="shared" si="60"/>
        <v>0</v>
      </c>
      <c r="G167" s="236">
        <f t="shared" si="60"/>
        <v>0</v>
      </c>
      <c r="H167" s="236">
        <f t="shared" si="60"/>
        <v>0</v>
      </c>
      <c r="I167" s="236">
        <f t="shared" si="60"/>
        <v>0</v>
      </c>
      <c r="J167" s="236">
        <f t="shared" si="60"/>
        <v>0</v>
      </c>
      <c r="K167" s="236">
        <f t="shared" si="60"/>
        <v>0</v>
      </c>
      <c r="L167" s="236">
        <f t="shared" si="60"/>
        <v>0</v>
      </c>
      <c r="M167" s="236">
        <f t="shared" si="60"/>
        <v>0</v>
      </c>
      <c r="N167" s="236">
        <f t="shared" si="60"/>
        <v>0</v>
      </c>
      <c r="O167" s="236">
        <f t="shared" si="60"/>
        <v>0</v>
      </c>
      <c r="P167" s="237">
        <f t="shared" si="61"/>
        <v>0</v>
      </c>
      <c r="Q167" s="236"/>
      <c r="R167" s="236"/>
      <c r="S167" s="236"/>
      <c r="T167" s="236"/>
      <c r="U167" s="236"/>
      <c r="V167" s="236"/>
      <c r="W167" s="236"/>
    </row>
    <row r="168" spans="3:33">
      <c r="C168" s="235" t="s">
        <v>398</v>
      </c>
      <c r="D168" s="236">
        <f t="shared" si="60"/>
        <v>6674</v>
      </c>
      <c r="E168" s="236">
        <f t="shared" si="60"/>
        <v>8629</v>
      </c>
      <c r="F168" s="236">
        <f t="shared" si="60"/>
        <v>7128</v>
      </c>
      <c r="G168" s="236">
        <f t="shared" si="60"/>
        <v>6435</v>
      </c>
      <c r="H168" s="236">
        <f t="shared" si="60"/>
        <v>6512</v>
      </c>
      <c r="I168" s="236">
        <f t="shared" si="60"/>
        <v>6349</v>
      </c>
      <c r="J168" s="236">
        <f t="shared" si="60"/>
        <v>5485</v>
      </c>
      <c r="K168" s="236">
        <f t="shared" si="60"/>
        <v>5591</v>
      </c>
      <c r="L168" s="236">
        <f t="shared" si="60"/>
        <v>7228</v>
      </c>
      <c r="M168" s="236">
        <f t="shared" si="60"/>
        <v>8377</v>
      </c>
      <c r="N168" s="236">
        <f t="shared" si="60"/>
        <v>7546</v>
      </c>
      <c r="O168" s="236">
        <f t="shared" si="60"/>
        <v>7549</v>
      </c>
      <c r="P168" s="237">
        <f t="shared" si="61"/>
        <v>83503</v>
      </c>
      <c r="Q168" s="236"/>
      <c r="R168" s="236"/>
      <c r="S168" s="236"/>
      <c r="T168" s="236"/>
      <c r="U168" s="236"/>
      <c r="V168" s="236"/>
      <c r="W168" s="236"/>
    </row>
    <row r="169" spans="3:33">
      <c r="C169" s="235" t="s">
        <v>404</v>
      </c>
      <c r="D169" s="236">
        <f t="shared" si="60"/>
        <v>6617</v>
      </c>
      <c r="E169" s="236">
        <f t="shared" si="60"/>
        <v>974</v>
      </c>
      <c r="F169" s="236">
        <f t="shared" si="60"/>
        <v>10518</v>
      </c>
      <c r="G169" s="236">
        <f t="shared" si="60"/>
        <v>11068</v>
      </c>
      <c r="H169" s="236">
        <f t="shared" si="60"/>
        <v>9825</v>
      </c>
      <c r="I169" s="236">
        <f t="shared" si="60"/>
        <v>10719</v>
      </c>
      <c r="J169" s="236">
        <f t="shared" si="60"/>
        <v>4245</v>
      </c>
      <c r="K169" s="236">
        <f t="shared" si="60"/>
        <v>4066</v>
      </c>
      <c r="L169" s="236">
        <f t="shared" si="60"/>
        <v>14386</v>
      </c>
      <c r="M169" s="236">
        <f t="shared" si="60"/>
        <v>29945</v>
      </c>
      <c r="N169" s="236">
        <f t="shared" si="60"/>
        <v>35778</v>
      </c>
      <c r="O169" s="236">
        <f t="shared" si="60"/>
        <v>30710</v>
      </c>
      <c r="P169" s="237">
        <f t="shared" si="61"/>
        <v>168851</v>
      </c>
      <c r="Q169" s="236"/>
      <c r="R169" s="236"/>
      <c r="S169" s="236"/>
      <c r="T169" s="236"/>
      <c r="U169" s="236"/>
      <c r="V169" s="236"/>
      <c r="W169" s="236"/>
    </row>
    <row r="170" spans="3:33">
      <c r="D170" s="111">
        <f>SUM(D157:D169)</f>
        <v>301725</v>
      </c>
      <c r="E170" s="111">
        <f t="shared" ref="E170:P170" si="62">SUM(E157:E169)</f>
        <v>278434</v>
      </c>
      <c r="F170" s="111">
        <f t="shared" si="62"/>
        <v>270287</v>
      </c>
      <c r="G170" s="111">
        <f t="shared" si="62"/>
        <v>266006</v>
      </c>
      <c r="H170" s="111">
        <f t="shared" si="62"/>
        <v>285008</v>
      </c>
      <c r="I170" s="111">
        <f t="shared" si="62"/>
        <v>255903</v>
      </c>
      <c r="J170" s="111">
        <f t="shared" si="62"/>
        <v>272645</v>
      </c>
      <c r="K170" s="111">
        <f t="shared" si="62"/>
        <v>271600</v>
      </c>
      <c r="L170" s="111">
        <f t="shared" si="62"/>
        <v>256692</v>
      </c>
      <c r="M170" s="111">
        <f t="shared" si="62"/>
        <v>297011</v>
      </c>
      <c r="N170" s="111">
        <f t="shared" si="62"/>
        <v>262537</v>
      </c>
      <c r="O170" s="111">
        <f t="shared" si="62"/>
        <v>261395</v>
      </c>
      <c r="P170" s="129">
        <f t="shared" si="62"/>
        <v>3279243</v>
      </c>
      <c r="Q170" s="111"/>
      <c r="R170" s="111"/>
      <c r="S170" s="111"/>
      <c r="T170" s="111"/>
      <c r="U170" s="111"/>
      <c r="V170" s="111"/>
      <c r="W170" s="111"/>
    </row>
    <row r="171" spans="3:33">
      <c r="D171" s="111">
        <f>D170+D81</f>
        <v>-1.0799999999580905</v>
      </c>
      <c r="E171" s="111">
        <f t="shared" ref="E171:P171" si="63">E170+E81</f>
        <v>-0.86999999999534339</v>
      </c>
      <c r="F171" s="111">
        <f t="shared" si="63"/>
        <v>-1.0599999999976717</v>
      </c>
      <c r="G171" s="111">
        <f t="shared" si="63"/>
        <v>0.36999999999534339</v>
      </c>
      <c r="H171" s="111">
        <f t="shared" si="63"/>
        <v>-0.66000000003259629</v>
      </c>
      <c r="I171" s="111">
        <f t="shared" si="63"/>
        <v>-0.57000000000698492</v>
      </c>
      <c r="J171" s="111">
        <f t="shared" si="63"/>
        <v>0.52000000001862645</v>
      </c>
      <c r="K171" s="111">
        <f t="shared" si="63"/>
        <v>0.1499999999650754</v>
      </c>
      <c r="L171" s="111">
        <f t="shared" si="63"/>
        <v>-0.85000000000582077</v>
      </c>
      <c r="M171" s="111">
        <f t="shared" si="63"/>
        <v>-1.4699999999720603</v>
      </c>
      <c r="N171" s="111">
        <f t="shared" si="63"/>
        <v>3.0000000027939677E-2</v>
      </c>
      <c r="O171" s="111">
        <f t="shared" si="63"/>
        <v>0.65999999997438863</v>
      </c>
      <c r="P171" s="129">
        <f t="shared" si="63"/>
        <v>-4.8300000000745058</v>
      </c>
      <c r="Q171" s="111"/>
      <c r="R171" s="111"/>
      <c r="S171" s="111"/>
      <c r="T171" s="111"/>
      <c r="U171" s="111"/>
      <c r="V171" s="111"/>
      <c r="W171" s="111"/>
    </row>
  </sheetData>
  <phoneticPr fontId="7" type="noConversion"/>
  <dataValidations count="89">
    <dataValidation type="textLength" errorStyle="information" allowBlank="1" showInputMessage="1" showErrorMessage="1" error="XLBVal:6=992.8_x000d__x000a_" sqref="T111">
      <formula1>0</formula1>
      <formula2>300</formula2>
    </dataValidation>
    <dataValidation type="textLength" errorStyle="information" allowBlank="1" showInputMessage="1" showErrorMessage="1" error="XLBVal:6=2205_x000d__x000a_" sqref="T71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1226_x000d__x000a_" sqref="Q59:S59">
      <formula1>0</formula1>
      <formula2>300</formula2>
    </dataValidation>
    <dataValidation type="textLength" errorStyle="information" allowBlank="1" showInputMessage="1" showErrorMessage="1" error="XLBVal:6=-540_x000d__x000a_" sqref="T57">
      <formula1>0</formula1>
      <formula2>300</formula2>
    </dataValidation>
    <dataValidation type="textLength" errorStyle="information" allowBlank="1" showInputMessage="1" showErrorMessage="1" error="XLBVal:6=5000.01_x000d__x000a_" sqref="S57">
      <formula1>0</formula1>
      <formula2>300</formula2>
    </dataValidation>
    <dataValidation type="textLength" errorStyle="information" allowBlank="1" showInputMessage="1" showErrorMessage="1" error="XLBVal:6=50540_x000d__x000a_" sqref="Q57">
      <formula1>0</formula1>
      <formula2>300</formula2>
    </dataValidation>
    <dataValidation type="textLength" errorStyle="information" allowBlank="1" showInputMessage="1" showErrorMessage="1" error="XLBVal:6=34143_x000d__x000a_" sqref="D102:D103 D107:O111 D114:O121 D124:O128 D136:O136">
      <formula1>0</formula1>
      <formula2>300</formula2>
    </dataValidation>
    <dataValidation type="textLength" errorStyle="information" allowBlank="1" showInputMessage="1" showErrorMessage="1" error="XLBVal:6=3213.19_x000d__x000a_" sqref="V108">
      <formula1>0</formula1>
      <formula2>300</formula2>
    </dataValidation>
    <dataValidation type="textLength" errorStyle="information" allowBlank="1" showInputMessage="1" showErrorMessage="1" error="XLBVal:6=3193.73_x000d__x000a_" sqref="U108">
      <formula1>0</formula1>
      <formula2>300</formula2>
    </dataValidation>
    <dataValidation type="textLength" errorStyle="information" allowBlank="1" showInputMessage="1" showErrorMessage="1" error="XLBVal:6=4823.35_x000d__x000a_" sqref="R108">
      <formula1>0</formula1>
      <formula2>300</formula2>
    </dataValidation>
    <dataValidation type="textLength" errorStyle="information" allowBlank="1" showInputMessage="1" showErrorMessage="1" error="XLBVal:6=5200_x000d__x000a_" sqref="Q102:V102">
      <formula1>0</formula1>
      <formula2>300</formula2>
    </dataValidation>
    <dataValidation type="textLength" errorStyle="information" allowBlank="1" showInputMessage="1" showErrorMessage="1" error="XLBVal:6=132837.16_x000d__x000a_" sqref="V43">
      <formula1>0</formula1>
      <formula2>300</formula2>
    </dataValidation>
    <dataValidation type="textLength" errorStyle="information" allowBlank="1" showInputMessage="1" showErrorMessage="1" error="XLBVal:6=137590.61_x000d__x000a_" sqref="U43">
      <formula1>0</formula1>
      <formula2>300</formula2>
    </dataValidation>
    <dataValidation type="textLength" errorStyle="information" allowBlank="1" showInputMessage="1" showErrorMessage="1" error="XLBVal:6=143386.48_x000d__x000a_" sqref="T43">
      <formula1>0</formula1>
      <formula2>300</formula2>
    </dataValidation>
    <dataValidation type="textLength" errorStyle="information" allowBlank="1" showInputMessage="1" showErrorMessage="1" error="XLBVal:6=4806.66_x000d__x000a_" sqref="S108">
      <formula1>0</formula1>
      <formula2>300</formula2>
    </dataValidation>
    <dataValidation type="textLength" errorStyle="information" allowBlank="1" showInputMessage="1" showErrorMessage="1" error="XLBVal:6=4795.29_x000d__x000a_" sqref="Q108">
      <formula1>0</formula1>
      <formula2>300</formula2>
    </dataValidation>
    <dataValidation type="textLength" errorStyle="information" allowBlank="1" showInputMessage="1" showErrorMessage="1" error="XLBVal:6=51366_x000d__x000a_" sqref="D104">
      <formula1>0</formula1>
      <formula2>300</formula2>
    </dataValidation>
    <dataValidation type="textLength" errorStyle="information" allowBlank="1" showInputMessage="1" showErrorMessage="1" error="XLBVal:6=110.34_x000d__x000a_" sqref="R71">
      <formula1>0</formula1>
      <formula2>300</formula2>
    </dataValidation>
    <dataValidation type="textLength" errorStyle="information" allowBlank="1" showInputMessage="1" showErrorMessage="1" error="XLBVal:6=173575.81_x000d__x000a_" sqref="R43">
      <formula1>0</formula1>
      <formula2>300</formula2>
    </dataValidation>
    <dataValidation type="textLength" errorStyle="information" allowBlank="1" showInputMessage="1" showErrorMessage="1" error="XLBVal:6=172.55_x000d__x000a_" sqref="Q116:V116">
      <formula1>0</formula1>
      <formula2>300</formula2>
    </dataValidation>
    <dataValidation type="textLength" errorStyle="information" allowBlank="1" showInputMessage="1" showErrorMessage="1" error="XLBVal:6=3198.63_x000d__x000a_" sqref="T108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5659.25_x000d__x000a_" sqref="V130">
      <formula1>0</formula1>
      <formula2>300</formula2>
    </dataValidation>
    <dataValidation type="textLength" errorStyle="information" allowBlank="1" showInputMessage="1" showErrorMessage="1" error="XLBVal:6=4961.25_x000d__x000a_" sqref="U130">
      <formula1>0</formula1>
      <formula2>300</formula2>
    </dataValidation>
    <dataValidation type="textLength" errorStyle="information" allowBlank="1" showInputMessage="1" showErrorMessage="1" error="XLBVal:6=6707.23_x000d__x000a_" sqref="T130">
      <formula1>0</formula1>
      <formula2>300</formula2>
    </dataValidation>
    <dataValidation type="textLength" errorStyle="information" allowBlank="1" showInputMessage="1" showErrorMessage="1" error="XLBVal:6=6959.95_x000d__x000a_" sqref="S130">
      <formula1>0</formula1>
      <formula2>300</formula2>
    </dataValidation>
    <dataValidation type="textLength" errorStyle="information" allowBlank="1" showInputMessage="1" showErrorMessage="1" error="XLBVal:6=7282.61_x000d__x000a_" sqref="R130">
      <formula1>0</formula1>
      <formula2>300</formula2>
    </dataValidation>
    <dataValidation type="textLength" errorStyle="information" allowBlank="1" showInputMessage="1" showErrorMessage="1" error="XLBVal:6=9352.99_x000d__x000a_" sqref="Q130">
      <formula1>0</formula1>
      <formula2>300</formula2>
    </dataValidation>
    <dataValidation type="textLength" errorStyle="information" allowBlank="1" showInputMessage="1" showErrorMessage="1" error="XLBVal:6=1516.58_x000d__x000a_" sqref="V129">
      <formula1>0</formula1>
      <formula2>300</formula2>
    </dataValidation>
    <dataValidation type="textLength" errorStyle="information" allowBlank="1" showInputMessage="1" showErrorMessage="1" error="XLBVal:6=1516.72_x000d__x000a_" sqref="U129">
      <formula1>0</formula1>
      <formula2>300</formula2>
    </dataValidation>
    <dataValidation type="textLength" errorStyle="information" allowBlank="1" showInputMessage="1" showErrorMessage="1" error="XLBVal:6=1017.78_x000d__x000a_" sqref="T129">
      <formula1>0</formula1>
      <formula2>300</formula2>
    </dataValidation>
    <dataValidation type="textLength" errorStyle="information" allowBlank="1" showInputMessage="1" showErrorMessage="1" error="XLBVal:6=870.56_x000d__x000a_" sqref="S129">
      <formula1>0</formula1>
      <formula2>300</formula2>
    </dataValidation>
    <dataValidation type="textLength" errorStyle="information" allowBlank="1" showInputMessage="1" showErrorMessage="1" error="XLBVal:6=5057.36_x000d__x000a_" sqref="R129">
      <formula1>0</formula1>
      <formula2>300</formula2>
    </dataValidation>
    <dataValidation type="textLength" errorStyle="information" allowBlank="1" showInputMessage="1" showErrorMessage="1" error="XLBVal:6=130.94_x000d__x000a_" sqref="Q129">
      <formula1>0</formula1>
      <formula2>300</formula2>
    </dataValidation>
    <dataValidation type="textLength" errorStyle="information" allowBlank="1" showInputMessage="1" showErrorMessage="1" error="XLBVal:6=118.56_x000d__x000a_" sqref="V128">
      <formula1>0</formula1>
      <formula2>300</formula2>
    </dataValidation>
    <dataValidation type="textLength" errorStyle="information" allowBlank="1" showInputMessage="1" showErrorMessage="1" error="XLBVal:6=118.04_x000d__x000a_" sqref="U128">
      <formula1>0</formula1>
      <formula2>300</formula2>
    </dataValidation>
    <dataValidation type="textLength" errorStyle="information" allowBlank="1" showInputMessage="1" showErrorMessage="1" error="XLBVal:6=114.06_x000d__x000a_" sqref="R128">
      <formula1>0</formula1>
      <formula2>300</formula2>
    </dataValidation>
    <dataValidation type="textLength" errorStyle="information" allowBlank="1" showInputMessage="1" showErrorMessage="1" error="XLBVal:6=113.11_x000d__x000a_" sqref="Q128 S128:T128">
      <formula1>0</formula1>
      <formula2>300</formula2>
    </dataValidation>
    <dataValidation type="textLength" errorStyle="information" allowBlank="1" showInputMessage="1" showErrorMessage="1" error="XLBVal:6=557.67_x000d__x000a_" sqref="V120">
      <formula1>0</formula1>
      <formula2>300</formula2>
    </dataValidation>
    <dataValidation type="textLength" errorStyle="information" allowBlank="1" showInputMessage="1" showErrorMessage="1" error="XLBVal:6=550.26_x000d__x000a_" sqref="U120">
      <formula1>0</formula1>
      <formula2>300</formula2>
    </dataValidation>
    <dataValidation type="textLength" errorStyle="information" allowBlank="1" showInputMessage="1" showErrorMessage="1" error="XLBVal:6=954.82_x000d__x000a_" sqref="T120">
      <formula1>0</formula1>
      <formula2>300</formula2>
    </dataValidation>
    <dataValidation type="textLength" errorStyle="information" allowBlank="1" showInputMessage="1" showErrorMessage="1" error="XLBVal:6=1104.98_x000d__x000a_" sqref="S120">
      <formula1>0</formula1>
      <formula2>300</formula2>
    </dataValidation>
    <dataValidation type="textLength" errorStyle="information" allowBlank="1" showInputMessage="1" showErrorMessage="1" error="XLBVal:6=641.81_x000d__x000a_" sqref="R120">
      <formula1>0</formula1>
      <formula2>300</formula2>
    </dataValidation>
    <dataValidation type="textLength" errorStyle="information" allowBlank="1" showInputMessage="1" showErrorMessage="1" error="XLBVal:6=564.57_x000d__x000a_" sqref="Q120">
      <formula1>0</formula1>
      <formula2>300</formula2>
    </dataValidation>
    <dataValidation type="textLength" errorStyle="information" allowBlank="1" showInputMessage="1" showErrorMessage="1" error="XLBVal:6=1669_x000d__x000a_" sqref="Q119:V119">
      <formula1>0</formula1>
      <formula2>300</formula2>
    </dataValidation>
    <dataValidation type="textLength" errorStyle="information" allowBlank="1" showInputMessage="1" showErrorMessage="1" error="XLBVal:6=41.43_x000d__x000a_" sqref="Q117:V117">
      <formula1>0</formula1>
      <formula2>300</formula2>
    </dataValidation>
    <dataValidation type="textLength" errorStyle="information" allowBlank="1" showInputMessage="1" showErrorMessage="1" error="XLBVal:6=2933.24_x000d__x000a_" sqref="Q115:V115">
      <formula1>0</formula1>
      <formula2>300</formula2>
    </dataValidation>
    <dataValidation type="textLength" errorStyle="information" allowBlank="1" showInputMessage="1" showErrorMessage="1" error="XLBVal:6=5521.39_x000d__x000a_" sqref="Q114:V114">
      <formula1>0</formula1>
      <formula2>300</formula2>
    </dataValidation>
    <dataValidation type="textLength" errorStyle="information" allowBlank="1" showInputMessage="1" showErrorMessage="1" error="XLBVal:6=800_x000d__x000a_" sqref="U111">
      <formula1>0</formula1>
      <formula2>300</formula2>
    </dataValidation>
    <dataValidation type="textLength" errorStyle="information" allowBlank="1" showInputMessage="1" showErrorMessage="1" error="XLBVal:6=5370.32_x000d__x000a_" sqref="U109">
      <formula1>0</formula1>
      <formula2>300</formula2>
    </dataValidation>
    <dataValidation type="textLength" errorStyle="information" allowBlank="1" showInputMessage="1" showErrorMessage="1" error="XLBVal:6=2303.43_x000d__x000a_" sqref="T107:V107">
      <formula1>0</formula1>
      <formula2>300</formula2>
    </dataValidation>
    <dataValidation type="textLength" errorStyle="information" allowBlank="1" showInputMessage="1" showErrorMessage="1" error="XLBVal:6=6510.27_x000d__x000a_" sqref="R107">
      <formula1>0</formula1>
      <formula2>300</formula2>
    </dataValidation>
    <dataValidation type="textLength" errorStyle="information" allowBlank="1" showInputMessage="1" showErrorMessage="1" error="XLBVal:6=2648.25_x000d__x000a_" sqref="Q107">
      <formula1>0</formula1>
      <formula2>300</formula2>
    </dataValidation>
    <dataValidation type="textLength" errorStyle="information" allowBlank="1" showInputMessage="1" showErrorMessage="1" error="XLBVal:6=13839.08_x000d__x000a_" sqref="U104">
      <formula1>0</formula1>
      <formula2>300</formula2>
    </dataValidation>
    <dataValidation type="textLength" errorStyle="information" allowBlank="1" showInputMessage="1" showErrorMessage="1" error="XLBVal:6=14000_x000d__x000a_" sqref="V104 Q104:S104">
      <formula1>0</formula1>
      <formula2>300</formula2>
    </dataValidation>
    <dataValidation type="textLength" errorStyle="information" allowBlank="1" showInputMessage="1" showErrorMessage="1" error="XLBVal:6=11487.2_x000d__x000a_" sqref="V78">
      <formula1>0</formula1>
      <formula2>300</formula2>
    </dataValidation>
    <dataValidation type="textLength" errorStyle="information" allowBlank="1" showInputMessage="1" showErrorMessage="1" error="XLBVal:6=20355.9_x000d__x000a_" sqref="U78">
      <formula1>0</formula1>
      <formula2>300</formula2>
    </dataValidation>
    <dataValidation type="textLength" errorStyle="information" allowBlank="1" showInputMessage="1" showErrorMessage="1" error="XLBVal:6=17376.27_x000d__x000a_" sqref="T78">
      <formula1>0</formula1>
      <formula2>300</formula2>
    </dataValidation>
    <dataValidation type="textLength" errorStyle="information" allowBlank="1" showInputMessage="1" showErrorMessage="1" error="XLBVal:6=27688.8_x000d__x000a_" sqref="S78">
      <formula1>0</formula1>
      <formula2>300</formula2>
    </dataValidation>
    <dataValidation type="textLength" errorStyle="information" allowBlank="1" showInputMessage="1" showErrorMessage="1" error="XLBVal:6=46313.8_x000d__x000a_" sqref="R78">
      <formula1>0</formula1>
      <formula2>300</formula2>
    </dataValidation>
    <dataValidation type="textLength" errorStyle="information" allowBlank="1" showInputMessage="1" showErrorMessage="1" error="XLBVal:6=26125.13_x000d__x000a_" sqref="Q78">
      <formula1>0</formula1>
      <formula2>300</formula2>
    </dataValidation>
    <dataValidation type="textLength" errorStyle="information" allowBlank="1" showInputMessage="1" showErrorMessage="1" error="XLBVal:6=842.91_x000d__x000a_" sqref="V72">
      <formula1>0</formula1>
      <formula2>300</formula2>
    </dataValidation>
    <dataValidation type="textLength" errorStyle="information" allowBlank="1" showInputMessage="1" showErrorMessage="1" error="XLBVal:6=302.33_x000d__x000a_" sqref="U72">
      <formula1>0</formula1>
      <formula2>300</formula2>
    </dataValidation>
    <dataValidation type="textLength" errorStyle="information" allowBlank="1" showInputMessage="1" showErrorMessage="1" error="XLBVal:6=835.16_x000d__x000a_" sqref="T72">
      <formula1>0</formula1>
      <formula2>300</formula2>
    </dataValidation>
    <dataValidation type="textLength" errorStyle="information" allowBlank="1" showInputMessage="1" showErrorMessage="1" error="XLBVal:6=835.2_x000d__x000a_" sqref="S72">
      <formula1>0</formula1>
      <formula2>300</formula2>
    </dataValidation>
    <dataValidation type="textLength" errorStyle="information" allowBlank="1" showInputMessage="1" showErrorMessage="1" error="XLBVal:6=1126.38_x000d__x000a_" sqref="R72">
      <formula1>0</formula1>
      <formula2>300</formula2>
    </dataValidation>
    <dataValidation type="textLength" errorStyle="information" allowBlank="1" showInputMessage="1" showErrorMessage="1" error="XLBVal:6=623.68_x000d__x000a_" sqref="Q72">
      <formula1>0</formula1>
      <formula2>300</formula2>
    </dataValidation>
    <dataValidation type="textLength" errorStyle="information" allowBlank="1" showInputMessage="1" showErrorMessage="1" error="XLBVal:6=774.34_x000d__x000a_" sqref="U71">
      <formula1>0</formula1>
      <formula2>300</formula2>
    </dataValidation>
    <dataValidation type="textLength" errorStyle="information" allowBlank="1" showInputMessage="1" showErrorMessage="1" error="XLBVal:6=301.68_x000d__x000a_" sqref="V71">
      <formula1>0</formula1>
      <formula2>300</formula2>
    </dataValidation>
    <dataValidation type="textLength" errorStyle="information" allowBlank="1" showInputMessage="1" showErrorMessage="1" error="XLBVal:6=46_x000d__x000a_" sqref="Q71">
      <formula1>0</formula1>
      <formula2>300</formula2>
    </dataValidation>
    <dataValidation type="textLength" errorStyle="information" allowBlank="1" showInputMessage="1" showErrorMessage="1" error="XLBVal:6=1000_x000d__x000a_" sqref="V111 Q111:S111">
      <formula1>0</formula1>
      <formula2>300</formula2>
    </dataValidation>
    <dataValidation type="textLength" errorStyle="information" allowBlank="1" showInputMessage="1" showErrorMessage="1" error="XLBVal:6=50000.01_x000d__x000a_" sqref="R57">
      <formula1>0</formula1>
      <formula2>300</formula2>
    </dataValidation>
    <dataValidation type="textLength" errorStyle="information" allowBlank="1" showInputMessage="1" showErrorMessage="1" error="XLBVal:6=14085.5_x000d__x000a_" sqref="T104">
      <formula1>0</formula1>
      <formula2>300</formula2>
    </dataValidation>
    <dataValidation type="textLength" errorStyle="information" allowBlank="1" showInputMessage="1" showErrorMessage="1" error="XLBVal:6=51742.95_x000d__x000a_" sqref="V51">
      <formula1>0</formula1>
      <formula2>300</formula2>
    </dataValidation>
    <dataValidation type="textLength" errorStyle="information" allowBlank="1" showInputMessage="1" showErrorMessage="1" error="XLBVal:6=-41270.24_x000d__x000a_" sqref="U51">
      <formula1>0</formula1>
      <formula2>300</formula2>
    </dataValidation>
    <dataValidation type="textLength" errorStyle="information" allowBlank="1" showInputMessage="1" showErrorMessage="1" error="XLBVal:6=49248.13_x000d__x000a_" sqref="T51">
      <formula1>0</formula1>
      <formula2>300</formula2>
    </dataValidation>
    <dataValidation type="textLength" errorStyle="information" allowBlank="1" showInputMessage="1" showErrorMessage="1" error="XLBVal:6=66472.15_x000d__x000a_" sqref="S51">
      <formula1>0</formula1>
      <formula2>300</formula2>
    </dataValidation>
    <dataValidation type="textLength" errorStyle="information" allowBlank="1" showInputMessage="1" showErrorMessage="1" error="XLBVal:6=55130.39_x000d__x000a_" sqref="R51">
      <formula1>0</formula1>
      <formula2>300</formula2>
    </dataValidation>
    <dataValidation type="textLength" errorStyle="information" allowBlank="1" showInputMessage="1" showErrorMessage="1" error="XLBVal:6=37021.63_x000d__x000a_" sqref="Q51">
      <formula1>0</formula1>
      <formula2>300</formula2>
    </dataValidation>
    <dataValidation type="textLength" errorStyle="information" allowBlank="1" showInputMessage="1" showErrorMessage="1" error="XLBVal:6=171524.03_x000d__x000a_" sqref="S43">
      <formula1>0</formula1>
      <formula2>300</formula2>
    </dataValidation>
    <dataValidation type="textLength" errorStyle="information" allowBlank="1" showInputMessage="1" showErrorMessage="1" error="XLBVal:6=120016.66_x000d__x000a_" sqref="Q43">
      <formula1>0</formula1>
      <formula2>300</formula2>
    </dataValidation>
    <dataValidation type="textLength" errorStyle="information" allowBlank="1" showInputMessage="1" showErrorMessage="1" error="XLBVal:6=5380_x000d__x000a_" sqref="V109 Q109:T109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-2002420.6_x000d__x000a_" sqref="Q79:V79">
      <formula1>0</formula1>
      <formula2>300</formula2>
    </dataValidation>
    <dataValidation type="textLength" errorStyle="information" allowBlank="1" showInputMessage="1" showErrorMessage="1" error="XLBVal:6=13700_x000d__x000a_" sqref="E102:O104">
      <formula1>0</formula1>
      <formula2>300</formula2>
    </dataValidation>
    <dataValidation type="textLength" errorStyle="information" allowBlank="1" showInputMessage="1" showErrorMessage="1" error="XLBVal:6=6_x000d__x000a_" sqref="Q136:V136">
      <formula1>0</formula1>
      <formula2>300</formula2>
    </dataValidation>
    <dataValidation type="textLength" errorStyle="information" allowBlank="1" showInputMessage="1" showErrorMessage="1" error="XLBVal:2=0_x000d__x000a_" sqref="S71 W114:AB120 S107 D31:I32 D9:O13 D38:O42 D131:I132 D17:I21 D24:I26 D85:I89 D73:O78 Q75:AB75 W59:AB74 Q44:V50 Q58:AB58 Q52:V56 Q30:AB32 Q76:V77 Q131:V132 Q85:AB89 Q103:AB103 W102:AB102 W111:AB111 W93:AB97 Q60:V70 W76:AB79 Q24:AB26 Q17:AB21 W104:AB104 Q9:AB13 Q73:V74 W38:AB57 W107:AB109 Q121:AB121 Q124:V127 W124:AB132 W136:AB136 Q110:AB110 Q118:V118 Q38:V42 U59:V59 U57:V57 D44:O71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AG171"/>
  <sheetViews>
    <sheetView view="pageBreakPreview" zoomScaleNormal="100" zoomScaleSheetLayoutView="100" workbookViewId="0">
      <pane xSplit="4" ySplit="7" topLeftCell="I116" activePane="bottomRight" state="frozen"/>
      <selection activeCell="AP43" sqref="AP43"/>
      <selection pane="topRight" activeCell="AP43" sqref="AP43"/>
      <selection pane="bottomLeft" activeCell="AP43" sqref="AP43"/>
      <selection pane="bottomRight" activeCell="K125" sqref="K125"/>
    </sheetView>
  </sheetViews>
  <sheetFormatPr defaultColWidth="9" defaultRowHeight="14.25" outlineLevelCol="2"/>
  <cols>
    <col min="1" max="2" width="9" style="105" hidden="1" customWidth="1" outlineLevel="1"/>
    <col min="3" max="3" width="52" style="105" customWidth="1" collapsed="1"/>
    <col min="4" max="15" width="14.625" style="72" bestFit="1" customWidth="1"/>
    <col min="16" max="16" width="19.5" style="127" bestFit="1" customWidth="1"/>
    <col min="17" max="23" width="15.75" style="72" hidden="1" customWidth="1" outlineLevel="1"/>
    <col min="24" max="25" width="15.75" style="72" hidden="1" customWidth="1" outlineLevel="2"/>
    <col min="26" max="28" width="13.25" style="72" hidden="1" customWidth="1" outlineLevel="2"/>
    <col min="29" max="29" width="17" style="127" customWidth="1" collapsed="1"/>
    <col min="30" max="30" width="13.875" style="72" customWidth="1"/>
    <col min="31" max="31" width="9" style="105" customWidth="1"/>
    <col min="32" max="32" width="18.25" style="109" hidden="1" customWidth="1"/>
    <col min="33" max="33" width="18.375" style="124" hidden="1" customWidth="1"/>
    <col min="34" max="16384" width="9" style="105"/>
  </cols>
  <sheetData>
    <row r="1" spans="1:33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18"/>
      <c r="AD1" s="101"/>
      <c r="AF1" s="103"/>
      <c r="AG1" s="18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18"/>
      <c r="AD2" s="101"/>
      <c r="AF2" s="103"/>
      <c r="AG2" s="183"/>
    </row>
    <row r="3" spans="1:33">
      <c r="C3" s="106" t="s">
        <v>612</v>
      </c>
      <c r="D3" s="2" t="s">
        <v>0</v>
      </c>
      <c r="E3" s="2" t="s">
        <v>0</v>
      </c>
      <c r="F3" s="2" t="s">
        <v>613</v>
      </c>
      <c r="G3" s="2" t="s">
        <v>0</v>
      </c>
      <c r="H3" s="2" t="s">
        <v>613</v>
      </c>
      <c r="I3" s="2" t="s">
        <v>556</v>
      </c>
      <c r="J3" s="2" t="s">
        <v>151</v>
      </c>
      <c r="K3" s="2" t="s">
        <v>614</v>
      </c>
      <c r="L3" s="2" t="s">
        <v>151</v>
      </c>
      <c r="M3" s="2" t="s">
        <v>151</v>
      </c>
      <c r="N3" s="2" t="s">
        <v>151</v>
      </c>
      <c r="O3" s="2" t="s">
        <v>151</v>
      </c>
      <c r="P3" s="107"/>
      <c r="Q3" s="108" t="s">
        <v>0</v>
      </c>
      <c r="R3" s="108" t="s">
        <v>556</v>
      </c>
      <c r="S3" s="108" t="s">
        <v>613</v>
      </c>
      <c r="T3" s="108" t="s">
        <v>613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613</v>
      </c>
      <c r="AA3" s="108" t="s">
        <v>613</v>
      </c>
      <c r="AB3" s="108" t="s">
        <v>0</v>
      </c>
      <c r="AC3" s="219"/>
      <c r="AD3" s="2"/>
      <c r="AG3" s="184"/>
    </row>
    <row r="4" spans="1:33" s="100" customFormat="1" ht="18">
      <c r="C4" s="18">
        <f>+'2025 Summay'!$D$7</f>
        <v>2025</v>
      </c>
      <c r="D4" s="203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38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218"/>
      <c r="AD4" s="101"/>
      <c r="AF4" s="103"/>
      <c r="AG4" s="183"/>
    </row>
    <row r="5" spans="1:33" s="100" customFormat="1">
      <c r="C5" s="100" t="s">
        <v>154</v>
      </c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38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218"/>
      <c r="AD5" s="101"/>
      <c r="AF5" s="103"/>
      <c r="AG5" s="183"/>
    </row>
    <row r="6" spans="1:33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39">
        <f>'F&amp;B+Summary'!P6</f>
        <v>2025</v>
      </c>
      <c r="Q6" s="205">
        <f>'F&amp;B+Summary'!Q6</f>
        <v>202401</v>
      </c>
      <c r="R6" s="205">
        <f>'F&amp;B+Summary'!R6</f>
        <v>202402</v>
      </c>
      <c r="S6" s="205">
        <f>'F&amp;B+Summary'!S6</f>
        <v>202403</v>
      </c>
      <c r="T6" s="205">
        <f>'F&amp;B+Summary'!T6</f>
        <v>202404</v>
      </c>
      <c r="U6" s="205">
        <f>'F&amp;B+Summary'!U6</f>
        <v>202405</v>
      </c>
      <c r="V6" s="205">
        <f>'F&amp;B+Summary'!V6</f>
        <v>202406</v>
      </c>
      <c r="W6" s="205">
        <f>'F&amp;B+Summary'!W6</f>
        <v>202407</v>
      </c>
      <c r="X6" s="205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  <c r="AF6" s="172">
        <v>2019</v>
      </c>
      <c r="AG6" s="183"/>
    </row>
    <row r="7" spans="1:33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107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  <c r="AF7" s="209" t="s">
        <v>12</v>
      </c>
      <c r="AG7" s="184"/>
    </row>
    <row r="8" spans="1:33">
      <c r="C8" s="105" t="s">
        <v>478</v>
      </c>
      <c r="AF8" s="129"/>
    </row>
    <row r="9" spans="1:33">
      <c r="A9" s="105" t="s">
        <v>479</v>
      </c>
      <c r="B9" s="105" t="s">
        <v>615</v>
      </c>
      <c r="C9" s="105" t="s">
        <v>481</v>
      </c>
      <c r="D9" s="210">
        <f>ROUND(D85*D93,0)</f>
        <v>0</v>
      </c>
      <c r="E9" s="210">
        <f t="shared" ref="E9:O9" si="0">ROUND(E85*E93,0)</f>
        <v>0</v>
      </c>
      <c r="F9" s="210">
        <f t="shared" si="0"/>
        <v>0</v>
      </c>
      <c r="G9" s="210">
        <f t="shared" si="0"/>
        <v>0</v>
      </c>
      <c r="H9" s="210">
        <f t="shared" si="0"/>
        <v>0</v>
      </c>
      <c r="I9" s="210">
        <f t="shared" si="0"/>
        <v>0</v>
      </c>
      <c r="J9" s="210">
        <f t="shared" si="0"/>
        <v>0</v>
      </c>
      <c r="K9" s="210">
        <f t="shared" si="0"/>
        <v>0</v>
      </c>
      <c r="L9" s="210">
        <f t="shared" si="0"/>
        <v>0</v>
      </c>
      <c r="M9" s="210">
        <f t="shared" si="0"/>
        <v>0</v>
      </c>
      <c r="N9" s="210">
        <f t="shared" si="0"/>
        <v>0</v>
      </c>
      <c r="O9" s="210">
        <f t="shared" si="0"/>
        <v>0</v>
      </c>
      <c r="P9" s="117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72">
        <f t="shared" ref="AD9:AD14" si="1">P9-AC9</f>
        <v>0</v>
      </c>
      <c r="AE9" s="192" t="e">
        <f t="shared" ref="AE9:AE14" si="2">AD9/AC9</f>
        <v>#DIV/0!</v>
      </c>
      <c r="AF9" s="129">
        <v>0</v>
      </c>
      <c r="AG9" s="124">
        <f t="shared" ref="AG9:AG27" si="3">P9-AF9</f>
        <v>0</v>
      </c>
    </row>
    <row r="10" spans="1:33">
      <c r="A10" s="105" t="s">
        <v>482</v>
      </c>
      <c r="B10" s="105" t="s">
        <v>615</v>
      </c>
      <c r="C10" s="105" t="s">
        <v>483</v>
      </c>
      <c r="D10" s="210">
        <f t="shared" ref="D10:O13" si="4">ROUND(D86*D94,0)</f>
        <v>0</v>
      </c>
      <c r="E10" s="210">
        <f t="shared" si="4"/>
        <v>0</v>
      </c>
      <c r="F10" s="210">
        <f t="shared" si="4"/>
        <v>0</v>
      </c>
      <c r="G10" s="210">
        <f t="shared" si="4"/>
        <v>0</v>
      </c>
      <c r="H10" s="210">
        <f t="shared" si="4"/>
        <v>0</v>
      </c>
      <c r="I10" s="210">
        <f t="shared" si="4"/>
        <v>0</v>
      </c>
      <c r="J10" s="210">
        <f t="shared" si="4"/>
        <v>0</v>
      </c>
      <c r="K10" s="210">
        <f t="shared" si="4"/>
        <v>0</v>
      </c>
      <c r="L10" s="210">
        <f t="shared" si="4"/>
        <v>0</v>
      </c>
      <c r="M10" s="210">
        <f t="shared" si="4"/>
        <v>0</v>
      </c>
      <c r="N10" s="210">
        <f t="shared" si="4"/>
        <v>0</v>
      </c>
      <c r="O10" s="210">
        <f t="shared" si="4"/>
        <v>0</v>
      </c>
      <c r="P10" s="117">
        <f>SUM(D10:O10)</f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127">
        <f>SUM(Q10:AB10)</f>
        <v>0</v>
      </c>
      <c r="AD10" s="72">
        <f t="shared" si="1"/>
        <v>0</v>
      </c>
      <c r="AE10" s="192" t="e">
        <f t="shared" si="2"/>
        <v>#DIV/0!</v>
      </c>
      <c r="AF10" s="129">
        <v>0</v>
      </c>
      <c r="AG10" s="124">
        <f t="shared" si="3"/>
        <v>0</v>
      </c>
    </row>
    <row r="11" spans="1:33">
      <c r="A11" s="105" t="s">
        <v>484</v>
      </c>
      <c r="B11" s="105" t="s">
        <v>615</v>
      </c>
      <c r="C11" s="105" t="s">
        <v>485</v>
      </c>
      <c r="D11" s="210">
        <f t="shared" si="4"/>
        <v>0</v>
      </c>
      <c r="E11" s="210">
        <f t="shared" si="4"/>
        <v>0</v>
      </c>
      <c r="F11" s="210">
        <f t="shared" si="4"/>
        <v>0</v>
      </c>
      <c r="G11" s="210">
        <f t="shared" si="4"/>
        <v>0</v>
      </c>
      <c r="H11" s="210">
        <f t="shared" si="4"/>
        <v>0</v>
      </c>
      <c r="I11" s="210">
        <f t="shared" si="4"/>
        <v>0</v>
      </c>
      <c r="J11" s="210">
        <f t="shared" si="4"/>
        <v>0</v>
      </c>
      <c r="K11" s="210">
        <f t="shared" si="4"/>
        <v>0</v>
      </c>
      <c r="L11" s="210">
        <f t="shared" si="4"/>
        <v>0</v>
      </c>
      <c r="M11" s="210">
        <f t="shared" si="4"/>
        <v>0</v>
      </c>
      <c r="N11" s="210">
        <f t="shared" si="4"/>
        <v>0</v>
      </c>
      <c r="O11" s="210">
        <f t="shared" si="4"/>
        <v>0</v>
      </c>
      <c r="P11" s="117">
        <f>SUM(D11:O11)</f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127">
        <f>SUM(Q11:AB11)</f>
        <v>0</v>
      </c>
      <c r="AD11" s="72">
        <f t="shared" si="1"/>
        <v>0</v>
      </c>
      <c r="AE11" s="192" t="e">
        <f t="shared" si="2"/>
        <v>#DIV/0!</v>
      </c>
      <c r="AF11" s="129">
        <v>0</v>
      </c>
      <c r="AG11" s="124">
        <f t="shared" si="3"/>
        <v>0</v>
      </c>
    </row>
    <row r="12" spans="1:33">
      <c r="A12" s="105" t="s">
        <v>486</v>
      </c>
      <c r="B12" s="105" t="s">
        <v>615</v>
      </c>
      <c r="C12" s="105" t="s">
        <v>487</v>
      </c>
      <c r="D12" s="210">
        <f t="shared" si="4"/>
        <v>0</v>
      </c>
      <c r="E12" s="210">
        <f t="shared" si="4"/>
        <v>0</v>
      </c>
      <c r="F12" s="210">
        <f t="shared" si="4"/>
        <v>0</v>
      </c>
      <c r="G12" s="210">
        <f t="shared" si="4"/>
        <v>0</v>
      </c>
      <c r="H12" s="210">
        <f t="shared" si="4"/>
        <v>0</v>
      </c>
      <c r="I12" s="210">
        <f t="shared" si="4"/>
        <v>0</v>
      </c>
      <c r="J12" s="210">
        <f t="shared" si="4"/>
        <v>0</v>
      </c>
      <c r="K12" s="210">
        <f t="shared" si="4"/>
        <v>0</v>
      </c>
      <c r="L12" s="210">
        <f t="shared" si="4"/>
        <v>0</v>
      </c>
      <c r="M12" s="210">
        <f t="shared" si="4"/>
        <v>0</v>
      </c>
      <c r="N12" s="210">
        <f t="shared" si="4"/>
        <v>0</v>
      </c>
      <c r="O12" s="210">
        <f t="shared" si="4"/>
        <v>0</v>
      </c>
      <c r="P12" s="117">
        <f>SUM(D12:O12)</f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127">
        <f>SUM(Q12:AB12)</f>
        <v>0</v>
      </c>
      <c r="AD12" s="72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</row>
    <row r="13" spans="1:33">
      <c r="A13" s="105" t="s">
        <v>488</v>
      </c>
      <c r="B13" s="105" t="s">
        <v>615</v>
      </c>
      <c r="C13" s="105" t="s">
        <v>489</v>
      </c>
      <c r="D13" s="210">
        <f t="shared" si="4"/>
        <v>0</v>
      </c>
      <c r="E13" s="210">
        <f t="shared" si="4"/>
        <v>0</v>
      </c>
      <c r="F13" s="210">
        <f t="shared" si="4"/>
        <v>0</v>
      </c>
      <c r="G13" s="210">
        <f t="shared" si="4"/>
        <v>0</v>
      </c>
      <c r="H13" s="210">
        <f t="shared" si="4"/>
        <v>0</v>
      </c>
      <c r="I13" s="210">
        <f t="shared" si="4"/>
        <v>0</v>
      </c>
      <c r="J13" s="210">
        <f t="shared" si="4"/>
        <v>0</v>
      </c>
      <c r="K13" s="210">
        <f t="shared" si="4"/>
        <v>0</v>
      </c>
      <c r="L13" s="210">
        <f t="shared" si="4"/>
        <v>0</v>
      </c>
      <c r="M13" s="210">
        <f t="shared" si="4"/>
        <v>0</v>
      </c>
      <c r="N13" s="210">
        <f t="shared" si="4"/>
        <v>0</v>
      </c>
      <c r="O13" s="210">
        <f t="shared" si="4"/>
        <v>0</v>
      </c>
      <c r="P13" s="117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 t="shared" si="1"/>
        <v>0</v>
      </c>
      <c r="AE13" s="192" t="e">
        <f t="shared" si="2"/>
        <v>#DIV/0!</v>
      </c>
      <c r="AF13" s="129">
        <v>0</v>
      </c>
      <c r="AG13" s="124">
        <f t="shared" si="3"/>
        <v>0</v>
      </c>
    </row>
    <row r="14" spans="1:33">
      <c r="C14" s="109" t="s">
        <v>490</v>
      </c>
      <c r="D14" s="127">
        <f t="shared" ref="D14:AC14" si="5">SUM(D9:D13)</f>
        <v>0</v>
      </c>
      <c r="E14" s="127">
        <f t="shared" si="5"/>
        <v>0</v>
      </c>
      <c r="F14" s="127">
        <f t="shared" si="5"/>
        <v>0</v>
      </c>
      <c r="G14" s="127">
        <f t="shared" si="5"/>
        <v>0</v>
      </c>
      <c r="H14" s="127">
        <f t="shared" si="5"/>
        <v>0</v>
      </c>
      <c r="I14" s="127">
        <f t="shared" si="5"/>
        <v>0</v>
      </c>
      <c r="J14" s="127">
        <f t="shared" si="5"/>
        <v>0</v>
      </c>
      <c r="K14" s="127">
        <f t="shared" si="5"/>
        <v>0</v>
      </c>
      <c r="L14" s="127">
        <f t="shared" si="5"/>
        <v>0</v>
      </c>
      <c r="M14" s="127">
        <f t="shared" si="5"/>
        <v>0</v>
      </c>
      <c r="N14" s="127">
        <f t="shared" si="5"/>
        <v>0</v>
      </c>
      <c r="O14" s="127">
        <f t="shared" si="5"/>
        <v>0</v>
      </c>
      <c r="P14" s="117">
        <f t="shared" si="5"/>
        <v>0</v>
      </c>
      <c r="Q14" s="127">
        <f t="shared" si="5"/>
        <v>0</v>
      </c>
      <c r="R14" s="127">
        <f t="shared" si="5"/>
        <v>0</v>
      </c>
      <c r="S14" s="127">
        <f t="shared" si="5"/>
        <v>0</v>
      </c>
      <c r="T14" s="127">
        <f t="shared" si="5"/>
        <v>0</v>
      </c>
      <c r="U14" s="127">
        <f t="shared" si="5"/>
        <v>0</v>
      </c>
      <c r="V14" s="127">
        <f t="shared" si="5"/>
        <v>0</v>
      </c>
      <c r="W14" s="127">
        <f t="shared" si="5"/>
        <v>0</v>
      </c>
      <c r="X14" s="127">
        <f t="shared" si="5"/>
        <v>0</v>
      </c>
      <c r="Y14" s="127">
        <f t="shared" si="5"/>
        <v>0</v>
      </c>
      <c r="Z14" s="127">
        <f t="shared" si="5"/>
        <v>0</v>
      </c>
      <c r="AA14" s="127">
        <f t="shared" si="5"/>
        <v>0</v>
      </c>
      <c r="AB14" s="127">
        <f t="shared" si="5"/>
        <v>0</v>
      </c>
      <c r="AC14" s="127">
        <f t="shared" si="5"/>
        <v>0</v>
      </c>
      <c r="AD14" s="72">
        <f t="shared" si="1"/>
        <v>0</v>
      </c>
      <c r="AE14" s="192" t="e">
        <f t="shared" si="2"/>
        <v>#DIV/0!</v>
      </c>
      <c r="AF14" s="129">
        <v>0</v>
      </c>
      <c r="AG14" s="124">
        <f t="shared" si="3"/>
        <v>0</v>
      </c>
    </row>
    <row r="15" spans="1:33">
      <c r="C15" s="105" t="s">
        <v>154</v>
      </c>
      <c r="P15" s="117"/>
      <c r="AF15" s="129"/>
      <c r="AG15" s="124">
        <f t="shared" si="3"/>
        <v>0</v>
      </c>
    </row>
    <row r="16" spans="1:33">
      <c r="C16" s="105" t="s">
        <v>491</v>
      </c>
      <c r="P16" s="117"/>
      <c r="AF16" s="129"/>
      <c r="AG16" s="124">
        <f t="shared" si="3"/>
        <v>0</v>
      </c>
    </row>
    <row r="17" spans="1:33">
      <c r="A17" s="105" t="s">
        <v>492</v>
      </c>
      <c r="B17" s="105" t="s">
        <v>615</v>
      </c>
      <c r="C17" s="105" t="s">
        <v>481</v>
      </c>
      <c r="P17" s="117">
        <f>SUM(D17:O17)</f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127">
        <f>SUM(Q17:AB17)</f>
        <v>0</v>
      </c>
      <c r="AD17" s="72">
        <f t="shared" ref="AD17:AD22" si="6">P17-AC17</f>
        <v>0</v>
      </c>
      <c r="AE17" s="192" t="e">
        <f t="shared" ref="AE17:AE22" si="7">AD17/AC17</f>
        <v>#DIV/0!</v>
      </c>
      <c r="AF17" s="129">
        <v>0</v>
      </c>
      <c r="AG17" s="124">
        <f t="shared" si="3"/>
        <v>0</v>
      </c>
    </row>
    <row r="18" spans="1:33">
      <c r="A18" s="105" t="s">
        <v>616</v>
      </c>
      <c r="B18" s="105" t="s">
        <v>615</v>
      </c>
      <c r="C18" s="105" t="s">
        <v>483</v>
      </c>
      <c r="P18" s="117">
        <f>SUM(D18:O18)</f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127">
        <f>SUM(Q18:AB18)</f>
        <v>0</v>
      </c>
      <c r="AD18" s="72">
        <f t="shared" si="6"/>
        <v>0</v>
      </c>
      <c r="AE18" s="192" t="e">
        <f t="shared" si="7"/>
        <v>#DIV/0!</v>
      </c>
      <c r="AF18" s="129">
        <v>0</v>
      </c>
      <c r="AG18" s="124">
        <f t="shared" si="3"/>
        <v>0</v>
      </c>
    </row>
    <row r="19" spans="1:33">
      <c r="A19" s="105" t="s">
        <v>494</v>
      </c>
      <c r="B19" s="105" t="s">
        <v>615</v>
      </c>
      <c r="C19" s="105" t="s">
        <v>485</v>
      </c>
      <c r="P19" s="117">
        <f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>SUM(Q19:AB19)</f>
        <v>0</v>
      </c>
      <c r="AD19" s="72">
        <f t="shared" si="6"/>
        <v>0</v>
      </c>
      <c r="AE19" s="192" t="e">
        <f t="shared" si="7"/>
        <v>#DIV/0!</v>
      </c>
      <c r="AF19" s="129">
        <v>0</v>
      </c>
      <c r="AG19" s="124">
        <f t="shared" si="3"/>
        <v>0</v>
      </c>
    </row>
    <row r="20" spans="1:33">
      <c r="A20" s="105" t="s">
        <v>617</v>
      </c>
      <c r="B20" s="105" t="s">
        <v>615</v>
      </c>
      <c r="C20" s="105" t="s">
        <v>487</v>
      </c>
      <c r="P20" s="117">
        <f>SUM(D20:O20)</f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>SUM(Q20:AB20)</f>
        <v>0</v>
      </c>
      <c r="AD20" s="72">
        <f t="shared" si="6"/>
        <v>0</v>
      </c>
      <c r="AE20" s="192" t="e">
        <f t="shared" si="7"/>
        <v>#DIV/0!</v>
      </c>
      <c r="AF20" s="129">
        <v>0</v>
      </c>
      <c r="AG20" s="124">
        <f t="shared" si="3"/>
        <v>0</v>
      </c>
    </row>
    <row r="21" spans="1:33">
      <c r="A21" s="105" t="s">
        <v>618</v>
      </c>
      <c r="B21" s="105" t="s">
        <v>615</v>
      </c>
      <c r="C21" s="105" t="s">
        <v>489</v>
      </c>
      <c r="P21" s="117">
        <f>SUM(D21:O21)</f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>SUM(Q21:AB21)</f>
        <v>0</v>
      </c>
      <c r="AD21" s="72">
        <f t="shared" si="6"/>
        <v>0</v>
      </c>
      <c r="AE21" s="192" t="e">
        <f t="shared" si="7"/>
        <v>#DIV/0!</v>
      </c>
      <c r="AF21" s="129">
        <v>0</v>
      </c>
      <c r="AG21" s="124">
        <f t="shared" si="3"/>
        <v>0</v>
      </c>
    </row>
    <row r="22" spans="1:33">
      <c r="C22" s="109" t="s">
        <v>498</v>
      </c>
      <c r="D22" s="127">
        <f t="shared" ref="D22:O22" si="8">SUM(D17:D21)</f>
        <v>0</v>
      </c>
      <c r="E22" s="127">
        <f t="shared" si="8"/>
        <v>0</v>
      </c>
      <c r="F22" s="127">
        <f t="shared" si="8"/>
        <v>0</v>
      </c>
      <c r="G22" s="127">
        <f t="shared" si="8"/>
        <v>0</v>
      </c>
      <c r="H22" s="127">
        <f t="shared" si="8"/>
        <v>0</v>
      </c>
      <c r="I22" s="127">
        <f t="shared" si="8"/>
        <v>0</v>
      </c>
      <c r="J22" s="127">
        <f t="shared" si="8"/>
        <v>0</v>
      </c>
      <c r="K22" s="127">
        <f t="shared" si="8"/>
        <v>0</v>
      </c>
      <c r="L22" s="127">
        <f t="shared" si="8"/>
        <v>0</v>
      </c>
      <c r="M22" s="127">
        <f t="shared" si="8"/>
        <v>0</v>
      </c>
      <c r="N22" s="127">
        <f t="shared" si="8"/>
        <v>0</v>
      </c>
      <c r="O22" s="127">
        <f t="shared" si="8"/>
        <v>0</v>
      </c>
      <c r="P22" s="117">
        <f>SUM(P17:P21)</f>
        <v>0</v>
      </c>
      <c r="Q22" s="127">
        <f t="shared" ref="Q22:AC22" si="9">SUM(Q17:Q21)</f>
        <v>0</v>
      </c>
      <c r="R22" s="127">
        <f t="shared" si="9"/>
        <v>0</v>
      </c>
      <c r="S22" s="127">
        <f t="shared" si="9"/>
        <v>0</v>
      </c>
      <c r="T22" s="127">
        <f t="shared" si="9"/>
        <v>0</v>
      </c>
      <c r="U22" s="127">
        <f t="shared" si="9"/>
        <v>0</v>
      </c>
      <c r="V22" s="127">
        <f t="shared" si="9"/>
        <v>0</v>
      </c>
      <c r="W22" s="127">
        <f t="shared" si="9"/>
        <v>0</v>
      </c>
      <c r="X22" s="127">
        <f t="shared" si="9"/>
        <v>0</v>
      </c>
      <c r="Y22" s="127">
        <f t="shared" si="9"/>
        <v>0</v>
      </c>
      <c r="Z22" s="127">
        <f t="shared" si="9"/>
        <v>0</v>
      </c>
      <c r="AA22" s="127">
        <f t="shared" si="9"/>
        <v>0</v>
      </c>
      <c r="AB22" s="127">
        <f t="shared" si="9"/>
        <v>0</v>
      </c>
      <c r="AC22" s="127">
        <f t="shared" si="9"/>
        <v>0</v>
      </c>
      <c r="AD22" s="72">
        <f t="shared" si="6"/>
        <v>0</v>
      </c>
      <c r="AE22" s="192" t="e">
        <f t="shared" si="7"/>
        <v>#DIV/0!</v>
      </c>
      <c r="AF22" s="129">
        <v>0</v>
      </c>
      <c r="AG22" s="124">
        <f t="shared" si="3"/>
        <v>0</v>
      </c>
    </row>
    <row r="23" spans="1:33">
      <c r="C23" s="105" t="s">
        <v>154</v>
      </c>
      <c r="P23" s="117"/>
      <c r="AF23" s="129"/>
      <c r="AG23" s="124">
        <f t="shared" si="3"/>
        <v>0</v>
      </c>
    </row>
    <row r="24" spans="1:33">
      <c r="A24" s="105" t="s">
        <v>406</v>
      </c>
      <c r="B24" s="105" t="s">
        <v>615</v>
      </c>
      <c r="C24" s="105" t="s">
        <v>408</v>
      </c>
      <c r="J24" s="123"/>
      <c r="K24" s="123"/>
      <c r="L24" s="123"/>
      <c r="M24" s="123"/>
      <c r="N24" s="123"/>
      <c r="O24" s="123"/>
      <c r="P24" s="117">
        <f>SUM(D24:O24)</f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>SUM(Q24:AB24)</f>
        <v>0</v>
      </c>
      <c r="AD24" s="195"/>
      <c r="AE24" s="192" t="e">
        <f>AD24/AC24</f>
        <v>#DIV/0!</v>
      </c>
      <c r="AF24" s="129">
        <v>0</v>
      </c>
      <c r="AG24" s="124">
        <f t="shared" si="3"/>
        <v>0</v>
      </c>
    </row>
    <row r="25" spans="1:33">
      <c r="A25" s="105" t="s">
        <v>411</v>
      </c>
      <c r="B25" s="105" t="s">
        <v>615</v>
      </c>
      <c r="C25" s="105" t="s">
        <v>499</v>
      </c>
      <c r="P25" s="117">
        <f>SUM(D25:O25)</f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>SUM(Q25:AB25)</f>
        <v>0</v>
      </c>
      <c r="AD25" s="72">
        <f>P25-AC25</f>
        <v>0</v>
      </c>
      <c r="AE25" s="192" t="e">
        <f>AD25/AC25</f>
        <v>#DIV/0!</v>
      </c>
      <c r="AF25" s="129">
        <v>0</v>
      </c>
      <c r="AG25" s="124">
        <f t="shared" si="3"/>
        <v>0</v>
      </c>
    </row>
    <row r="26" spans="1:33">
      <c r="A26" s="105" t="s">
        <v>169</v>
      </c>
      <c r="B26" s="105" t="s">
        <v>615</v>
      </c>
      <c r="C26" s="105" t="s">
        <v>170</v>
      </c>
      <c r="P26" s="117">
        <f>SUM(D26:O26)</f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>SUM(Q26:AB26)</f>
        <v>0</v>
      </c>
      <c r="AD26" s="72">
        <f>P26-AC26</f>
        <v>0</v>
      </c>
      <c r="AE26" s="192" t="e">
        <f>AD26/AC26</f>
        <v>#DIV/0!</v>
      </c>
      <c r="AF26" s="129">
        <v>0</v>
      </c>
      <c r="AG26" s="124">
        <f t="shared" si="3"/>
        <v>0</v>
      </c>
    </row>
    <row r="27" spans="1:33">
      <c r="C27" s="109" t="s">
        <v>500</v>
      </c>
      <c r="D27" s="127">
        <f t="shared" ref="D27:P27" si="10">SUM(D24:D26)+D14+D22</f>
        <v>0</v>
      </c>
      <c r="E27" s="127">
        <f t="shared" si="10"/>
        <v>0</v>
      </c>
      <c r="F27" s="127">
        <f t="shared" si="10"/>
        <v>0</v>
      </c>
      <c r="G27" s="127">
        <f t="shared" si="10"/>
        <v>0</v>
      </c>
      <c r="H27" s="127">
        <f t="shared" si="10"/>
        <v>0</v>
      </c>
      <c r="I27" s="127">
        <f t="shared" si="10"/>
        <v>0</v>
      </c>
      <c r="J27" s="127">
        <f t="shared" si="10"/>
        <v>0</v>
      </c>
      <c r="K27" s="127">
        <f t="shared" si="10"/>
        <v>0</v>
      </c>
      <c r="L27" s="127">
        <f t="shared" si="10"/>
        <v>0</v>
      </c>
      <c r="M27" s="127">
        <f t="shared" si="10"/>
        <v>0</v>
      </c>
      <c r="N27" s="127">
        <f t="shared" si="10"/>
        <v>0</v>
      </c>
      <c r="O27" s="127">
        <f t="shared" si="10"/>
        <v>0</v>
      </c>
      <c r="P27" s="117">
        <f t="shared" si="10"/>
        <v>0</v>
      </c>
      <c r="Q27" s="127">
        <f t="shared" ref="Q27:V27" si="11">SUM(Q24:Q26)+Q14+Q22</f>
        <v>0</v>
      </c>
      <c r="R27" s="127">
        <f t="shared" si="11"/>
        <v>0</v>
      </c>
      <c r="S27" s="127">
        <f t="shared" si="11"/>
        <v>0</v>
      </c>
      <c r="T27" s="127">
        <f t="shared" si="11"/>
        <v>0</v>
      </c>
      <c r="U27" s="127">
        <f t="shared" si="11"/>
        <v>0</v>
      </c>
      <c r="V27" s="127">
        <f t="shared" si="11"/>
        <v>0</v>
      </c>
      <c r="W27" s="127">
        <f t="shared" ref="W27:AC27" si="12">SUM(W24:W26)+W14+W22</f>
        <v>0</v>
      </c>
      <c r="X27" s="127">
        <f t="shared" si="12"/>
        <v>0</v>
      </c>
      <c r="Y27" s="127">
        <f t="shared" si="12"/>
        <v>0</v>
      </c>
      <c r="Z27" s="127">
        <f t="shared" si="12"/>
        <v>0</v>
      </c>
      <c r="AA27" s="127">
        <f t="shared" si="12"/>
        <v>0</v>
      </c>
      <c r="AB27" s="127">
        <f t="shared" si="12"/>
        <v>0</v>
      </c>
      <c r="AC27" s="127">
        <f t="shared" si="12"/>
        <v>0</v>
      </c>
      <c r="AD27" s="72">
        <f>P27-AC27</f>
        <v>0</v>
      </c>
      <c r="AE27" s="192" t="e">
        <f>AD27/AC27</f>
        <v>#DIV/0!</v>
      </c>
      <c r="AF27" s="129">
        <v>0</v>
      </c>
      <c r="AG27" s="124">
        <f t="shared" si="3"/>
        <v>0</v>
      </c>
    </row>
    <row r="28" spans="1:33">
      <c r="C28" s="105" t="s">
        <v>154</v>
      </c>
      <c r="P28" s="117"/>
      <c r="AF28" s="129"/>
    </row>
    <row r="29" spans="1:33">
      <c r="C29" s="105" t="s">
        <v>414</v>
      </c>
      <c r="P29" s="117"/>
      <c r="AF29" s="129"/>
    </row>
    <row r="30" spans="1:33">
      <c r="A30" s="105" t="s">
        <v>415</v>
      </c>
      <c r="B30" s="105" t="s">
        <v>615</v>
      </c>
      <c r="C30" s="105" t="s">
        <v>416</v>
      </c>
      <c r="P30" s="117">
        <f>SUM(D30:O30)</f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127">
        <f>SUM(Q30:AB30)</f>
        <v>0</v>
      </c>
      <c r="AD30" s="72">
        <f t="shared" ref="AD30:AD33" si="13">P30-AC30</f>
        <v>0</v>
      </c>
      <c r="AE30" s="192" t="e">
        <f t="shared" ref="AE30:AE33" si="14">AD30/AC30</f>
        <v>#DIV/0!</v>
      </c>
      <c r="AF30" s="129">
        <v>0</v>
      </c>
      <c r="AG30" s="124">
        <f t="shared" ref="AG30:AG80" si="15">AF30-P30</f>
        <v>0</v>
      </c>
    </row>
    <row r="31" spans="1:33">
      <c r="A31" s="105" t="s">
        <v>417</v>
      </c>
      <c r="B31" s="105" t="s">
        <v>615</v>
      </c>
      <c r="C31" s="105" t="s">
        <v>418</v>
      </c>
      <c r="P31" s="117">
        <f>SUM(D31:O31)</f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>SUM(Q31:AB31)</f>
        <v>0</v>
      </c>
      <c r="AD31" s="72">
        <f t="shared" si="13"/>
        <v>0</v>
      </c>
      <c r="AE31" s="192" t="e">
        <f t="shared" si="14"/>
        <v>#DIV/0!</v>
      </c>
      <c r="AF31" s="129">
        <v>0</v>
      </c>
      <c r="AG31" s="124">
        <f t="shared" si="15"/>
        <v>0</v>
      </c>
    </row>
    <row r="32" spans="1:33">
      <c r="A32" s="105" t="s">
        <v>421</v>
      </c>
      <c r="B32" s="105" t="s">
        <v>615</v>
      </c>
      <c r="C32" s="105" t="s">
        <v>422</v>
      </c>
      <c r="P32" s="117">
        <f>SUM(D32:O32)</f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>SUM(Q32:AB32)</f>
        <v>0</v>
      </c>
      <c r="AD32" s="72">
        <f t="shared" si="13"/>
        <v>0</v>
      </c>
      <c r="AE32" s="192" t="e">
        <f t="shared" si="14"/>
        <v>#DIV/0!</v>
      </c>
      <c r="AF32" s="129">
        <v>0</v>
      </c>
      <c r="AG32" s="124">
        <f t="shared" si="15"/>
        <v>0</v>
      </c>
    </row>
    <row r="33" spans="1:33">
      <c r="C33" s="109" t="s">
        <v>501</v>
      </c>
      <c r="D33" s="127">
        <f t="shared" ref="D33:AC33" si="16">SUM(D30:D32)</f>
        <v>0</v>
      </c>
      <c r="E33" s="127">
        <f t="shared" si="16"/>
        <v>0</v>
      </c>
      <c r="F33" s="127">
        <f t="shared" si="16"/>
        <v>0</v>
      </c>
      <c r="G33" s="127">
        <f t="shared" si="16"/>
        <v>0</v>
      </c>
      <c r="H33" s="127">
        <f t="shared" si="16"/>
        <v>0</v>
      </c>
      <c r="I33" s="127">
        <f t="shared" si="16"/>
        <v>0</v>
      </c>
      <c r="J33" s="127">
        <f t="shared" si="16"/>
        <v>0</v>
      </c>
      <c r="K33" s="127">
        <f t="shared" si="16"/>
        <v>0</v>
      </c>
      <c r="L33" s="127">
        <f t="shared" si="16"/>
        <v>0</v>
      </c>
      <c r="M33" s="127">
        <f t="shared" si="16"/>
        <v>0</v>
      </c>
      <c r="N33" s="127">
        <f t="shared" si="16"/>
        <v>0</v>
      </c>
      <c r="O33" s="127">
        <f t="shared" si="16"/>
        <v>0</v>
      </c>
      <c r="P33" s="117">
        <f t="shared" si="16"/>
        <v>0</v>
      </c>
      <c r="Q33" s="127">
        <f t="shared" si="16"/>
        <v>0</v>
      </c>
      <c r="R33" s="127">
        <f t="shared" si="16"/>
        <v>0</v>
      </c>
      <c r="S33" s="127">
        <f t="shared" si="16"/>
        <v>0</v>
      </c>
      <c r="T33" s="127">
        <f t="shared" si="16"/>
        <v>0</v>
      </c>
      <c r="U33" s="127">
        <f t="shared" si="16"/>
        <v>0</v>
      </c>
      <c r="V33" s="127">
        <f t="shared" si="16"/>
        <v>0</v>
      </c>
      <c r="W33" s="127">
        <f t="shared" si="16"/>
        <v>0</v>
      </c>
      <c r="X33" s="127">
        <f t="shared" si="16"/>
        <v>0</v>
      </c>
      <c r="Y33" s="127">
        <f t="shared" si="16"/>
        <v>0</v>
      </c>
      <c r="Z33" s="127">
        <f t="shared" si="16"/>
        <v>0</v>
      </c>
      <c r="AA33" s="127">
        <f t="shared" si="16"/>
        <v>0</v>
      </c>
      <c r="AB33" s="127">
        <f t="shared" si="16"/>
        <v>0</v>
      </c>
      <c r="AC33" s="127">
        <f t="shared" si="16"/>
        <v>0</v>
      </c>
      <c r="AD33" s="72">
        <f t="shared" si="13"/>
        <v>0</v>
      </c>
      <c r="AE33" s="192" t="e">
        <f t="shared" si="14"/>
        <v>#DIV/0!</v>
      </c>
      <c r="AF33" s="129">
        <v>0</v>
      </c>
      <c r="AG33" s="124">
        <f t="shared" si="15"/>
        <v>0</v>
      </c>
    </row>
    <row r="34" spans="1:33">
      <c r="C34" s="105" t="s">
        <v>154</v>
      </c>
      <c r="P34" s="117"/>
      <c r="AF34" s="129"/>
      <c r="AG34" s="124">
        <f t="shared" si="15"/>
        <v>0</v>
      </c>
    </row>
    <row r="35" spans="1:33" s="109" customFormat="1">
      <c r="C35" s="109" t="s">
        <v>289</v>
      </c>
      <c r="D35" s="127">
        <f t="shared" ref="D35:AB35" si="17">D134</f>
        <v>297927.66000000003</v>
      </c>
      <c r="E35" s="127">
        <f t="shared" si="17"/>
        <v>261660.71</v>
      </c>
      <c r="F35" s="127">
        <f t="shared" si="17"/>
        <v>264268.52</v>
      </c>
      <c r="G35" s="127">
        <f t="shared" si="17"/>
        <v>275965.34000000003</v>
      </c>
      <c r="H35" s="127">
        <f t="shared" si="17"/>
        <v>288039.15000000002</v>
      </c>
      <c r="I35" s="127">
        <f t="shared" si="17"/>
        <v>267742.19</v>
      </c>
      <c r="J35" s="127">
        <f t="shared" si="17"/>
        <v>269232.94</v>
      </c>
      <c r="K35" s="127">
        <f t="shared" si="17"/>
        <v>269066.99</v>
      </c>
      <c r="L35" s="127">
        <f t="shared" si="17"/>
        <v>269199.99</v>
      </c>
      <c r="M35" s="127">
        <f t="shared" si="17"/>
        <v>305930.42000000004</v>
      </c>
      <c r="N35" s="127">
        <f t="shared" si="17"/>
        <v>269063.88</v>
      </c>
      <c r="O35" s="127">
        <f t="shared" si="17"/>
        <v>268789.93</v>
      </c>
      <c r="P35" s="117">
        <f t="shared" si="17"/>
        <v>3306887.7200000007</v>
      </c>
      <c r="Q35" s="127">
        <f t="shared" si="17"/>
        <v>302236.79000000004</v>
      </c>
      <c r="R35" s="127">
        <f t="shared" si="17"/>
        <v>347632.52</v>
      </c>
      <c r="S35" s="127">
        <f t="shared" si="17"/>
        <v>250533.94</v>
      </c>
      <c r="T35" s="127">
        <f t="shared" si="17"/>
        <v>234210.79</v>
      </c>
      <c r="U35" s="127">
        <f t="shared" si="17"/>
        <v>213884.76</v>
      </c>
      <c r="V35" s="127">
        <f t="shared" si="17"/>
        <v>247334.88000000003</v>
      </c>
      <c r="W35" s="127">
        <f t="shared" si="17"/>
        <v>243850.22999999998</v>
      </c>
      <c r="X35" s="127">
        <f t="shared" si="17"/>
        <v>266298.27999999997</v>
      </c>
      <c r="Y35" s="127">
        <f t="shared" si="17"/>
        <v>318296.5</v>
      </c>
      <c r="Z35" s="127">
        <f t="shared" si="17"/>
        <v>342759.5</v>
      </c>
      <c r="AA35" s="127">
        <f t="shared" si="17"/>
        <v>306406.5</v>
      </c>
      <c r="AB35" s="127">
        <f t="shared" si="17"/>
        <v>306608.5</v>
      </c>
      <c r="AC35" s="127">
        <f>SUM(Q35:AB35)</f>
        <v>3380053.19</v>
      </c>
      <c r="AD35" s="127">
        <f t="shared" ref="AD35" si="18">P35-AC35</f>
        <v>-73165.469999999274</v>
      </c>
      <c r="AE35" s="132">
        <f t="shared" ref="AE35" si="19">AD35/AC35</f>
        <v>-2.1646248117178083E-2</v>
      </c>
      <c r="AF35" s="129">
        <v>4213262.4000000004</v>
      </c>
      <c r="AG35" s="124">
        <f t="shared" si="15"/>
        <v>906374.6799999997</v>
      </c>
    </row>
    <row r="36" spans="1:33">
      <c r="C36" s="105" t="s">
        <v>154</v>
      </c>
      <c r="P36" s="117"/>
      <c r="AF36" s="129"/>
      <c r="AG36" s="124">
        <f t="shared" si="15"/>
        <v>0</v>
      </c>
    </row>
    <row r="37" spans="1:33">
      <c r="C37" s="109" t="s">
        <v>502</v>
      </c>
      <c r="P37" s="117"/>
      <c r="AF37" s="129"/>
      <c r="AG37" s="124">
        <f t="shared" si="15"/>
        <v>0</v>
      </c>
    </row>
    <row r="38" spans="1:33">
      <c r="A38" s="105" t="s">
        <v>424</v>
      </c>
      <c r="B38" s="105" t="s">
        <v>615</v>
      </c>
      <c r="C38" s="105" t="s">
        <v>425</v>
      </c>
      <c r="P38" s="200">
        <f t="shared" ref="P38:P78" si="20">SUM(D38:O38)</f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ref="AC38:AC79" si="21">SUM(Q38:AB38)</f>
        <v>0</v>
      </c>
      <c r="AD38" s="72">
        <f t="shared" ref="AD38:AD82" si="22">P38-AC38</f>
        <v>0</v>
      </c>
      <c r="AE38" s="192" t="e">
        <f t="shared" ref="AE38:AE82" si="23">AD38/AC38</f>
        <v>#DIV/0!</v>
      </c>
      <c r="AF38" s="129">
        <v>0</v>
      </c>
      <c r="AG38" s="124">
        <f t="shared" si="15"/>
        <v>0</v>
      </c>
    </row>
    <row r="39" spans="1:33">
      <c r="A39" s="105" t="s">
        <v>273</v>
      </c>
      <c r="C39" s="105" t="s">
        <v>426</v>
      </c>
      <c r="P39" s="200">
        <f t="shared" si="20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21"/>
        <v>0</v>
      </c>
      <c r="AD39" s="72">
        <f t="shared" si="22"/>
        <v>0</v>
      </c>
      <c r="AE39" s="192" t="e">
        <f t="shared" si="23"/>
        <v>#DIV/0!</v>
      </c>
      <c r="AF39" s="129">
        <v>0</v>
      </c>
      <c r="AG39" s="124">
        <f t="shared" si="15"/>
        <v>0</v>
      </c>
    </row>
    <row r="40" spans="1:33">
      <c r="A40" s="105" t="s">
        <v>551</v>
      </c>
      <c r="C40" s="105" t="s">
        <v>427</v>
      </c>
      <c r="P40" s="200">
        <f t="shared" si="20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21"/>
        <v>0</v>
      </c>
      <c r="AD40" s="72">
        <f t="shared" si="22"/>
        <v>0</v>
      </c>
      <c r="AE40" s="192" t="e">
        <f t="shared" si="23"/>
        <v>#DIV/0!</v>
      </c>
      <c r="AF40" s="129">
        <v>0</v>
      </c>
      <c r="AG40" s="124">
        <f t="shared" si="15"/>
        <v>0</v>
      </c>
    </row>
    <row r="41" spans="1:33">
      <c r="A41" s="105" t="s">
        <v>619</v>
      </c>
      <c r="C41" s="105" t="s">
        <v>428</v>
      </c>
      <c r="P41" s="200">
        <f t="shared" si="20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21"/>
        <v>0</v>
      </c>
      <c r="AD41" s="72">
        <f t="shared" si="22"/>
        <v>0</v>
      </c>
      <c r="AE41" s="192" t="e">
        <f t="shared" si="23"/>
        <v>#DIV/0!</v>
      </c>
      <c r="AF41" s="129">
        <v>0</v>
      </c>
      <c r="AG41" s="124">
        <f t="shared" si="15"/>
        <v>0</v>
      </c>
    </row>
    <row r="42" spans="1:33">
      <c r="A42" s="105" t="s">
        <v>620</v>
      </c>
      <c r="B42" s="105" t="s">
        <v>615</v>
      </c>
      <c r="C42" s="105" t="s">
        <v>143</v>
      </c>
      <c r="P42" s="200">
        <f t="shared" si="20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21"/>
        <v>0</v>
      </c>
      <c r="AD42" s="72">
        <f t="shared" si="22"/>
        <v>0</v>
      </c>
      <c r="AE42" s="192" t="e">
        <f t="shared" si="23"/>
        <v>#DIV/0!</v>
      </c>
      <c r="AF42" s="129">
        <v>0</v>
      </c>
      <c r="AG42" s="124">
        <f t="shared" si="15"/>
        <v>0</v>
      </c>
    </row>
    <row r="43" spans="1:33">
      <c r="A43" s="105" t="s">
        <v>180</v>
      </c>
      <c r="B43" s="105" t="s">
        <v>615</v>
      </c>
      <c r="C43" s="105" t="s">
        <v>144</v>
      </c>
      <c r="D43" s="174">
        <f t="shared" ref="D43:O43" si="24">+D138+D139+D140</f>
        <v>17338.240000000002</v>
      </c>
      <c r="E43" s="174">
        <f t="shared" si="24"/>
        <v>11530.5</v>
      </c>
      <c r="F43" s="174">
        <f t="shared" si="24"/>
        <v>11718.5</v>
      </c>
      <c r="G43" s="174">
        <f t="shared" si="24"/>
        <v>13314.430000000002</v>
      </c>
      <c r="H43" s="174">
        <f t="shared" si="24"/>
        <v>14445.150000000001</v>
      </c>
      <c r="I43" s="174">
        <f t="shared" si="24"/>
        <v>11922.5</v>
      </c>
      <c r="J43" s="174">
        <f t="shared" si="24"/>
        <v>11903.5</v>
      </c>
      <c r="K43" s="174">
        <f t="shared" si="24"/>
        <v>11935.5</v>
      </c>
      <c r="L43" s="174">
        <f t="shared" si="24"/>
        <v>11963.5</v>
      </c>
      <c r="M43" s="174">
        <f t="shared" si="24"/>
        <v>15804.77</v>
      </c>
      <c r="N43" s="174">
        <f t="shared" si="24"/>
        <v>11856.5</v>
      </c>
      <c r="O43" s="174">
        <f t="shared" si="24"/>
        <v>11849.5</v>
      </c>
      <c r="P43" s="200">
        <f t="shared" si="20"/>
        <v>155582.59</v>
      </c>
      <c r="Q43" s="72">
        <v>83991.72</v>
      </c>
      <c r="R43" s="72">
        <v>97750.6</v>
      </c>
      <c r="S43" s="72">
        <v>55115.69</v>
      </c>
      <c r="T43" s="72">
        <v>95183.97</v>
      </c>
      <c r="U43" s="72">
        <v>41979.85</v>
      </c>
      <c r="V43" s="72">
        <v>39756.22</v>
      </c>
      <c r="W43" s="72">
        <v>15888.38</v>
      </c>
      <c r="X43" s="72">
        <v>12226.29</v>
      </c>
      <c r="Y43" s="72">
        <v>1128</v>
      </c>
      <c r="Z43" s="72">
        <v>1128</v>
      </c>
      <c r="AA43" s="72">
        <v>1128</v>
      </c>
      <c r="AB43" s="72">
        <v>1128</v>
      </c>
      <c r="AC43" s="127">
        <f t="shared" si="21"/>
        <v>446404.71999999991</v>
      </c>
      <c r="AD43" s="72">
        <f t="shared" si="22"/>
        <v>-290822.12999999989</v>
      </c>
      <c r="AE43" s="192">
        <f t="shared" si="23"/>
        <v>-0.65147637775872969</v>
      </c>
      <c r="AF43" s="129">
        <v>7934.6900000000005</v>
      </c>
      <c r="AG43" s="124">
        <f t="shared" si="15"/>
        <v>-147647.9</v>
      </c>
    </row>
    <row r="44" spans="1:33">
      <c r="A44" s="105" t="s">
        <v>181</v>
      </c>
      <c r="B44" s="105" t="s">
        <v>615</v>
      </c>
      <c r="C44" s="105" t="s">
        <v>182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200">
        <f t="shared" si="20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21"/>
        <v>0</v>
      </c>
      <c r="AD44" s="72">
        <f t="shared" si="22"/>
        <v>0</v>
      </c>
      <c r="AE44" s="192" t="e">
        <f t="shared" si="23"/>
        <v>#DIV/0!</v>
      </c>
      <c r="AF44" s="129">
        <v>0</v>
      </c>
      <c r="AG44" s="124">
        <f t="shared" si="15"/>
        <v>0</v>
      </c>
    </row>
    <row r="45" spans="1:33">
      <c r="A45" s="105" t="s">
        <v>430</v>
      </c>
      <c r="B45" s="105" t="s">
        <v>615</v>
      </c>
      <c r="C45" s="105" t="s">
        <v>431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200">
        <f t="shared" si="20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21"/>
        <v>0</v>
      </c>
      <c r="AD45" s="72">
        <f t="shared" si="22"/>
        <v>0</v>
      </c>
      <c r="AE45" s="192" t="e">
        <f t="shared" si="23"/>
        <v>#DIV/0!</v>
      </c>
      <c r="AF45" s="129">
        <v>0</v>
      </c>
      <c r="AG45" s="124">
        <f t="shared" si="15"/>
        <v>0</v>
      </c>
    </row>
    <row r="46" spans="1:33">
      <c r="A46" s="105" t="s">
        <v>183</v>
      </c>
      <c r="B46" s="105" t="s">
        <v>615</v>
      </c>
      <c r="C46" s="105" t="s">
        <v>184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200">
        <f t="shared" si="20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21"/>
        <v>0</v>
      </c>
      <c r="AD46" s="72">
        <f t="shared" si="22"/>
        <v>0</v>
      </c>
      <c r="AE46" s="192" t="e">
        <f t="shared" si="23"/>
        <v>#DIV/0!</v>
      </c>
      <c r="AF46" s="129">
        <v>0</v>
      </c>
      <c r="AG46" s="124">
        <f t="shared" si="15"/>
        <v>0</v>
      </c>
    </row>
    <row r="47" spans="1:33">
      <c r="A47" s="105" t="s">
        <v>619</v>
      </c>
      <c r="C47" s="105" t="s">
        <v>432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200">
        <f t="shared" si="20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21"/>
        <v>0</v>
      </c>
      <c r="AD47" s="72">
        <f t="shared" si="22"/>
        <v>0</v>
      </c>
      <c r="AE47" s="192" t="e">
        <f t="shared" si="23"/>
        <v>#DIV/0!</v>
      </c>
      <c r="AF47" s="129">
        <v>0</v>
      </c>
      <c r="AG47" s="124">
        <f t="shared" si="15"/>
        <v>0</v>
      </c>
    </row>
    <row r="48" spans="1:33">
      <c r="A48" s="105" t="s">
        <v>185</v>
      </c>
      <c r="B48" s="105" t="s">
        <v>615</v>
      </c>
      <c r="C48" s="105" t="s">
        <v>186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200">
        <f t="shared" si="20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21"/>
        <v>0</v>
      </c>
      <c r="AD48" s="72">
        <f t="shared" si="22"/>
        <v>0</v>
      </c>
      <c r="AE48" s="192" t="e">
        <f t="shared" si="23"/>
        <v>#DIV/0!</v>
      </c>
      <c r="AF48" s="129">
        <v>0</v>
      </c>
      <c r="AG48" s="124">
        <f t="shared" si="15"/>
        <v>0</v>
      </c>
    </row>
    <row r="49" spans="1:33">
      <c r="A49" s="105" t="s">
        <v>187</v>
      </c>
      <c r="B49" s="105" t="s">
        <v>615</v>
      </c>
      <c r="C49" s="105" t="s">
        <v>188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200">
        <f t="shared" si="20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127">
        <f t="shared" si="21"/>
        <v>0</v>
      </c>
      <c r="AD49" s="72">
        <f t="shared" si="22"/>
        <v>0</v>
      </c>
      <c r="AE49" s="192" t="e">
        <f t="shared" si="23"/>
        <v>#DIV/0!</v>
      </c>
      <c r="AF49" s="129">
        <v>0</v>
      </c>
      <c r="AG49" s="124">
        <f t="shared" si="15"/>
        <v>0</v>
      </c>
    </row>
    <row r="50" spans="1:33">
      <c r="A50" s="105" t="s">
        <v>195</v>
      </c>
      <c r="B50" s="105" t="s">
        <v>615</v>
      </c>
      <c r="C50" s="105" t="s">
        <v>196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200">
        <f t="shared" si="20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21"/>
        <v>0</v>
      </c>
      <c r="AD50" s="72">
        <f t="shared" si="22"/>
        <v>0</v>
      </c>
      <c r="AE50" s="192" t="e">
        <f t="shared" si="23"/>
        <v>#DIV/0!</v>
      </c>
      <c r="AF50" s="129">
        <v>0</v>
      </c>
      <c r="AG50" s="124">
        <f t="shared" si="15"/>
        <v>0</v>
      </c>
    </row>
    <row r="51" spans="1:33">
      <c r="A51" s="105" t="s">
        <v>197</v>
      </c>
      <c r="B51" s="105" t="s">
        <v>615</v>
      </c>
      <c r="C51" s="105" t="s">
        <v>305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  <c r="J51" s="72">
        <v>0</v>
      </c>
      <c r="K51" s="72">
        <v>0</v>
      </c>
      <c r="L51" s="72">
        <v>0</v>
      </c>
      <c r="M51" s="72">
        <v>0</v>
      </c>
      <c r="N51" s="72">
        <v>0</v>
      </c>
      <c r="O51" s="72">
        <v>0</v>
      </c>
      <c r="P51" s="200">
        <f t="shared" si="20"/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21"/>
        <v>0</v>
      </c>
      <c r="AD51" s="72">
        <f t="shared" si="22"/>
        <v>0</v>
      </c>
      <c r="AE51" s="192" t="e">
        <f t="shared" si="23"/>
        <v>#DIV/0!</v>
      </c>
      <c r="AF51" s="129">
        <v>0</v>
      </c>
      <c r="AG51" s="124">
        <f t="shared" si="15"/>
        <v>0</v>
      </c>
    </row>
    <row r="52" spans="1:33">
      <c r="A52" s="105" t="s">
        <v>434</v>
      </c>
      <c r="B52" s="105" t="s">
        <v>615</v>
      </c>
      <c r="C52" s="105" t="s">
        <v>435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200">
        <f t="shared" si="20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21"/>
        <v>0</v>
      </c>
      <c r="AD52" s="72">
        <f t="shared" si="22"/>
        <v>0</v>
      </c>
      <c r="AE52" s="192" t="e">
        <f t="shared" si="23"/>
        <v>#DIV/0!</v>
      </c>
      <c r="AF52" s="129">
        <v>0</v>
      </c>
      <c r="AG52" s="124">
        <f t="shared" si="15"/>
        <v>0</v>
      </c>
    </row>
    <row r="53" spans="1:33">
      <c r="A53" s="105" t="s">
        <v>436</v>
      </c>
      <c r="B53" s="105" t="s">
        <v>615</v>
      </c>
      <c r="C53" s="105" t="s">
        <v>437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200">
        <f t="shared" si="20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21"/>
        <v>0</v>
      </c>
      <c r="AD53" s="72">
        <f t="shared" si="22"/>
        <v>0</v>
      </c>
      <c r="AE53" s="192" t="e">
        <f t="shared" si="23"/>
        <v>#DIV/0!</v>
      </c>
      <c r="AF53" s="129">
        <v>0</v>
      </c>
      <c r="AG53" s="124">
        <f t="shared" si="15"/>
        <v>0</v>
      </c>
    </row>
    <row r="54" spans="1:33">
      <c r="A54" s="105" t="s">
        <v>199</v>
      </c>
      <c r="B54" s="105" t="s">
        <v>615</v>
      </c>
      <c r="C54" s="105" t="s">
        <v>200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2">
        <v>0</v>
      </c>
      <c r="P54" s="200">
        <f t="shared" si="20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21"/>
        <v>0</v>
      </c>
      <c r="AD54" s="72">
        <f t="shared" si="22"/>
        <v>0</v>
      </c>
      <c r="AE54" s="192" t="e">
        <f t="shared" si="23"/>
        <v>#DIV/0!</v>
      </c>
      <c r="AF54" s="129">
        <v>0</v>
      </c>
      <c r="AG54" s="124">
        <f t="shared" si="15"/>
        <v>0</v>
      </c>
    </row>
    <row r="55" spans="1:33">
      <c r="A55" s="105" t="s">
        <v>438</v>
      </c>
      <c r="B55" s="105" t="s">
        <v>615</v>
      </c>
      <c r="C55" s="105" t="s">
        <v>439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200">
        <f t="shared" si="20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21"/>
        <v>0</v>
      </c>
      <c r="AD55" s="72">
        <f t="shared" si="22"/>
        <v>0</v>
      </c>
      <c r="AE55" s="192" t="e">
        <f t="shared" si="23"/>
        <v>#DIV/0!</v>
      </c>
      <c r="AF55" s="129">
        <v>0</v>
      </c>
      <c r="AG55" s="124">
        <f t="shared" si="15"/>
        <v>0</v>
      </c>
    </row>
    <row r="56" spans="1:33">
      <c r="A56" s="105" t="s">
        <v>201</v>
      </c>
      <c r="B56" s="105" t="s">
        <v>615</v>
      </c>
      <c r="C56" s="105" t="s">
        <v>202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0</v>
      </c>
      <c r="M56" s="72">
        <v>0</v>
      </c>
      <c r="N56" s="72">
        <v>0</v>
      </c>
      <c r="O56" s="72">
        <v>0</v>
      </c>
      <c r="P56" s="200">
        <f t="shared" si="20"/>
        <v>0</v>
      </c>
      <c r="Q56" s="72"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21"/>
        <v>0</v>
      </c>
      <c r="AD56" s="72">
        <f t="shared" si="22"/>
        <v>0</v>
      </c>
      <c r="AE56" s="192" t="e">
        <f t="shared" si="23"/>
        <v>#DIV/0!</v>
      </c>
      <c r="AF56" s="129">
        <v>0</v>
      </c>
      <c r="AG56" s="124">
        <f t="shared" si="15"/>
        <v>0</v>
      </c>
    </row>
    <row r="57" spans="1:33">
      <c r="A57" s="105" t="s">
        <v>440</v>
      </c>
      <c r="B57" s="105" t="s">
        <v>615</v>
      </c>
      <c r="C57" s="105" t="s">
        <v>441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200">
        <f t="shared" si="20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21"/>
        <v>0</v>
      </c>
      <c r="AD57" s="72">
        <f t="shared" si="22"/>
        <v>0</v>
      </c>
      <c r="AE57" s="192" t="e">
        <f t="shared" si="23"/>
        <v>#DIV/0!</v>
      </c>
      <c r="AF57" s="129">
        <v>18093.34</v>
      </c>
      <c r="AG57" s="124">
        <f t="shared" si="15"/>
        <v>18093.34</v>
      </c>
    </row>
    <row r="58" spans="1:33">
      <c r="A58" s="105" t="s">
        <v>442</v>
      </c>
      <c r="B58" s="105" t="s">
        <v>615</v>
      </c>
      <c r="C58" s="105" t="s">
        <v>443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200">
        <f t="shared" si="20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21"/>
        <v>0</v>
      </c>
      <c r="AD58" s="72">
        <f t="shared" si="22"/>
        <v>0</v>
      </c>
      <c r="AE58" s="192" t="e">
        <f t="shared" si="23"/>
        <v>#DIV/0!</v>
      </c>
      <c r="AF58" s="129">
        <v>0</v>
      </c>
      <c r="AG58" s="124">
        <f t="shared" si="15"/>
        <v>0</v>
      </c>
    </row>
    <row r="59" spans="1:33">
      <c r="A59" s="105" t="s">
        <v>203</v>
      </c>
      <c r="B59" s="105" t="s">
        <v>615</v>
      </c>
      <c r="C59" s="105" t="s">
        <v>204</v>
      </c>
      <c r="D59" s="72">
        <v>1288</v>
      </c>
      <c r="E59" s="72">
        <v>1288</v>
      </c>
      <c r="F59" s="72">
        <v>1288</v>
      </c>
      <c r="G59" s="72">
        <v>1288</v>
      </c>
      <c r="H59" s="72">
        <v>1288</v>
      </c>
      <c r="I59" s="72">
        <v>1288</v>
      </c>
      <c r="J59" s="72">
        <v>1288</v>
      </c>
      <c r="K59" s="72">
        <v>1288</v>
      </c>
      <c r="L59" s="72">
        <v>1288</v>
      </c>
      <c r="M59" s="72">
        <v>1288</v>
      </c>
      <c r="N59" s="72">
        <v>1288</v>
      </c>
      <c r="O59" s="72">
        <v>1288</v>
      </c>
      <c r="P59" s="200">
        <f t="shared" si="20"/>
        <v>15456</v>
      </c>
      <c r="Q59" s="72">
        <v>6212</v>
      </c>
      <c r="R59" s="72">
        <v>6140.32</v>
      </c>
      <c r="S59" s="72">
        <v>6212</v>
      </c>
      <c r="T59" s="72">
        <v>0</v>
      </c>
      <c r="U59" s="72">
        <v>0</v>
      </c>
      <c r="V59" s="72">
        <v>0</v>
      </c>
      <c r="W59" s="72">
        <v>0</v>
      </c>
      <c r="X59" s="72">
        <v>-172.24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21"/>
        <v>18392.079999999998</v>
      </c>
      <c r="AD59" s="72">
        <f t="shared" si="22"/>
        <v>-2936.0799999999981</v>
      </c>
      <c r="AE59" s="192">
        <f t="shared" si="23"/>
        <v>-0.15963827908534534</v>
      </c>
      <c r="AF59" s="129">
        <v>18215.43</v>
      </c>
      <c r="AG59" s="124">
        <f t="shared" si="15"/>
        <v>2759.4300000000003</v>
      </c>
    </row>
    <row r="60" spans="1:33">
      <c r="A60" s="105" t="s">
        <v>444</v>
      </c>
      <c r="B60" s="105" t="s">
        <v>615</v>
      </c>
      <c r="C60" s="105" t="s">
        <v>445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200">
        <f t="shared" si="20"/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21"/>
        <v>0</v>
      </c>
      <c r="AD60" s="72">
        <f t="shared" si="22"/>
        <v>0</v>
      </c>
      <c r="AE60" s="192" t="e">
        <f t="shared" si="23"/>
        <v>#DIV/0!</v>
      </c>
      <c r="AF60" s="129">
        <v>0</v>
      </c>
      <c r="AG60" s="124">
        <f t="shared" si="15"/>
        <v>0</v>
      </c>
    </row>
    <row r="61" spans="1:33">
      <c r="A61" s="105" t="s">
        <v>446</v>
      </c>
      <c r="B61" s="105" t="s">
        <v>615</v>
      </c>
      <c r="C61" s="105" t="s">
        <v>447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200">
        <f t="shared" si="20"/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127">
        <f t="shared" si="21"/>
        <v>0</v>
      </c>
      <c r="AD61" s="72">
        <f t="shared" si="22"/>
        <v>0</v>
      </c>
      <c r="AE61" s="192" t="e">
        <f t="shared" si="23"/>
        <v>#DIV/0!</v>
      </c>
      <c r="AF61" s="129">
        <v>0</v>
      </c>
      <c r="AG61" s="124">
        <f t="shared" si="15"/>
        <v>0</v>
      </c>
    </row>
    <row r="62" spans="1:33">
      <c r="A62" s="105" t="s">
        <v>273</v>
      </c>
      <c r="C62" s="105" t="s">
        <v>448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200">
        <f t="shared" si="20"/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127">
        <f t="shared" si="21"/>
        <v>0</v>
      </c>
      <c r="AD62" s="72">
        <f t="shared" si="22"/>
        <v>0</v>
      </c>
      <c r="AE62" s="192" t="e">
        <f t="shared" si="23"/>
        <v>#DIV/0!</v>
      </c>
      <c r="AF62" s="129">
        <v>0</v>
      </c>
      <c r="AG62" s="124">
        <f t="shared" si="15"/>
        <v>0</v>
      </c>
    </row>
    <row r="63" spans="1:33">
      <c r="A63" s="105" t="s">
        <v>207</v>
      </c>
      <c r="B63" s="105" t="s">
        <v>615</v>
      </c>
      <c r="C63" s="105" t="s">
        <v>208</v>
      </c>
      <c r="D63" s="72">
        <v>500</v>
      </c>
      <c r="E63" s="72">
        <v>500</v>
      </c>
      <c r="F63" s="72">
        <v>500</v>
      </c>
      <c r="G63" s="72">
        <v>500</v>
      </c>
      <c r="H63" s="72">
        <v>500</v>
      </c>
      <c r="I63" s="72">
        <v>500</v>
      </c>
      <c r="J63" s="72">
        <v>500</v>
      </c>
      <c r="K63" s="72">
        <v>500</v>
      </c>
      <c r="L63" s="72">
        <v>500</v>
      </c>
      <c r="M63" s="72">
        <v>500</v>
      </c>
      <c r="N63" s="72">
        <v>500</v>
      </c>
      <c r="O63" s="72">
        <v>500</v>
      </c>
      <c r="P63" s="200">
        <f t="shared" si="20"/>
        <v>6000</v>
      </c>
      <c r="Q63" s="72">
        <v>536.87</v>
      </c>
      <c r="R63" s="72">
        <v>817.69</v>
      </c>
      <c r="S63" s="72">
        <v>627.78</v>
      </c>
      <c r="T63" s="72">
        <v>32.1</v>
      </c>
      <c r="U63" s="72">
        <v>295.32</v>
      </c>
      <c r="V63" s="72">
        <v>139.47999999999999</v>
      </c>
      <c r="W63" s="72">
        <v>662.49</v>
      </c>
      <c r="X63" s="72">
        <v>1350.13</v>
      </c>
      <c r="Y63" s="72">
        <v>0</v>
      </c>
      <c r="Z63" s="72">
        <v>0</v>
      </c>
      <c r="AA63" s="72">
        <v>0</v>
      </c>
      <c r="AB63" s="72">
        <v>0</v>
      </c>
      <c r="AC63" s="127">
        <f t="shared" si="21"/>
        <v>4461.8599999999997</v>
      </c>
      <c r="AD63" s="72">
        <f t="shared" si="22"/>
        <v>1538.1400000000003</v>
      </c>
      <c r="AE63" s="192">
        <f t="shared" si="23"/>
        <v>0.34473067285840442</v>
      </c>
      <c r="AF63" s="129">
        <v>3831.79</v>
      </c>
      <c r="AG63" s="124">
        <f t="shared" si="15"/>
        <v>-2168.21</v>
      </c>
    </row>
    <row r="64" spans="1:33">
      <c r="A64" s="105" t="s">
        <v>449</v>
      </c>
      <c r="B64" s="105" t="s">
        <v>615</v>
      </c>
      <c r="C64" s="105" t="s">
        <v>450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200">
        <f t="shared" si="20"/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127">
        <f t="shared" si="21"/>
        <v>0</v>
      </c>
      <c r="AD64" s="72">
        <f t="shared" si="22"/>
        <v>0</v>
      </c>
      <c r="AE64" s="192" t="e">
        <f t="shared" si="23"/>
        <v>#DIV/0!</v>
      </c>
      <c r="AF64" s="129">
        <v>0</v>
      </c>
      <c r="AG64" s="124">
        <f t="shared" si="15"/>
        <v>0</v>
      </c>
    </row>
    <row r="65" spans="1:33">
      <c r="A65" s="105" t="s">
        <v>273</v>
      </c>
      <c r="C65" s="105" t="s">
        <v>451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200">
        <f t="shared" si="20"/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127">
        <f t="shared" si="21"/>
        <v>0</v>
      </c>
      <c r="AD65" s="72">
        <f t="shared" si="22"/>
        <v>0</v>
      </c>
      <c r="AE65" s="192" t="e">
        <f t="shared" si="23"/>
        <v>#DIV/0!</v>
      </c>
      <c r="AF65" s="129">
        <v>0</v>
      </c>
      <c r="AG65" s="124">
        <f t="shared" si="15"/>
        <v>0</v>
      </c>
    </row>
    <row r="66" spans="1:33">
      <c r="A66" s="105" t="s">
        <v>452</v>
      </c>
      <c r="B66" s="105" t="s">
        <v>615</v>
      </c>
      <c r="C66" s="105" t="s">
        <v>453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200">
        <f t="shared" si="20"/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 t="shared" si="21"/>
        <v>0</v>
      </c>
      <c r="AD66" s="72">
        <f t="shared" si="22"/>
        <v>0</v>
      </c>
      <c r="AE66" s="192" t="e">
        <f t="shared" si="23"/>
        <v>#DIV/0!</v>
      </c>
      <c r="AF66" s="129">
        <v>0</v>
      </c>
      <c r="AG66" s="124">
        <f t="shared" si="15"/>
        <v>0</v>
      </c>
    </row>
    <row r="67" spans="1:33">
      <c r="A67" s="105" t="s">
        <v>454</v>
      </c>
      <c r="B67" s="105" t="s">
        <v>615</v>
      </c>
      <c r="C67" s="105" t="s">
        <v>455</v>
      </c>
      <c r="D67" s="72">
        <v>2000</v>
      </c>
      <c r="E67" s="72">
        <v>2000</v>
      </c>
      <c r="F67" s="72">
        <v>2000</v>
      </c>
      <c r="G67" s="72">
        <v>2000</v>
      </c>
      <c r="H67" s="72">
        <v>2000</v>
      </c>
      <c r="I67" s="72">
        <v>1000</v>
      </c>
      <c r="J67" s="72">
        <v>2000</v>
      </c>
      <c r="K67" s="72">
        <v>2000</v>
      </c>
      <c r="M67" s="72">
        <v>2000</v>
      </c>
      <c r="N67" s="72">
        <v>2000</v>
      </c>
      <c r="O67" s="72">
        <v>2000</v>
      </c>
      <c r="P67" s="200">
        <f t="shared" si="20"/>
        <v>21000</v>
      </c>
      <c r="Q67" s="136">
        <v>0</v>
      </c>
      <c r="R67" s="136">
        <v>0</v>
      </c>
      <c r="S67" s="136">
        <v>0</v>
      </c>
      <c r="T67" s="136">
        <v>0</v>
      </c>
      <c r="U67" s="136">
        <v>0</v>
      </c>
      <c r="V67" s="136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37">
        <f t="shared" si="21"/>
        <v>0</v>
      </c>
      <c r="AD67" s="72">
        <f t="shared" si="22"/>
        <v>21000</v>
      </c>
      <c r="AE67" s="192" t="e">
        <f t="shared" si="23"/>
        <v>#DIV/0!</v>
      </c>
      <c r="AF67" s="133">
        <v>0</v>
      </c>
      <c r="AG67" s="124">
        <f t="shared" si="15"/>
        <v>-21000</v>
      </c>
    </row>
    <row r="68" spans="1:33">
      <c r="A68" s="105" t="s">
        <v>456</v>
      </c>
      <c r="B68" s="105" t="s">
        <v>615</v>
      </c>
      <c r="C68" s="105" t="s">
        <v>457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200">
        <f t="shared" si="20"/>
        <v>0</v>
      </c>
      <c r="Q68" s="136">
        <v>0</v>
      </c>
      <c r="R68" s="136">
        <v>0</v>
      </c>
      <c r="S68" s="136">
        <v>0</v>
      </c>
      <c r="T68" s="136">
        <v>0</v>
      </c>
      <c r="U68" s="136">
        <v>0</v>
      </c>
      <c r="V68" s="136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37">
        <f t="shared" si="21"/>
        <v>0</v>
      </c>
      <c r="AD68" s="72">
        <f t="shared" si="22"/>
        <v>0</v>
      </c>
      <c r="AE68" s="192" t="e">
        <f t="shared" si="23"/>
        <v>#DIV/0!</v>
      </c>
      <c r="AF68" s="133">
        <v>0</v>
      </c>
      <c r="AG68" s="124">
        <f t="shared" si="15"/>
        <v>0</v>
      </c>
    </row>
    <row r="69" spans="1:33">
      <c r="A69" s="105" t="s">
        <v>273</v>
      </c>
      <c r="C69" s="105" t="s">
        <v>458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200">
        <f t="shared" si="20"/>
        <v>0</v>
      </c>
      <c r="Q69" s="136">
        <v>0</v>
      </c>
      <c r="R69" s="136">
        <v>0</v>
      </c>
      <c r="S69" s="136">
        <v>0</v>
      </c>
      <c r="T69" s="136">
        <v>0</v>
      </c>
      <c r="U69" s="136">
        <v>0</v>
      </c>
      <c r="V69" s="136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37">
        <f t="shared" si="21"/>
        <v>0</v>
      </c>
      <c r="AD69" s="72">
        <f t="shared" si="22"/>
        <v>0</v>
      </c>
      <c r="AE69" s="192" t="e">
        <f t="shared" si="23"/>
        <v>#DIV/0!</v>
      </c>
      <c r="AF69" s="133">
        <v>0</v>
      </c>
      <c r="AG69" s="124">
        <f t="shared" si="15"/>
        <v>0</v>
      </c>
    </row>
    <row r="70" spans="1:33">
      <c r="A70" s="105" t="s">
        <v>209</v>
      </c>
      <c r="B70" s="105" t="s">
        <v>615</v>
      </c>
      <c r="C70" s="105" t="s">
        <v>210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200">
        <f t="shared" si="20"/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37">
        <f t="shared" si="21"/>
        <v>0</v>
      </c>
      <c r="AD70" s="72">
        <f t="shared" si="22"/>
        <v>0</v>
      </c>
      <c r="AE70" s="192" t="e">
        <f t="shared" si="23"/>
        <v>#DIV/0!</v>
      </c>
      <c r="AF70" s="133">
        <v>0</v>
      </c>
      <c r="AG70" s="124">
        <f t="shared" si="15"/>
        <v>0</v>
      </c>
    </row>
    <row r="71" spans="1:33">
      <c r="A71" s="105" t="s">
        <v>211</v>
      </c>
      <c r="B71" s="105" t="s">
        <v>615</v>
      </c>
      <c r="C71" s="105" t="s">
        <v>212</v>
      </c>
      <c r="D71" s="72">
        <v>613</v>
      </c>
      <c r="E71" s="72">
        <v>613</v>
      </c>
      <c r="F71" s="72">
        <v>613</v>
      </c>
      <c r="G71" s="72">
        <v>613</v>
      </c>
      <c r="H71" s="72">
        <v>613</v>
      </c>
      <c r="I71" s="72">
        <v>613</v>
      </c>
      <c r="J71" s="72">
        <v>613</v>
      </c>
      <c r="K71" s="72">
        <v>613</v>
      </c>
      <c r="L71" s="72">
        <v>613</v>
      </c>
      <c r="M71" s="72">
        <v>613</v>
      </c>
      <c r="N71" s="72">
        <v>613</v>
      </c>
      <c r="O71" s="72">
        <v>613</v>
      </c>
      <c r="P71" s="200">
        <f t="shared" si="20"/>
        <v>7356</v>
      </c>
      <c r="Q71" s="136">
        <v>613.21</v>
      </c>
      <c r="R71" s="136">
        <v>613.21</v>
      </c>
      <c r="S71" s="136">
        <v>613.21</v>
      </c>
      <c r="T71" s="136">
        <v>613.21</v>
      </c>
      <c r="U71" s="136">
        <v>868.32</v>
      </c>
      <c r="V71" s="136">
        <v>1722.72</v>
      </c>
      <c r="W71" s="72">
        <v>639.01</v>
      </c>
      <c r="X71" s="72">
        <v>711.69</v>
      </c>
      <c r="Y71" s="72">
        <v>600</v>
      </c>
      <c r="Z71" s="72">
        <v>300</v>
      </c>
      <c r="AA71" s="72">
        <v>300</v>
      </c>
      <c r="AB71" s="72">
        <v>300</v>
      </c>
      <c r="AC71" s="137">
        <f t="shared" si="21"/>
        <v>7894.58</v>
      </c>
      <c r="AD71" s="72">
        <f t="shared" si="22"/>
        <v>-538.57999999999993</v>
      </c>
      <c r="AE71" s="192">
        <f t="shared" si="23"/>
        <v>-6.8221488666908178E-2</v>
      </c>
      <c r="AF71" s="133">
        <v>4844.58</v>
      </c>
      <c r="AG71" s="124">
        <f t="shared" si="15"/>
        <v>-2511.42</v>
      </c>
    </row>
    <row r="72" spans="1:33">
      <c r="A72" s="105" t="s">
        <v>213</v>
      </c>
      <c r="B72" s="105" t="s">
        <v>615</v>
      </c>
      <c r="C72" s="105" t="s">
        <v>214</v>
      </c>
      <c r="D72" s="222">
        <f>Laundry!E137</f>
        <v>2712</v>
      </c>
      <c r="E72" s="222">
        <f>Laundry!F137</f>
        <v>2473</v>
      </c>
      <c r="F72" s="222">
        <f>Laundry!G137</f>
        <v>2501</v>
      </c>
      <c r="G72" s="222">
        <f>Laundry!H137</f>
        <v>2570</v>
      </c>
      <c r="H72" s="222">
        <f>Laundry!I137</f>
        <v>2642</v>
      </c>
      <c r="I72" s="222">
        <f>Laundry!J137</f>
        <v>2525</v>
      </c>
      <c r="J72" s="222">
        <f>Laundry!K137</f>
        <v>2692</v>
      </c>
      <c r="K72" s="222">
        <f>Laundry!L137</f>
        <v>2679</v>
      </c>
      <c r="L72" s="222">
        <f>Laundry!M137</f>
        <v>2586</v>
      </c>
      <c r="M72" s="222">
        <f>Laundry!N137</f>
        <v>2943</v>
      </c>
      <c r="N72" s="222">
        <f>Laundry!O137</f>
        <v>2599</v>
      </c>
      <c r="O72" s="222">
        <f>Laundry!P137</f>
        <v>2586</v>
      </c>
      <c r="P72" s="200">
        <f t="shared" si="20"/>
        <v>31508</v>
      </c>
      <c r="Q72" s="136">
        <v>3595.32</v>
      </c>
      <c r="R72" s="136">
        <v>3963.18</v>
      </c>
      <c r="S72" s="136">
        <v>2735.97</v>
      </c>
      <c r="T72" s="136">
        <v>2801.85</v>
      </c>
      <c r="U72" s="136">
        <v>1048.06</v>
      </c>
      <c r="V72" s="136">
        <v>2829.77</v>
      </c>
      <c r="W72" s="72">
        <v>2365.4</v>
      </c>
      <c r="X72" s="72">
        <v>1894.96</v>
      </c>
      <c r="Y72" s="72">
        <v>2824</v>
      </c>
      <c r="Z72" s="72">
        <v>3159</v>
      </c>
      <c r="AA72" s="72">
        <v>2655</v>
      </c>
      <c r="AB72" s="72">
        <v>2714</v>
      </c>
      <c r="AC72" s="137">
        <f t="shared" si="21"/>
        <v>32586.51</v>
      </c>
      <c r="AD72" s="72">
        <f t="shared" si="22"/>
        <v>-1078.5099999999984</v>
      </c>
      <c r="AE72" s="192">
        <f t="shared" si="23"/>
        <v>-3.3096824422130459E-2</v>
      </c>
      <c r="AF72" s="133">
        <v>29395.84</v>
      </c>
      <c r="AG72" s="124">
        <f t="shared" si="15"/>
        <v>-2112.16</v>
      </c>
    </row>
    <row r="73" spans="1:33">
      <c r="A73" s="105" t="s">
        <v>306</v>
      </c>
      <c r="B73" s="105" t="s">
        <v>615</v>
      </c>
      <c r="C73" s="105" t="s">
        <v>206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200">
        <f t="shared" si="20"/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137">
        <f t="shared" si="21"/>
        <v>0</v>
      </c>
      <c r="AD73" s="72">
        <f t="shared" si="22"/>
        <v>0</v>
      </c>
      <c r="AE73" s="192" t="e">
        <f t="shared" si="23"/>
        <v>#DIV/0!</v>
      </c>
      <c r="AF73" s="133">
        <v>0</v>
      </c>
      <c r="AG73" s="124">
        <f t="shared" si="15"/>
        <v>0</v>
      </c>
    </row>
    <row r="74" spans="1:33">
      <c r="A74" s="105" t="s">
        <v>215</v>
      </c>
      <c r="B74" s="105" t="s">
        <v>615</v>
      </c>
      <c r="C74" s="105" t="s">
        <v>216</v>
      </c>
      <c r="D74" s="72">
        <f>900-312</f>
        <v>588</v>
      </c>
      <c r="E74" s="72">
        <f t="shared" ref="E74:O74" si="25">900-312</f>
        <v>588</v>
      </c>
      <c r="F74" s="72">
        <f t="shared" si="25"/>
        <v>588</v>
      </c>
      <c r="G74" s="72">
        <f t="shared" si="25"/>
        <v>588</v>
      </c>
      <c r="H74" s="72">
        <f t="shared" si="25"/>
        <v>588</v>
      </c>
      <c r="I74" s="72">
        <f t="shared" si="25"/>
        <v>588</v>
      </c>
      <c r="J74" s="72">
        <f t="shared" si="25"/>
        <v>588</v>
      </c>
      <c r="K74" s="72">
        <f t="shared" si="25"/>
        <v>588</v>
      </c>
      <c r="L74" s="72">
        <f t="shared" si="25"/>
        <v>588</v>
      </c>
      <c r="M74" s="72">
        <f t="shared" si="25"/>
        <v>588</v>
      </c>
      <c r="N74" s="72">
        <f t="shared" si="25"/>
        <v>588</v>
      </c>
      <c r="O74" s="72">
        <f t="shared" si="25"/>
        <v>588</v>
      </c>
      <c r="P74" s="200">
        <f t="shared" si="20"/>
        <v>7056</v>
      </c>
      <c r="Q74" s="136">
        <v>1154.74</v>
      </c>
      <c r="R74" s="136">
        <v>1001.8</v>
      </c>
      <c r="S74" s="136">
        <v>1006.65</v>
      </c>
      <c r="T74" s="136">
        <v>481.95</v>
      </c>
      <c r="U74" s="136">
        <v>780.9</v>
      </c>
      <c r="V74" s="136">
        <v>797.15</v>
      </c>
      <c r="W74" s="72">
        <v>845.5</v>
      </c>
      <c r="X74" s="72">
        <v>830</v>
      </c>
      <c r="Y74" s="72">
        <v>700</v>
      </c>
      <c r="Z74" s="72">
        <v>700</v>
      </c>
      <c r="AA74" s="72">
        <v>700</v>
      </c>
      <c r="AB74" s="72">
        <v>700</v>
      </c>
      <c r="AC74" s="137">
        <f t="shared" si="21"/>
        <v>9698.6899999999987</v>
      </c>
      <c r="AD74" s="72">
        <f t="shared" si="22"/>
        <v>-2642.6899999999987</v>
      </c>
      <c r="AE74" s="192">
        <f t="shared" si="23"/>
        <v>-0.27247906676056244</v>
      </c>
      <c r="AF74" s="133">
        <v>8447.43</v>
      </c>
      <c r="AG74" s="124">
        <f t="shared" si="15"/>
        <v>1391.4300000000003</v>
      </c>
    </row>
    <row r="75" spans="1:33">
      <c r="A75" s="105" t="s">
        <v>217</v>
      </c>
      <c r="B75" s="105" t="s">
        <v>615</v>
      </c>
      <c r="C75" s="105" t="s">
        <v>218</v>
      </c>
      <c r="D75" s="72">
        <v>1000</v>
      </c>
      <c r="E75" s="72">
        <v>1000</v>
      </c>
      <c r="F75" s="72">
        <v>1000</v>
      </c>
      <c r="G75" s="72">
        <v>1000</v>
      </c>
      <c r="H75" s="72">
        <v>1000</v>
      </c>
      <c r="I75" s="72">
        <v>1000</v>
      </c>
      <c r="J75" s="72">
        <v>1000</v>
      </c>
      <c r="K75" s="72">
        <v>1000</v>
      </c>
      <c r="L75" s="72">
        <v>1000</v>
      </c>
      <c r="M75" s="72">
        <v>1000</v>
      </c>
      <c r="N75" s="72">
        <v>1000</v>
      </c>
      <c r="O75" s="72">
        <v>1000</v>
      </c>
      <c r="P75" s="200">
        <f t="shared" si="20"/>
        <v>12000</v>
      </c>
      <c r="Q75" s="136">
        <v>427</v>
      </c>
      <c r="R75" s="136">
        <v>427</v>
      </c>
      <c r="S75" s="136">
        <v>-2207</v>
      </c>
      <c r="T75" s="136">
        <v>2632.44</v>
      </c>
      <c r="U75" s="136">
        <v>2427</v>
      </c>
      <c r="V75" s="136">
        <v>2898.29</v>
      </c>
      <c r="W75" s="72">
        <v>3409</v>
      </c>
      <c r="X75" s="72">
        <v>2789</v>
      </c>
      <c r="Y75" s="72">
        <v>3000</v>
      </c>
      <c r="Z75" s="72">
        <v>500</v>
      </c>
      <c r="AA75" s="72">
        <v>500</v>
      </c>
      <c r="AB75" s="72">
        <v>500</v>
      </c>
      <c r="AC75" s="137">
        <f t="shared" si="21"/>
        <v>17302.73</v>
      </c>
      <c r="AD75" s="72">
        <f t="shared" si="22"/>
        <v>-5302.73</v>
      </c>
      <c r="AE75" s="192">
        <f t="shared" si="23"/>
        <v>-0.30646782328568956</v>
      </c>
      <c r="AF75" s="133">
        <v>-11956.130000000001</v>
      </c>
      <c r="AG75" s="124">
        <f t="shared" si="15"/>
        <v>-23956.13</v>
      </c>
    </row>
    <row r="76" spans="1:33">
      <c r="A76" s="105" t="s">
        <v>219</v>
      </c>
      <c r="B76" s="105" t="s">
        <v>615</v>
      </c>
      <c r="C76" s="105" t="s">
        <v>220</v>
      </c>
      <c r="D76" s="72">
        <v>0</v>
      </c>
      <c r="E76" s="72">
        <v>0</v>
      </c>
      <c r="F76" s="72">
        <v>10000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10000</v>
      </c>
      <c r="N76" s="72">
        <v>0</v>
      </c>
      <c r="O76" s="72">
        <v>0</v>
      </c>
      <c r="P76" s="200">
        <f t="shared" si="20"/>
        <v>20000</v>
      </c>
      <c r="Q76" s="136">
        <v>0</v>
      </c>
      <c r="R76" s="136">
        <v>0</v>
      </c>
      <c r="S76" s="136">
        <v>0</v>
      </c>
      <c r="T76" s="136">
        <v>0</v>
      </c>
      <c r="U76" s="136">
        <v>0</v>
      </c>
      <c r="V76" s="136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137">
        <f t="shared" si="21"/>
        <v>0</v>
      </c>
      <c r="AD76" s="72">
        <f t="shared" si="22"/>
        <v>20000</v>
      </c>
      <c r="AE76" s="192" t="e">
        <f t="shared" si="23"/>
        <v>#DIV/0!</v>
      </c>
      <c r="AF76" s="133">
        <v>8698</v>
      </c>
      <c r="AG76" s="124">
        <f t="shared" si="15"/>
        <v>-11302</v>
      </c>
    </row>
    <row r="77" spans="1:33">
      <c r="A77" s="105" t="s">
        <v>273</v>
      </c>
      <c r="C77" s="105" t="s">
        <v>459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200">
        <f t="shared" si="20"/>
        <v>0</v>
      </c>
      <c r="Q77" s="136">
        <v>0</v>
      </c>
      <c r="R77" s="136">
        <v>0</v>
      </c>
      <c r="S77" s="136">
        <v>0</v>
      </c>
      <c r="T77" s="136">
        <v>0</v>
      </c>
      <c r="U77" s="136">
        <v>0</v>
      </c>
      <c r="V77" s="136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137">
        <f t="shared" si="21"/>
        <v>0</v>
      </c>
      <c r="AD77" s="72">
        <f t="shared" si="22"/>
        <v>0</v>
      </c>
      <c r="AE77" s="192" t="e">
        <f t="shared" si="23"/>
        <v>#DIV/0!</v>
      </c>
      <c r="AF77" s="133">
        <v>0</v>
      </c>
      <c r="AG77" s="124">
        <f t="shared" si="15"/>
        <v>0</v>
      </c>
    </row>
    <row r="78" spans="1:33">
      <c r="A78" s="105" t="s">
        <v>221</v>
      </c>
      <c r="B78" s="105" t="s">
        <v>615</v>
      </c>
      <c r="C78" s="105" t="s">
        <v>222</v>
      </c>
      <c r="D78" s="72">
        <v>6000</v>
      </c>
      <c r="E78" s="72">
        <v>6000</v>
      </c>
      <c r="F78" s="72">
        <v>6000</v>
      </c>
      <c r="G78" s="72">
        <v>6000</v>
      </c>
      <c r="H78" s="72">
        <v>6000</v>
      </c>
      <c r="I78" s="72">
        <v>6000</v>
      </c>
      <c r="J78" s="72">
        <v>6000</v>
      </c>
      <c r="K78" s="72">
        <v>6000</v>
      </c>
      <c r="L78" s="72">
        <v>6000</v>
      </c>
      <c r="M78" s="72">
        <v>6000</v>
      </c>
      <c r="N78" s="72">
        <v>6000</v>
      </c>
      <c r="O78" s="72">
        <v>6000</v>
      </c>
      <c r="P78" s="200">
        <f t="shared" si="20"/>
        <v>72000</v>
      </c>
      <c r="Q78" s="136">
        <v>1830.19</v>
      </c>
      <c r="R78" s="136">
        <v>1830.19</v>
      </c>
      <c r="S78" s="136">
        <v>1830.19</v>
      </c>
      <c r="T78" s="136">
        <v>1830.19</v>
      </c>
      <c r="U78" s="136">
        <v>1810</v>
      </c>
      <c r="V78" s="136">
        <v>-1765.42</v>
      </c>
      <c r="W78" s="72">
        <v>1810</v>
      </c>
      <c r="X78" s="72">
        <v>2064.66</v>
      </c>
      <c r="Y78" s="72">
        <v>1500</v>
      </c>
      <c r="Z78" s="72">
        <v>1500</v>
      </c>
      <c r="AA78" s="72">
        <v>1500</v>
      </c>
      <c r="AB78" s="72">
        <v>1500</v>
      </c>
      <c r="AC78" s="137">
        <f t="shared" si="21"/>
        <v>17240</v>
      </c>
      <c r="AD78" s="72">
        <f t="shared" si="22"/>
        <v>54760</v>
      </c>
      <c r="AE78" s="192">
        <f t="shared" si="23"/>
        <v>3.1763341067285382</v>
      </c>
      <c r="AF78" s="133">
        <v>42274.390000000007</v>
      </c>
      <c r="AG78" s="124">
        <f t="shared" si="15"/>
        <v>-29725.609999999993</v>
      </c>
    </row>
    <row r="79" spans="1:33">
      <c r="A79" s="105" t="s">
        <v>505</v>
      </c>
      <c r="B79" s="105" t="s">
        <v>615</v>
      </c>
      <c r="C79" s="105" t="s">
        <v>506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135">
        <f>SUM(D79:O79)</f>
        <v>0</v>
      </c>
      <c r="Q79" s="136"/>
      <c r="R79" s="136"/>
      <c r="S79" s="136"/>
      <c r="T79" s="136"/>
      <c r="U79" s="136"/>
      <c r="V79" s="136"/>
      <c r="W79" s="72">
        <v>0</v>
      </c>
      <c r="X79" s="72">
        <v>0</v>
      </c>
      <c r="Y79" s="72">
        <v>0</v>
      </c>
      <c r="Z79" s="72">
        <v>0</v>
      </c>
      <c r="AA79" s="72">
        <v>0</v>
      </c>
      <c r="AB79" s="72">
        <v>0</v>
      </c>
      <c r="AC79" s="137">
        <f t="shared" si="21"/>
        <v>0</v>
      </c>
      <c r="AD79" s="72">
        <f t="shared" si="22"/>
        <v>0</v>
      </c>
      <c r="AE79" s="192" t="e">
        <f t="shared" si="23"/>
        <v>#DIV/0!</v>
      </c>
      <c r="AF79" s="133">
        <v>0</v>
      </c>
      <c r="AG79" s="124">
        <f t="shared" si="15"/>
        <v>0</v>
      </c>
    </row>
    <row r="80" spans="1:33">
      <c r="C80" s="109" t="s">
        <v>507</v>
      </c>
      <c r="D80" s="137">
        <f t="shared" ref="D80:O80" si="26">SUM(D38:D79)</f>
        <v>32039.24</v>
      </c>
      <c r="E80" s="137">
        <f t="shared" si="26"/>
        <v>25992.5</v>
      </c>
      <c r="F80" s="137">
        <f t="shared" si="26"/>
        <v>36208.5</v>
      </c>
      <c r="G80" s="137">
        <f t="shared" si="26"/>
        <v>27873.43</v>
      </c>
      <c r="H80" s="137">
        <f t="shared" si="26"/>
        <v>29076.15</v>
      </c>
      <c r="I80" s="137">
        <f t="shared" si="26"/>
        <v>25436.5</v>
      </c>
      <c r="J80" s="137">
        <f t="shared" si="26"/>
        <v>26584.5</v>
      </c>
      <c r="K80" s="137">
        <f t="shared" si="26"/>
        <v>26603.5</v>
      </c>
      <c r="L80" s="137">
        <f t="shared" si="26"/>
        <v>24538.5</v>
      </c>
      <c r="M80" s="137">
        <f t="shared" si="26"/>
        <v>40736.770000000004</v>
      </c>
      <c r="N80" s="137">
        <f t="shared" si="26"/>
        <v>26444.5</v>
      </c>
      <c r="O80" s="137">
        <f t="shared" si="26"/>
        <v>26424.5</v>
      </c>
      <c r="P80" s="135">
        <f>SUM(P38:P79)</f>
        <v>347958.58999999997</v>
      </c>
      <c r="Q80" s="137">
        <f t="shared" ref="Q80:AC80" si="27">SUM(Q38:Q79)</f>
        <v>98361.050000000017</v>
      </c>
      <c r="R80" s="137">
        <f t="shared" si="27"/>
        <v>112543.99000000002</v>
      </c>
      <c r="S80" s="137">
        <f t="shared" si="27"/>
        <v>65934.490000000005</v>
      </c>
      <c r="T80" s="137">
        <f t="shared" si="27"/>
        <v>103575.71000000002</v>
      </c>
      <c r="U80" s="137">
        <f t="shared" si="27"/>
        <v>49209.45</v>
      </c>
      <c r="V80" s="137">
        <f t="shared" si="27"/>
        <v>46378.210000000006</v>
      </c>
      <c r="W80" s="137">
        <f t="shared" si="27"/>
        <v>25619.78</v>
      </c>
      <c r="X80" s="137">
        <f t="shared" si="27"/>
        <v>21694.49</v>
      </c>
      <c r="Y80" s="137">
        <f t="shared" si="27"/>
        <v>9752</v>
      </c>
      <c r="Z80" s="137">
        <f t="shared" si="27"/>
        <v>7287</v>
      </c>
      <c r="AA80" s="137">
        <f t="shared" si="27"/>
        <v>6783</v>
      </c>
      <c r="AB80" s="137">
        <f t="shared" si="27"/>
        <v>6842</v>
      </c>
      <c r="AC80" s="137">
        <f t="shared" si="27"/>
        <v>553981.16999999993</v>
      </c>
      <c r="AD80" s="72">
        <f t="shared" si="22"/>
        <v>-206022.57999999996</v>
      </c>
      <c r="AE80" s="192">
        <f t="shared" si="23"/>
        <v>-0.37189455374448915</v>
      </c>
      <c r="AF80" s="133">
        <v>129779.36000000002</v>
      </c>
      <c r="AG80" s="124">
        <f t="shared" si="15"/>
        <v>-218179.22999999995</v>
      </c>
    </row>
    <row r="81" spans="1:33">
      <c r="C81" s="109" t="s">
        <v>599</v>
      </c>
      <c r="D81" s="137">
        <f t="shared" ref="D81:AC81" si="28">D27-D33-D35-D80</f>
        <v>-329966.90000000002</v>
      </c>
      <c r="E81" s="137">
        <f t="shared" si="28"/>
        <v>-287653.20999999996</v>
      </c>
      <c r="F81" s="137">
        <f t="shared" si="28"/>
        <v>-300477.02</v>
      </c>
      <c r="G81" s="137">
        <f t="shared" si="28"/>
        <v>-303838.77</v>
      </c>
      <c r="H81" s="137">
        <f t="shared" si="28"/>
        <v>-317115.30000000005</v>
      </c>
      <c r="I81" s="137">
        <f t="shared" si="28"/>
        <v>-293178.69</v>
      </c>
      <c r="J81" s="137">
        <f t="shared" si="28"/>
        <v>-295817.44</v>
      </c>
      <c r="K81" s="137">
        <f t="shared" si="28"/>
        <v>-295670.49</v>
      </c>
      <c r="L81" s="137">
        <f t="shared" si="28"/>
        <v>-293738.49</v>
      </c>
      <c r="M81" s="137">
        <f t="shared" si="28"/>
        <v>-346667.19000000006</v>
      </c>
      <c r="N81" s="137">
        <f t="shared" si="28"/>
        <v>-295508.38</v>
      </c>
      <c r="O81" s="137">
        <f t="shared" si="28"/>
        <v>-295214.43</v>
      </c>
      <c r="P81" s="135">
        <f t="shared" si="28"/>
        <v>-3654846.3100000005</v>
      </c>
      <c r="Q81" s="137">
        <f t="shared" si="28"/>
        <v>-400597.84000000008</v>
      </c>
      <c r="R81" s="137">
        <f t="shared" si="28"/>
        <v>-460176.51</v>
      </c>
      <c r="S81" s="137">
        <f t="shared" si="28"/>
        <v>-316468.43</v>
      </c>
      <c r="T81" s="137">
        <f t="shared" si="28"/>
        <v>-337786.5</v>
      </c>
      <c r="U81" s="137">
        <f t="shared" si="28"/>
        <v>-263094.21000000002</v>
      </c>
      <c r="V81" s="137">
        <f t="shared" si="28"/>
        <v>-293713.09000000003</v>
      </c>
      <c r="W81" s="137">
        <f t="shared" si="28"/>
        <v>-269470.01</v>
      </c>
      <c r="X81" s="137">
        <f t="shared" si="28"/>
        <v>-287992.76999999996</v>
      </c>
      <c r="Y81" s="137">
        <f t="shared" si="28"/>
        <v>-328048.5</v>
      </c>
      <c r="Z81" s="137">
        <f t="shared" si="28"/>
        <v>-350046.5</v>
      </c>
      <c r="AA81" s="137">
        <f t="shared" si="28"/>
        <v>-313189.5</v>
      </c>
      <c r="AB81" s="137">
        <f t="shared" si="28"/>
        <v>-313450.5</v>
      </c>
      <c r="AC81" s="137">
        <f t="shared" si="28"/>
        <v>-3934034.36</v>
      </c>
      <c r="AD81" s="72">
        <f t="shared" si="22"/>
        <v>279188.04999999935</v>
      </c>
      <c r="AE81" s="192">
        <f t="shared" si="23"/>
        <v>-7.0967364402988939E-2</v>
      </c>
      <c r="AF81" s="133">
        <v>-4343041.7600000007</v>
      </c>
      <c r="AG81" s="124">
        <f>P81-AF81</f>
        <v>688195.45000000019</v>
      </c>
    </row>
    <row r="82" spans="1:33">
      <c r="C82" s="109" t="s">
        <v>509</v>
      </c>
      <c r="D82" s="213" t="e">
        <f t="shared" ref="D82:AC82" si="29">D81/D27</f>
        <v>#DIV/0!</v>
      </c>
      <c r="E82" s="213" t="e">
        <f t="shared" si="29"/>
        <v>#DIV/0!</v>
      </c>
      <c r="F82" s="213" t="e">
        <f t="shared" si="29"/>
        <v>#DIV/0!</v>
      </c>
      <c r="G82" s="213" t="e">
        <f t="shared" si="29"/>
        <v>#DIV/0!</v>
      </c>
      <c r="H82" s="213" t="e">
        <f t="shared" si="29"/>
        <v>#DIV/0!</v>
      </c>
      <c r="I82" s="213" t="e">
        <f t="shared" si="29"/>
        <v>#DIV/0!</v>
      </c>
      <c r="J82" s="213" t="e">
        <f t="shared" si="29"/>
        <v>#DIV/0!</v>
      </c>
      <c r="K82" s="213" t="e">
        <f t="shared" si="29"/>
        <v>#DIV/0!</v>
      </c>
      <c r="L82" s="213" t="e">
        <f t="shared" si="29"/>
        <v>#DIV/0!</v>
      </c>
      <c r="M82" s="213" t="e">
        <f t="shared" si="29"/>
        <v>#DIV/0!</v>
      </c>
      <c r="N82" s="213" t="e">
        <f t="shared" si="29"/>
        <v>#DIV/0!</v>
      </c>
      <c r="O82" s="213" t="e">
        <f t="shared" si="29"/>
        <v>#DIV/0!</v>
      </c>
      <c r="P82" s="213" t="e">
        <f t="shared" si="29"/>
        <v>#DIV/0!</v>
      </c>
      <c r="Q82" s="213" t="e">
        <f t="shared" si="29"/>
        <v>#DIV/0!</v>
      </c>
      <c r="R82" s="213" t="e">
        <f t="shared" si="29"/>
        <v>#DIV/0!</v>
      </c>
      <c r="S82" s="213" t="e">
        <f t="shared" si="29"/>
        <v>#DIV/0!</v>
      </c>
      <c r="T82" s="213" t="e">
        <f t="shared" si="29"/>
        <v>#DIV/0!</v>
      </c>
      <c r="U82" s="213" t="e">
        <f t="shared" si="29"/>
        <v>#DIV/0!</v>
      </c>
      <c r="V82" s="213" t="e">
        <f t="shared" si="29"/>
        <v>#DIV/0!</v>
      </c>
      <c r="W82" s="213" t="e">
        <f t="shared" si="29"/>
        <v>#DIV/0!</v>
      </c>
      <c r="X82" s="213" t="e">
        <f t="shared" si="29"/>
        <v>#DIV/0!</v>
      </c>
      <c r="Y82" s="213" t="e">
        <f t="shared" si="29"/>
        <v>#DIV/0!</v>
      </c>
      <c r="Z82" s="213" t="e">
        <f t="shared" si="29"/>
        <v>#DIV/0!</v>
      </c>
      <c r="AA82" s="213" t="e">
        <f t="shared" si="29"/>
        <v>#DIV/0!</v>
      </c>
      <c r="AB82" s="213" t="e">
        <f t="shared" si="29"/>
        <v>#DIV/0!</v>
      </c>
      <c r="AC82" s="213" t="e">
        <f t="shared" si="29"/>
        <v>#DIV/0!</v>
      </c>
      <c r="AD82" s="72" t="e">
        <f t="shared" si="22"/>
        <v>#DIV/0!</v>
      </c>
      <c r="AE82" s="192" t="e">
        <f t="shared" si="23"/>
        <v>#DIV/0!</v>
      </c>
      <c r="AF82" s="133" t="e">
        <v>#DIV/0!</v>
      </c>
      <c r="AG82" s="124" t="e">
        <f>P82-AF82</f>
        <v>#DIV/0!</v>
      </c>
    </row>
    <row r="83" spans="1:33">
      <c r="C83" s="105" t="s">
        <v>154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136"/>
      <c r="AF83" s="133"/>
      <c r="AG83" s="123"/>
    </row>
    <row r="84" spans="1:33">
      <c r="C84" s="109" t="s">
        <v>460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7"/>
      <c r="AD84" s="136"/>
      <c r="AF84" s="133"/>
      <c r="AG84" s="123"/>
    </row>
    <row r="85" spans="1:33">
      <c r="A85" s="105" t="s">
        <v>510</v>
      </c>
      <c r="B85" s="105" t="s">
        <v>615</v>
      </c>
      <c r="C85" s="105" t="s">
        <v>481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>
        <f>SUM(D85:O85)</f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0</v>
      </c>
      <c r="V85" s="136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37">
        <f>SUM(Q85:AB85)</f>
        <v>0</v>
      </c>
      <c r="AD85" s="72">
        <f t="shared" ref="AD85:AD90" si="30">P85-AC85</f>
        <v>0</v>
      </c>
      <c r="AE85" s="192" t="e">
        <f t="shared" ref="AE85:AE90" si="31">AD85/AC85</f>
        <v>#DIV/0!</v>
      </c>
      <c r="AF85" s="133">
        <v>0</v>
      </c>
      <c r="AG85" s="124">
        <f t="shared" ref="AG85:AG98" si="32">P85-AF85</f>
        <v>0</v>
      </c>
    </row>
    <row r="86" spans="1:33">
      <c r="A86" s="105" t="s">
        <v>511</v>
      </c>
      <c r="B86" s="105" t="s">
        <v>615</v>
      </c>
      <c r="C86" s="105" t="s">
        <v>483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>
        <f>SUM(D86:O86)</f>
        <v>0</v>
      </c>
      <c r="Q86" s="136">
        <v>0</v>
      </c>
      <c r="R86" s="136">
        <v>0</v>
      </c>
      <c r="S86" s="136">
        <v>0</v>
      </c>
      <c r="T86" s="136">
        <v>0</v>
      </c>
      <c r="U86" s="136">
        <v>0</v>
      </c>
      <c r="V86" s="136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137">
        <f>SUM(Q86:AB86)</f>
        <v>0</v>
      </c>
      <c r="AD86" s="72">
        <f t="shared" si="30"/>
        <v>0</v>
      </c>
      <c r="AE86" s="192" t="e">
        <f t="shared" si="31"/>
        <v>#DIV/0!</v>
      </c>
      <c r="AF86" s="133">
        <v>0</v>
      </c>
      <c r="AG86" s="124">
        <f t="shared" si="32"/>
        <v>0</v>
      </c>
    </row>
    <row r="87" spans="1:33">
      <c r="A87" s="105" t="s">
        <v>512</v>
      </c>
      <c r="B87" s="105" t="s">
        <v>615</v>
      </c>
      <c r="C87" s="105" t="s">
        <v>485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>
        <f>SUM(D87:O87)</f>
        <v>0</v>
      </c>
      <c r="Q87" s="136">
        <v>0</v>
      </c>
      <c r="R87" s="136">
        <v>0</v>
      </c>
      <c r="S87" s="136">
        <v>0</v>
      </c>
      <c r="T87" s="136">
        <v>0</v>
      </c>
      <c r="U87" s="136">
        <v>0</v>
      </c>
      <c r="V87" s="136">
        <v>0</v>
      </c>
      <c r="W87" s="72">
        <v>0</v>
      </c>
      <c r="X87" s="72">
        <v>0</v>
      </c>
      <c r="Y87" s="72">
        <v>0</v>
      </c>
      <c r="Z87" s="72">
        <v>0</v>
      </c>
      <c r="AA87" s="72">
        <v>0</v>
      </c>
      <c r="AB87" s="72">
        <v>0</v>
      </c>
      <c r="AC87" s="137">
        <f>SUM(Q87:AB87)</f>
        <v>0</v>
      </c>
      <c r="AD87" s="72">
        <f t="shared" si="30"/>
        <v>0</v>
      </c>
      <c r="AE87" s="192" t="e">
        <f t="shared" si="31"/>
        <v>#DIV/0!</v>
      </c>
      <c r="AF87" s="133">
        <v>0</v>
      </c>
      <c r="AG87" s="124">
        <f t="shared" si="32"/>
        <v>0</v>
      </c>
    </row>
    <row r="88" spans="1:33">
      <c r="A88" s="105" t="s">
        <v>513</v>
      </c>
      <c r="B88" s="105" t="s">
        <v>615</v>
      </c>
      <c r="C88" s="105" t="s">
        <v>487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>
        <f>SUM(D88:O88)</f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37">
        <f>SUM(Q88:AB88)</f>
        <v>0</v>
      </c>
      <c r="AD88" s="72">
        <f t="shared" si="30"/>
        <v>0</v>
      </c>
      <c r="AE88" s="192" t="e">
        <f t="shared" si="31"/>
        <v>#DIV/0!</v>
      </c>
      <c r="AF88" s="133">
        <v>0</v>
      </c>
      <c r="AG88" s="124">
        <f t="shared" si="32"/>
        <v>0</v>
      </c>
    </row>
    <row r="89" spans="1:33">
      <c r="A89" s="105" t="s">
        <v>514</v>
      </c>
      <c r="B89" s="105" t="s">
        <v>615</v>
      </c>
      <c r="C89" s="105" t="s">
        <v>489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>
        <f>SUM(D89:O89)</f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37">
        <f>SUM(Q89:AB89)</f>
        <v>0</v>
      </c>
      <c r="AD89" s="72">
        <f t="shared" si="30"/>
        <v>0</v>
      </c>
      <c r="AE89" s="192" t="e">
        <f t="shared" si="31"/>
        <v>#DIV/0!</v>
      </c>
      <c r="AF89" s="133">
        <v>0</v>
      </c>
      <c r="AG89" s="124">
        <f t="shared" si="32"/>
        <v>0</v>
      </c>
    </row>
    <row r="90" spans="1:33">
      <c r="C90" s="109" t="s">
        <v>462</v>
      </c>
      <c r="D90" s="137">
        <f t="shared" ref="D90:AC90" si="33">SUM(D85:D89)</f>
        <v>0</v>
      </c>
      <c r="E90" s="137">
        <f t="shared" si="33"/>
        <v>0</v>
      </c>
      <c r="F90" s="137">
        <f t="shared" si="33"/>
        <v>0</v>
      </c>
      <c r="G90" s="137">
        <f t="shared" si="33"/>
        <v>0</v>
      </c>
      <c r="H90" s="137">
        <f t="shared" si="33"/>
        <v>0</v>
      </c>
      <c r="I90" s="137">
        <f t="shared" si="33"/>
        <v>0</v>
      </c>
      <c r="J90" s="137">
        <f t="shared" si="33"/>
        <v>0</v>
      </c>
      <c r="K90" s="137">
        <f t="shared" si="33"/>
        <v>0</v>
      </c>
      <c r="L90" s="137">
        <f t="shared" si="33"/>
        <v>0</v>
      </c>
      <c r="M90" s="137">
        <f t="shared" si="33"/>
        <v>0</v>
      </c>
      <c r="N90" s="137">
        <f t="shared" si="33"/>
        <v>0</v>
      </c>
      <c r="O90" s="137">
        <f t="shared" si="33"/>
        <v>0</v>
      </c>
      <c r="P90" s="137">
        <f t="shared" si="33"/>
        <v>0</v>
      </c>
      <c r="Q90" s="137">
        <f t="shared" si="33"/>
        <v>0</v>
      </c>
      <c r="R90" s="137">
        <f t="shared" si="33"/>
        <v>0</v>
      </c>
      <c r="S90" s="137">
        <f t="shared" si="33"/>
        <v>0</v>
      </c>
      <c r="T90" s="137">
        <f t="shared" si="33"/>
        <v>0</v>
      </c>
      <c r="U90" s="137">
        <f t="shared" si="33"/>
        <v>0</v>
      </c>
      <c r="V90" s="137">
        <f t="shared" si="33"/>
        <v>0</v>
      </c>
      <c r="W90" s="137">
        <f t="shared" si="33"/>
        <v>0</v>
      </c>
      <c r="X90" s="137">
        <f t="shared" si="33"/>
        <v>0</v>
      </c>
      <c r="Y90" s="137">
        <f t="shared" si="33"/>
        <v>0</v>
      </c>
      <c r="Z90" s="137">
        <f t="shared" si="33"/>
        <v>0</v>
      </c>
      <c r="AA90" s="137">
        <f t="shared" si="33"/>
        <v>0</v>
      </c>
      <c r="AB90" s="137">
        <f t="shared" si="33"/>
        <v>0</v>
      </c>
      <c r="AC90" s="137">
        <f t="shared" si="33"/>
        <v>0</v>
      </c>
      <c r="AD90" s="72">
        <f t="shared" si="30"/>
        <v>0</v>
      </c>
      <c r="AE90" s="192" t="e">
        <f t="shared" si="31"/>
        <v>#DIV/0!</v>
      </c>
      <c r="AF90" s="133">
        <v>0</v>
      </c>
      <c r="AG90" s="124">
        <f t="shared" si="32"/>
        <v>0</v>
      </c>
    </row>
    <row r="91" spans="1:33">
      <c r="C91" s="105" t="s">
        <v>154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7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7"/>
      <c r="AD91" s="136"/>
      <c r="AF91" s="133"/>
      <c r="AG91" s="124">
        <f t="shared" si="32"/>
        <v>0</v>
      </c>
    </row>
    <row r="92" spans="1:33">
      <c r="C92" s="109" t="s">
        <v>515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7"/>
      <c r="AD92" s="136"/>
      <c r="AF92" s="133"/>
      <c r="AG92" s="124">
        <f t="shared" si="32"/>
        <v>0</v>
      </c>
    </row>
    <row r="93" spans="1:33">
      <c r="C93" s="105" t="s">
        <v>481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 t="e">
        <f t="shared" ref="P93:AB98" si="34">P9/P85</f>
        <v>#DIV/0!</v>
      </c>
      <c r="Q93" s="136" t="e">
        <f t="shared" si="34"/>
        <v>#DIV/0!</v>
      </c>
      <c r="R93" s="136" t="e">
        <f t="shared" si="34"/>
        <v>#DIV/0!</v>
      </c>
      <c r="S93" s="136" t="e">
        <f t="shared" si="34"/>
        <v>#DIV/0!</v>
      </c>
      <c r="T93" s="136" t="e">
        <f t="shared" si="34"/>
        <v>#DIV/0!</v>
      </c>
      <c r="U93" s="136" t="e">
        <f t="shared" si="34"/>
        <v>#DIV/0!</v>
      </c>
      <c r="V93" s="136" t="e">
        <f t="shared" si="34"/>
        <v>#DIV/0!</v>
      </c>
      <c r="W93" s="72" t="e">
        <v>#DIV/0!</v>
      </c>
      <c r="X93" s="72" t="e">
        <v>#DIV/0!</v>
      </c>
      <c r="Y93" s="72">
        <v>0</v>
      </c>
      <c r="Z93" s="72">
        <v>0</v>
      </c>
      <c r="AA93" s="72">
        <v>0</v>
      </c>
      <c r="AB93" s="72">
        <v>0</v>
      </c>
      <c r="AC93" s="137" t="e">
        <f t="shared" ref="AC93:AC98" si="35">AC9/AC85</f>
        <v>#DIV/0!</v>
      </c>
      <c r="AD93" s="72" t="e">
        <f t="shared" ref="AD93:AD98" si="36">P93-AC93</f>
        <v>#DIV/0!</v>
      </c>
      <c r="AE93" s="192" t="e">
        <f t="shared" ref="AE93:AE98" si="37">AD93/AC93</f>
        <v>#DIV/0!</v>
      </c>
      <c r="AF93" s="133" t="e">
        <v>#DIV/0!</v>
      </c>
      <c r="AG93" s="124" t="e">
        <f t="shared" si="32"/>
        <v>#DIV/0!</v>
      </c>
    </row>
    <row r="94" spans="1:33">
      <c r="C94" s="105" t="s">
        <v>483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 t="e">
        <f t="shared" si="34"/>
        <v>#DIV/0!</v>
      </c>
      <c r="Q94" s="136" t="e">
        <f t="shared" si="34"/>
        <v>#DIV/0!</v>
      </c>
      <c r="R94" s="136" t="e">
        <f t="shared" si="34"/>
        <v>#DIV/0!</v>
      </c>
      <c r="S94" s="136" t="e">
        <f t="shared" si="34"/>
        <v>#DIV/0!</v>
      </c>
      <c r="T94" s="136" t="e">
        <f t="shared" si="34"/>
        <v>#DIV/0!</v>
      </c>
      <c r="U94" s="136" t="e">
        <f t="shared" si="34"/>
        <v>#DIV/0!</v>
      </c>
      <c r="V94" s="136" t="e">
        <f t="shared" si="34"/>
        <v>#DIV/0!</v>
      </c>
      <c r="W94" s="72" t="e">
        <v>#DIV/0!</v>
      </c>
      <c r="X94" s="72" t="e">
        <v>#DIV/0!</v>
      </c>
      <c r="Y94" s="72">
        <v>0</v>
      </c>
      <c r="Z94" s="72">
        <v>0</v>
      </c>
      <c r="AA94" s="72">
        <v>0</v>
      </c>
      <c r="AB94" s="72">
        <v>0</v>
      </c>
      <c r="AC94" s="137" t="e">
        <f t="shared" si="35"/>
        <v>#DIV/0!</v>
      </c>
      <c r="AD94" s="72" t="e">
        <f t="shared" si="36"/>
        <v>#DIV/0!</v>
      </c>
      <c r="AE94" s="192" t="e">
        <f t="shared" si="37"/>
        <v>#DIV/0!</v>
      </c>
      <c r="AF94" s="133" t="e">
        <v>#DIV/0!</v>
      </c>
      <c r="AG94" s="124" t="e">
        <f t="shared" si="32"/>
        <v>#DIV/0!</v>
      </c>
    </row>
    <row r="95" spans="1:33">
      <c r="C95" s="105" t="s">
        <v>485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 t="e">
        <f t="shared" si="34"/>
        <v>#DIV/0!</v>
      </c>
      <c r="Q95" s="136" t="e">
        <f t="shared" si="34"/>
        <v>#DIV/0!</v>
      </c>
      <c r="R95" s="136" t="e">
        <f t="shared" si="34"/>
        <v>#DIV/0!</v>
      </c>
      <c r="S95" s="136" t="e">
        <f t="shared" si="34"/>
        <v>#DIV/0!</v>
      </c>
      <c r="T95" s="136" t="e">
        <f t="shared" si="34"/>
        <v>#DIV/0!</v>
      </c>
      <c r="U95" s="136" t="e">
        <f t="shared" si="34"/>
        <v>#DIV/0!</v>
      </c>
      <c r="V95" s="136" t="e">
        <f t="shared" si="34"/>
        <v>#DIV/0!</v>
      </c>
      <c r="W95" s="72" t="e">
        <v>#DIV/0!</v>
      </c>
      <c r="X95" s="72" t="e">
        <v>#DIV/0!</v>
      </c>
      <c r="Y95" s="72">
        <v>0</v>
      </c>
      <c r="Z95" s="72">
        <v>0</v>
      </c>
      <c r="AA95" s="72">
        <v>0</v>
      </c>
      <c r="AB95" s="72">
        <v>0</v>
      </c>
      <c r="AC95" s="137" t="e">
        <f t="shared" si="35"/>
        <v>#DIV/0!</v>
      </c>
      <c r="AD95" s="72" t="e">
        <f t="shared" si="36"/>
        <v>#DIV/0!</v>
      </c>
      <c r="AE95" s="192" t="e">
        <f t="shared" si="37"/>
        <v>#DIV/0!</v>
      </c>
      <c r="AF95" s="133" t="e">
        <v>#DIV/0!</v>
      </c>
      <c r="AG95" s="124" t="e">
        <f t="shared" si="32"/>
        <v>#DIV/0!</v>
      </c>
    </row>
    <row r="96" spans="1:33">
      <c r="C96" s="105" t="s">
        <v>487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 t="e">
        <f t="shared" si="34"/>
        <v>#DIV/0!</v>
      </c>
      <c r="Q96" s="136" t="e">
        <f t="shared" si="34"/>
        <v>#DIV/0!</v>
      </c>
      <c r="R96" s="136" t="e">
        <f t="shared" si="34"/>
        <v>#DIV/0!</v>
      </c>
      <c r="S96" s="136" t="e">
        <f t="shared" si="34"/>
        <v>#DIV/0!</v>
      </c>
      <c r="T96" s="136" t="e">
        <f t="shared" si="34"/>
        <v>#DIV/0!</v>
      </c>
      <c r="U96" s="136" t="e">
        <f t="shared" si="34"/>
        <v>#DIV/0!</v>
      </c>
      <c r="V96" s="136" t="e">
        <f t="shared" si="34"/>
        <v>#DIV/0!</v>
      </c>
      <c r="W96" s="72" t="e">
        <v>#DIV/0!</v>
      </c>
      <c r="X96" s="72" t="e">
        <v>#DIV/0!</v>
      </c>
      <c r="Y96" s="72">
        <v>0</v>
      </c>
      <c r="Z96" s="72">
        <v>0</v>
      </c>
      <c r="AA96" s="72">
        <v>0</v>
      </c>
      <c r="AB96" s="72">
        <v>0</v>
      </c>
      <c r="AC96" s="137" t="e">
        <f t="shared" si="35"/>
        <v>#DIV/0!</v>
      </c>
      <c r="AD96" s="72" t="e">
        <f t="shared" si="36"/>
        <v>#DIV/0!</v>
      </c>
      <c r="AE96" s="192" t="e">
        <f t="shared" si="37"/>
        <v>#DIV/0!</v>
      </c>
      <c r="AF96" s="133" t="e">
        <v>#DIV/0!</v>
      </c>
      <c r="AG96" s="124" t="e">
        <f t="shared" si="32"/>
        <v>#DIV/0!</v>
      </c>
    </row>
    <row r="97" spans="1:33">
      <c r="C97" s="105" t="s">
        <v>489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 t="e">
        <f t="shared" si="34"/>
        <v>#DIV/0!</v>
      </c>
      <c r="Q97" s="136" t="e">
        <f t="shared" si="34"/>
        <v>#DIV/0!</v>
      </c>
      <c r="R97" s="136" t="e">
        <f t="shared" si="34"/>
        <v>#DIV/0!</v>
      </c>
      <c r="S97" s="136" t="e">
        <f t="shared" si="34"/>
        <v>#DIV/0!</v>
      </c>
      <c r="T97" s="136" t="e">
        <f t="shared" si="34"/>
        <v>#DIV/0!</v>
      </c>
      <c r="U97" s="136" t="e">
        <f t="shared" si="34"/>
        <v>#DIV/0!</v>
      </c>
      <c r="V97" s="136" t="e">
        <f t="shared" si="34"/>
        <v>#DIV/0!</v>
      </c>
      <c r="W97" s="72" t="e">
        <v>#DIV/0!</v>
      </c>
      <c r="X97" s="72" t="e">
        <v>#DIV/0!</v>
      </c>
      <c r="Y97" s="72">
        <v>0</v>
      </c>
      <c r="Z97" s="72">
        <v>0</v>
      </c>
      <c r="AA97" s="72">
        <v>0</v>
      </c>
      <c r="AB97" s="72">
        <v>0</v>
      </c>
      <c r="AC97" s="137" t="e">
        <f t="shared" si="35"/>
        <v>#DIV/0!</v>
      </c>
      <c r="AD97" s="72" t="e">
        <f t="shared" si="36"/>
        <v>#DIV/0!</v>
      </c>
      <c r="AE97" s="192" t="e">
        <f t="shared" si="37"/>
        <v>#DIV/0!</v>
      </c>
      <c r="AF97" s="133" t="e">
        <v>#DIV/0!</v>
      </c>
      <c r="AG97" s="124" t="e">
        <f t="shared" si="32"/>
        <v>#DIV/0!</v>
      </c>
    </row>
    <row r="98" spans="1:33">
      <c r="C98" s="109" t="s">
        <v>463</v>
      </c>
      <c r="D98" s="136" t="e">
        <f t="shared" ref="D98:O98" si="38">D14/D90</f>
        <v>#DIV/0!</v>
      </c>
      <c r="E98" s="136" t="e">
        <f t="shared" si="38"/>
        <v>#DIV/0!</v>
      </c>
      <c r="F98" s="136" t="e">
        <f t="shared" si="38"/>
        <v>#DIV/0!</v>
      </c>
      <c r="G98" s="136" t="e">
        <f t="shared" si="38"/>
        <v>#DIV/0!</v>
      </c>
      <c r="H98" s="136" t="e">
        <f t="shared" si="38"/>
        <v>#DIV/0!</v>
      </c>
      <c r="I98" s="136" t="e">
        <f t="shared" si="38"/>
        <v>#DIV/0!</v>
      </c>
      <c r="J98" s="136" t="e">
        <f t="shared" si="38"/>
        <v>#DIV/0!</v>
      </c>
      <c r="K98" s="136" t="e">
        <f t="shared" si="38"/>
        <v>#DIV/0!</v>
      </c>
      <c r="L98" s="136" t="e">
        <f t="shared" si="38"/>
        <v>#DIV/0!</v>
      </c>
      <c r="M98" s="136" t="e">
        <f t="shared" si="38"/>
        <v>#DIV/0!</v>
      </c>
      <c r="N98" s="136" t="e">
        <f t="shared" si="38"/>
        <v>#DIV/0!</v>
      </c>
      <c r="O98" s="136" t="e">
        <f t="shared" si="38"/>
        <v>#DIV/0!</v>
      </c>
      <c r="P98" s="137" t="e">
        <f t="shared" si="34"/>
        <v>#DIV/0!</v>
      </c>
      <c r="Q98" s="136" t="e">
        <f t="shared" si="34"/>
        <v>#DIV/0!</v>
      </c>
      <c r="R98" s="136" t="e">
        <f t="shared" si="34"/>
        <v>#DIV/0!</v>
      </c>
      <c r="S98" s="136" t="e">
        <f t="shared" si="34"/>
        <v>#DIV/0!</v>
      </c>
      <c r="T98" s="136" t="e">
        <f t="shared" si="34"/>
        <v>#DIV/0!</v>
      </c>
      <c r="U98" s="136" t="e">
        <f t="shared" si="34"/>
        <v>#DIV/0!</v>
      </c>
      <c r="V98" s="136" t="e">
        <f t="shared" si="34"/>
        <v>#DIV/0!</v>
      </c>
      <c r="W98" s="136" t="e">
        <f t="shared" si="34"/>
        <v>#DIV/0!</v>
      </c>
      <c r="X98" s="136" t="e">
        <f t="shared" si="34"/>
        <v>#DIV/0!</v>
      </c>
      <c r="Y98" s="136" t="e">
        <f t="shared" si="34"/>
        <v>#DIV/0!</v>
      </c>
      <c r="Z98" s="136" t="e">
        <f t="shared" si="34"/>
        <v>#DIV/0!</v>
      </c>
      <c r="AA98" s="136" t="e">
        <f t="shared" si="34"/>
        <v>#DIV/0!</v>
      </c>
      <c r="AB98" s="136" t="e">
        <f t="shared" si="34"/>
        <v>#DIV/0!</v>
      </c>
      <c r="AC98" s="137" t="e">
        <f t="shared" si="35"/>
        <v>#DIV/0!</v>
      </c>
      <c r="AD98" s="72" t="e">
        <f t="shared" si="36"/>
        <v>#DIV/0!</v>
      </c>
      <c r="AE98" s="192" t="e">
        <f t="shared" si="37"/>
        <v>#DIV/0!</v>
      </c>
      <c r="AF98" s="133" t="e">
        <v>#DIV/0!</v>
      </c>
      <c r="AG98" s="124" t="e">
        <f t="shared" si="32"/>
        <v>#DIV/0!</v>
      </c>
    </row>
    <row r="99" spans="1:33">
      <c r="C99" s="105" t="s">
        <v>154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7"/>
      <c r="AD99" s="136"/>
      <c r="AF99" s="133"/>
      <c r="AG99" s="123"/>
    </row>
    <row r="100" spans="1:33">
      <c r="C100" s="109" t="s">
        <v>516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7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7"/>
      <c r="AD100" s="136"/>
      <c r="AF100" s="133"/>
      <c r="AG100" s="123"/>
    </row>
    <row r="101" spans="1:33">
      <c r="C101" s="105" t="s">
        <v>517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7"/>
      <c r="AD101" s="136"/>
      <c r="AF101" s="133"/>
      <c r="AG101" s="123"/>
    </row>
    <row r="102" spans="1:33">
      <c r="A102" s="175" t="s">
        <v>248</v>
      </c>
      <c r="B102" s="105" t="s">
        <v>615</v>
      </c>
      <c r="C102" s="105" t="s">
        <v>250</v>
      </c>
      <c r="D102" s="215">
        <v>96752.5</v>
      </c>
      <c r="E102" s="136">
        <v>96752.5</v>
      </c>
      <c r="F102" s="136">
        <v>99213.56</v>
      </c>
      <c r="G102" s="136">
        <v>99213.56</v>
      </c>
      <c r="H102" s="136">
        <v>99213.56</v>
      </c>
      <c r="I102" s="136">
        <v>99213.56</v>
      </c>
      <c r="J102" s="136">
        <v>99213.56</v>
      </c>
      <c r="K102" s="136">
        <v>99213.56</v>
      </c>
      <c r="L102" s="136">
        <v>99213.56</v>
      </c>
      <c r="M102" s="136">
        <v>99213.56</v>
      </c>
      <c r="N102" s="136">
        <v>99213.56</v>
      </c>
      <c r="O102" s="136">
        <v>99213.56</v>
      </c>
      <c r="P102" s="135">
        <f>SUM(D102:O102)</f>
        <v>1185640.6000000003</v>
      </c>
      <c r="Q102" s="136">
        <v>104500</v>
      </c>
      <c r="R102" s="136">
        <v>131727.59</v>
      </c>
      <c r="S102" s="136">
        <v>83132.179999999993</v>
      </c>
      <c r="T102" s="136">
        <v>78517.27</v>
      </c>
      <c r="U102" s="136">
        <v>75000</v>
      </c>
      <c r="V102" s="136">
        <v>95000</v>
      </c>
      <c r="W102" s="72">
        <v>95000</v>
      </c>
      <c r="X102" s="72">
        <v>107206.9</v>
      </c>
      <c r="Y102" s="72">
        <v>124500</v>
      </c>
      <c r="Z102" s="72">
        <v>124500</v>
      </c>
      <c r="AA102" s="72">
        <v>124500</v>
      </c>
      <c r="AB102" s="72">
        <v>124500</v>
      </c>
      <c r="AC102" s="137">
        <f>SUM(Q102:AB102)</f>
        <v>1268083.94</v>
      </c>
      <c r="AD102" s="72">
        <f t="shared" ref="AD102:AD105" si="39">P102-AC102</f>
        <v>-82443.339999999618</v>
      </c>
      <c r="AE102" s="192">
        <f t="shared" ref="AE102:AE105" si="40">AD102/AC102</f>
        <v>-6.5014103088475064E-2</v>
      </c>
      <c r="AF102" s="133">
        <v>1478062.3399999996</v>
      </c>
      <c r="AG102" s="124">
        <f t="shared" ref="AG102:AG136" si="41">AF102-P102</f>
        <v>292421.73999999929</v>
      </c>
    </row>
    <row r="103" spans="1:33">
      <c r="A103" s="105" t="s">
        <v>273</v>
      </c>
      <c r="C103" s="105" t="s">
        <v>468</v>
      </c>
      <c r="D103" s="215">
        <v>44110</v>
      </c>
      <c r="E103" s="136">
        <v>44110</v>
      </c>
      <c r="F103" s="136">
        <v>44110</v>
      </c>
      <c r="G103" s="136">
        <v>44110</v>
      </c>
      <c r="H103" s="136">
        <v>44110</v>
      </c>
      <c r="I103" s="136">
        <v>44110</v>
      </c>
      <c r="J103" s="136">
        <v>44110</v>
      </c>
      <c r="K103" s="136">
        <v>44110</v>
      </c>
      <c r="L103" s="136">
        <v>44110</v>
      </c>
      <c r="M103" s="136">
        <v>44110</v>
      </c>
      <c r="N103" s="136">
        <v>44110</v>
      </c>
      <c r="O103" s="136">
        <v>44110</v>
      </c>
      <c r="P103" s="135">
        <f>SUM(D103:O103)</f>
        <v>529320</v>
      </c>
      <c r="Q103" s="136">
        <v>0</v>
      </c>
      <c r="R103" s="136">
        <v>0</v>
      </c>
      <c r="S103" s="136">
        <v>0</v>
      </c>
      <c r="T103" s="136">
        <v>0</v>
      </c>
      <c r="U103" s="136">
        <v>0</v>
      </c>
      <c r="V103" s="136">
        <v>0</v>
      </c>
      <c r="W103" s="72">
        <v>0</v>
      </c>
      <c r="X103" s="72">
        <v>0</v>
      </c>
      <c r="Y103" s="72">
        <v>0</v>
      </c>
      <c r="Z103" s="72">
        <v>0</v>
      </c>
      <c r="AA103" s="72">
        <v>0</v>
      </c>
      <c r="AB103" s="72">
        <v>0</v>
      </c>
      <c r="AC103" s="137">
        <f>SUM(Q103:AB103)</f>
        <v>0</v>
      </c>
      <c r="AD103" s="72">
        <f t="shared" si="39"/>
        <v>529320</v>
      </c>
      <c r="AE103" s="192" t="e">
        <f t="shared" si="40"/>
        <v>#DIV/0!</v>
      </c>
      <c r="AF103" s="133">
        <v>0</v>
      </c>
      <c r="AG103" s="124">
        <f t="shared" si="41"/>
        <v>-529320</v>
      </c>
    </row>
    <row r="104" spans="1:33">
      <c r="A104" s="105" t="s">
        <v>251</v>
      </c>
      <c r="B104" s="105" t="s">
        <v>615</v>
      </c>
      <c r="C104" s="105" t="s">
        <v>470</v>
      </c>
      <c r="D104" s="136">
        <v>0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5">
        <f>SUM(D104:O104)</f>
        <v>0</v>
      </c>
      <c r="Q104" s="136">
        <v>49800</v>
      </c>
      <c r="R104" s="136">
        <v>48255.16</v>
      </c>
      <c r="S104" s="136">
        <v>46641.38</v>
      </c>
      <c r="T104" s="136">
        <v>43511.16</v>
      </c>
      <c r="U104" s="136">
        <v>37768.959999999999</v>
      </c>
      <c r="V104" s="136">
        <v>39700</v>
      </c>
      <c r="W104" s="72">
        <v>42500</v>
      </c>
      <c r="X104" s="72">
        <v>42950.12</v>
      </c>
      <c r="Y104" s="72">
        <v>53727</v>
      </c>
      <c r="Z104" s="72">
        <v>53727</v>
      </c>
      <c r="AA104" s="72">
        <v>53727</v>
      </c>
      <c r="AB104" s="72">
        <v>53727</v>
      </c>
      <c r="AC104" s="137">
        <f>SUM(Q104:AB104)</f>
        <v>566034.78</v>
      </c>
      <c r="AD104" s="72">
        <f t="shared" si="39"/>
        <v>-566034.78</v>
      </c>
      <c r="AE104" s="192">
        <f t="shared" si="40"/>
        <v>-1</v>
      </c>
      <c r="AF104" s="133">
        <v>712088.83</v>
      </c>
      <c r="AG104" s="124">
        <f t="shared" si="41"/>
        <v>712088.83</v>
      </c>
    </row>
    <row r="105" spans="1:33">
      <c r="A105" s="105" t="s">
        <v>549</v>
      </c>
      <c r="C105" s="109" t="s">
        <v>520</v>
      </c>
      <c r="D105" s="137">
        <f t="shared" ref="D105:AC105" si="42">SUM(D102:D104)</f>
        <v>140862.5</v>
      </c>
      <c r="E105" s="137">
        <f t="shared" si="42"/>
        <v>140862.5</v>
      </c>
      <c r="F105" s="137">
        <f t="shared" si="42"/>
        <v>143323.56</v>
      </c>
      <c r="G105" s="137">
        <f t="shared" si="42"/>
        <v>143323.56</v>
      </c>
      <c r="H105" s="137">
        <f t="shared" si="42"/>
        <v>143323.56</v>
      </c>
      <c r="I105" s="137">
        <f t="shared" si="42"/>
        <v>143323.56</v>
      </c>
      <c r="J105" s="137">
        <f t="shared" si="42"/>
        <v>143323.56</v>
      </c>
      <c r="K105" s="137">
        <f t="shared" si="42"/>
        <v>143323.56</v>
      </c>
      <c r="L105" s="137">
        <f t="shared" si="42"/>
        <v>143323.56</v>
      </c>
      <c r="M105" s="137">
        <f t="shared" si="42"/>
        <v>143323.56</v>
      </c>
      <c r="N105" s="137">
        <f t="shared" si="42"/>
        <v>143323.56</v>
      </c>
      <c r="O105" s="137">
        <f t="shared" si="42"/>
        <v>143323.56</v>
      </c>
      <c r="P105" s="135">
        <f t="shared" si="42"/>
        <v>1714960.6000000003</v>
      </c>
      <c r="Q105" s="137">
        <f t="shared" si="42"/>
        <v>154300</v>
      </c>
      <c r="R105" s="137">
        <f t="shared" si="42"/>
        <v>179982.75</v>
      </c>
      <c r="S105" s="137">
        <f t="shared" si="42"/>
        <v>129773.56</v>
      </c>
      <c r="T105" s="137">
        <f t="shared" si="42"/>
        <v>122028.43000000001</v>
      </c>
      <c r="U105" s="137">
        <f t="shared" si="42"/>
        <v>112768.95999999999</v>
      </c>
      <c r="V105" s="137">
        <f t="shared" si="42"/>
        <v>134700</v>
      </c>
      <c r="W105" s="137">
        <f t="shared" si="42"/>
        <v>137500</v>
      </c>
      <c r="X105" s="137">
        <f t="shared" si="42"/>
        <v>150157.01999999999</v>
      </c>
      <c r="Y105" s="137">
        <f t="shared" si="42"/>
        <v>178227</v>
      </c>
      <c r="Z105" s="137">
        <f t="shared" si="42"/>
        <v>178227</v>
      </c>
      <c r="AA105" s="137">
        <f t="shared" si="42"/>
        <v>178227</v>
      </c>
      <c r="AB105" s="137">
        <f t="shared" si="42"/>
        <v>178227</v>
      </c>
      <c r="AC105" s="137">
        <f t="shared" si="42"/>
        <v>1834118.72</v>
      </c>
      <c r="AD105" s="72">
        <f t="shared" si="39"/>
        <v>-119158.11999999965</v>
      </c>
      <c r="AE105" s="192">
        <f t="shared" si="40"/>
        <v>-6.4967506574492434E-2</v>
      </c>
      <c r="AF105" s="133">
        <v>2190151.1699999995</v>
      </c>
      <c r="AG105" s="124">
        <f t="shared" si="41"/>
        <v>475190.56999999913</v>
      </c>
    </row>
    <row r="106" spans="1:33">
      <c r="A106" s="105" t="s">
        <v>273</v>
      </c>
      <c r="C106" s="105" t="s">
        <v>154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7"/>
      <c r="AD106" s="136"/>
      <c r="AF106" s="133"/>
      <c r="AG106" s="124">
        <f t="shared" si="41"/>
        <v>0</v>
      </c>
    </row>
    <row r="107" spans="1:33">
      <c r="A107" s="105" t="s">
        <v>119</v>
      </c>
      <c r="B107" s="105" t="s">
        <v>615</v>
      </c>
      <c r="C107" s="105" t="s">
        <v>260</v>
      </c>
      <c r="D107" s="215">
        <v>31737.950000000004</v>
      </c>
      <c r="E107" s="215">
        <v>0</v>
      </c>
      <c r="F107" s="215">
        <v>0</v>
      </c>
      <c r="G107" s="215">
        <v>7986.2100000000009</v>
      </c>
      <c r="H107" s="215">
        <v>18233.77</v>
      </c>
      <c r="I107" s="215">
        <v>0</v>
      </c>
      <c r="J107" s="215">
        <v>0</v>
      </c>
      <c r="K107" s="215">
        <v>0</v>
      </c>
      <c r="L107" s="215">
        <v>0</v>
      </c>
      <c r="M107" s="215">
        <v>32910.370000000003</v>
      </c>
      <c r="N107" s="215">
        <v>0</v>
      </c>
      <c r="O107" s="215">
        <v>0</v>
      </c>
      <c r="P107" s="135">
        <f>SUM(D107:O107)</f>
        <v>90868.300000000017</v>
      </c>
      <c r="Q107" s="136">
        <v>7420.77</v>
      </c>
      <c r="R107" s="136">
        <v>26629.49</v>
      </c>
      <c r="S107" s="136">
        <v>0</v>
      </c>
      <c r="T107" s="136">
        <v>5958.72</v>
      </c>
      <c r="U107" s="136">
        <v>7062.15</v>
      </c>
      <c r="V107" s="136">
        <v>6096.63</v>
      </c>
      <c r="W107" s="72">
        <v>0</v>
      </c>
      <c r="X107" s="72">
        <v>0</v>
      </c>
      <c r="Y107" s="72">
        <v>11184</v>
      </c>
      <c r="Z107" s="72">
        <v>33551</v>
      </c>
      <c r="AA107" s="72">
        <v>0</v>
      </c>
      <c r="AB107" s="72">
        <v>0</v>
      </c>
      <c r="AC107" s="137">
        <f>SUM(Q107:AB107)</f>
        <v>97902.760000000009</v>
      </c>
      <c r="AD107" s="72">
        <f t="shared" ref="AD107:AD112" si="43">P107-AC107</f>
        <v>-7034.4599999999919</v>
      </c>
      <c r="AE107" s="192">
        <f t="shared" ref="AE107:AE112" si="44">AD107/AC107</f>
        <v>-7.185149836429526E-2</v>
      </c>
      <c r="AF107" s="133">
        <v>110382.82</v>
      </c>
      <c r="AG107" s="124">
        <f t="shared" si="41"/>
        <v>19514.51999999999</v>
      </c>
    </row>
    <row r="108" spans="1:33">
      <c r="A108" s="105" t="s">
        <v>120</v>
      </c>
      <c r="B108" s="105" t="s">
        <v>615</v>
      </c>
      <c r="C108" s="105" t="s">
        <v>261</v>
      </c>
      <c r="D108" s="215">
        <v>25141.659999999996</v>
      </c>
      <c r="E108" s="215">
        <v>25141.659999999996</v>
      </c>
      <c r="F108" s="215">
        <v>25141.659999999996</v>
      </c>
      <c r="G108" s="215">
        <v>25891.659999999996</v>
      </c>
      <c r="H108" s="215">
        <v>25891.659999999996</v>
      </c>
      <c r="I108" s="215">
        <v>25891.659999999996</v>
      </c>
      <c r="J108" s="215">
        <v>25891.659999999996</v>
      </c>
      <c r="K108" s="215">
        <v>25891.659999999996</v>
      </c>
      <c r="L108" s="215">
        <v>25891.659999999996</v>
      </c>
      <c r="M108" s="215">
        <v>25891.659999999996</v>
      </c>
      <c r="N108" s="215">
        <v>25891.659999999996</v>
      </c>
      <c r="O108" s="215">
        <v>25891.659999999996</v>
      </c>
      <c r="P108" s="135">
        <f>SUM(D108:O108)</f>
        <v>308449.91999999998</v>
      </c>
      <c r="Q108" s="136">
        <v>38570.83</v>
      </c>
      <c r="R108" s="136">
        <v>38586.79</v>
      </c>
      <c r="S108" s="136">
        <v>32631.16</v>
      </c>
      <c r="T108" s="136">
        <v>17070.810000000001</v>
      </c>
      <c r="U108" s="136">
        <v>19118.599999999999</v>
      </c>
      <c r="V108" s="136">
        <v>22448.33</v>
      </c>
      <c r="W108" s="72">
        <v>22936.18</v>
      </c>
      <c r="X108" s="72">
        <v>25743.14</v>
      </c>
      <c r="Y108" s="72">
        <v>24704.5</v>
      </c>
      <c r="Z108" s="72">
        <v>24704.5</v>
      </c>
      <c r="AA108" s="72">
        <v>24704.5</v>
      </c>
      <c r="AB108" s="72">
        <v>24704.5</v>
      </c>
      <c r="AC108" s="137">
        <f>SUM(Q108:AB108)</f>
        <v>315923.84000000003</v>
      </c>
      <c r="AD108" s="72">
        <f t="shared" si="43"/>
        <v>-7473.9200000000419</v>
      </c>
      <c r="AE108" s="192">
        <f t="shared" si="44"/>
        <v>-2.3657347289777312E-2</v>
      </c>
      <c r="AF108" s="133">
        <v>490836.48000000004</v>
      </c>
      <c r="AG108" s="124">
        <f t="shared" si="41"/>
        <v>182386.56000000006</v>
      </c>
    </row>
    <row r="109" spans="1:33">
      <c r="A109" s="105" t="s">
        <v>121</v>
      </c>
      <c r="B109" s="105" t="s">
        <v>615</v>
      </c>
      <c r="C109" s="105" t="s">
        <v>262</v>
      </c>
      <c r="D109" s="215">
        <v>8450</v>
      </c>
      <c r="E109" s="215">
        <v>8450</v>
      </c>
      <c r="F109" s="215">
        <v>8450</v>
      </c>
      <c r="G109" s="215">
        <v>8780</v>
      </c>
      <c r="H109" s="215">
        <v>8780</v>
      </c>
      <c r="I109" s="215">
        <v>8780</v>
      </c>
      <c r="J109" s="215">
        <v>8780</v>
      </c>
      <c r="K109" s="215">
        <v>8780</v>
      </c>
      <c r="L109" s="215">
        <v>8780</v>
      </c>
      <c r="M109" s="215">
        <v>8780</v>
      </c>
      <c r="N109" s="215">
        <v>8780</v>
      </c>
      <c r="O109" s="215">
        <v>8780</v>
      </c>
      <c r="P109" s="135">
        <f>SUM(D109:O109)</f>
        <v>104370</v>
      </c>
      <c r="Q109" s="136">
        <v>7530</v>
      </c>
      <c r="R109" s="136">
        <v>7641.72</v>
      </c>
      <c r="S109" s="136">
        <v>7445.86</v>
      </c>
      <c r="T109" s="136">
        <v>6958.39</v>
      </c>
      <c r="U109" s="136">
        <v>6553</v>
      </c>
      <c r="V109" s="136">
        <v>6765</v>
      </c>
      <c r="W109" s="72">
        <v>7650</v>
      </c>
      <c r="X109" s="72">
        <v>7602.26</v>
      </c>
      <c r="Y109" s="72">
        <v>12258</v>
      </c>
      <c r="Z109" s="72">
        <v>12358</v>
      </c>
      <c r="AA109" s="72">
        <v>12358</v>
      </c>
      <c r="AB109" s="72">
        <v>12558</v>
      </c>
      <c r="AC109" s="137">
        <f>SUM(Q109:AB109)</f>
        <v>107678.23000000001</v>
      </c>
      <c r="AD109" s="72">
        <f t="shared" si="43"/>
        <v>-3308.2300000000105</v>
      </c>
      <c r="AE109" s="192">
        <f t="shared" si="44"/>
        <v>-3.0723294764410689E-2</v>
      </c>
      <c r="AF109" s="133">
        <v>51438</v>
      </c>
      <c r="AG109" s="124">
        <f t="shared" si="41"/>
        <v>-52932</v>
      </c>
    </row>
    <row r="110" spans="1:33">
      <c r="A110" s="105" t="s">
        <v>122</v>
      </c>
      <c r="B110" s="105" t="s">
        <v>615</v>
      </c>
      <c r="C110" s="105" t="s">
        <v>263</v>
      </c>
      <c r="D110" s="215">
        <v>0</v>
      </c>
      <c r="E110" s="215">
        <v>0</v>
      </c>
      <c r="F110" s="215">
        <v>0</v>
      </c>
      <c r="G110" s="215">
        <v>0</v>
      </c>
      <c r="H110" s="215">
        <v>0</v>
      </c>
      <c r="I110" s="215">
        <v>0</v>
      </c>
      <c r="J110" s="215">
        <v>0</v>
      </c>
      <c r="K110" s="215">
        <v>0</v>
      </c>
      <c r="L110" s="215">
        <v>0</v>
      </c>
      <c r="M110" s="215">
        <v>0</v>
      </c>
      <c r="N110" s="215">
        <v>0</v>
      </c>
      <c r="O110" s="215">
        <v>0</v>
      </c>
      <c r="P110" s="135">
        <f>SUM(D110:O110)</f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37">
        <f>SUM(Q110:AB110)</f>
        <v>0</v>
      </c>
      <c r="AD110" s="72">
        <f t="shared" si="43"/>
        <v>0</v>
      </c>
      <c r="AE110" s="192" t="e">
        <f t="shared" si="44"/>
        <v>#DIV/0!</v>
      </c>
      <c r="AF110" s="133">
        <v>0</v>
      </c>
      <c r="AG110" s="124">
        <f t="shared" si="41"/>
        <v>0</v>
      </c>
    </row>
    <row r="111" spans="1:33">
      <c r="A111" s="105" t="s">
        <v>123</v>
      </c>
      <c r="B111" s="105" t="s">
        <v>615</v>
      </c>
      <c r="C111" s="105" t="s">
        <v>264</v>
      </c>
      <c r="D111" s="215">
        <v>2200</v>
      </c>
      <c r="E111" s="215">
        <v>2200</v>
      </c>
      <c r="F111" s="215">
        <v>2200</v>
      </c>
      <c r="G111" s="215">
        <v>2400</v>
      </c>
      <c r="H111" s="215">
        <v>2400</v>
      </c>
      <c r="I111" s="215">
        <v>2400</v>
      </c>
      <c r="J111" s="215">
        <v>2400</v>
      </c>
      <c r="K111" s="215">
        <v>2400</v>
      </c>
      <c r="L111" s="215">
        <v>2400</v>
      </c>
      <c r="M111" s="215">
        <v>2400</v>
      </c>
      <c r="N111" s="215">
        <v>2400</v>
      </c>
      <c r="O111" s="215">
        <v>2400</v>
      </c>
      <c r="P111" s="135">
        <f>SUM(D111:O111)</f>
        <v>28200</v>
      </c>
      <c r="Q111" s="136">
        <v>2400</v>
      </c>
      <c r="R111" s="136">
        <v>2200</v>
      </c>
      <c r="S111" s="136">
        <v>-2331.5100000000002</v>
      </c>
      <c r="T111" s="136">
        <v>5918.55</v>
      </c>
      <c r="U111" s="136">
        <v>1800</v>
      </c>
      <c r="V111" s="136">
        <v>1800</v>
      </c>
      <c r="W111" s="72">
        <v>1800</v>
      </c>
      <c r="X111" s="72">
        <v>1912</v>
      </c>
      <c r="Y111" s="72">
        <v>2340</v>
      </c>
      <c r="Z111" s="72">
        <v>2340</v>
      </c>
      <c r="AA111" s="72">
        <v>2340</v>
      </c>
      <c r="AB111" s="72">
        <v>2340</v>
      </c>
      <c r="AC111" s="137">
        <f>SUM(Q111:AB111)</f>
        <v>24859.040000000001</v>
      </c>
      <c r="AD111" s="72">
        <f t="shared" si="43"/>
        <v>3340.9599999999991</v>
      </c>
      <c r="AE111" s="192">
        <f t="shared" si="44"/>
        <v>0.13439617941803059</v>
      </c>
      <c r="AF111" s="133">
        <v>30950.619999999995</v>
      </c>
      <c r="AG111" s="124">
        <f t="shared" si="41"/>
        <v>2750.6199999999953</v>
      </c>
    </row>
    <row r="112" spans="1:33">
      <c r="A112" s="105" t="s">
        <v>621</v>
      </c>
      <c r="C112" s="109" t="s">
        <v>521</v>
      </c>
      <c r="D112" s="137">
        <f t="shared" ref="D112:O112" si="45">SUM(D107:D111)</f>
        <v>67529.61</v>
      </c>
      <c r="E112" s="137">
        <f t="shared" si="45"/>
        <v>35791.659999999996</v>
      </c>
      <c r="F112" s="137">
        <f t="shared" si="45"/>
        <v>35791.659999999996</v>
      </c>
      <c r="G112" s="137">
        <f t="shared" si="45"/>
        <v>45057.869999999995</v>
      </c>
      <c r="H112" s="137">
        <f t="shared" si="45"/>
        <v>55305.429999999993</v>
      </c>
      <c r="I112" s="137">
        <f t="shared" si="45"/>
        <v>37071.659999999996</v>
      </c>
      <c r="J112" s="137">
        <f t="shared" si="45"/>
        <v>37071.659999999996</v>
      </c>
      <c r="K112" s="137">
        <f t="shared" si="45"/>
        <v>37071.659999999996</v>
      </c>
      <c r="L112" s="137">
        <f t="shared" si="45"/>
        <v>37071.659999999996</v>
      </c>
      <c r="M112" s="137">
        <f t="shared" si="45"/>
        <v>69982.03</v>
      </c>
      <c r="N112" s="137">
        <f t="shared" si="45"/>
        <v>37071.659999999996</v>
      </c>
      <c r="O112" s="137">
        <f t="shared" si="45"/>
        <v>37071.659999999996</v>
      </c>
      <c r="P112" s="135">
        <f>SUM(P107:P111)</f>
        <v>531888.22</v>
      </c>
      <c r="Q112" s="137">
        <f t="shared" ref="Q112:AC112" si="46">SUM(Q107:Q111)</f>
        <v>55921.600000000006</v>
      </c>
      <c r="R112" s="137">
        <f t="shared" si="46"/>
        <v>75058</v>
      </c>
      <c r="S112" s="137">
        <f t="shared" si="46"/>
        <v>37745.509999999995</v>
      </c>
      <c r="T112" s="137">
        <f t="shared" si="46"/>
        <v>35906.47</v>
      </c>
      <c r="U112" s="137">
        <f t="shared" si="46"/>
        <v>34533.75</v>
      </c>
      <c r="V112" s="137">
        <f t="shared" si="46"/>
        <v>37109.960000000006</v>
      </c>
      <c r="W112" s="137">
        <f t="shared" si="46"/>
        <v>32386.18</v>
      </c>
      <c r="X112" s="137">
        <f t="shared" si="46"/>
        <v>35257.4</v>
      </c>
      <c r="Y112" s="137">
        <f t="shared" si="46"/>
        <v>50486.5</v>
      </c>
      <c r="Z112" s="137">
        <f t="shared" si="46"/>
        <v>72953.5</v>
      </c>
      <c r="AA112" s="137">
        <f t="shared" si="46"/>
        <v>39402.5</v>
      </c>
      <c r="AB112" s="137">
        <f t="shared" si="46"/>
        <v>39602.5</v>
      </c>
      <c r="AC112" s="137">
        <f t="shared" si="46"/>
        <v>546363.87000000011</v>
      </c>
      <c r="AD112" s="72">
        <f t="shared" si="43"/>
        <v>-14475.65000000014</v>
      </c>
      <c r="AE112" s="192">
        <f t="shared" si="44"/>
        <v>-2.6494522780212637E-2</v>
      </c>
      <c r="AF112" s="133">
        <v>683607.92</v>
      </c>
      <c r="AG112" s="124">
        <f t="shared" si="41"/>
        <v>151719.70000000007</v>
      </c>
    </row>
    <row r="113" spans="1:33">
      <c r="A113" s="105" t="s">
        <v>273</v>
      </c>
      <c r="C113" s="105" t="s">
        <v>154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5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7"/>
      <c r="AD113" s="136"/>
      <c r="AF113" s="133"/>
      <c r="AG113" s="124">
        <f t="shared" si="41"/>
        <v>0</v>
      </c>
    </row>
    <row r="114" spans="1:33">
      <c r="A114" s="105" t="s">
        <v>124</v>
      </c>
      <c r="B114" s="105" t="s">
        <v>615</v>
      </c>
      <c r="C114" s="105" t="s">
        <v>266</v>
      </c>
      <c r="D114" s="215">
        <v>28718.73000000001</v>
      </c>
      <c r="E114" s="215">
        <v>28718.73000000001</v>
      </c>
      <c r="F114" s="215">
        <v>28718.73000000001</v>
      </c>
      <c r="G114" s="215">
        <v>29545.970000000008</v>
      </c>
      <c r="H114" s="215">
        <v>29545.970000000008</v>
      </c>
      <c r="I114" s="215">
        <v>29545.970000000008</v>
      </c>
      <c r="J114" s="215">
        <v>30441.57</v>
      </c>
      <c r="K114" s="215">
        <v>30441.57</v>
      </c>
      <c r="L114" s="215">
        <v>30441.57</v>
      </c>
      <c r="M114" s="215">
        <v>30441.57</v>
      </c>
      <c r="N114" s="215">
        <v>30441.57</v>
      </c>
      <c r="O114" s="215">
        <v>30441.57</v>
      </c>
      <c r="P114" s="135">
        <f>SUM(D114:O114)</f>
        <v>357443.52000000008</v>
      </c>
      <c r="Q114" s="136">
        <v>30549.69</v>
      </c>
      <c r="R114" s="136">
        <v>30549.69</v>
      </c>
      <c r="S114" s="136">
        <v>25912.89</v>
      </c>
      <c r="T114" s="136">
        <v>24314.65</v>
      </c>
      <c r="U114" s="136">
        <v>22718.1</v>
      </c>
      <c r="V114" s="136">
        <v>25918.1</v>
      </c>
      <c r="W114" s="72">
        <v>26690.9</v>
      </c>
      <c r="X114" s="72">
        <v>28512.59</v>
      </c>
      <c r="Y114" s="72">
        <v>26268</v>
      </c>
      <c r="Z114" s="181">
        <v>26268</v>
      </c>
      <c r="AA114" s="181">
        <v>26268</v>
      </c>
      <c r="AB114" s="181">
        <v>26268</v>
      </c>
      <c r="AC114" s="137">
        <f t="shared" ref="AC114:AC121" si="47">SUM(Q114:AB114)</f>
        <v>320238.61</v>
      </c>
      <c r="AD114" s="72">
        <f t="shared" ref="AD114:AD122" si="48">P114-AC114</f>
        <v>37204.910000000091</v>
      </c>
      <c r="AE114" s="192">
        <f t="shared" ref="AE114:AE122" si="49">AD114/AC114</f>
        <v>0.11617871436551667</v>
      </c>
      <c r="AF114" s="133">
        <v>301530.17000000004</v>
      </c>
      <c r="AG114" s="124">
        <f t="shared" si="41"/>
        <v>-55913.350000000035</v>
      </c>
    </row>
    <row r="115" spans="1:33">
      <c r="A115" s="105" t="s">
        <v>125</v>
      </c>
      <c r="B115" s="105" t="s">
        <v>615</v>
      </c>
      <c r="C115" s="105" t="s">
        <v>267</v>
      </c>
      <c r="D115" s="215">
        <v>11643.000000000002</v>
      </c>
      <c r="E115" s="215">
        <v>11643.000000000002</v>
      </c>
      <c r="F115" s="215">
        <v>11643.000000000002</v>
      </c>
      <c r="G115" s="215">
        <v>11975.640000000001</v>
      </c>
      <c r="H115" s="215">
        <v>11975.640000000001</v>
      </c>
      <c r="I115" s="215">
        <v>11975.640000000001</v>
      </c>
      <c r="J115" s="215">
        <v>12312.08</v>
      </c>
      <c r="K115" s="215">
        <v>12312.08</v>
      </c>
      <c r="L115" s="215">
        <v>12312.08</v>
      </c>
      <c r="M115" s="215">
        <v>12312.08</v>
      </c>
      <c r="N115" s="215">
        <v>12312.08</v>
      </c>
      <c r="O115" s="215">
        <v>12312.08</v>
      </c>
      <c r="P115" s="135">
        <f t="shared" ref="P115:P121" si="50">SUM(D115:O115)</f>
        <v>144728.4</v>
      </c>
      <c r="Q115" s="136">
        <v>16229.54</v>
      </c>
      <c r="R115" s="136">
        <v>16229.54</v>
      </c>
      <c r="S115" s="136">
        <v>13766.24</v>
      </c>
      <c r="T115" s="136">
        <v>12917.18</v>
      </c>
      <c r="U115" s="136">
        <v>12069.01</v>
      </c>
      <c r="V115" s="136">
        <v>13769.01</v>
      </c>
      <c r="W115" s="72">
        <v>10843.17</v>
      </c>
      <c r="X115" s="72">
        <v>11583.23</v>
      </c>
      <c r="Y115" s="72">
        <v>13819</v>
      </c>
      <c r="Z115" s="181">
        <v>13819</v>
      </c>
      <c r="AA115" s="181">
        <v>13819</v>
      </c>
      <c r="AB115" s="181">
        <v>13819</v>
      </c>
      <c r="AC115" s="137">
        <f t="shared" si="47"/>
        <v>162682.91999999998</v>
      </c>
      <c r="AD115" s="72">
        <f t="shared" si="48"/>
        <v>-17954.51999999999</v>
      </c>
      <c r="AE115" s="192">
        <f t="shared" si="49"/>
        <v>-0.11036512007529733</v>
      </c>
      <c r="AF115" s="133">
        <v>141732.91000000003</v>
      </c>
      <c r="AG115" s="124">
        <f t="shared" si="41"/>
        <v>-2995.4899999999616</v>
      </c>
    </row>
    <row r="116" spans="1:33">
      <c r="A116" s="105" t="s">
        <v>126</v>
      </c>
      <c r="B116" s="105" t="s">
        <v>615</v>
      </c>
      <c r="C116" s="105" t="s">
        <v>268</v>
      </c>
      <c r="D116" s="215">
        <v>895.63000000000011</v>
      </c>
      <c r="E116" s="215">
        <v>895.63000000000011</v>
      </c>
      <c r="F116" s="215">
        <v>895.63000000000011</v>
      </c>
      <c r="G116" s="215">
        <v>921.22000000000014</v>
      </c>
      <c r="H116" s="215">
        <v>921.22000000000014</v>
      </c>
      <c r="I116" s="215">
        <v>921.22000000000014</v>
      </c>
      <c r="J116" s="215">
        <v>947.11999999999966</v>
      </c>
      <c r="K116" s="215">
        <v>947.11999999999966</v>
      </c>
      <c r="L116" s="215">
        <v>947.11999999999966</v>
      </c>
      <c r="M116" s="215">
        <v>947.11999999999966</v>
      </c>
      <c r="N116" s="215">
        <v>947.11999999999966</v>
      </c>
      <c r="O116" s="215">
        <v>947.11999999999966</v>
      </c>
      <c r="P116" s="135">
        <f t="shared" si="50"/>
        <v>11133.269999999997</v>
      </c>
      <c r="Q116" s="136">
        <v>954.67</v>
      </c>
      <c r="R116" s="136">
        <v>954.67</v>
      </c>
      <c r="S116" s="136">
        <v>809.77</v>
      </c>
      <c r="T116" s="136">
        <v>759.83</v>
      </c>
      <c r="U116" s="136">
        <v>709.94</v>
      </c>
      <c r="V116" s="136">
        <v>809.94</v>
      </c>
      <c r="W116" s="72">
        <v>834.09</v>
      </c>
      <c r="X116" s="72">
        <v>891.02</v>
      </c>
      <c r="Y116" s="72">
        <v>834</v>
      </c>
      <c r="Z116" s="72">
        <v>834</v>
      </c>
      <c r="AA116" s="72">
        <v>834</v>
      </c>
      <c r="AB116" s="72">
        <v>834</v>
      </c>
      <c r="AC116" s="137">
        <f t="shared" si="47"/>
        <v>10059.93</v>
      </c>
      <c r="AD116" s="72">
        <f t="shared" si="48"/>
        <v>1073.3399999999965</v>
      </c>
      <c r="AE116" s="192">
        <f t="shared" si="49"/>
        <v>0.10669457938574091</v>
      </c>
      <c r="AF116" s="133">
        <v>8745.6</v>
      </c>
      <c r="AG116" s="124">
        <f t="shared" si="41"/>
        <v>-2387.6699999999964</v>
      </c>
    </row>
    <row r="117" spans="1:33">
      <c r="A117" s="105" t="s">
        <v>127</v>
      </c>
      <c r="B117" s="105" t="s">
        <v>615</v>
      </c>
      <c r="C117" s="105" t="s">
        <v>269</v>
      </c>
      <c r="D117" s="215">
        <v>214.95999999999998</v>
      </c>
      <c r="E117" s="215">
        <v>214.95999999999998</v>
      </c>
      <c r="F117" s="215">
        <v>214.95999999999998</v>
      </c>
      <c r="G117" s="215">
        <v>221.09999999999997</v>
      </c>
      <c r="H117" s="215">
        <v>221.09999999999997</v>
      </c>
      <c r="I117" s="215">
        <v>221.09999999999997</v>
      </c>
      <c r="J117" s="215">
        <v>227.34000000000006</v>
      </c>
      <c r="K117" s="215">
        <v>227.34000000000006</v>
      </c>
      <c r="L117" s="215">
        <v>227.34000000000006</v>
      </c>
      <c r="M117" s="215">
        <v>227.34000000000006</v>
      </c>
      <c r="N117" s="215">
        <v>227.34000000000006</v>
      </c>
      <c r="O117" s="215">
        <v>227.34000000000006</v>
      </c>
      <c r="P117" s="135">
        <f t="shared" si="50"/>
        <v>2672.2200000000003</v>
      </c>
      <c r="Q117" s="136">
        <v>229.15</v>
      </c>
      <c r="R117" s="136">
        <v>229.15</v>
      </c>
      <c r="S117" s="136">
        <v>194.37</v>
      </c>
      <c r="T117" s="136">
        <v>182.38</v>
      </c>
      <c r="U117" s="136">
        <v>170.4</v>
      </c>
      <c r="V117" s="136">
        <v>194.4</v>
      </c>
      <c r="W117" s="72">
        <v>200.2</v>
      </c>
      <c r="X117" s="72">
        <v>213.86</v>
      </c>
      <c r="Y117" s="72">
        <v>246</v>
      </c>
      <c r="Z117" s="72">
        <v>246</v>
      </c>
      <c r="AA117" s="72">
        <v>246</v>
      </c>
      <c r="AB117" s="72">
        <v>246</v>
      </c>
      <c r="AC117" s="137">
        <f t="shared" si="47"/>
        <v>2597.9100000000003</v>
      </c>
      <c r="AD117" s="72">
        <f t="shared" si="48"/>
        <v>74.309999999999945</v>
      </c>
      <c r="AE117" s="192">
        <f t="shared" si="49"/>
        <v>2.8603762255043453E-2</v>
      </c>
      <c r="AF117" s="133">
        <v>2798.58</v>
      </c>
      <c r="AG117" s="124">
        <f t="shared" si="41"/>
        <v>126.35999999999967</v>
      </c>
    </row>
    <row r="118" spans="1:33">
      <c r="A118" s="105" t="s">
        <v>128</v>
      </c>
      <c r="B118" s="105" t="s">
        <v>615</v>
      </c>
      <c r="C118" s="105" t="s">
        <v>270</v>
      </c>
      <c r="D118" s="215">
        <v>0</v>
      </c>
      <c r="E118" s="215">
        <v>0</v>
      </c>
      <c r="F118" s="215">
        <v>0</v>
      </c>
      <c r="G118" s="215">
        <v>0</v>
      </c>
      <c r="H118" s="215">
        <v>0</v>
      </c>
      <c r="I118" s="215">
        <v>0</v>
      </c>
      <c r="J118" s="215">
        <v>0</v>
      </c>
      <c r="K118" s="215">
        <v>0</v>
      </c>
      <c r="L118" s="215">
        <v>0</v>
      </c>
      <c r="M118" s="215">
        <v>0</v>
      </c>
      <c r="N118" s="215">
        <v>0</v>
      </c>
      <c r="O118" s="215">
        <v>0</v>
      </c>
      <c r="P118" s="135">
        <f t="shared" si="50"/>
        <v>0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137">
        <f t="shared" si="47"/>
        <v>0</v>
      </c>
      <c r="AD118" s="72">
        <f t="shared" si="48"/>
        <v>0</v>
      </c>
      <c r="AE118" s="192" t="e">
        <f t="shared" si="49"/>
        <v>#DIV/0!</v>
      </c>
      <c r="AF118" s="133">
        <v>6903.9800000000005</v>
      </c>
      <c r="AG118" s="124">
        <f t="shared" si="41"/>
        <v>6903.9800000000005</v>
      </c>
    </row>
    <row r="119" spans="1:33">
      <c r="A119" s="105" t="s">
        <v>129</v>
      </c>
      <c r="B119" s="105" t="s">
        <v>615</v>
      </c>
      <c r="C119" s="105" t="s">
        <v>271</v>
      </c>
      <c r="D119" s="215">
        <v>8913.3299999999981</v>
      </c>
      <c r="E119" s="215">
        <v>8913.3299999999981</v>
      </c>
      <c r="F119" s="215">
        <v>8913.3299999999981</v>
      </c>
      <c r="G119" s="215">
        <v>9138.3299999999981</v>
      </c>
      <c r="H119" s="215">
        <v>9138.3299999999981</v>
      </c>
      <c r="I119" s="215">
        <v>9138.3299999999981</v>
      </c>
      <c r="J119" s="215">
        <v>9470.9</v>
      </c>
      <c r="K119" s="215">
        <v>9226.9499999999989</v>
      </c>
      <c r="L119" s="215">
        <v>9226.9499999999989</v>
      </c>
      <c r="M119" s="215">
        <v>9226.9499999999989</v>
      </c>
      <c r="N119" s="215">
        <v>9470.9</v>
      </c>
      <c r="O119" s="215">
        <v>9226.9499999999989</v>
      </c>
      <c r="P119" s="135">
        <f t="shared" si="50"/>
        <v>110004.57999999999</v>
      </c>
      <c r="Q119" s="136">
        <v>9817</v>
      </c>
      <c r="R119" s="136">
        <v>9817</v>
      </c>
      <c r="S119" s="136">
        <v>8303</v>
      </c>
      <c r="T119" s="136">
        <v>7804</v>
      </c>
      <c r="U119" s="136">
        <v>7314</v>
      </c>
      <c r="V119" s="136">
        <v>8314</v>
      </c>
      <c r="W119" s="72">
        <v>8651</v>
      </c>
      <c r="X119" s="72">
        <v>9220</v>
      </c>
      <c r="Y119" s="72">
        <v>7952</v>
      </c>
      <c r="Z119" s="72">
        <v>7952</v>
      </c>
      <c r="AA119" s="72">
        <v>7952</v>
      </c>
      <c r="AB119" s="72">
        <v>7952</v>
      </c>
      <c r="AC119" s="137">
        <f t="shared" si="47"/>
        <v>101048</v>
      </c>
      <c r="AD119" s="72">
        <f t="shared" si="48"/>
        <v>8956.5799999999872</v>
      </c>
      <c r="AE119" s="192">
        <f t="shared" si="49"/>
        <v>8.8636885440582569E-2</v>
      </c>
      <c r="AF119" s="133">
        <v>82607</v>
      </c>
      <c r="AG119" s="124">
        <f t="shared" si="41"/>
        <v>-27397.579999999987</v>
      </c>
    </row>
    <row r="120" spans="1:33">
      <c r="A120" s="105" t="s">
        <v>130</v>
      </c>
      <c r="B120" s="105" t="s">
        <v>615</v>
      </c>
      <c r="C120" s="105" t="s">
        <v>272</v>
      </c>
      <c r="D120" s="215">
        <v>4208</v>
      </c>
      <c r="E120" s="215">
        <v>3573</v>
      </c>
      <c r="F120" s="215">
        <v>3622</v>
      </c>
      <c r="G120" s="215">
        <v>3808</v>
      </c>
      <c r="H120" s="215">
        <v>4013</v>
      </c>
      <c r="I120" s="215">
        <v>3648</v>
      </c>
      <c r="J120" s="215">
        <v>3648</v>
      </c>
      <c r="K120" s="215">
        <v>3648</v>
      </c>
      <c r="L120" s="215">
        <v>3648</v>
      </c>
      <c r="M120" s="215">
        <v>4306</v>
      </c>
      <c r="N120" s="215">
        <v>3648</v>
      </c>
      <c r="O120" s="215">
        <v>3648</v>
      </c>
      <c r="P120" s="135">
        <f t="shared" si="50"/>
        <v>45418</v>
      </c>
      <c r="Q120" s="136">
        <v>3529.42</v>
      </c>
      <c r="R120" s="136">
        <v>4382.08</v>
      </c>
      <c r="S120" s="136">
        <v>6222.09</v>
      </c>
      <c r="T120" s="136">
        <v>4277.58</v>
      </c>
      <c r="U120" s="136">
        <v>2563.7800000000002</v>
      </c>
      <c r="V120" s="136">
        <v>2997.13</v>
      </c>
      <c r="W120" s="72">
        <v>2943</v>
      </c>
      <c r="X120" s="72">
        <v>3193.42</v>
      </c>
      <c r="Y120" s="72">
        <v>4689</v>
      </c>
      <c r="Z120" s="72">
        <v>4689</v>
      </c>
      <c r="AA120" s="72">
        <v>4689</v>
      </c>
      <c r="AB120" s="72">
        <v>4689</v>
      </c>
      <c r="AC120" s="137">
        <f t="shared" si="47"/>
        <v>48864.5</v>
      </c>
      <c r="AD120" s="72">
        <f t="shared" si="48"/>
        <v>-3446.5</v>
      </c>
      <c r="AE120" s="192">
        <f t="shared" si="49"/>
        <v>-7.0531776647668548E-2</v>
      </c>
      <c r="AF120" s="133">
        <v>60624.579999999994</v>
      </c>
      <c r="AG120" s="124">
        <f t="shared" si="41"/>
        <v>15206.579999999994</v>
      </c>
    </row>
    <row r="121" spans="1:33">
      <c r="A121" s="105" t="s">
        <v>273</v>
      </c>
      <c r="C121" s="105" t="s">
        <v>274</v>
      </c>
      <c r="D121" s="215">
        <v>0</v>
      </c>
      <c r="E121" s="215">
        <v>0</v>
      </c>
      <c r="F121" s="215">
        <v>0</v>
      </c>
      <c r="G121" s="215">
        <v>0</v>
      </c>
      <c r="H121" s="215">
        <v>0</v>
      </c>
      <c r="I121" s="215">
        <v>0</v>
      </c>
      <c r="J121" s="215">
        <v>0</v>
      </c>
      <c r="K121" s="215">
        <v>0</v>
      </c>
      <c r="L121" s="215">
        <v>0</v>
      </c>
      <c r="M121" s="215">
        <v>0</v>
      </c>
      <c r="N121" s="215">
        <v>0</v>
      </c>
      <c r="O121" s="215">
        <v>0</v>
      </c>
      <c r="P121" s="135">
        <f t="shared" si="50"/>
        <v>0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72">
        <v>0</v>
      </c>
      <c r="X121" s="72">
        <v>0</v>
      </c>
      <c r="Y121" s="72">
        <v>0</v>
      </c>
      <c r="Z121" s="72">
        <v>0</v>
      </c>
      <c r="AA121" s="72">
        <v>0</v>
      </c>
      <c r="AB121" s="72">
        <v>0</v>
      </c>
      <c r="AC121" s="137">
        <f t="shared" si="47"/>
        <v>0</v>
      </c>
      <c r="AD121" s="72">
        <f t="shared" si="48"/>
        <v>0</v>
      </c>
      <c r="AE121" s="192" t="e">
        <f t="shared" si="49"/>
        <v>#DIV/0!</v>
      </c>
      <c r="AF121" s="133">
        <v>0</v>
      </c>
      <c r="AG121" s="124">
        <f t="shared" si="41"/>
        <v>0</v>
      </c>
    </row>
    <row r="122" spans="1:33">
      <c r="A122" s="105" t="s">
        <v>566</v>
      </c>
      <c r="C122" s="109" t="s">
        <v>522</v>
      </c>
      <c r="D122" s="137">
        <f t="shared" ref="D122:AC122" si="51">SUM(D114:D121)</f>
        <v>54593.650000000009</v>
      </c>
      <c r="E122" s="137">
        <f t="shared" si="51"/>
        <v>53958.650000000009</v>
      </c>
      <c r="F122" s="137">
        <f t="shared" si="51"/>
        <v>54007.650000000009</v>
      </c>
      <c r="G122" s="137">
        <f t="shared" si="51"/>
        <v>55610.260000000009</v>
      </c>
      <c r="H122" s="137">
        <f t="shared" si="51"/>
        <v>55815.260000000009</v>
      </c>
      <c r="I122" s="137">
        <f t="shared" si="51"/>
        <v>55450.260000000009</v>
      </c>
      <c r="J122" s="137">
        <f t="shared" si="51"/>
        <v>57047.01</v>
      </c>
      <c r="K122" s="137">
        <f t="shared" si="51"/>
        <v>56803.06</v>
      </c>
      <c r="L122" s="137">
        <f t="shared" si="51"/>
        <v>56803.06</v>
      </c>
      <c r="M122" s="137">
        <f t="shared" si="51"/>
        <v>57461.06</v>
      </c>
      <c r="N122" s="137">
        <f t="shared" si="51"/>
        <v>57047.01</v>
      </c>
      <c r="O122" s="137">
        <f t="shared" si="51"/>
        <v>56803.06</v>
      </c>
      <c r="P122" s="135">
        <f t="shared" si="51"/>
        <v>671399.99</v>
      </c>
      <c r="Q122" s="137">
        <f t="shared" si="51"/>
        <v>61309.469999999994</v>
      </c>
      <c r="R122" s="137">
        <f t="shared" si="51"/>
        <v>62162.13</v>
      </c>
      <c r="S122" s="137">
        <f t="shared" si="51"/>
        <v>55208.36</v>
      </c>
      <c r="T122" s="137">
        <f t="shared" si="51"/>
        <v>50255.62</v>
      </c>
      <c r="U122" s="137">
        <f t="shared" si="51"/>
        <v>45545.23</v>
      </c>
      <c r="V122" s="137">
        <f t="shared" si="51"/>
        <v>52002.58</v>
      </c>
      <c r="W122" s="137">
        <f t="shared" si="51"/>
        <v>50162.359999999993</v>
      </c>
      <c r="X122" s="137">
        <f t="shared" si="51"/>
        <v>53614.119999999995</v>
      </c>
      <c r="Y122" s="137">
        <f t="shared" si="51"/>
        <v>53808</v>
      </c>
      <c r="Z122" s="137">
        <f t="shared" si="51"/>
        <v>53808</v>
      </c>
      <c r="AA122" s="137">
        <f t="shared" si="51"/>
        <v>53808</v>
      </c>
      <c r="AB122" s="137">
        <f t="shared" si="51"/>
        <v>53808</v>
      </c>
      <c r="AC122" s="137">
        <f t="shared" si="51"/>
        <v>645491.86999999988</v>
      </c>
      <c r="AD122" s="72">
        <f t="shared" si="48"/>
        <v>25908.120000000112</v>
      </c>
      <c r="AE122" s="192">
        <f t="shared" si="49"/>
        <v>4.013701985123394E-2</v>
      </c>
      <c r="AF122" s="133">
        <v>604942.81999999995</v>
      </c>
      <c r="AG122" s="124">
        <f t="shared" si="41"/>
        <v>-66457.170000000042</v>
      </c>
    </row>
    <row r="123" spans="1:33">
      <c r="A123" s="105" t="s">
        <v>273</v>
      </c>
      <c r="C123" s="105" t="s">
        <v>154</v>
      </c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5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7"/>
      <c r="AD123" s="136"/>
      <c r="AF123" s="133"/>
      <c r="AG123" s="124">
        <f t="shared" si="41"/>
        <v>0</v>
      </c>
    </row>
    <row r="124" spans="1:33">
      <c r="A124" s="105" t="s">
        <v>131</v>
      </c>
      <c r="B124" s="105" t="s">
        <v>615</v>
      </c>
      <c r="C124" s="105" t="s">
        <v>276</v>
      </c>
      <c r="D124" s="215">
        <v>0</v>
      </c>
      <c r="E124" s="215">
        <v>0</v>
      </c>
      <c r="F124" s="215">
        <v>0</v>
      </c>
      <c r="G124" s="215">
        <v>0</v>
      </c>
      <c r="H124" s="215">
        <v>0</v>
      </c>
      <c r="I124" s="215">
        <v>0</v>
      </c>
      <c r="J124" s="215">
        <v>0</v>
      </c>
      <c r="K124" s="215">
        <v>0</v>
      </c>
      <c r="L124" s="215">
        <v>0</v>
      </c>
      <c r="M124" s="215">
        <v>0</v>
      </c>
      <c r="N124" s="215">
        <v>0</v>
      </c>
      <c r="O124" s="215">
        <v>0</v>
      </c>
      <c r="P124" s="200">
        <f t="shared" ref="P124:P132" si="52">SUM(D124:O124)</f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0</v>
      </c>
      <c r="V124" s="136">
        <v>0</v>
      </c>
      <c r="W124" s="72">
        <v>0</v>
      </c>
      <c r="X124" s="72">
        <v>0</v>
      </c>
      <c r="Y124" s="72">
        <v>0</v>
      </c>
      <c r="Z124" s="72">
        <v>0</v>
      </c>
      <c r="AA124" s="72">
        <v>0</v>
      </c>
      <c r="AB124" s="72">
        <v>0</v>
      </c>
      <c r="AC124" s="137">
        <f t="shared" ref="AC124:AC132" si="53">SUM(Q124:AB124)</f>
        <v>0</v>
      </c>
      <c r="AD124" s="72">
        <f t="shared" ref="AD124:AD134" si="54">P124-AC124</f>
        <v>0</v>
      </c>
      <c r="AE124" s="192" t="e">
        <f t="shared" ref="AE124:AE134" si="55">AD124/AC124</f>
        <v>#DIV/0!</v>
      </c>
      <c r="AF124" s="133">
        <v>0</v>
      </c>
      <c r="AG124" s="124">
        <f t="shared" si="41"/>
        <v>0</v>
      </c>
    </row>
    <row r="125" spans="1:33">
      <c r="A125" s="105" t="s">
        <v>132</v>
      </c>
      <c r="B125" s="105" t="s">
        <v>615</v>
      </c>
      <c r="C125" s="105" t="s">
        <v>277</v>
      </c>
      <c r="D125" s="215">
        <v>0</v>
      </c>
      <c r="E125" s="215">
        <v>0</v>
      </c>
      <c r="F125" s="215">
        <v>0</v>
      </c>
      <c r="G125" s="215">
        <v>0</v>
      </c>
      <c r="H125" s="215">
        <v>0</v>
      </c>
      <c r="I125" s="215">
        <v>0</v>
      </c>
      <c r="J125" s="215">
        <v>0</v>
      </c>
      <c r="K125" s="215">
        <v>0</v>
      </c>
      <c r="L125" s="215">
        <v>0</v>
      </c>
      <c r="M125" s="215">
        <v>0</v>
      </c>
      <c r="N125" s="215">
        <v>0</v>
      </c>
      <c r="O125" s="215">
        <v>0</v>
      </c>
      <c r="P125" s="200">
        <f t="shared" si="52"/>
        <v>0</v>
      </c>
      <c r="Q125" s="136">
        <v>0</v>
      </c>
      <c r="R125" s="136">
        <v>0</v>
      </c>
      <c r="S125" s="136">
        <v>0</v>
      </c>
      <c r="T125" s="136">
        <v>0</v>
      </c>
      <c r="U125" s="136">
        <v>0</v>
      </c>
      <c r="V125" s="136">
        <v>0</v>
      </c>
      <c r="W125" s="72">
        <v>0</v>
      </c>
      <c r="X125" s="72">
        <v>0</v>
      </c>
      <c r="Y125" s="72">
        <v>0</v>
      </c>
      <c r="Z125" s="72">
        <v>0</v>
      </c>
      <c r="AA125" s="72">
        <v>0</v>
      </c>
      <c r="AB125" s="72">
        <v>0</v>
      </c>
      <c r="AC125" s="137">
        <f t="shared" si="53"/>
        <v>0</v>
      </c>
      <c r="AD125" s="72">
        <f t="shared" si="54"/>
        <v>0</v>
      </c>
      <c r="AE125" s="192" t="e">
        <f t="shared" si="55"/>
        <v>#DIV/0!</v>
      </c>
      <c r="AF125" s="133">
        <v>0</v>
      </c>
      <c r="AG125" s="124">
        <f t="shared" si="41"/>
        <v>0</v>
      </c>
    </row>
    <row r="126" spans="1:33">
      <c r="A126" s="105" t="s">
        <v>133</v>
      </c>
      <c r="B126" s="105" t="s">
        <v>615</v>
      </c>
      <c r="C126" s="105" t="s">
        <v>278</v>
      </c>
      <c r="D126" s="215">
        <v>0</v>
      </c>
      <c r="E126" s="215">
        <v>0</v>
      </c>
      <c r="F126" s="215">
        <v>0</v>
      </c>
      <c r="G126" s="215">
        <v>0</v>
      </c>
      <c r="H126" s="215">
        <v>0</v>
      </c>
      <c r="I126" s="215">
        <v>0</v>
      </c>
      <c r="J126" s="215">
        <v>0</v>
      </c>
      <c r="K126" s="215">
        <v>0</v>
      </c>
      <c r="L126" s="215">
        <v>0</v>
      </c>
      <c r="M126" s="215">
        <v>0</v>
      </c>
      <c r="N126" s="215">
        <v>0</v>
      </c>
      <c r="O126" s="215">
        <v>0</v>
      </c>
      <c r="P126" s="200">
        <f t="shared" si="52"/>
        <v>0</v>
      </c>
      <c r="Q126" s="136">
        <v>0</v>
      </c>
      <c r="R126" s="136">
        <v>0</v>
      </c>
      <c r="S126" s="136">
        <v>0</v>
      </c>
      <c r="T126" s="136">
        <v>0</v>
      </c>
      <c r="U126" s="136">
        <v>0</v>
      </c>
      <c r="V126" s="136">
        <v>0</v>
      </c>
      <c r="W126" s="72">
        <v>0</v>
      </c>
      <c r="X126" s="72">
        <v>0</v>
      </c>
      <c r="Y126" s="72">
        <v>0</v>
      </c>
      <c r="Z126" s="72">
        <v>0</v>
      </c>
      <c r="AA126" s="72">
        <v>0</v>
      </c>
      <c r="AB126" s="72">
        <v>0</v>
      </c>
      <c r="AC126" s="137">
        <f t="shared" si="53"/>
        <v>0</v>
      </c>
      <c r="AD126" s="72">
        <f t="shared" si="54"/>
        <v>0</v>
      </c>
      <c r="AE126" s="192" t="e">
        <f t="shared" si="55"/>
        <v>#DIV/0!</v>
      </c>
      <c r="AF126" s="133">
        <v>0</v>
      </c>
      <c r="AG126" s="124">
        <f t="shared" si="41"/>
        <v>0</v>
      </c>
    </row>
    <row r="127" spans="1:33">
      <c r="A127" s="105" t="s">
        <v>134</v>
      </c>
      <c r="B127" s="105" t="s">
        <v>615</v>
      </c>
      <c r="C127" s="105" t="s">
        <v>279</v>
      </c>
      <c r="D127" s="215">
        <v>2266.66</v>
      </c>
      <c r="E127" s="215">
        <v>2266.66</v>
      </c>
      <c r="F127" s="215">
        <v>2266.66</v>
      </c>
      <c r="G127" s="215">
        <v>2266.66</v>
      </c>
      <c r="H127" s="215">
        <v>2266.66</v>
      </c>
      <c r="I127" s="215">
        <v>2266.66</v>
      </c>
      <c r="J127" s="215">
        <v>2266.66</v>
      </c>
      <c r="K127" s="215">
        <v>2266.66</v>
      </c>
      <c r="L127" s="215">
        <v>2266.66</v>
      </c>
      <c r="M127" s="215">
        <v>2266.66</v>
      </c>
      <c r="N127" s="215">
        <v>2266.66</v>
      </c>
      <c r="O127" s="215">
        <v>2266.66</v>
      </c>
      <c r="P127" s="200">
        <f t="shared" si="52"/>
        <v>27199.919999999998</v>
      </c>
      <c r="Q127" s="136">
        <v>1699</v>
      </c>
      <c r="R127" s="136">
        <v>1553.29</v>
      </c>
      <c r="S127" s="136">
        <v>1571</v>
      </c>
      <c r="T127" s="136">
        <v>1729.12</v>
      </c>
      <c r="U127" s="136">
        <v>2106</v>
      </c>
      <c r="V127" s="136">
        <v>2219.73</v>
      </c>
      <c r="W127" s="72">
        <v>2242</v>
      </c>
      <c r="X127" s="72">
        <v>2242</v>
      </c>
      <c r="Y127" s="72">
        <v>1675</v>
      </c>
      <c r="Z127" s="72">
        <v>1675</v>
      </c>
      <c r="AA127" s="72">
        <v>1675</v>
      </c>
      <c r="AB127" s="72">
        <v>1675</v>
      </c>
      <c r="AC127" s="137">
        <f t="shared" si="53"/>
        <v>22062.14</v>
      </c>
      <c r="AD127" s="72">
        <f t="shared" si="54"/>
        <v>5137.7799999999988</v>
      </c>
      <c r="AE127" s="192">
        <f t="shared" si="55"/>
        <v>0.23287768095026135</v>
      </c>
      <c r="AF127" s="133">
        <v>57863.98</v>
      </c>
      <c r="AG127" s="124">
        <f t="shared" si="41"/>
        <v>30664.060000000005</v>
      </c>
    </row>
    <row r="128" spans="1:33">
      <c r="A128" s="105" t="s">
        <v>135</v>
      </c>
      <c r="B128" s="105" t="s">
        <v>615</v>
      </c>
      <c r="C128" s="105" t="s">
        <v>280</v>
      </c>
      <c r="D128" s="215">
        <v>4231.5200000000004</v>
      </c>
      <c r="E128" s="215">
        <v>4231.5200000000004</v>
      </c>
      <c r="F128" s="215">
        <v>4231.5200000000004</v>
      </c>
      <c r="G128" s="215">
        <v>4231.5200000000004</v>
      </c>
      <c r="H128" s="215">
        <v>4231.5200000000004</v>
      </c>
      <c r="I128" s="215">
        <v>4231.5200000000004</v>
      </c>
      <c r="J128" s="215">
        <v>4231.5200000000004</v>
      </c>
      <c r="K128" s="215">
        <v>4231.5200000000004</v>
      </c>
      <c r="L128" s="215">
        <v>4231.5200000000004</v>
      </c>
      <c r="M128" s="215">
        <v>4231.5200000000004</v>
      </c>
      <c r="N128" s="215">
        <v>4231.5200000000004</v>
      </c>
      <c r="O128" s="215">
        <v>4231.5200000000004</v>
      </c>
      <c r="P128" s="200">
        <f t="shared" si="52"/>
        <v>50778.24000000002</v>
      </c>
      <c r="Q128" s="136">
        <v>52.02</v>
      </c>
      <c r="R128" s="136">
        <v>631.14</v>
      </c>
      <c r="S128" s="136">
        <v>339.32</v>
      </c>
      <c r="T128" s="136">
        <v>320.45999999999998</v>
      </c>
      <c r="U128" s="136">
        <v>295.11</v>
      </c>
      <c r="V128" s="136">
        <v>316.16000000000003</v>
      </c>
      <c r="W128" s="72">
        <v>339.65</v>
      </c>
      <c r="X128" s="72">
        <v>372.18</v>
      </c>
      <c r="Y128" s="72">
        <v>375</v>
      </c>
      <c r="Z128" s="72">
        <v>375</v>
      </c>
      <c r="AA128" s="72">
        <v>375</v>
      </c>
      <c r="AB128" s="72">
        <v>375</v>
      </c>
      <c r="AC128" s="137">
        <f t="shared" si="53"/>
        <v>4166.04</v>
      </c>
      <c r="AD128" s="72">
        <f t="shared" si="54"/>
        <v>46612.200000000019</v>
      </c>
      <c r="AE128" s="192">
        <f t="shared" si="55"/>
        <v>11.18861076705937</v>
      </c>
      <c r="AF128" s="133">
        <v>51773.659999999996</v>
      </c>
      <c r="AG128" s="124">
        <f t="shared" si="41"/>
        <v>995.41999999997643</v>
      </c>
    </row>
    <row r="129" spans="1:33">
      <c r="A129" s="105" t="s">
        <v>136</v>
      </c>
      <c r="B129" s="105" t="s">
        <v>615</v>
      </c>
      <c r="C129" s="105" t="s">
        <v>282</v>
      </c>
      <c r="D129" s="164">
        <v>4454</v>
      </c>
      <c r="E129" s="164">
        <v>4095</v>
      </c>
      <c r="F129" s="164">
        <v>4151</v>
      </c>
      <c r="G129" s="164">
        <v>4681</v>
      </c>
      <c r="H129" s="164">
        <v>4841</v>
      </c>
      <c r="I129" s="164">
        <v>4590</v>
      </c>
      <c r="J129" s="164">
        <v>4612</v>
      </c>
      <c r="K129" s="164">
        <v>4709</v>
      </c>
      <c r="L129" s="164">
        <v>4710</v>
      </c>
      <c r="M129" s="164">
        <v>4731</v>
      </c>
      <c r="N129" s="164">
        <v>4392</v>
      </c>
      <c r="O129" s="164">
        <v>4381</v>
      </c>
      <c r="P129" s="200">
        <f t="shared" si="52"/>
        <v>54347</v>
      </c>
      <c r="Q129" s="136">
        <v>3857.09</v>
      </c>
      <c r="R129" s="136">
        <v>5416.62</v>
      </c>
      <c r="S129" s="136">
        <v>4352.95</v>
      </c>
      <c r="T129" s="136">
        <v>4720.1400000000003</v>
      </c>
      <c r="U129" s="136">
        <v>5402.66</v>
      </c>
      <c r="V129" s="136">
        <v>5330.63</v>
      </c>
      <c r="W129" s="72">
        <v>4558.2299999999996</v>
      </c>
      <c r="X129" s="72">
        <v>5570.52</v>
      </c>
      <c r="Y129" s="72">
        <v>10017</v>
      </c>
      <c r="Z129" s="72">
        <v>9525</v>
      </c>
      <c r="AA129" s="72">
        <v>8909</v>
      </c>
      <c r="AB129" s="72">
        <v>8911</v>
      </c>
      <c r="AC129" s="137">
        <f t="shared" si="53"/>
        <v>76570.84</v>
      </c>
      <c r="AD129" s="72">
        <f t="shared" si="54"/>
        <v>-22223.839999999997</v>
      </c>
      <c r="AE129" s="192">
        <f t="shared" si="55"/>
        <v>-0.29023894735907296</v>
      </c>
      <c r="AF129" s="133">
        <v>120248.20000000001</v>
      </c>
      <c r="AG129" s="124">
        <f t="shared" si="41"/>
        <v>65901.200000000012</v>
      </c>
    </row>
    <row r="130" spans="1:33">
      <c r="A130" s="105" t="s">
        <v>137</v>
      </c>
      <c r="B130" s="105" t="s">
        <v>615</v>
      </c>
      <c r="C130" s="105" t="s">
        <v>283</v>
      </c>
      <c r="D130" s="164">
        <v>23989.72</v>
      </c>
      <c r="E130" s="164">
        <v>20454.72</v>
      </c>
      <c r="F130" s="164">
        <v>20496.47</v>
      </c>
      <c r="G130" s="164">
        <v>20794.47</v>
      </c>
      <c r="H130" s="164">
        <v>22255.72</v>
      </c>
      <c r="I130" s="164">
        <v>20808.53</v>
      </c>
      <c r="J130" s="164">
        <v>20680.53</v>
      </c>
      <c r="K130" s="164">
        <v>20661.53</v>
      </c>
      <c r="L130" s="164">
        <v>20793.53</v>
      </c>
      <c r="M130" s="164">
        <v>23934.59</v>
      </c>
      <c r="N130" s="164">
        <v>20731.47</v>
      </c>
      <c r="O130" s="164">
        <v>20712.47</v>
      </c>
      <c r="P130" s="200">
        <f t="shared" si="52"/>
        <v>256313.75</v>
      </c>
      <c r="Q130" s="136">
        <v>25097.61</v>
      </c>
      <c r="R130" s="136">
        <v>22828.59</v>
      </c>
      <c r="S130" s="136">
        <v>21543.24</v>
      </c>
      <c r="T130" s="136">
        <v>19250.55</v>
      </c>
      <c r="U130" s="136">
        <v>13233.05</v>
      </c>
      <c r="V130" s="136">
        <v>15655.82</v>
      </c>
      <c r="W130" s="72">
        <v>16661.810000000001</v>
      </c>
      <c r="X130" s="72">
        <v>19085.04</v>
      </c>
      <c r="Y130" s="72">
        <v>23708</v>
      </c>
      <c r="Z130" s="72">
        <v>26196</v>
      </c>
      <c r="AA130" s="72">
        <v>24010</v>
      </c>
      <c r="AB130" s="72">
        <v>24010</v>
      </c>
      <c r="AC130" s="137">
        <f t="shared" si="53"/>
        <v>251279.71000000002</v>
      </c>
      <c r="AD130" s="72">
        <f t="shared" si="54"/>
        <v>5034.039999999979</v>
      </c>
      <c r="AE130" s="192">
        <f t="shared" si="55"/>
        <v>2.0033611149901355E-2</v>
      </c>
      <c r="AF130" s="133">
        <v>504674.64999999997</v>
      </c>
      <c r="AG130" s="124">
        <f t="shared" si="41"/>
        <v>248360.89999999997</v>
      </c>
    </row>
    <row r="131" spans="1:33">
      <c r="A131" s="105" t="s">
        <v>138</v>
      </c>
      <c r="B131" s="105" t="s">
        <v>615</v>
      </c>
      <c r="C131" s="105" t="s">
        <v>472</v>
      </c>
      <c r="D131" s="136">
        <v>0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0</v>
      </c>
      <c r="O131" s="140">
        <v>0</v>
      </c>
      <c r="P131" s="200">
        <f t="shared" si="52"/>
        <v>0</v>
      </c>
      <c r="Q131" s="136">
        <v>0</v>
      </c>
      <c r="R131" s="136">
        <v>0</v>
      </c>
      <c r="S131" s="136">
        <v>0</v>
      </c>
      <c r="T131" s="136">
        <v>0</v>
      </c>
      <c r="U131" s="136">
        <v>0</v>
      </c>
      <c r="V131" s="136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137">
        <f t="shared" si="53"/>
        <v>0</v>
      </c>
      <c r="AD131" s="72">
        <f t="shared" si="54"/>
        <v>0</v>
      </c>
      <c r="AE131" s="192" t="e">
        <f t="shared" si="55"/>
        <v>#DIV/0!</v>
      </c>
      <c r="AF131" s="133">
        <v>0</v>
      </c>
      <c r="AG131" s="124">
        <f t="shared" si="41"/>
        <v>0</v>
      </c>
    </row>
    <row r="132" spans="1:33">
      <c r="A132" s="105" t="s">
        <v>140</v>
      </c>
      <c r="B132" s="105" t="s">
        <v>615</v>
      </c>
      <c r="C132" s="105" t="s">
        <v>552</v>
      </c>
      <c r="D132" s="136">
        <v>0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40">
        <v>0</v>
      </c>
      <c r="K132" s="140">
        <v>0</v>
      </c>
      <c r="L132" s="140">
        <v>0</v>
      </c>
      <c r="M132" s="140">
        <v>0</v>
      </c>
      <c r="N132" s="140">
        <v>0</v>
      </c>
      <c r="O132" s="140">
        <v>0</v>
      </c>
      <c r="P132" s="200">
        <f t="shared" si="52"/>
        <v>0</v>
      </c>
      <c r="Q132" s="136">
        <v>0</v>
      </c>
      <c r="R132" s="136">
        <v>0</v>
      </c>
      <c r="S132" s="136">
        <v>0</v>
      </c>
      <c r="T132" s="136">
        <v>0</v>
      </c>
      <c r="U132" s="136">
        <v>0</v>
      </c>
      <c r="V132" s="136">
        <v>0</v>
      </c>
      <c r="W132" s="72">
        <v>0</v>
      </c>
      <c r="X132" s="72">
        <v>0</v>
      </c>
      <c r="Y132" s="72">
        <v>0</v>
      </c>
      <c r="Z132" s="72">
        <v>0</v>
      </c>
      <c r="AA132" s="72">
        <v>0</v>
      </c>
      <c r="AB132" s="72">
        <v>0</v>
      </c>
      <c r="AC132" s="137">
        <f t="shared" si="53"/>
        <v>0</v>
      </c>
      <c r="AD132" s="72">
        <f t="shared" si="54"/>
        <v>0</v>
      </c>
      <c r="AE132" s="192" t="e">
        <f t="shared" si="55"/>
        <v>#DIV/0!</v>
      </c>
      <c r="AF132" s="133">
        <v>0</v>
      </c>
      <c r="AG132" s="124">
        <f t="shared" si="41"/>
        <v>0</v>
      </c>
    </row>
    <row r="133" spans="1:33">
      <c r="A133" s="105" t="s">
        <v>273</v>
      </c>
      <c r="C133" s="109" t="s">
        <v>523</v>
      </c>
      <c r="D133" s="137">
        <f t="shared" ref="D133:AC133" si="56">SUM(D124:D132)</f>
        <v>34941.9</v>
      </c>
      <c r="E133" s="137">
        <f t="shared" si="56"/>
        <v>31047.9</v>
      </c>
      <c r="F133" s="137">
        <f t="shared" si="56"/>
        <v>31145.65</v>
      </c>
      <c r="G133" s="137">
        <f t="shared" si="56"/>
        <v>31973.65</v>
      </c>
      <c r="H133" s="137">
        <f t="shared" si="56"/>
        <v>33594.9</v>
      </c>
      <c r="I133" s="137">
        <f t="shared" si="56"/>
        <v>31896.71</v>
      </c>
      <c r="J133" s="137">
        <f t="shared" si="56"/>
        <v>31790.71</v>
      </c>
      <c r="K133" s="137">
        <f t="shared" si="56"/>
        <v>31868.71</v>
      </c>
      <c r="L133" s="137">
        <f t="shared" si="56"/>
        <v>32001.71</v>
      </c>
      <c r="M133" s="137">
        <f t="shared" si="56"/>
        <v>35163.770000000004</v>
      </c>
      <c r="N133" s="137">
        <f t="shared" si="56"/>
        <v>31621.65</v>
      </c>
      <c r="O133" s="137">
        <f t="shared" si="56"/>
        <v>31591.65</v>
      </c>
      <c r="P133" s="135">
        <f t="shared" si="56"/>
        <v>388638.91000000003</v>
      </c>
      <c r="Q133" s="137">
        <f t="shared" si="56"/>
        <v>30705.72</v>
      </c>
      <c r="R133" s="137">
        <f t="shared" si="56"/>
        <v>30429.64</v>
      </c>
      <c r="S133" s="137">
        <f t="shared" si="56"/>
        <v>27806.510000000002</v>
      </c>
      <c r="T133" s="137">
        <f t="shared" si="56"/>
        <v>26020.27</v>
      </c>
      <c r="U133" s="137">
        <f t="shared" si="56"/>
        <v>21036.82</v>
      </c>
      <c r="V133" s="137">
        <f t="shared" si="56"/>
        <v>23522.34</v>
      </c>
      <c r="W133" s="137">
        <f t="shared" si="56"/>
        <v>23801.690000000002</v>
      </c>
      <c r="X133" s="137">
        <f t="shared" si="56"/>
        <v>27269.74</v>
      </c>
      <c r="Y133" s="137">
        <f t="shared" si="56"/>
        <v>35775</v>
      </c>
      <c r="Z133" s="137">
        <f t="shared" si="56"/>
        <v>37771</v>
      </c>
      <c r="AA133" s="137">
        <f t="shared" si="56"/>
        <v>34969</v>
      </c>
      <c r="AB133" s="137">
        <f t="shared" si="56"/>
        <v>34971</v>
      </c>
      <c r="AC133" s="137">
        <f t="shared" si="56"/>
        <v>354078.73</v>
      </c>
      <c r="AD133" s="72">
        <f t="shared" si="54"/>
        <v>34560.180000000051</v>
      </c>
      <c r="AE133" s="192">
        <f t="shared" si="55"/>
        <v>9.7605919451868944E-2</v>
      </c>
      <c r="AF133" s="133">
        <v>734560.49</v>
      </c>
      <c r="AG133" s="124">
        <f t="shared" si="41"/>
        <v>345921.57999999996</v>
      </c>
    </row>
    <row r="134" spans="1:33">
      <c r="A134" s="105" t="s">
        <v>273</v>
      </c>
      <c r="C134" s="109" t="s">
        <v>524</v>
      </c>
      <c r="D134" s="137">
        <f t="shared" ref="D134:AC134" si="57">D105+D112+D122+D133</f>
        <v>297927.66000000003</v>
      </c>
      <c r="E134" s="137">
        <f t="shared" si="57"/>
        <v>261660.71</v>
      </c>
      <c r="F134" s="137">
        <f t="shared" si="57"/>
        <v>264268.52</v>
      </c>
      <c r="G134" s="137">
        <f t="shared" si="57"/>
        <v>275965.34000000003</v>
      </c>
      <c r="H134" s="137">
        <f t="shared" si="57"/>
        <v>288039.15000000002</v>
      </c>
      <c r="I134" s="137">
        <f t="shared" si="57"/>
        <v>267742.19</v>
      </c>
      <c r="J134" s="137">
        <f t="shared" si="57"/>
        <v>269232.94</v>
      </c>
      <c r="K134" s="137">
        <f t="shared" si="57"/>
        <v>269066.99</v>
      </c>
      <c r="L134" s="137">
        <f t="shared" si="57"/>
        <v>269199.99</v>
      </c>
      <c r="M134" s="137">
        <f t="shared" si="57"/>
        <v>305930.42000000004</v>
      </c>
      <c r="N134" s="137">
        <f t="shared" si="57"/>
        <v>269063.88</v>
      </c>
      <c r="O134" s="137">
        <f t="shared" si="57"/>
        <v>268789.93</v>
      </c>
      <c r="P134" s="135">
        <f t="shared" si="57"/>
        <v>3306887.7200000007</v>
      </c>
      <c r="Q134" s="137">
        <f t="shared" si="57"/>
        <v>302236.79000000004</v>
      </c>
      <c r="R134" s="137">
        <f t="shared" si="57"/>
        <v>347632.52</v>
      </c>
      <c r="S134" s="137">
        <f t="shared" si="57"/>
        <v>250533.94</v>
      </c>
      <c r="T134" s="137">
        <f t="shared" si="57"/>
        <v>234210.79</v>
      </c>
      <c r="U134" s="137">
        <f t="shared" si="57"/>
        <v>213884.76</v>
      </c>
      <c r="V134" s="137">
        <f t="shared" si="57"/>
        <v>247334.88000000003</v>
      </c>
      <c r="W134" s="137">
        <f t="shared" si="57"/>
        <v>243850.22999999998</v>
      </c>
      <c r="X134" s="137">
        <f t="shared" si="57"/>
        <v>266298.27999999997</v>
      </c>
      <c r="Y134" s="137">
        <f t="shared" si="57"/>
        <v>318296.5</v>
      </c>
      <c r="Z134" s="137">
        <f t="shared" si="57"/>
        <v>342759.5</v>
      </c>
      <c r="AA134" s="137">
        <f t="shared" si="57"/>
        <v>306406.5</v>
      </c>
      <c r="AB134" s="137">
        <f t="shared" si="57"/>
        <v>306608.5</v>
      </c>
      <c r="AC134" s="137">
        <f t="shared" si="57"/>
        <v>3380053.19</v>
      </c>
      <c r="AD134" s="72">
        <f t="shared" si="54"/>
        <v>-73165.469999999274</v>
      </c>
      <c r="AE134" s="192">
        <f t="shared" si="55"/>
        <v>-2.1646248117178083E-2</v>
      </c>
      <c r="AF134" s="133">
        <v>4213262.3999999994</v>
      </c>
      <c r="AG134" s="124">
        <f t="shared" si="41"/>
        <v>906374.67999999877</v>
      </c>
    </row>
    <row r="135" spans="1:33">
      <c r="A135" s="105" t="s">
        <v>273</v>
      </c>
      <c r="C135" s="105" t="s">
        <v>154</v>
      </c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7"/>
      <c r="AD135" s="136"/>
      <c r="AF135" s="133"/>
      <c r="AG135" s="124">
        <f t="shared" si="41"/>
        <v>0</v>
      </c>
    </row>
    <row r="136" spans="1:33" s="224" customFormat="1">
      <c r="A136" s="224" t="s">
        <v>141</v>
      </c>
      <c r="B136" s="224" t="s">
        <v>615</v>
      </c>
      <c r="C136" s="224" t="s">
        <v>142</v>
      </c>
      <c r="D136" s="215">
        <v>19</v>
      </c>
      <c r="E136" s="215">
        <v>19</v>
      </c>
      <c r="F136" s="215">
        <v>19</v>
      </c>
      <c r="G136" s="215">
        <v>19</v>
      </c>
      <c r="H136" s="215">
        <v>19</v>
      </c>
      <c r="I136" s="215">
        <v>19</v>
      </c>
      <c r="J136" s="215">
        <v>19</v>
      </c>
      <c r="K136" s="215">
        <v>19</v>
      </c>
      <c r="L136" s="215">
        <v>19</v>
      </c>
      <c r="M136" s="215">
        <v>19</v>
      </c>
      <c r="N136" s="215">
        <v>19</v>
      </c>
      <c r="O136" s="215">
        <v>19</v>
      </c>
      <c r="P136" s="225">
        <f>SUM(D136:O136)/12</f>
        <v>19</v>
      </c>
      <c r="Q136" s="225">
        <v>20</v>
      </c>
      <c r="R136" s="225">
        <v>18</v>
      </c>
      <c r="S136" s="225">
        <v>18</v>
      </c>
      <c r="T136" s="225">
        <v>17</v>
      </c>
      <c r="U136" s="225">
        <v>15</v>
      </c>
      <c r="V136" s="225">
        <v>16</v>
      </c>
      <c r="W136" s="127">
        <v>17</v>
      </c>
      <c r="X136" s="127">
        <v>19</v>
      </c>
      <c r="Y136" s="127">
        <v>13</v>
      </c>
      <c r="Z136" s="127">
        <v>13</v>
      </c>
      <c r="AA136" s="127">
        <v>13</v>
      </c>
      <c r="AB136" s="127">
        <v>13</v>
      </c>
      <c r="AC136" s="225">
        <f>SUM(Q136:AB136)/12</f>
        <v>16</v>
      </c>
      <c r="AD136" s="225">
        <f t="shared" ref="AD136" si="58">P136-AC136</f>
        <v>3</v>
      </c>
      <c r="AE136" s="226">
        <f t="shared" ref="AE136" si="59">AD136/AC136</f>
        <v>0.1875</v>
      </c>
      <c r="AF136" s="227">
        <v>30.25</v>
      </c>
      <c r="AG136" s="228">
        <f t="shared" si="41"/>
        <v>11.25</v>
      </c>
    </row>
    <row r="137" spans="1:33"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7"/>
      <c r="AD137" s="136"/>
      <c r="AG137" s="123"/>
    </row>
    <row r="138" spans="1:33">
      <c r="C138" s="151" t="s">
        <v>292</v>
      </c>
      <c r="D138" s="229">
        <v>1948.17</v>
      </c>
      <c r="E138" s="229">
        <v>1948.17</v>
      </c>
      <c r="F138" s="229">
        <v>1948.17</v>
      </c>
      <c r="G138" s="229">
        <v>1948.17</v>
      </c>
      <c r="H138" s="229">
        <v>1948.17</v>
      </c>
      <c r="I138" s="229">
        <v>1948.17</v>
      </c>
      <c r="J138" s="229">
        <v>1948.17</v>
      </c>
      <c r="K138" s="229">
        <v>1948.17</v>
      </c>
      <c r="L138" s="229">
        <v>1948.17</v>
      </c>
      <c r="M138" s="229">
        <v>1948.17</v>
      </c>
      <c r="N138" s="229">
        <v>1948.17</v>
      </c>
      <c r="O138" s="229">
        <v>1948.17</v>
      </c>
      <c r="P138" s="200">
        <f t="shared" ref="P138:P140" si="60">SUM(D138:O138)</f>
        <v>23378.039999999994</v>
      </c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7"/>
      <c r="AD138" s="136"/>
      <c r="AG138" s="123"/>
    </row>
    <row r="139" spans="1:33">
      <c r="C139" s="152" t="s">
        <v>366</v>
      </c>
      <c r="D139" s="136">
        <v>7837.42</v>
      </c>
      <c r="E139" s="136">
        <v>6178.59</v>
      </c>
      <c r="F139" s="136">
        <v>6330.59</v>
      </c>
      <c r="G139" s="136">
        <v>6781.3</v>
      </c>
      <c r="H139" s="136">
        <v>6826.05</v>
      </c>
      <c r="I139" s="136">
        <v>6381.59</v>
      </c>
      <c r="J139" s="136">
        <v>6376.84</v>
      </c>
      <c r="K139" s="136">
        <v>6384.84</v>
      </c>
      <c r="L139" s="136">
        <v>6391.84</v>
      </c>
      <c r="M139" s="136">
        <v>8034.92</v>
      </c>
      <c r="N139" s="136">
        <v>6365.09</v>
      </c>
      <c r="O139" s="136">
        <v>6363.34</v>
      </c>
      <c r="P139" s="200">
        <f t="shared" si="60"/>
        <v>80252.409999999974</v>
      </c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7"/>
      <c r="AD139" s="136"/>
      <c r="AG139" s="123"/>
    </row>
    <row r="140" spans="1:33">
      <c r="C140" s="151" t="s">
        <v>367</v>
      </c>
      <c r="D140" s="136">
        <v>7552.6500000000015</v>
      </c>
      <c r="E140" s="136">
        <v>3403.74</v>
      </c>
      <c r="F140" s="136">
        <v>3439.74</v>
      </c>
      <c r="G140" s="136">
        <v>4584.9600000000009</v>
      </c>
      <c r="H140" s="136">
        <v>5670.93</v>
      </c>
      <c r="I140" s="136">
        <v>3592.74</v>
      </c>
      <c r="J140" s="136">
        <v>3578.49</v>
      </c>
      <c r="K140" s="136">
        <v>3602.49</v>
      </c>
      <c r="L140" s="136">
        <v>3623.49</v>
      </c>
      <c r="M140" s="136">
        <v>5821.68</v>
      </c>
      <c r="N140" s="136">
        <v>3543.24</v>
      </c>
      <c r="O140" s="136">
        <v>3537.99</v>
      </c>
      <c r="P140" s="200">
        <f t="shared" si="60"/>
        <v>51952.139999999992</v>
      </c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7"/>
      <c r="AD140" s="136"/>
      <c r="AG140" s="123"/>
    </row>
    <row r="141" spans="1:33">
      <c r="C141" s="109" t="s">
        <v>476</v>
      </c>
      <c r="D141" s="117">
        <f>SUM(D138:D140)</f>
        <v>17338.240000000002</v>
      </c>
      <c r="E141" s="117">
        <f t="shared" ref="E141:P141" si="61">SUM(E138:E140)</f>
        <v>11530.5</v>
      </c>
      <c r="F141" s="117">
        <f t="shared" si="61"/>
        <v>11718.5</v>
      </c>
      <c r="G141" s="117">
        <f t="shared" si="61"/>
        <v>13314.430000000002</v>
      </c>
      <c r="H141" s="117">
        <f t="shared" si="61"/>
        <v>14445.150000000001</v>
      </c>
      <c r="I141" s="117">
        <f t="shared" si="61"/>
        <v>11922.5</v>
      </c>
      <c r="J141" s="117">
        <f t="shared" si="61"/>
        <v>11903.5</v>
      </c>
      <c r="K141" s="117">
        <f t="shared" si="61"/>
        <v>11935.5</v>
      </c>
      <c r="L141" s="117">
        <f t="shared" si="61"/>
        <v>11963.5</v>
      </c>
      <c r="M141" s="117">
        <f t="shared" si="61"/>
        <v>15804.77</v>
      </c>
      <c r="N141" s="117">
        <f t="shared" si="61"/>
        <v>11856.5</v>
      </c>
      <c r="O141" s="117">
        <f t="shared" si="61"/>
        <v>11849.5</v>
      </c>
      <c r="P141" s="117">
        <f t="shared" si="61"/>
        <v>155582.58999999997</v>
      </c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7"/>
      <c r="AD141" s="136"/>
      <c r="AG141" s="123"/>
    </row>
    <row r="142" spans="1:33">
      <c r="C142" s="109" t="s">
        <v>622</v>
      </c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7"/>
      <c r="AD142" s="136"/>
      <c r="AG142" s="123"/>
    </row>
    <row r="143" spans="1:33">
      <c r="C143" s="105" t="s">
        <v>376</v>
      </c>
      <c r="D143" s="234">
        <f>'F&amp;B Admin'!D143</f>
        <v>0.328710289236605</v>
      </c>
      <c r="E143" s="234">
        <f>'F&amp;B Admin'!E143</f>
        <v>0.33870910236145607</v>
      </c>
      <c r="F143" s="234">
        <f>'F&amp;B Admin'!F143</f>
        <v>0.38020316983881353</v>
      </c>
      <c r="G143" s="234">
        <f>'F&amp;B Admin'!G143</f>
        <v>0.40652000700170932</v>
      </c>
      <c r="H143" s="234">
        <f>'F&amp;B Admin'!H143</f>
        <v>0.40139864287591076</v>
      </c>
      <c r="I143" s="234">
        <f>'F&amp;B Admin'!I143</f>
        <v>0.40944320541043067</v>
      </c>
      <c r="J143" s="234">
        <f>'F&amp;B Admin'!J143</f>
        <v>0.39565438610618398</v>
      </c>
      <c r="K143" s="234">
        <f>'F&amp;B Admin'!K143</f>
        <v>0.38035497897212917</v>
      </c>
      <c r="L143" s="234">
        <f>'F&amp;B Admin'!L143</f>
        <v>0.40580666789135172</v>
      </c>
      <c r="M143" s="234">
        <f>'F&amp;B Admin'!M143</f>
        <v>0.37586078753182212</v>
      </c>
      <c r="N143" s="234">
        <f>'F&amp;B Admin'!N143</f>
        <v>0.36105108341872899</v>
      </c>
      <c r="O143" s="234">
        <f>'F&amp;B Admin'!O143</f>
        <v>0.33703330799586922</v>
      </c>
      <c r="P143" s="198">
        <f>SUM(D143:O143)/12</f>
        <v>0.37672880238675083</v>
      </c>
      <c r="Q143" s="234"/>
      <c r="R143" s="234"/>
      <c r="S143" s="234"/>
      <c r="T143" s="234"/>
      <c r="U143" s="234"/>
      <c r="V143" s="234"/>
      <c r="W143" s="234"/>
      <c r="X143" s="136"/>
      <c r="Y143" s="136"/>
      <c r="Z143" s="136"/>
      <c r="AA143" s="136"/>
      <c r="AB143" s="136"/>
      <c r="AC143" s="137"/>
      <c r="AD143" s="136"/>
      <c r="AG143" s="123"/>
    </row>
    <row r="144" spans="1:33">
      <c r="C144" s="105" t="s">
        <v>378</v>
      </c>
      <c r="D144" s="234">
        <f>'F&amp;B Admin'!D144</f>
        <v>0.17798719772403984</v>
      </c>
      <c r="E144" s="234">
        <f>'F&amp;B Admin'!E144</f>
        <v>0.16609290797280291</v>
      </c>
      <c r="F144" s="234">
        <f>'F&amp;B Admin'!F144</f>
        <v>0.1479303439165793</v>
      </c>
      <c r="G144" s="234">
        <f>'F&amp;B Admin'!G144</f>
        <v>0.15380804029617612</v>
      </c>
      <c r="H144" s="234">
        <f>'F&amp;B Admin'!H144</f>
        <v>0.16025722758396363</v>
      </c>
      <c r="I144" s="234">
        <f>'F&amp;B Admin'!I144</f>
        <v>0.1334931453343266</v>
      </c>
      <c r="J144" s="234">
        <f>'F&amp;B Admin'!J144</f>
        <v>0.16794549934979511</v>
      </c>
      <c r="K144" s="234">
        <f>'F&amp;B Admin'!K144</f>
        <v>0.16933494903414356</v>
      </c>
      <c r="L144" s="234">
        <f>'F&amp;B Admin'!L144</f>
        <v>0.12619653289576788</v>
      </c>
      <c r="M144" s="234">
        <f>'F&amp;B Admin'!M144</f>
        <v>0.13186080804939926</v>
      </c>
      <c r="N144" s="234">
        <f>'F&amp;B Admin'!N144</f>
        <v>0.12519977275020044</v>
      </c>
      <c r="O144" s="234">
        <f>'F&amp;B Admin'!O144</f>
        <v>0.13114193640100708</v>
      </c>
      <c r="P144" s="198">
        <f t="shared" ref="P144:P155" si="62">SUM(D144:O144)/12</f>
        <v>0.14927069677568347</v>
      </c>
      <c r="Q144" s="234"/>
      <c r="R144" s="234"/>
      <c r="S144" s="234"/>
      <c r="T144" s="234"/>
      <c r="U144" s="234"/>
      <c r="V144" s="234"/>
      <c r="W144" s="234"/>
      <c r="X144" s="136"/>
      <c r="Y144" s="136"/>
      <c r="Z144" s="136"/>
      <c r="AA144" s="136"/>
      <c r="AB144" s="136"/>
      <c r="AC144" s="137"/>
      <c r="AD144" s="136"/>
      <c r="AG144" s="123"/>
    </row>
    <row r="145" spans="3:33">
      <c r="C145" s="105" t="s">
        <v>380</v>
      </c>
      <c r="D145" s="234">
        <f>'F&amp;B Admin'!D145</f>
        <v>0.1251778093883357</v>
      </c>
      <c r="E145" s="234">
        <f>'F&amp;B Admin'!E145</f>
        <v>0.12491961436020954</v>
      </c>
      <c r="F145" s="234">
        <f>'F&amp;B Admin'!F145</f>
        <v>7.4072523441538266E-2</v>
      </c>
      <c r="G145" s="234">
        <f>'F&amp;B Admin'!G145</f>
        <v>6.1217130466139753E-2</v>
      </c>
      <c r="H145" s="234">
        <f>'F&amp;B Admin'!H145</f>
        <v>6.1012593717138436E-2</v>
      </c>
      <c r="I145" s="234">
        <f>'F&amp;B Admin'!I145</f>
        <v>6.9532043067142196E-2</v>
      </c>
      <c r="J145" s="234">
        <f>'F&amp;B Admin'!J145</f>
        <v>7.7410640759905558E-2</v>
      </c>
      <c r="K145" s="234">
        <f>'F&amp;B Admin'!K145</f>
        <v>7.9406942761422766E-2</v>
      </c>
      <c r="L145" s="234">
        <f>'F&amp;B Admin'!L145</f>
        <v>6.4451647253332342E-2</v>
      </c>
      <c r="M145" s="234">
        <f>'F&amp;B Admin'!M145</f>
        <v>5.6600212710674391E-2</v>
      </c>
      <c r="N145" s="234">
        <f>'F&amp;B Admin'!N145</f>
        <v>6.3360925423482831E-2</v>
      </c>
      <c r="O145" s="234">
        <f>'F&amp;B Admin'!O145</f>
        <v>6.5203829520769474E-2</v>
      </c>
      <c r="P145" s="198">
        <f t="shared" si="62"/>
        <v>7.6863826072507593E-2</v>
      </c>
      <c r="Q145" s="234"/>
      <c r="R145" s="234"/>
      <c r="S145" s="234"/>
      <c r="T145" s="234"/>
      <c r="U145" s="234"/>
      <c r="V145" s="234"/>
      <c r="W145" s="234"/>
      <c r="X145" s="136"/>
      <c r="Y145" s="136"/>
      <c r="Z145" s="136"/>
      <c r="AA145" s="136"/>
      <c r="AB145" s="136"/>
      <c r="AC145" s="137"/>
      <c r="AD145" s="136"/>
      <c r="AG145" s="123"/>
    </row>
    <row r="146" spans="3:33">
      <c r="C146" s="105" t="s">
        <v>382</v>
      </c>
      <c r="D146" s="234">
        <f>'F&amp;B Admin'!D146</f>
        <v>9.5145803698435283E-2</v>
      </c>
      <c r="E146" s="234">
        <f>'F&amp;B Admin'!E146</f>
        <v>8.9085115682693616E-2</v>
      </c>
      <c r="F146" s="234">
        <f>'F&amp;B Admin'!F146</f>
        <v>9.927596792122978E-2</v>
      </c>
      <c r="G146" s="234">
        <f>'F&amp;B Admin'!G146</f>
        <v>0.10026218149157451</v>
      </c>
      <c r="H146" s="234">
        <f>'F&amp;B Admin'!H146</f>
        <v>9.8999072344124625E-2</v>
      </c>
      <c r="I146" s="234">
        <f>'F&amp;B Admin'!I146</f>
        <v>9.9448623464509445E-2</v>
      </c>
      <c r="J146" s="234">
        <f>'F&amp;B Admin'!J146</f>
        <v>8.5436433629495767E-2</v>
      </c>
      <c r="K146" s="234">
        <f>'F&amp;B Admin'!K146</f>
        <v>9.5072350131869696E-2</v>
      </c>
      <c r="L146" s="234">
        <f>'F&amp;B Admin'!L146</f>
        <v>0.10005054420646114</v>
      </c>
      <c r="M146" s="234">
        <f>'F&amp;B Admin'!M146</f>
        <v>9.6038002797819266E-2</v>
      </c>
      <c r="N146" s="234">
        <f>'F&amp;B Admin'!N146</f>
        <v>9.3960889672346143E-2</v>
      </c>
      <c r="O146" s="234">
        <f>'F&amp;B Admin'!O146</f>
        <v>8.4825335975948601E-2</v>
      </c>
      <c r="P146" s="198">
        <f t="shared" si="62"/>
        <v>9.4800026751375652E-2</v>
      </c>
      <c r="Q146" s="234"/>
      <c r="R146" s="234"/>
      <c r="S146" s="234"/>
      <c r="T146" s="234"/>
      <c r="U146" s="234"/>
      <c r="V146" s="234"/>
      <c r="W146" s="234"/>
      <c r="X146" s="136"/>
      <c r="Y146" s="136"/>
      <c r="Z146" s="136"/>
      <c r="AA146" s="136"/>
      <c r="AB146" s="136"/>
      <c r="AC146" s="137"/>
      <c r="AD146" s="136"/>
      <c r="AG146" s="123"/>
    </row>
    <row r="147" spans="3:33">
      <c r="C147" s="105" t="s">
        <v>384</v>
      </c>
      <c r="D147" s="234">
        <f>'F&amp;B Admin'!D147</f>
        <v>0.17354196301564723</v>
      </c>
      <c r="E147" s="234">
        <f>'F&amp;B Admin'!E147</f>
        <v>0.16427061338699858</v>
      </c>
      <c r="F147" s="234">
        <f>'F&amp;B Admin'!F147</f>
        <v>0.1631742545378814</v>
      </c>
      <c r="G147" s="234">
        <f>'F&amp;B Admin'!G147</f>
        <v>0.15022109905792574</v>
      </c>
      <c r="H147" s="234">
        <f>'F&amp;B Admin'!H147</f>
        <v>0.15317372212144756</v>
      </c>
      <c r="I147" s="234">
        <f>'F&amp;B Admin'!I147</f>
        <v>0.15845766200180658</v>
      </c>
      <c r="J147" s="234">
        <f>'F&amp;B Admin'!J147</f>
        <v>0.17456544380098704</v>
      </c>
      <c r="K147" s="234">
        <f>'F&amp;B Admin'!K147</f>
        <v>0.17469527407513008</v>
      </c>
      <c r="L147" s="234">
        <f>'F&amp;B Admin'!L147</f>
        <v>0.15526515988886502</v>
      </c>
      <c r="M147" s="234">
        <f>'F&amp;B Admin'!M147</f>
        <v>0.14415366674749885</v>
      </c>
      <c r="N147" s="234">
        <f>'F&amp;B Admin'!N147</f>
        <v>0.13564193643731073</v>
      </c>
      <c r="O147" s="234">
        <f>'F&amp;B Admin'!O147</f>
        <v>0.18301863184743009</v>
      </c>
      <c r="P147" s="198">
        <f t="shared" si="62"/>
        <v>0.1608482855765774</v>
      </c>
      <c r="Q147" s="234"/>
      <c r="R147" s="234"/>
      <c r="S147" s="234"/>
      <c r="T147" s="234"/>
      <c r="U147" s="234"/>
      <c r="V147" s="234"/>
      <c r="W147" s="234"/>
      <c r="X147" s="136"/>
      <c r="Y147" s="136"/>
      <c r="Z147" s="136"/>
      <c r="AA147" s="136"/>
      <c r="AB147" s="136"/>
      <c r="AC147" s="137"/>
      <c r="AD147" s="136"/>
      <c r="AG147" s="123"/>
    </row>
    <row r="148" spans="3:33">
      <c r="C148" s="105" t="s">
        <v>386</v>
      </c>
      <c r="D148" s="234">
        <f>'F&amp;B Admin'!D148</f>
        <v>2.3992413466097675E-2</v>
      </c>
      <c r="E148" s="234">
        <f>'F&amp;B Admin'!E148</f>
        <v>3.8030495703742437E-2</v>
      </c>
      <c r="F148" s="234">
        <f>'F&amp;B Admin'!F148</f>
        <v>3.0953011003348112E-2</v>
      </c>
      <c r="G148" s="234">
        <f>'F&amp;B Admin'!G148</f>
        <v>2.2095558027622315E-2</v>
      </c>
      <c r="H148" s="234">
        <f>'F&amp;B Admin'!H148</f>
        <v>2.3706131614553788E-2</v>
      </c>
      <c r="I148" s="234">
        <f>'F&amp;B Admin'!I148</f>
        <v>2.1466971127656852E-2</v>
      </c>
      <c r="J148" s="234">
        <f>'F&amp;B Admin'!J148</f>
        <v>2.5581102549968791E-2</v>
      </c>
      <c r="K148" s="234">
        <f>'F&amp;B Admin'!K148</f>
        <v>2.7158029795423765E-2</v>
      </c>
      <c r="L148" s="234">
        <f>'F&amp;B Admin'!L148</f>
        <v>2.0757374316693184E-2</v>
      </c>
      <c r="M148" s="234">
        <f>'F&amp;B Admin'!M148</f>
        <v>2.8211668522976768E-2</v>
      </c>
      <c r="N148" s="234">
        <f>'F&amp;B Admin'!N148</f>
        <v>2.0618848636412709E-2</v>
      </c>
      <c r="O148" s="234">
        <f>'F&amp;B Admin'!O148</f>
        <v>1.8944355874277619E-2</v>
      </c>
      <c r="P148" s="198">
        <f t="shared" si="62"/>
        <v>2.5126330053231168E-2</v>
      </c>
      <c r="Q148" s="234"/>
      <c r="R148" s="234"/>
      <c r="S148" s="234"/>
      <c r="T148" s="234"/>
      <c r="U148" s="234"/>
      <c r="V148" s="234"/>
      <c r="W148" s="234"/>
      <c r="X148" s="136"/>
      <c r="Y148" s="136"/>
      <c r="Z148" s="136"/>
      <c r="AA148" s="136"/>
      <c r="AB148" s="136"/>
      <c r="AC148" s="137"/>
      <c r="AD148" s="136"/>
      <c r="AG148" s="123"/>
    </row>
    <row r="149" spans="3:33">
      <c r="C149" s="105" t="s">
        <v>388</v>
      </c>
      <c r="D149" s="234">
        <f>'F&amp;B Admin'!D149</f>
        <v>0</v>
      </c>
      <c r="E149" s="234">
        <f>'F&amp;B Admin'!E149</f>
        <v>0</v>
      </c>
      <c r="F149" s="234">
        <f>'F&amp;B Admin'!F149</f>
        <v>0</v>
      </c>
      <c r="G149" s="234">
        <f>'F&amp;B Admin'!G149</f>
        <v>0</v>
      </c>
      <c r="H149" s="234">
        <f>'F&amp;B Admin'!H149</f>
        <v>0</v>
      </c>
      <c r="I149" s="234">
        <f>'F&amp;B Admin'!I149</f>
        <v>0</v>
      </c>
      <c r="J149" s="234">
        <f>'F&amp;B Admin'!J149</f>
        <v>0</v>
      </c>
      <c r="K149" s="234">
        <f>'F&amp;B Admin'!K149</f>
        <v>0</v>
      </c>
      <c r="L149" s="234">
        <f>'F&amp;B Admin'!L149</f>
        <v>0</v>
      </c>
      <c r="M149" s="234">
        <f>'F&amp;B Admin'!M149</f>
        <v>0</v>
      </c>
      <c r="N149" s="234">
        <f>'F&amp;B Admin'!N149</f>
        <v>0</v>
      </c>
      <c r="O149" s="234">
        <f>'F&amp;B Admin'!O149</f>
        <v>0</v>
      </c>
      <c r="P149" s="198">
        <f t="shared" si="62"/>
        <v>0</v>
      </c>
      <c r="Q149" s="234"/>
      <c r="R149" s="234"/>
      <c r="S149" s="234"/>
      <c r="T149" s="234"/>
      <c r="U149" s="234"/>
      <c r="V149" s="234"/>
      <c r="W149" s="234"/>
      <c r="X149" s="136"/>
      <c r="Y149" s="136"/>
      <c r="Z149" s="136"/>
      <c r="AA149" s="136"/>
      <c r="AB149" s="136"/>
      <c r="AC149" s="137"/>
      <c r="AD149" s="136"/>
      <c r="AG149" s="123"/>
    </row>
    <row r="150" spans="3:33">
      <c r="C150" s="105" t="s">
        <v>390</v>
      </c>
      <c r="D150" s="234">
        <f>'F&amp;B Admin'!D150</f>
        <v>1.3898767188240872E-2</v>
      </c>
      <c r="E150" s="234">
        <f>'F&amp;B Admin'!E150</f>
        <v>2.1055425485978236E-2</v>
      </c>
      <c r="F150" s="234">
        <f>'F&amp;B Admin'!F150</f>
        <v>1.7701364992001419E-2</v>
      </c>
      <c r="G150" s="234">
        <f>'F&amp;B Admin'!G150</f>
        <v>1.8897919478430048E-2</v>
      </c>
      <c r="H150" s="234">
        <f>'F&amp;B Admin'!H150</f>
        <v>1.8982850172148073E-2</v>
      </c>
      <c r="I150" s="234">
        <f>'F&amp;B Admin'!I150</f>
        <v>1.920089671203493E-2</v>
      </c>
      <c r="J150" s="234">
        <f>'F&amp;B Admin'!J150</f>
        <v>1.6491284110546546E-2</v>
      </c>
      <c r="K150" s="234">
        <f>'F&amp;B Admin'!K150</f>
        <v>1.8257181552498395E-2</v>
      </c>
      <c r="L150" s="234">
        <f>'F&amp;B Admin'!L150</f>
        <v>1.8815521949366538E-2</v>
      </c>
      <c r="M150" s="234">
        <f>'F&amp;B Admin'!M150</f>
        <v>1.6884550954253053E-2</v>
      </c>
      <c r="N150" s="234">
        <f>'F&amp;B Admin'!N150</f>
        <v>1.6676489379965558E-2</v>
      </c>
      <c r="O150" s="234">
        <f>'F&amp;B Admin'!O150</f>
        <v>1.3291154483732526E-2</v>
      </c>
      <c r="P150" s="198">
        <f t="shared" si="62"/>
        <v>1.7512783871599682E-2</v>
      </c>
      <c r="Q150" s="234"/>
      <c r="R150" s="234"/>
      <c r="S150" s="234"/>
      <c r="T150" s="234"/>
      <c r="U150" s="234"/>
      <c r="V150" s="234"/>
      <c r="W150" s="234"/>
      <c r="X150" s="136"/>
      <c r="Y150" s="136"/>
      <c r="Z150" s="136"/>
      <c r="AA150" s="136"/>
      <c r="AB150" s="136"/>
      <c r="AC150" s="137"/>
      <c r="AD150" s="136"/>
      <c r="AG150" s="123"/>
    </row>
    <row r="151" spans="3:33">
      <c r="C151" s="105" t="s">
        <v>392</v>
      </c>
      <c r="D151" s="234">
        <f>'F&amp;B Admin'!D151</f>
        <v>0</v>
      </c>
      <c r="E151" s="234">
        <f>'F&amp;B Admin'!E151</f>
        <v>0</v>
      </c>
      <c r="F151" s="234">
        <f>'F&amp;B Admin'!F151</f>
        <v>0</v>
      </c>
      <c r="G151" s="234">
        <f>'F&amp;B Admin'!G151</f>
        <v>0</v>
      </c>
      <c r="H151" s="234">
        <f>'F&amp;B Admin'!H151</f>
        <v>0</v>
      </c>
      <c r="I151" s="234">
        <f>'F&amp;B Admin'!I151</f>
        <v>0</v>
      </c>
      <c r="J151" s="234">
        <f>'F&amp;B Admin'!J151</f>
        <v>0</v>
      </c>
      <c r="K151" s="234">
        <f>'F&amp;B Admin'!K151</f>
        <v>0</v>
      </c>
      <c r="L151" s="234">
        <f>'F&amp;B Admin'!L151</f>
        <v>0</v>
      </c>
      <c r="M151" s="234">
        <f>'F&amp;B Admin'!M151</f>
        <v>0</v>
      </c>
      <c r="N151" s="234">
        <f>'F&amp;B Admin'!N151</f>
        <v>0</v>
      </c>
      <c r="O151" s="234">
        <f>'F&amp;B Admin'!O151</f>
        <v>0</v>
      </c>
      <c r="P151" s="198">
        <f t="shared" si="62"/>
        <v>0</v>
      </c>
      <c r="Q151" s="234"/>
      <c r="R151" s="234"/>
      <c r="S151" s="234"/>
      <c r="T151" s="234"/>
      <c r="U151" s="234"/>
      <c r="V151" s="234"/>
      <c r="W151" s="234"/>
      <c r="X151" s="136"/>
      <c r="Y151" s="136"/>
      <c r="Z151" s="136"/>
      <c r="AA151" s="136"/>
      <c r="AB151" s="136"/>
      <c r="AC151" s="137"/>
      <c r="AD151" s="136"/>
      <c r="AG151" s="123"/>
    </row>
    <row r="152" spans="3:33">
      <c r="C152" s="105" t="s">
        <v>601</v>
      </c>
      <c r="D152" s="234">
        <f>'F&amp;B Admin'!D152</f>
        <v>1.7496443812233285E-2</v>
      </c>
      <c r="E152" s="234">
        <f>'F&amp;B Admin'!E152</f>
        <v>2.3345178248141061E-2</v>
      </c>
      <c r="F152" s="234">
        <f>'F&amp;B Admin'!F152</f>
        <v>2.1401770619580873E-2</v>
      </c>
      <c r="G152" s="234">
        <f>'F&amp;B Admin'!G152</f>
        <v>2.1177301070630219E-2</v>
      </c>
      <c r="H152" s="234">
        <f>'F&amp;B Admin'!H152</f>
        <v>2.514814443324306E-2</v>
      </c>
      <c r="I152" s="234">
        <f>'F&amp;B Admin'!I152</f>
        <v>2.2261144342447824E-2</v>
      </c>
      <c r="J152" s="234">
        <f>'F&amp;B Admin'!J152</f>
        <v>2.1227717932827437E-2</v>
      </c>
      <c r="K152" s="234">
        <f>'F&amp;B Admin'!K152</f>
        <v>2.0165371729987881E-2</v>
      </c>
      <c r="L152" s="234">
        <f>'F&amp;B Admin'!L152</f>
        <v>2.4452186945064572E-2</v>
      </c>
      <c r="M152" s="234">
        <f>'F&amp;B Admin'!M152</f>
        <v>2.1366580298279585E-2</v>
      </c>
      <c r="N152" s="234">
        <f>'F&amp;B Admin'!N152</f>
        <v>1.8468470860168808E-2</v>
      </c>
      <c r="O152" s="234">
        <f>'F&amp;B Admin'!O152</f>
        <v>2.0177941838184069E-2</v>
      </c>
      <c r="P152" s="198">
        <f t="shared" si="62"/>
        <v>2.1390687677565728E-2</v>
      </c>
      <c r="Q152" s="234"/>
      <c r="R152" s="234"/>
      <c r="S152" s="234"/>
      <c r="T152" s="234"/>
      <c r="U152" s="234"/>
      <c r="V152" s="234"/>
      <c r="W152" s="234"/>
      <c r="X152" s="136"/>
      <c r="Y152" s="136"/>
      <c r="Z152" s="136"/>
      <c r="AA152" s="136"/>
      <c r="AB152" s="136"/>
      <c r="AC152" s="137"/>
      <c r="AD152" s="136"/>
      <c r="AG152" s="123"/>
    </row>
    <row r="153" spans="3:33">
      <c r="C153" s="105" t="s">
        <v>396</v>
      </c>
      <c r="D153" s="234">
        <f>'F&amp;B Admin'!D153</f>
        <v>0</v>
      </c>
      <c r="E153" s="234">
        <f>'F&amp;B Admin'!E153</f>
        <v>0</v>
      </c>
      <c r="F153" s="234">
        <f>'F&amp;B Admin'!F153</f>
        <v>0</v>
      </c>
      <c r="G153" s="234">
        <f>'F&amp;B Admin'!G153</f>
        <v>0</v>
      </c>
      <c r="H153" s="234">
        <f>'F&amp;B Admin'!H153</f>
        <v>0</v>
      </c>
      <c r="I153" s="234">
        <f>'F&amp;B Admin'!I153</f>
        <v>0</v>
      </c>
      <c r="J153" s="234">
        <f>'F&amp;B Admin'!J153</f>
        <v>0</v>
      </c>
      <c r="K153" s="234">
        <f>'F&amp;B Admin'!K153</f>
        <v>0</v>
      </c>
      <c r="L153" s="234">
        <f>'F&amp;B Admin'!L153</f>
        <v>0</v>
      </c>
      <c r="M153" s="234">
        <f>'F&amp;B Admin'!M153</f>
        <v>0</v>
      </c>
      <c r="N153" s="234">
        <f>'F&amp;B Admin'!N153</f>
        <v>0</v>
      </c>
      <c r="O153" s="234">
        <f>'F&amp;B Admin'!O153</f>
        <v>0</v>
      </c>
      <c r="P153" s="198">
        <f t="shared" si="62"/>
        <v>0</v>
      </c>
      <c r="Q153" s="234"/>
      <c r="R153" s="234"/>
      <c r="S153" s="234"/>
      <c r="T153" s="234"/>
      <c r="U153" s="234"/>
      <c r="V153" s="234"/>
      <c r="W153" s="234"/>
      <c r="X153" s="136"/>
      <c r="Y153" s="136"/>
      <c r="Z153" s="136"/>
      <c r="AA153" s="136"/>
      <c r="AB153" s="136"/>
      <c r="AC153" s="137"/>
      <c r="AD153" s="136"/>
      <c r="AG153" s="123"/>
    </row>
    <row r="154" spans="3:33">
      <c r="C154" s="105" t="s">
        <v>398</v>
      </c>
      <c r="D154" s="234">
        <f>'F&amp;B Admin'!D154</f>
        <v>2.2119487908961594E-2</v>
      </c>
      <c r="E154" s="234">
        <f>'F&amp;B Admin'!E154</f>
        <v>3.0992212991903995E-2</v>
      </c>
      <c r="F154" s="234">
        <f>'F&amp;B Admin'!F154</f>
        <v>2.6372681051407585E-2</v>
      </c>
      <c r="G154" s="234">
        <f>'F&amp;B Admin'!G154</f>
        <v>2.4192244746087603E-2</v>
      </c>
      <c r="H154" s="234">
        <f>'F&amp;B Admin'!H154</f>
        <v>2.2848555219891844E-2</v>
      </c>
      <c r="I154" s="234">
        <f>'F&amp;B Admin'!I154</f>
        <v>2.4809535607631519E-2</v>
      </c>
      <c r="J154" s="234">
        <f>'F&amp;B Admin'!J154</f>
        <v>2.011638586030879E-2</v>
      </c>
      <c r="K154" s="234">
        <f>'F&amp;B Admin'!K154</f>
        <v>2.058592914676741E-2</v>
      </c>
      <c r="L154" s="234">
        <f>'F&amp;B Admin'!L154</f>
        <v>2.8159453998025975E-2</v>
      </c>
      <c r="M154" s="234">
        <f>'F&amp;B Admin'!M154</f>
        <v>2.8204593496387934E-2</v>
      </c>
      <c r="N154" s="234">
        <f>'F&amp;B Admin'!N154</f>
        <v>2.8742498013334113E-2</v>
      </c>
      <c r="O154" s="234">
        <f>'F&amp;B Admin'!O154</f>
        <v>2.8879128547881345E-2</v>
      </c>
      <c r="P154" s="198">
        <f t="shared" si="62"/>
        <v>2.5501892215715805E-2</v>
      </c>
      <c r="Q154" s="234"/>
      <c r="R154" s="234"/>
      <c r="S154" s="234"/>
      <c r="T154" s="234"/>
      <c r="U154" s="234"/>
      <c r="V154" s="234"/>
      <c r="W154" s="234"/>
      <c r="X154" s="136"/>
      <c r="Y154" s="136"/>
      <c r="Z154" s="136"/>
      <c r="AA154" s="136"/>
      <c r="AB154" s="136"/>
      <c r="AC154" s="137"/>
      <c r="AD154" s="136"/>
      <c r="AG154" s="123"/>
    </row>
    <row r="155" spans="3:33">
      <c r="C155" s="105" t="s">
        <v>404</v>
      </c>
      <c r="D155" s="234">
        <f>'F&amp;B Admin'!D155</f>
        <v>2.1929824561403508E-2</v>
      </c>
      <c r="E155" s="234">
        <f>'F&amp;B Admin'!E155</f>
        <v>3.4993338060735229E-3</v>
      </c>
      <c r="F155" s="234">
        <f>'F&amp;B Admin'!F155</f>
        <v>3.8914912677619741E-2</v>
      </c>
      <c r="G155" s="234">
        <f>'F&amp;B Admin'!G155</f>
        <v>4.1608518363704362E-2</v>
      </c>
      <c r="H155" s="234">
        <f>'F&amp;B Admin'!H155</f>
        <v>3.4473059917578222E-2</v>
      </c>
      <c r="I155" s="234">
        <f>'F&amp;B Admin'!I155</f>
        <v>4.1886772932013372E-2</v>
      </c>
      <c r="J155" s="234">
        <f>'F&amp;B Admin'!J155</f>
        <v>1.5571105899981003E-2</v>
      </c>
      <c r="K155" s="234">
        <f>'F&amp;B Admin'!K155</f>
        <v>1.4968992800627271E-2</v>
      </c>
      <c r="L155" s="234">
        <f>'F&amp;B Admin'!L155</f>
        <v>5.6044910655071598E-2</v>
      </c>
      <c r="M155" s="234">
        <f>'F&amp;B Admin'!M155</f>
        <v>0.10081912889088876</v>
      </c>
      <c r="N155" s="234">
        <f>'F&amp;B Admin'!N155</f>
        <v>0.13627908540804967</v>
      </c>
      <c r="O155" s="234">
        <f>'F&amp;B Admin'!O155</f>
        <v>0.11748437751489996</v>
      </c>
      <c r="P155" s="198">
        <f t="shared" si="62"/>
        <v>5.1956668618992584E-2</v>
      </c>
      <c r="Q155" s="234"/>
      <c r="R155" s="234"/>
      <c r="S155" s="234"/>
      <c r="T155" s="234"/>
      <c r="U155" s="234"/>
      <c r="V155" s="234"/>
      <c r="W155" s="234"/>
      <c r="X155" s="136"/>
      <c r="Y155" s="136"/>
      <c r="Z155" s="136"/>
      <c r="AA155" s="136"/>
      <c r="AB155" s="136"/>
      <c r="AC155" s="137"/>
      <c r="AD155" s="136"/>
      <c r="AG155" s="123"/>
    </row>
    <row r="156" spans="3:33">
      <c r="C156" s="109" t="s">
        <v>602</v>
      </c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7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7"/>
      <c r="AD156" s="136"/>
      <c r="AG156" s="123"/>
    </row>
    <row r="157" spans="3:33">
      <c r="C157" s="105" t="s">
        <v>376</v>
      </c>
      <c r="D157" s="134">
        <f t="shared" ref="D157:O169" si="63">ROUND(-D$81*D143,0)</f>
        <v>108464</v>
      </c>
      <c r="E157" s="134">
        <f t="shared" si="63"/>
        <v>97431</v>
      </c>
      <c r="F157" s="134">
        <f t="shared" si="63"/>
        <v>114242</v>
      </c>
      <c r="G157" s="134">
        <f t="shared" si="63"/>
        <v>123517</v>
      </c>
      <c r="H157" s="134">
        <f t="shared" si="63"/>
        <v>127290</v>
      </c>
      <c r="I157" s="134">
        <f t="shared" si="63"/>
        <v>120040</v>
      </c>
      <c r="J157" s="134">
        <f t="shared" si="63"/>
        <v>117041</v>
      </c>
      <c r="K157" s="134">
        <f t="shared" si="63"/>
        <v>112460</v>
      </c>
      <c r="L157" s="134">
        <f t="shared" si="63"/>
        <v>119201</v>
      </c>
      <c r="M157" s="134">
        <f t="shared" si="63"/>
        <v>130299</v>
      </c>
      <c r="N157" s="134">
        <f t="shared" si="63"/>
        <v>106694</v>
      </c>
      <c r="O157" s="134">
        <f t="shared" si="63"/>
        <v>99497</v>
      </c>
      <c r="P157" s="133">
        <f>SUM(D157:O157)</f>
        <v>1376176</v>
      </c>
      <c r="Q157" s="134"/>
      <c r="R157" s="134"/>
      <c r="S157" s="134"/>
      <c r="T157" s="134"/>
      <c r="U157" s="134"/>
      <c r="V157" s="134"/>
      <c r="W157" s="134"/>
      <c r="X157" s="136"/>
      <c r="Y157" s="136"/>
      <c r="Z157" s="136"/>
      <c r="AA157" s="136"/>
      <c r="AB157" s="136"/>
      <c r="AC157" s="137"/>
      <c r="AD157" s="136"/>
      <c r="AG157" s="123"/>
    </row>
    <row r="158" spans="3:33">
      <c r="C158" s="105" t="s">
        <v>378</v>
      </c>
      <c r="D158" s="134">
        <f t="shared" si="63"/>
        <v>58730</v>
      </c>
      <c r="E158" s="134">
        <f t="shared" si="63"/>
        <v>47777</v>
      </c>
      <c r="F158" s="134">
        <f t="shared" si="63"/>
        <v>44450</v>
      </c>
      <c r="G158" s="134">
        <f t="shared" si="63"/>
        <v>46733</v>
      </c>
      <c r="H158" s="134">
        <f t="shared" si="63"/>
        <v>50820</v>
      </c>
      <c r="I158" s="134">
        <f t="shared" si="63"/>
        <v>39137</v>
      </c>
      <c r="J158" s="134">
        <f t="shared" si="63"/>
        <v>49681</v>
      </c>
      <c r="K158" s="134">
        <f t="shared" si="63"/>
        <v>50067</v>
      </c>
      <c r="L158" s="134">
        <f t="shared" si="63"/>
        <v>37069</v>
      </c>
      <c r="M158" s="134">
        <f t="shared" si="63"/>
        <v>45712</v>
      </c>
      <c r="N158" s="134">
        <f t="shared" si="63"/>
        <v>36998</v>
      </c>
      <c r="O158" s="134">
        <f t="shared" si="63"/>
        <v>38715</v>
      </c>
      <c r="P158" s="133">
        <f t="shared" ref="P158:P169" si="64">SUM(D158:O158)</f>
        <v>545889</v>
      </c>
      <c r="Q158" s="134"/>
      <c r="R158" s="134"/>
      <c r="S158" s="134"/>
      <c r="T158" s="134"/>
      <c r="U158" s="134"/>
      <c r="V158" s="134"/>
      <c r="W158" s="134"/>
      <c r="X158" s="136"/>
      <c r="Y158" s="136"/>
      <c r="Z158" s="136"/>
      <c r="AA158" s="136"/>
      <c r="AB158" s="136"/>
      <c r="AC158" s="137"/>
      <c r="AD158" s="136"/>
      <c r="AG158" s="123"/>
    </row>
    <row r="159" spans="3:33">
      <c r="C159" s="105" t="s">
        <v>380</v>
      </c>
      <c r="D159" s="134">
        <f t="shared" si="63"/>
        <v>41305</v>
      </c>
      <c r="E159" s="134">
        <f t="shared" si="63"/>
        <v>35934</v>
      </c>
      <c r="F159" s="134">
        <f t="shared" si="63"/>
        <v>22257</v>
      </c>
      <c r="G159" s="134">
        <f t="shared" si="63"/>
        <v>18600</v>
      </c>
      <c r="H159" s="134">
        <f t="shared" si="63"/>
        <v>19348</v>
      </c>
      <c r="I159" s="134">
        <f t="shared" si="63"/>
        <v>20385</v>
      </c>
      <c r="J159" s="134">
        <f t="shared" si="63"/>
        <v>22899</v>
      </c>
      <c r="K159" s="134">
        <f t="shared" si="63"/>
        <v>23478</v>
      </c>
      <c r="L159" s="134">
        <f t="shared" si="63"/>
        <v>18932</v>
      </c>
      <c r="M159" s="134">
        <f t="shared" si="63"/>
        <v>19621</v>
      </c>
      <c r="N159" s="134">
        <f t="shared" si="63"/>
        <v>18724</v>
      </c>
      <c r="O159" s="134">
        <f t="shared" si="63"/>
        <v>19249</v>
      </c>
      <c r="P159" s="133">
        <f t="shared" si="64"/>
        <v>280732</v>
      </c>
      <c r="Q159" s="134"/>
      <c r="R159" s="134"/>
      <c r="S159" s="134"/>
      <c r="T159" s="134"/>
      <c r="U159" s="134"/>
      <c r="V159" s="134"/>
      <c r="W159" s="134"/>
      <c r="X159" s="136"/>
      <c r="Y159" s="136"/>
      <c r="Z159" s="136"/>
      <c r="AA159" s="136"/>
      <c r="AB159" s="136"/>
      <c r="AC159" s="137"/>
      <c r="AD159" s="136"/>
      <c r="AG159" s="123"/>
    </row>
    <row r="160" spans="3:33">
      <c r="C160" s="105" t="s">
        <v>382</v>
      </c>
      <c r="D160" s="134">
        <f t="shared" si="63"/>
        <v>31395</v>
      </c>
      <c r="E160" s="134">
        <f t="shared" si="63"/>
        <v>25626</v>
      </c>
      <c r="F160" s="134">
        <f t="shared" si="63"/>
        <v>29830</v>
      </c>
      <c r="G160" s="134">
        <f t="shared" si="63"/>
        <v>30464</v>
      </c>
      <c r="H160" s="134">
        <f t="shared" si="63"/>
        <v>31394</v>
      </c>
      <c r="I160" s="134">
        <f t="shared" si="63"/>
        <v>29156</v>
      </c>
      <c r="J160" s="134">
        <f t="shared" si="63"/>
        <v>25274</v>
      </c>
      <c r="K160" s="134">
        <f t="shared" si="63"/>
        <v>28110</v>
      </c>
      <c r="L160" s="134">
        <f t="shared" si="63"/>
        <v>29389</v>
      </c>
      <c r="M160" s="134">
        <f t="shared" si="63"/>
        <v>33293</v>
      </c>
      <c r="N160" s="134">
        <f t="shared" si="63"/>
        <v>27766</v>
      </c>
      <c r="O160" s="134">
        <f t="shared" si="63"/>
        <v>25042</v>
      </c>
      <c r="P160" s="133">
        <f t="shared" si="64"/>
        <v>346739</v>
      </c>
      <c r="Q160" s="134"/>
      <c r="R160" s="134"/>
      <c r="S160" s="134"/>
      <c r="T160" s="134"/>
      <c r="U160" s="134"/>
      <c r="V160" s="134"/>
      <c r="W160" s="134"/>
      <c r="X160" s="136"/>
      <c r="Y160" s="136"/>
      <c r="Z160" s="136"/>
      <c r="AA160" s="136"/>
      <c r="AB160" s="136"/>
      <c r="AC160" s="137"/>
      <c r="AD160" s="136"/>
      <c r="AG160" s="123"/>
    </row>
    <row r="161" spans="3:33">
      <c r="C161" s="105" t="s">
        <v>384</v>
      </c>
      <c r="D161" s="134">
        <f t="shared" si="63"/>
        <v>57263</v>
      </c>
      <c r="E161" s="134">
        <f t="shared" si="63"/>
        <v>47253</v>
      </c>
      <c r="F161" s="134">
        <f t="shared" si="63"/>
        <v>49030</v>
      </c>
      <c r="G161" s="134">
        <f t="shared" si="63"/>
        <v>45643</v>
      </c>
      <c r="H161" s="134">
        <f t="shared" si="63"/>
        <v>48574</v>
      </c>
      <c r="I161" s="134">
        <f t="shared" si="63"/>
        <v>46456</v>
      </c>
      <c r="J161" s="134">
        <f t="shared" si="63"/>
        <v>51640</v>
      </c>
      <c r="K161" s="134">
        <f t="shared" si="63"/>
        <v>51652</v>
      </c>
      <c r="L161" s="134">
        <f t="shared" si="63"/>
        <v>45607</v>
      </c>
      <c r="M161" s="134">
        <f t="shared" si="63"/>
        <v>49973</v>
      </c>
      <c r="N161" s="134">
        <f t="shared" si="63"/>
        <v>40083</v>
      </c>
      <c r="O161" s="134">
        <f t="shared" si="63"/>
        <v>54030</v>
      </c>
      <c r="P161" s="133">
        <f t="shared" si="64"/>
        <v>587204</v>
      </c>
      <c r="Q161" s="134"/>
      <c r="R161" s="134"/>
      <c r="S161" s="134"/>
      <c r="T161" s="134"/>
      <c r="U161" s="134"/>
      <c r="V161" s="134"/>
      <c r="W161" s="134"/>
      <c r="X161" s="136"/>
      <c r="Y161" s="136"/>
      <c r="Z161" s="136"/>
      <c r="AA161" s="136"/>
      <c r="AB161" s="136"/>
      <c r="AC161" s="137"/>
      <c r="AD161" s="136"/>
      <c r="AG161" s="123"/>
    </row>
    <row r="162" spans="3:33">
      <c r="C162" s="105" t="s">
        <v>386</v>
      </c>
      <c r="D162" s="134">
        <f t="shared" si="63"/>
        <v>7917</v>
      </c>
      <c r="E162" s="134">
        <f t="shared" si="63"/>
        <v>10940</v>
      </c>
      <c r="F162" s="134">
        <f t="shared" si="63"/>
        <v>9301</v>
      </c>
      <c r="G162" s="134">
        <f t="shared" si="63"/>
        <v>6713</v>
      </c>
      <c r="H162" s="134">
        <f t="shared" si="63"/>
        <v>7518</v>
      </c>
      <c r="I162" s="134">
        <f t="shared" si="63"/>
        <v>6294</v>
      </c>
      <c r="J162" s="134">
        <f t="shared" si="63"/>
        <v>7567</v>
      </c>
      <c r="K162" s="134">
        <f t="shared" si="63"/>
        <v>8030</v>
      </c>
      <c r="L162" s="134">
        <f t="shared" si="63"/>
        <v>6097</v>
      </c>
      <c r="M162" s="134">
        <f t="shared" si="63"/>
        <v>9780</v>
      </c>
      <c r="N162" s="134">
        <f t="shared" si="63"/>
        <v>6093</v>
      </c>
      <c r="O162" s="134">
        <f t="shared" si="63"/>
        <v>5593</v>
      </c>
      <c r="P162" s="133">
        <f t="shared" si="64"/>
        <v>91843</v>
      </c>
      <c r="Q162" s="134"/>
      <c r="R162" s="134"/>
      <c r="S162" s="134"/>
      <c r="T162" s="134"/>
      <c r="U162" s="134"/>
      <c r="V162" s="134"/>
      <c r="W162" s="134"/>
      <c r="X162" s="136"/>
      <c r="Y162" s="136"/>
      <c r="Z162" s="136"/>
      <c r="AA162" s="136"/>
      <c r="AB162" s="136"/>
      <c r="AC162" s="137"/>
      <c r="AD162" s="136"/>
      <c r="AG162" s="123"/>
    </row>
    <row r="163" spans="3:33">
      <c r="C163" s="105" t="s">
        <v>388</v>
      </c>
      <c r="D163" s="134">
        <f t="shared" si="63"/>
        <v>0</v>
      </c>
      <c r="E163" s="134">
        <f t="shared" si="63"/>
        <v>0</v>
      </c>
      <c r="F163" s="134">
        <f t="shared" si="63"/>
        <v>0</v>
      </c>
      <c r="G163" s="134">
        <f t="shared" si="63"/>
        <v>0</v>
      </c>
      <c r="H163" s="134">
        <f t="shared" si="63"/>
        <v>0</v>
      </c>
      <c r="I163" s="134">
        <f t="shared" si="63"/>
        <v>0</v>
      </c>
      <c r="J163" s="134">
        <f t="shared" si="63"/>
        <v>0</v>
      </c>
      <c r="K163" s="134">
        <f t="shared" si="63"/>
        <v>0</v>
      </c>
      <c r="L163" s="134">
        <f t="shared" si="63"/>
        <v>0</v>
      </c>
      <c r="M163" s="134">
        <f t="shared" si="63"/>
        <v>0</v>
      </c>
      <c r="N163" s="134">
        <f t="shared" si="63"/>
        <v>0</v>
      </c>
      <c r="O163" s="134">
        <f t="shared" si="63"/>
        <v>0</v>
      </c>
      <c r="P163" s="133">
        <f t="shared" si="64"/>
        <v>0</v>
      </c>
      <c r="Q163" s="134"/>
      <c r="R163" s="134"/>
      <c r="S163" s="134"/>
      <c r="T163" s="134"/>
      <c r="U163" s="134"/>
      <c r="V163" s="134"/>
      <c r="W163" s="134"/>
      <c r="X163" s="136"/>
      <c r="Y163" s="136"/>
      <c r="Z163" s="136"/>
      <c r="AA163" s="136"/>
      <c r="AB163" s="136"/>
      <c r="AC163" s="137"/>
      <c r="AD163" s="136"/>
      <c r="AG163" s="123"/>
    </row>
    <row r="164" spans="3:33">
      <c r="C164" s="105" t="s">
        <v>390</v>
      </c>
      <c r="D164" s="134">
        <f t="shared" si="63"/>
        <v>4586</v>
      </c>
      <c r="E164" s="134">
        <f t="shared" si="63"/>
        <v>6057</v>
      </c>
      <c r="F164" s="134">
        <f t="shared" si="63"/>
        <v>5319</v>
      </c>
      <c r="G164" s="134">
        <f t="shared" si="63"/>
        <v>5742</v>
      </c>
      <c r="H164" s="134">
        <f t="shared" si="63"/>
        <v>6020</v>
      </c>
      <c r="I164" s="134">
        <f t="shared" si="63"/>
        <v>5629</v>
      </c>
      <c r="J164" s="134">
        <f t="shared" si="63"/>
        <v>4878</v>
      </c>
      <c r="K164" s="134">
        <f t="shared" si="63"/>
        <v>5398</v>
      </c>
      <c r="L164" s="134">
        <f t="shared" si="63"/>
        <v>5527</v>
      </c>
      <c r="M164" s="134">
        <f t="shared" si="63"/>
        <v>5853</v>
      </c>
      <c r="N164" s="134">
        <f t="shared" si="63"/>
        <v>4928</v>
      </c>
      <c r="O164" s="134">
        <f t="shared" si="63"/>
        <v>3924</v>
      </c>
      <c r="P164" s="133">
        <f t="shared" si="64"/>
        <v>63861</v>
      </c>
      <c r="Q164" s="134"/>
      <c r="R164" s="134"/>
      <c r="S164" s="134"/>
      <c r="T164" s="134"/>
      <c r="U164" s="134"/>
      <c r="V164" s="134"/>
      <c r="W164" s="134"/>
      <c r="X164" s="136"/>
      <c r="Y164" s="136"/>
      <c r="Z164" s="136"/>
      <c r="AA164" s="136"/>
      <c r="AB164" s="136"/>
      <c r="AC164" s="137"/>
      <c r="AD164" s="136"/>
      <c r="AG164" s="123"/>
    </row>
    <row r="165" spans="3:33">
      <c r="C165" s="235" t="s">
        <v>392</v>
      </c>
      <c r="D165" s="236">
        <f t="shared" si="63"/>
        <v>0</v>
      </c>
      <c r="E165" s="236">
        <f t="shared" si="63"/>
        <v>0</v>
      </c>
      <c r="F165" s="236">
        <f t="shared" si="63"/>
        <v>0</v>
      </c>
      <c r="G165" s="236">
        <f t="shared" si="63"/>
        <v>0</v>
      </c>
      <c r="H165" s="236">
        <f t="shared" si="63"/>
        <v>0</v>
      </c>
      <c r="I165" s="236">
        <f t="shared" si="63"/>
        <v>0</v>
      </c>
      <c r="J165" s="236">
        <f t="shared" si="63"/>
        <v>0</v>
      </c>
      <c r="K165" s="236">
        <f t="shared" si="63"/>
        <v>0</v>
      </c>
      <c r="L165" s="236">
        <f t="shared" si="63"/>
        <v>0</v>
      </c>
      <c r="M165" s="236">
        <f t="shared" si="63"/>
        <v>0</v>
      </c>
      <c r="N165" s="236">
        <f t="shared" si="63"/>
        <v>0</v>
      </c>
      <c r="O165" s="236">
        <f t="shared" si="63"/>
        <v>0</v>
      </c>
      <c r="P165" s="237">
        <f t="shared" si="64"/>
        <v>0</v>
      </c>
      <c r="Q165" s="236"/>
      <c r="R165" s="236"/>
      <c r="S165" s="236"/>
      <c r="T165" s="236"/>
      <c r="U165" s="236"/>
      <c r="V165" s="236"/>
      <c r="W165" s="236"/>
    </row>
    <row r="166" spans="3:33">
      <c r="C166" s="235" t="s">
        <v>601</v>
      </c>
      <c r="D166" s="236">
        <f t="shared" si="63"/>
        <v>5773</v>
      </c>
      <c r="E166" s="236">
        <f t="shared" si="63"/>
        <v>6715</v>
      </c>
      <c r="F166" s="236">
        <f t="shared" si="63"/>
        <v>6431</v>
      </c>
      <c r="G166" s="236">
        <f t="shared" si="63"/>
        <v>6434</v>
      </c>
      <c r="H166" s="236">
        <f t="shared" si="63"/>
        <v>7975</v>
      </c>
      <c r="I166" s="236">
        <f t="shared" si="63"/>
        <v>6526</v>
      </c>
      <c r="J166" s="236">
        <f t="shared" si="63"/>
        <v>6280</v>
      </c>
      <c r="K166" s="236">
        <f t="shared" si="63"/>
        <v>5962</v>
      </c>
      <c r="L166" s="236">
        <f t="shared" si="63"/>
        <v>7183</v>
      </c>
      <c r="M166" s="236">
        <f t="shared" si="63"/>
        <v>7407</v>
      </c>
      <c r="N166" s="236">
        <f t="shared" si="63"/>
        <v>5458</v>
      </c>
      <c r="O166" s="236">
        <f t="shared" si="63"/>
        <v>5957</v>
      </c>
      <c r="P166" s="237">
        <f t="shared" si="64"/>
        <v>78101</v>
      </c>
      <c r="Q166" s="236"/>
      <c r="R166" s="236"/>
      <c r="S166" s="236"/>
      <c r="T166" s="236"/>
      <c r="U166" s="236"/>
      <c r="V166" s="236"/>
      <c r="W166" s="236"/>
    </row>
    <row r="167" spans="3:33">
      <c r="C167" s="235" t="s">
        <v>396</v>
      </c>
      <c r="D167" s="236">
        <f t="shared" si="63"/>
        <v>0</v>
      </c>
      <c r="E167" s="236">
        <f t="shared" si="63"/>
        <v>0</v>
      </c>
      <c r="F167" s="236">
        <f t="shared" si="63"/>
        <v>0</v>
      </c>
      <c r="G167" s="236">
        <f t="shared" si="63"/>
        <v>0</v>
      </c>
      <c r="H167" s="236">
        <f t="shared" si="63"/>
        <v>0</v>
      </c>
      <c r="I167" s="236">
        <f t="shared" si="63"/>
        <v>0</v>
      </c>
      <c r="J167" s="236">
        <f t="shared" si="63"/>
        <v>0</v>
      </c>
      <c r="K167" s="236">
        <f t="shared" si="63"/>
        <v>0</v>
      </c>
      <c r="L167" s="236">
        <f t="shared" si="63"/>
        <v>0</v>
      </c>
      <c r="M167" s="236">
        <f t="shared" si="63"/>
        <v>0</v>
      </c>
      <c r="N167" s="236">
        <f t="shared" si="63"/>
        <v>0</v>
      </c>
      <c r="O167" s="236">
        <f t="shared" si="63"/>
        <v>0</v>
      </c>
      <c r="P167" s="237">
        <f t="shared" si="64"/>
        <v>0</v>
      </c>
      <c r="Q167" s="236"/>
      <c r="R167" s="236"/>
      <c r="S167" s="236"/>
      <c r="T167" s="236"/>
      <c r="U167" s="236"/>
      <c r="V167" s="236"/>
      <c r="W167" s="236"/>
    </row>
    <row r="168" spans="3:33">
      <c r="C168" s="235" t="s">
        <v>398</v>
      </c>
      <c r="D168" s="236">
        <f t="shared" si="63"/>
        <v>7299</v>
      </c>
      <c r="E168" s="236">
        <f t="shared" si="63"/>
        <v>8915</v>
      </c>
      <c r="F168" s="236">
        <f t="shared" si="63"/>
        <v>7924</v>
      </c>
      <c r="G168" s="236">
        <f t="shared" si="63"/>
        <v>7351</v>
      </c>
      <c r="H168" s="236">
        <f t="shared" si="63"/>
        <v>7246</v>
      </c>
      <c r="I168" s="236">
        <f t="shared" si="63"/>
        <v>7274</v>
      </c>
      <c r="J168" s="236">
        <f t="shared" si="63"/>
        <v>5951</v>
      </c>
      <c r="K168" s="236">
        <f t="shared" si="63"/>
        <v>6087</v>
      </c>
      <c r="L168" s="236">
        <f t="shared" si="63"/>
        <v>8272</v>
      </c>
      <c r="M168" s="236">
        <f t="shared" si="63"/>
        <v>9778</v>
      </c>
      <c r="N168" s="236">
        <f t="shared" si="63"/>
        <v>8494</v>
      </c>
      <c r="O168" s="236">
        <f t="shared" si="63"/>
        <v>8526</v>
      </c>
      <c r="P168" s="237">
        <f t="shared" si="64"/>
        <v>93117</v>
      </c>
      <c r="Q168" s="236"/>
      <c r="R168" s="236"/>
      <c r="S168" s="236"/>
      <c r="T168" s="236"/>
      <c r="U168" s="236"/>
      <c r="V168" s="236"/>
      <c r="W168" s="236"/>
    </row>
    <row r="169" spans="3:33">
      <c r="C169" s="235" t="s">
        <v>404</v>
      </c>
      <c r="D169" s="236">
        <f t="shared" si="63"/>
        <v>7236</v>
      </c>
      <c r="E169" s="236">
        <f t="shared" si="63"/>
        <v>1007</v>
      </c>
      <c r="F169" s="236">
        <f t="shared" si="63"/>
        <v>11693</v>
      </c>
      <c r="G169" s="236">
        <f t="shared" si="63"/>
        <v>12642</v>
      </c>
      <c r="H169" s="236">
        <f t="shared" si="63"/>
        <v>10932</v>
      </c>
      <c r="I169" s="236">
        <f t="shared" si="63"/>
        <v>12280</v>
      </c>
      <c r="J169" s="236">
        <f t="shared" si="63"/>
        <v>4606</v>
      </c>
      <c r="K169" s="236">
        <f t="shared" si="63"/>
        <v>4426</v>
      </c>
      <c r="L169" s="236">
        <f t="shared" si="63"/>
        <v>16463</v>
      </c>
      <c r="M169" s="236">
        <f t="shared" si="63"/>
        <v>34951</v>
      </c>
      <c r="N169" s="236">
        <f t="shared" si="63"/>
        <v>40272</v>
      </c>
      <c r="O169" s="236">
        <f t="shared" si="63"/>
        <v>34683</v>
      </c>
      <c r="P169" s="237">
        <f t="shared" si="64"/>
        <v>191191</v>
      </c>
      <c r="Q169" s="236"/>
      <c r="R169" s="236"/>
      <c r="S169" s="236"/>
      <c r="T169" s="236"/>
      <c r="U169" s="236"/>
      <c r="V169" s="236"/>
      <c r="W169" s="236"/>
    </row>
    <row r="170" spans="3:33">
      <c r="D170" s="111">
        <f>SUM(D157:D169)</f>
        <v>329968</v>
      </c>
      <c r="E170" s="111">
        <f t="shared" ref="E170:P170" si="65">SUM(E157:E169)</f>
        <v>287655</v>
      </c>
      <c r="F170" s="111">
        <f t="shared" si="65"/>
        <v>300477</v>
      </c>
      <c r="G170" s="111">
        <f t="shared" si="65"/>
        <v>303839</v>
      </c>
      <c r="H170" s="111">
        <f t="shared" si="65"/>
        <v>317117</v>
      </c>
      <c r="I170" s="111">
        <f t="shared" si="65"/>
        <v>293177</v>
      </c>
      <c r="J170" s="111">
        <f t="shared" si="65"/>
        <v>295817</v>
      </c>
      <c r="K170" s="111">
        <f t="shared" si="65"/>
        <v>295670</v>
      </c>
      <c r="L170" s="111">
        <f t="shared" si="65"/>
        <v>293740</v>
      </c>
      <c r="M170" s="111">
        <f t="shared" si="65"/>
        <v>346667</v>
      </c>
      <c r="N170" s="111">
        <f t="shared" si="65"/>
        <v>295510</v>
      </c>
      <c r="O170" s="111">
        <f t="shared" si="65"/>
        <v>295216</v>
      </c>
      <c r="P170" s="129">
        <f t="shared" si="65"/>
        <v>3654853</v>
      </c>
      <c r="Q170" s="111"/>
      <c r="R170" s="111"/>
      <c r="S170" s="111"/>
      <c r="T170" s="111"/>
      <c r="U170" s="111"/>
      <c r="V170" s="111"/>
      <c r="W170" s="111"/>
    </row>
    <row r="171" spans="3:33">
      <c r="D171" s="111">
        <f>D170+D81</f>
        <v>1.0999999999767169</v>
      </c>
      <c r="E171" s="111">
        <f t="shared" ref="E171:P171" si="66">E170+E81</f>
        <v>1.7900000000372529</v>
      </c>
      <c r="F171" s="111">
        <f t="shared" si="66"/>
        <v>-2.0000000018626451E-2</v>
      </c>
      <c r="G171" s="111">
        <f t="shared" si="66"/>
        <v>0.22999999998137355</v>
      </c>
      <c r="H171" s="111">
        <f t="shared" si="66"/>
        <v>1.6999999999534339</v>
      </c>
      <c r="I171" s="111">
        <f t="shared" si="66"/>
        <v>-1.6900000000023283</v>
      </c>
      <c r="J171" s="111">
        <f t="shared" si="66"/>
        <v>-0.44000000000232831</v>
      </c>
      <c r="K171" s="111">
        <f t="shared" si="66"/>
        <v>-0.48999999999068677</v>
      </c>
      <c r="L171" s="111">
        <f t="shared" si="66"/>
        <v>1.5100000000093132</v>
      </c>
      <c r="M171" s="111">
        <f t="shared" si="66"/>
        <v>-0.19000000006053597</v>
      </c>
      <c r="N171" s="111">
        <f t="shared" si="66"/>
        <v>1.6199999999953434</v>
      </c>
      <c r="O171" s="111">
        <f t="shared" si="66"/>
        <v>1.5700000000069849</v>
      </c>
      <c r="P171" s="129">
        <f t="shared" si="66"/>
        <v>6.6899999994784594</v>
      </c>
      <c r="Q171" s="111"/>
      <c r="R171" s="111"/>
      <c r="S171" s="111"/>
      <c r="T171" s="111"/>
      <c r="U171" s="111"/>
      <c r="V171" s="111"/>
      <c r="W171" s="111"/>
    </row>
  </sheetData>
  <phoneticPr fontId="7" type="noConversion"/>
  <dataValidations count="140">
    <dataValidation type="textLength" errorStyle="information" allowBlank="1" showInputMessage="1" showErrorMessage="1" error="XLBVal:6=18_x000d__x000a_" sqref="R136:S136">
      <formula1>0</formula1>
      <formula2>300</formula2>
    </dataValidation>
    <dataValidation type="textLength" errorStyle="information" allowBlank="1" showInputMessage="1" showErrorMessage="1" error="XLBVal:6=1571_x000d__x000a_" sqref="S127">
      <formula1>0</formula1>
      <formula2>300</formula2>
    </dataValidation>
    <dataValidation type="textLength" errorStyle="information" allowBlank="1" showInputMessage="1" showErrorMessage="1" error="XLBVal:6=2200_x000d__x000a_" sqref="R111">
      <formula1>0</formula1>
      <formula2>300</formula2>
    </dataValidation>
    <dataValidation type="textLength" errorStyle="information" allowBlank="1" showInputMessage="1" showErrorMessage="1" error="XLBVal:6=38570.83_x000d__x000a_" sqref="Q108">
      <formula1>0</formula1>
      <formula2>300</formula2>
    </dataValidation>
    <dataValidation type="textLength" errorStyle="information" allowBlank="1" showInputMessage="1" showErrorMessage="1" error="XLBVal:6=6096.63_x000d__x000a_" sqref="V107">
      <formula1>0</formula1>
      <formula2>300</formula2>
    </dataValidation>
    <dataValidation type="textLength" errorStyle="information" allowBlank="1" showInputMessage="1" showErrorMessage="1" error="XLBVal:6=75000_x000d__x000a_" sqref="U102">
      <formula1>0</formula1>
      <formula2>300</formula2>
    </dataValidation>
    <dataValidation type="textLength" errorStyle="information" allowBlank="1" showInputMessage="1" showErrorMessage="1" error="XLBVal:6=131727.59_x000d__x000a_" sqref="R102">
      <formula1>0</formula1>
      <formula2>300</formula2>
    </dataValidation>
    <dataValidation type="textLength" errorStyle="information" allowBlank="1" showInputMessage="1" showErrorMessage="1" error="XLBVal:6=2632.44_x000d__x000a_" sqref="T75">
      <formula1>0</formula1>
      <formula2>300</formula2>
    </dataValidation>
    <dataValidation type="textLength" errorStyle="information" allowBlank="1" showInputMessage="1" showErrorMessage="1" error="XLBVal:6=-2207_x000d__x000a_" sqref="S75">
      <formula1>0</formula1>
      <formula2>300</formula2>
    </dataValidation>
    <dataValidation type="textLength" errorStyle="information" allowBlank="1" showInputMessage="1" showErrorMessage="1" error="XLBVal:6=427_x000d__x000a_" sqref="Q75:R75">
      <formula1>0</formula1>
      <formula2>300</formula2>
    </dataValidation>
    <dataValidation type="textLength" errorStyle="information" allowBlank="1" showInputMessage="1" showErrorMessage="1" error="XLBVal:6=6140.32_x000d__x000a_" sqref="R59">
      <formula1>0</formula1>
      <formula2>300</formula2>
    </dataValidation>
    <dataValidation type="textLength" errorStyle="information" allowBlank="1" showInputMessage="1" showErrorMessage="1" error="XLBVal:6=6212_x000d__x000a_" sqref="Q59 S59">
      <formula1>0</formula1>
      <formula2>300</formula2>
    </dataValidation>
    <dataValidation type="textLength" errorStyle="information" allowBlank="1" showInputMessage="1" showErrorMessage="1" error="XLBVal:6=34143_x000d__x000a_" sqref="D102:D103 D107:O111 D114:O121 D124:O128 D136:O136">
      <formula1>0</formula1>
      <formula2>300</formula2>
    </dataValidation>
    <dataValidation type="textLength" errorStyle="information" allowBlank="1" showInputMessage="1" showErrorMessage="1" error="XLBVal:6=16_x000d__x000a_" sqref="V136">
      <formula1>0</formula1>
      <formula2>300</formula2>
    </dataValidation>
    <dataValidation type="textLength" errorStyle="information" allowBlank="1" showInputMessage="1" showErrorMessage="1" error="XLBVal:6=22448.33_x000d__x000a_" sqref="V108">
      <formula1>0</formula1>
      <formula2>300</formula2>
    </dataValidation>
    <dataValidation type="textLength" errorStyle="information" allowBlank="1" showInputMessage="1" showErrorMessage="1" error="XLBVal:6=19118.6_x000d__x000a_" sqref="U108">
      <formula1>0</formula1>
      <formula2>300</formula2>
    </dataValidation>
    <dataValidation type="textLength" errorStyle="information" allowBlank="1" showInputMessage="1" showErrorMessage="1" error="XLBVal:6=0_x000d__x000a_" sqref="T59">
      <formula1>0</formula1>
      <formula2>300</formula2>
    </dataValidation>
    <dataValidation type="textLength" errorStyle="information" allowBlank="1" showInputMessage="1" showErrorMessage="1" error="XLBVal:6=20_x000d__x000a_" sqref="Q136">
      <formula1>0</formula1>
      <formula2>300</formula2>
    </dataValidation>
    <dataValidation type="textLength" errorStyle="information" allowBlank="1" showInputMessage="1" showErrorMessage="1" error="XLBVal:6=1699_x000d__x000a_" sqref="Q127">
      <formula1>0</formula1>
      <formula2>300</formula2>
    </dataValidation>
    <dataValidation type="textLength" errorStyle="information" allowBlank="1" showInputMessage="1" showErrorMessage="1" error="XLBVal:6=709.94_x000d__x000a_" sqref="U116">
      <formula1>0</formula1>
      <formula2>300</formula2>
    </dataValidation>
    <dataValidation type="textLength" errorStyle="information" allowBlank="1" showInputMessage="1" showErrorMessage="1" error="XLBVal:6=809.77_x000d__x000a_" sqref="S116">
      <formula1>0</formula1>
      <formula2>300</formula2>
    </dataValidation>
    <dataValidation type="textLength" errorStyle="information" allowBlank="1" showInputMessage="1" showErrorMessage="1" error="XLBVal:6=25912.89_x000d__x000a_" sqref="S114">
      <formula1>0</formula1>
      <formula2>300</formula2>
    </dataValidation>
    <dataValidation type="textLength" errorStyle="information" allowBlank="1" showInputMessage="1" showErrorMessage="1" error="XLBVal:6=295.32_x000d__x000a_" sqref="U63">
      <formula1>0</formula1>
      <formula2>300</formula2>
    </dataValidation>
    <dataValidation type="textLength" errorStyle="information" allowBlank="1" showInputMessage="1" showErrorMessage="1" error="XLBVal:6=1729.12_x000d__x000a_" sqref="T127">
      <formula1>0</formula1>
      <formula2>300</formula2>
    </dataValidation>
    <dataValidation type="textLength" errorStyle="information" allowBlank="1" showInputMessage="1" showErrorMessage="1" error="XLBVal:6=32631.16_x000d__x000a_" sqref="S108">
      <formula1>0</formula1>
      <formula2>300</formula2>
    </dataValidation>
    <dataValidation type="textLength" errorStyle="information" allowBlank="1" showInputMessage="1" showErrorMessage="1" error="XLBVal:6=38586.79_x000d__x000a_" sqref="R108">
      <formula1>0</formula1>
      <formula2>300</formula2>
    </dataValidation>
    <dataValidation type="textLength" errorStyle="information" allowBlank="1" showInputMessage="1" showErrorMessage="1" error="XLBVal:6=52731.03_x000d__x000a_" sqref="D104">
      <formula1>0</formula1>
      <formula2>300</formula2>
    </dataValidation>
    <dataValidation type="textLength" errorStyle="information" allowBlank="1" showInputMessage="1" showErrorMessage="1" error="XLBVal:6=84189.66_x000d__x000a_" sqref="E102:O104">
      <formula1>0</formula1>
      <formula2>300</formula2>
    </dataValidation>
    <dataValidation type="textLength" errorStyle="information" allowBlank="1" showInputMessage="1" showErrorMessage="1" error="XLBVal:6=809.94_x000d__x000a_" sqref="V116">
      <formula1>0</formula1>
      <formula2>300</formula2>
    </dataValidation>
    <dataValidation type="textLength" errorStyle="information" allowBlank="1" showInputMessage="1" showErrorMessage="1" error="XLBVal:6=759.83_x000d__x000a_" sqref="T116">
      <formula1>0</formula1>
      <formula2>300</formula2>
    </dataValidation>
    <dataValidation type="textLength" errorStyle="information" allowBlank="1" showInputMessage="1" showErrorMessage="1" error="XLBVal:6=954.67_x000d__x000a_" sqref="Q116:R116">
      <formula1>0</formula1>
      <formula2>300</formula2>
    </dataValidation>
    <dataValidation type="textLength" errorStyle="information" allowBlank="1" showInputMessage="1" showErrorMessage="1" error="XLBVal:6=17070.81_x000d__x000a_" sqref="T108">
      <formula1>0</formula1>
      <formula2>300</formula2>
    </dataValidation>
    <dataValidation type="textLength" errorStyle="information" allowBlank="1" showInputMessage="1" showErrorMessage="1" error="XLBVal:6=39756.22_x000d__x000a_" sqref="V43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7_x000d__x000a_" sqref="T136">
      <formula1>0</formula1>
      <formula2>300</formula2>
    </dataValidation>
    <dataValidation type="textLength" errorStyle="information" allowBlank="1" showInputMessage="1" showErrorMessage="1" error="XLBVal:6=15655.82_x000d__x000a_" sqref="V130">
      <formula1>0</formula1>
      <formula2>300</formula2>
    </dataValidation>
    <dataValidation type="textLength" errorStyle="information" allowBlank="1" showInputMessage="1" showErrorMessage="1" error="XLBVal:6=13233.05_x000d__x000a_" sqref="U130">
      <formula1>0</formula1>
      <formula2>300</formula2>
    </dataValidation>
    <dataValidation type="textLength" errorStyle="information" allowBlank="1" showInputMessage="1" showErrorMessage="1" error="XLBVal:6=19250.55_x000d__x000a_" sqref="T130">
      <formula1>0</formula1>
      <formula2>300</formula2>
    </dataValidation>
    <dataValidation type="textLength" errorStyle="information" allowBlank="1" showInputMessage="1" showErrorMessage="1" error="XLBVal:6=21543.24_x000d__x000a_" sqref="S130">
      <formula1>0</formula1>
      <formula2>300</formula2>
    </dataValidation>
    <dataValidation type="textLength" errorStyle="information" allowBlank="1" showInputMessage="1" showErrorMessage="1" error="XLBVal:6=22828.59_x000d__x000a_" sqref="R130">
      <formula1>0</formula1>
      <formula2>300</formula2>
    </dataValidation>
    <dataValidation type="textLength" errorStyle="information" allowBlank="1" showInputMessage="1" showErrorMessage="1" error="XLBVal:6=25097.61_x000d__x000a_" sqref="Q130">
      <formula1>0</formula1>
      <formula2>300</formula2>
    </dataValidation>
    <dataValidation type="textLength" errorStyle="information" allowBlank="1" showInputMessage="1" showErrorMessage="1" error="XLBVal:6=5330.63_x000d__x000a_" sqref="V129">
      <formula1>0</formula1>
      <formula2>300</formula2>
    </dataValidation>
    <dataValidation type="textLength" errorStyle="information" allowBlank="1" showInputMessage="1" showErrorMessage="1" error="XLBVal:6=5402.66_x000d__x000a_" sqref="U129">
      <formula1>0</formula1>
      <formula2>300</formula2>
    </dataValidation>
    <dataValidation type="textLength" errorStyle="information" allowBlank="1" showInputMessage="1" showErrorMessage="1" error="XLBVal:6=4720.14_x000d__x000a_" sqref="T129">
      <formula1>0</formula1>
      <formula2>300</formula2>
    </dataValidation>
    <dataValidation type="textLength" errorStyle="information" allowBlank="1" showInputMessage="1" showErrorMessage="1" error="XLBVal:6=4352.95_x000d__x000a_" sqref="S129">
      <formula1>0</formula1>
      <formula2>300</formula2>
    </dataValidation>
    <dataValidation type="textLength" errorStyle="information" allowBlank="1" showInputMessage="1" showErrorMessage="1" error="XLBVal:6=5416.62_x000d__x000a_" sqref="R129">
      <formula1>0</formula1>
      <formula2>300</formula2>
    </dataValidation>
    <dataValidation type="textLength" errorStyle="information" allowBlank="1" showInputMessage="1" showErrorMessage="1" error="XLBVal:6=3857.09_x000d__x000a_" sqref="Q129">
      <formula1>0</formula1>
      <formula2>300</formula2>
    </dataValidation>
    <dataValidation type="textLength" errorStyle="information" allowBlank="1" showInputMessage="1" showErrorMessage="1" error="XLBVal:6=316.16_x000d__x000a_" sqref="V128">
      <formula1>0</formula1>
      <formula2>300</formula2>
    </dataValidation>
    <dataValidation type="textLength" errorStyle="information" allowBlank="1" showInputMessage="1" showErrorMessage="1" error="XLBVal:6=295.11_x000d__x000a_" sqref="U128">
      <formula1>0</formula1>
      <formula2>300</formula2>
    </dataValidation>
    <dataValidation type="textLength" errorStyle="information" allowBlank="1" showInputMessage="1" showErrorMessage="1" error="XLBVal:6=320.46_x000d__x000a_" sqref="T128">
      <formula1>0</formula1>
      <formula2>300</formula2>
    </dataValidation>
    <dataValidation type="textLength" errorStyle="information" allowBlank="1" showInputMessage="1" showErrorMessage="1" error="XLBVal:6=339.32_x000d__x000a_" sqref="S128">
      <formula1>0</formula1>
      <formula2>300</formula2>
    </dataValidation>
    <dataValidation type="textLength" errorStyle="information" allowBlank="1" showInputMessage="1" showErrorMessage="1" error="XLBVal:6=631.14_x000d__x000a_" sqref="R128">
      <formula1>0</formula1>
      <formula2>300</formula2>
    </dataValidation>
    <dataValidation type="textLength" errorStyle="information" allowBlank="1" showInputMessage="1" showErrorMessage="1" error="XLBVal:6=52.02_x000d__x000a_" sqref="Q128">
      <formula1>0</formula1>
      <formula2>300</formula2>
    </dataValidation>
    <dataValidation type="textLength" errorStyle="information" allowBlank="1" showInputMessage="1" showErrorMessage="1" error="XLBVal:6=2219.73_x000d__x000a_" sqref="V127">
      <formula1>0</formula1>
      <formula2>300</formula2>
    </dataValidation>
    <dataValidation type="textLength" errorStyle="information" allowBlank="1" showInputMessage="1" showErrorMessage="1" error="XLBVal:6=2106_x000d__x000a_" sqref="U127">
      <formula1>0</formula1>
      <formula2>300</formula2>
    </dataValidation>
    <dataValidation type="textLength" errorStyle="information" allowBlank="1" showInputMessage="1" showErrorMessage="1" error="XLBVal:6=1553.29_x000d__x000a_" sqref="R127">
      <formula1>0</formula1>
      <formula2>300</formula2>
    </dataValidation>
    <dataValidation type="textLength" errorStyle="information" allowBlank="1" showInputMessage="1" showErrorMessage="1" error="XLBVal:6=2997.13_x000d__x000a_" sqref="V120">
      <formula1>0</formula1>
      <formula2>300</formula2>
    </dataValidation>
    <dataValidation type="textLength" errorStyle="information" allowBlank="1" showInputMessage="1" showErrorMessage="1" error="XLBVal:6=2563.78_x000d__x000a_" sqref="U120">
      <formula1>0</formula1>
      <formula2>300</formula2>
    </dataValidation>
    <dataValidation type="textLength" errorStyle="information" allowBlank="1" showInputMessage="1" showErrorMessage="1" error="XLBVal:6=4277.58_x000d__x000a_" sqref="T120">
      <formula1>0</formula1>
      <formula2>300</formula2>
    </dataValidation>
    <dataValidation type="textLength" errorStyle="information" allowBlank="1" showInputMessage="1" showErrorMessage="1" error="XLBVal:6=6222.09_x000d__x000a_" sqref="S120">
      <formula1>0</formula1>
      <formula2>300</formula2>
    </dataValidation>
    <dataValidation type="textLength" errorStyle="information" allowBlank="1" showInputMessage="1" showErrorMessage="1" error="XLBVal:6=4382.08_x000d__x000a_" sqref="R120">
      <formula1>0</formula1>
      <formula2>300</formula2>
    </dataValidation>
    <dataValidation type="textLength" errorStyle="information" allowBlank="1" showInputMessage="1" showErrorMessage="1" error="XLBVal:6=3529.42_x000d__x000a_" sqref="Q120">
      <formula1>0</formula1>
      <formula2>300</formula2>
    </dataValidation>
    <dataValidation type="textLength" errorStyle="information" allowBlank="1" showInputMessage="1" showErrorMessage="1" error="XLBVal:6=8314_x000d__x000a_" sqref="V119">
      <formula1>0</formula1>
      <formula2>300</formula2>
    </dataValidation>
    <dataValidation type="textLength" errorStyle="information" allowBlank="1" showInputMessage="1" showErrorMessage="1" error="XLBVal:6=7314_x000d__x000a_" sqref="U119">
      <formula1>0</formula1>
      <formula2>300</formula2>
    </dataValidation>
    <dataValidation type="textLength" errorStyle="information" allowBlank="1" showInputMessage="1" showErrorMessage="1" error="XLBVal:6=7804_x000d__x000a_" sqref="T119">
      <formula1>0</formula1>
      <formula2>300</formula2>
    </dataValidation>
    <dataValidation type="textLength" errorStyle="information" allowBlank="1" showInputMessage="1" showErrorMessage="1" error="XLBVal:6=8303_x000d__x000a_" sqref="S119">
      <formula1>0</formula1>
      <formula2>300</formula2>
    </dataValidation>
    <dataValidation type="textLength" errorStyle="information" allowBlank="1" showInputMessage="1" showErrorMessage="1" error="XLBVal:6=9817_x000d__x000a_" sqref="Q119:R119">
      <formula1>0</formula1>
      <formula2>300</formula2>
    </dataValidation>
    <dataValidation type="textLength" errorStyle="information" allowBlank="1" showInputMessage="1" showErrorMessage="1" error="XLBVal:6=194.4_x000d__x000a_" sqref="V117">
      <formula1>0</formula1>
      <formula2>300</formula2>
    </dataValidation>
    <dataValidation type="textLength" errorStyle="information" allowBlank="1" showInputMessage="1" showErrorMessage="1" error="XLBVal:6=170.4_x000d__x000a_" sqref="U117">
      <formula1>0</formula1>
      <formula2>300</formula2>
    </dataValidation>
    <dataValidation type="textLength" errorStyle="information" allowBlank="1" showInputMessage="1" showErrorMessage="1" error="XLBVal:6=182.38_x000d__x000a_" sqref="T117">
      <formula1>0</formula1>
      <formula2>300</formula2>
    </dataValidation>
    <dataValidation type="textLength" errorStyle="information" allowBlank="1" showInputMessage="1" showErrorMessage="1" error="XLBVal:6=194.37_x000d__x000a_" sqref="S117">
      <formula1>0</formula1>
      <formula2>300</formula2>
    </dataValidation>
    <dataValidation type="textLength" errorStyle="information" allowBlank="1" showInputMessage="1" showErrorMessage="1" error="XLBVal:6=229.15_x000d__x000a_" sqref="Q117:R117">
      <formula1>0</formula1>
      <formula2>300</formula2>
    </dataValidation>
    <dataValidation type="textLength" errorStyle="information" allowBlank="1" showInputMessage="1" showErrorMessage="1" error="XLBVal:6=13769.01_x000d__x000a_" sqref="V115">
      <formula1>0</formula1>
      <formula2>300</formula2>
    </dataValidation>
    <dataValidation type="textLength" errorStyle="information" allowBlank="1" showInputMessage="1" showErrorMessage="1" error="XLBVal:6=12069.01_x000d__x000a_" sqref="U115">
      <formula1>0</formula1>
      <formula2>300</formula2>
    </dataValidation>
    <dataValidation type="textLength" errorStyle="information" allowBlank="1" showInputMessage="1" showErrorMessage="1" error="XLBVal:6=12917.18_x000d__x000a_" sqref="T115">
      <formula1>0</formula1>
      <formula2>300</formula2>
    </dataValidation>
    <dataValidation type="textLength" errorStyle="information" allowBlank="1" showInputMessage="1" showErrorMessage="1" error="XLBVal:6=13766.24_x000d__x000a_" sqref="S115">
      <formula1>0</formula1>
      <formula2>300</formula2>
    </dataValidation>
    <dataValidation type="textLength" errorStyle="information" allowBlank="1" showInputMessage="1" showErrorMessage="1" error="XLBVal:6=16229.54_x000d__x000a_" sqref="Q115:R115">
      <formula1>0</formula1>
      <formula2>300</formula2>
    </dataValidation>
    <dataValidation type="textLength" errorStyle="information" allowBlank="1" showInputMessage="1" showErrorMessage="1" error="XLBVal:6=25918.1_x000d__x000a_" sqref="V114">
      <formula1>0</formula1>
      <formula2>300</formula2>
    </dataValidation>
    <dataValidation type="textLength" errorStyle="information" allowBlank="1" showInputMessage="1" showErrorMessage="1" error="XLBVal:6=22718.1_x000d__x000a_" sqref="U114">
      <formula1>0</formula1>
      <formula2>300</formula2>
    </dataValidation>
    <dataValidation type="textLength" errorStyle="information" allowBlank="1" showInputMessage="1" showErrorMessage="1" error="XLBVal:6=24314.65_x000d__x000a_" sqref="T114">
      <formula1>0</formula1>
      <formula2>300</formula2>
    </dataValidation>
    <dataValidation type="textLength" errorStyle="information" allowBlank="1" showInputMessage="1" showErrorMessage="1" error="XLBVal:6=30549.69_x000d__x000a_" sqref="Q114:R114">
      <formula1>0</formula1>
      <formula2>300</formula2>
    </dataValidation>
    <dataValidation type="textLength" errorStyle="information" allowBlank="1" showInputMessage="1" showErrorMessage="1" error="XLBVal:6=1800_x000d__x000a_" sqref="U111:V111">
      <formula1>0</formula1>
      <formula2>300</formula2>
    </dataValidation>
    <dataValidation type="textLength" errorStyle="information" allowBlank="1" showInputMessage="1" showErrorMessage="1" error="XLBVal:6=5918.55_x000d__x000a_" sqref="T111">
      <formula1>0</formula1>
      <formula2>300</formula2>
    </dataValidation>
    <dataValidation type="textLength" errorStyle="information" allowBlank="1" showInputMessage="1" showErrorMessage="1" error="XLBVal:6=2400_x000d__x000a_" sqref="Q111">
      <formula1>0</formula1>
      <formula2>300</formula2>
    </dataValidation>
    <dataValidation type="textLength" errorStyle="information" allowBlank="1" showInputMessage="1" showErrorMessage="1" error="XLBVal:6=6765_x000d__x000a_" sqref="V109">
      <formula1>0</formula1>
      <formula2>300</formula2>
    </dataValidation>
    <dataValidation type="textLength" errorStyle="information" allowBlank="1" showInputMessage="1" showErrorMessage="1" error="XLBVal:6=6553_x000d__x000a_" sqref="U109">
      <formula1>0</formula1>
      <formula2>300</formula2>
    </dataValidation>
    <dataValidation type="textLength" errorStyle="information" allowBlank="1" showInputMessage="1" showErrorMessage="1" error="XLBVal:6=6958.39_x000d__x000a_" sqref="T109">
      <formula1>0</formula1>
      <formula2>300</formula2>
    </dataValidation>
    <dataValidation type="textLength" errorStyle="information" allowBlank="1" showInputMessage="1" showErrorMessage="1" error="XLBVal:6=7445.86_x000d__x000a_" sqref="S109">
      <formula1>0</formula1>
      <formula2>300</formula2>
    </dataValidation>
    <dataValidation type="textLength" errorStyle="information" allowBlank="1" showInputMessage="1" showErrorMessage="1" error="XLBVal:6=7641.72_x000d__x000a_" sqref="R109">
      <formula1>0</formula1>
      <formula2>300</formula2>
    </dataValidation>
    <dataValidation type="textLength" errorStyle="information" allowBlank="1" showInputMessage="1" showErrorMessage="1" error="XLBVal:6=7530_x000d__x000a_" sqref="Q109">
      <formula1>0</formula1>
      <formula2>300</formula2>
    </dataValidation>
    <dataValidation type="textLength" errorStyle="information" allowBlank="1" showInputMessage="1" showErrorMessage="1" error="XLBVal:6=7062.15_x000d__x000a_" sqref="U107">
      <formula1>0</formula1>
      <formula2>300</formula2>
    </dataValidation>
    <dataValidation type="textLength" errorStyle="information" allowBlank="1" showInputMessage="1" showErrorMessage="1" error="XLBVal:6=5958.72_x000d__x000a_" sqref="T107">
      <formula1>0</formula1>
      <formula2>300</formula2>
    </dataValidation>
    <dataValidation type="textLength" errorStyle="information" allowBlank="1" showInputMessage="1" showErrorMessage="1" error="XLBVal:6=26629.49_x000d__x000a_" sqref="R107">
      <formula1>0</formula1>
      <formula2>300</formula2>
    </dataValidation>
    <dataValidation type="textLength" errorStyle="information" allowBlank="1" showInputMessage="1" showErrorMessage="1" error="XLBVal:6=7420.77_x000d__x000a_" sqref="Q107">
      <formula1>0</formula1>
      <formula2>300</formula2>
    </dataValidation>
    <dataValidation type="textLength" errorStyle="information" allowBlank="1" showInputMessage="1" showErrorMessage="1" error="XLBVal:6=39700_x000d__x000a_" sqref="V104">
      <formula1>0</formula1>
      <formula2>300</formula2>
    </dataValidation>
    <dataValidation type="textLength" errorStyle="information" allowBlank="1" showInputMessage="1" showErrorMessage="1" error="XLBVal:6=37768.96_x000d__x000a_" sqref="U104">
      <formula1>0</formula1>
      <formula2>300</formula2>
    </dataValidation>
    <dataValidation type="textLength" errorStyle="information" allowBlank="1" showInputMessage="1" showErrorMessage="1" error="XLBVal:6=43511.16_x000d__x000a_" sqref="T104">
      <formula1>0</formula1>
      <formula2>300</formula2>
    </dataValidation>
    <dataValidation type="textLength" errorStyle="information" allowBlank="1" showInputMessage="1" showErrorMessage="1" error="XLBVal:6=46641.38_x000d__x000a_" sqref="S104">
      <formula1>0</formula1>
      <formula2>300</formula2>
    </dataValidation>
    <dataValidation type="textLength" errorStyle="information" allowBlank="1" showInputMessage="1" showErrorMessage="1" error="XLBVal:6=48255.16_x000d__x000a_" sqref="R104">
      <formula1>0</formula1>
      <formula2>300</formula2>
    </dataValidation>
    <dataValidation type="textLength" errorStyle="information" allowBlank="1" showInputMessage="1" showErrorMessage="1" error="XLBVal:6=49800_x000d__x000a_" sqref="Q104">
      <formula1>0</formula1>
      <formula2>300</formula2>
    </dataValidation>
    <dataValidation type="textLength" errorStyle="information" allowBlank="1" showInputMessage="1" showErrorMessage="1" error="XLBVal:6=95000_x000d__x000a_" sqref="V102">
      <formula1>0</formula1>
      <formula2>300</formula2>
    </dataValidation>
    <dataValidation type="textLength" errorStyle="information" allowBlank="1" showInputMessage="1" showErrorMessage="1" error="XLBVal:6=78517.27_x000d__x000a_" sqref="T102">
      <formula1>0</formula1>
      <formula2>300</formula2>
    </dataValidation>
    <dataValidation type="textLength" errorStyle="information" allowBlank="1" showInputMessage="1" showErrorMessage="1" error="XLBVal:6=83132.18_x000d__x000a_" sqref="S102">
      <formula1>0</formula1>
      <formula2>300</formula2>
    </dataValidation>
    <dataValidation type="textLength" errorStyle="information" allowBlank="1" showInputMessage="1" showErrorMessage="1" error="XLBVal:6=104500_x000d__x000a_" sqref="Q102">
      <formula1>0</formula1>
      <formula2>300</formula2>
    </dataValidation>
    <dataValidation type="textLength" errorStyle="information" allowBlank="1" showInputMessage="1" showErrorMessage="1" error="XLBVal:6=-1765.42_x000d__x000a_" sqref="V78">
      <formula1>0</formula1>
      <formula2>300</formula2>
    </dataValidation>
    <dataValidation type="textLength" errorStyle="information" allowBlank="1" showInputMessage="1" showErrorMessage="1" error="XLBVal:6=1810_x000d__x000a_" sqref="U78">
      <formula1>0</formula1>
      <formula2>300</formula2>
    </dataValidation>
    <dataValidation type="textLength" errorStyle="information" allowBlank="1" showInputMessage="1" showErrorMessage="1" error="XLBVal:6=1830.19_x000d__x000a_" sqref="Q78:T78">
      <formula1>0</formula1>
      <formula2>300</formula2>
    </dataValidation>
    <dataValidation type="textLength" errorStyle="information" allowBlank="1" showInputMessage="1" showErrorMessage="1" error="XLBVal:6=2427_x000d__x000a_" sqref="U75">
      <formula1>0</formula1>
      <formula2>300</formula2>
    </dataValidation>
    <dataValidation type="textLength" errorStyle="information" allowBlank="1" showInputMessage="1" showErrorMessage="1" error="XLBVal:6=2898.29_x000d__x000a_" sqref="V75">
      <formula1>0</formula1>
      <formula2>300</formula2>
    </dataValidation>
    <dataValidation type="textLength" errorStyle="information" allowBlank="1" showInputMessage="1" showErrorMessage="1" error="XLBVal:6=797.15_x000d__x000a_" sqref="V74">
      <formula1>0</formula1>
      <formula2>300</formula2>
    </dataValidation>
    <dataValidation type="textLength" errorStyle="information" allowBlank="1" showInputMessage="1" showErrorMessage="1" error="XLBVal:6=780.9_x000d__x000a_" sqref="U74">
      <formula1>0</formula1>
      <formula2>300</formula2>
    </dataValidation>
    <dataValidation type="textLength" errorStyle="information" allowBlank="1" showInputMessage="1" showErrorMessage="1" error="XLBVal:6=481.95_x000d__x000a_" sqref="T74">
      <formula1>0</formula1>
      <formula2>300</formula2>
    </dataValidation>
    <dataValidation type="textLength" errorStyle="information" allowBlank="1" showInputMessage="1" showErrorMessage="1" error="XLBVal:6=1006.65_x000d__x000a_" sqref="S74">
      <formula1>0</formula1>
      <formula2>300</formula2>
    </dataValidation>
    <dataValidation type="textLength" errorStyle="information" allowBlank="1" showInputMessage="1" showErrorMessage="1" error="XLBVal:6=1001.8_x000d__x000a_" sqref="R74">
      <formula1>0</formula1>
      <formula2>300</formula2>
    </dataValidation>
    <dataValidation type="textLength" errorStyle="information" allowBlank="1" showInputMessage="1" showErrorMessage="1" error="XLBVal:6=1154.74_x000d__x000a_" sqref="Q74">
      <formula1>0</formula1>
      <formula2>300</formula2>
    </dataValidation>
    <dataValidation type="textLength" errorStyle="information" allowBlank="1" showInputMessage="1" showErrorMessage="1" error="XLBVal:6=2829.77_x000d__x000a_" sqref="V72">
      <formula1>0</formula1>
      <formula2>300</formula2>
    </dataValidation>
    <dataValidation type="textLength" errorStyle="information" allowBlank="1" showInputMessage="1" showErrorMessage="1" error="XLBVal:6=1048.06_x000d__x000a_" sqref="U72">
      <formula1>0</formula1>
      <formula2>300</formula2>
    </dataValidation>
    <dataValidation type="textLength" errorStyle="information" allowBlank="1" showInputMessage="1" showErrorMessage="1" error="XLBVal:6=2801.85_x000d__x000a_" sqref="T72">
      <formula1>0</formula1>
      <formula2>300</formula2>
    </dataValidation>
    <dataValidation type="textLength" errorStyle="information" allowBlank="1" showInputMessage="1" showErrorMessage="1" error="XLBVal:6=2735.97_x000d__x000a_" sqref="S72">
      <formula1>0</formula1>
      <formula2>300</formula2>
    </dataValidation>
    <dataValidation type="textLength" errorStyle="information" allowBlank="1" showInputMessage="1" showErrorMessage="1" error="XLBVal:6=3963.18_x000d__x000a_" sqref="R72">
      <formula1>0</formula1>
      <formula2>300</formula2>
    </dataValidation>
    <dataValidation type="textLength" errorStyle="information" allowBlank="1" showInputMessage="1" showErrorMessage="1" error="XLBVal:6=3595.32_x000d__x000a_" sqref="Q72">
      <formula1>0</formula1>
      <formula2>300</formula2>
    </dataValidation>
    <dataValidation type="textLength" errorStyle="information" allowBlank="1" showInputMessage="1" showErrorMessage="1" error="XLBVal:6=1722.72_x000d__x000a_" sqref="V71">
      <formula1>0</formula1>
      <formula2>300</formula2>
    </dataValidation>
    <dataValidation type="textLength" errorStyle="information" allowBlank="1" showInputMessage="1" showErrorMessage="1" error="XLBVal:6=868.32_x000d__x000a_" sqref="U71">
      <formula1>0</formula1>
      <formula2>300</formula2>
    </dataValidation>
    <dataValidation type="textLength" errorStyle="information" allowBlank="1" showInputMessage="1" showErrorMessage="1" error="XLBVal:6=613.21_x000d__x000a_" sqref="Q71:T71">
      <formula1>0</formula1>
      <formula2>300</formula2>
    </dataValidation>
    <dataValidation type="textLength" errorStyle="information" allowBlank="1" showInputMessage="1" showErrorMessage="1" error="XLBVal:6=139.48_x000d__x000a_" sqref="V63">
      <formula1>0</formula1>
      <formula2>300</formula2>
    </dataValidation>
    <dataValidation type="textLength" errorStyle="information" allowBlank="1" showInputMessage="1" showErrorMessage="1" error="XLBVal:6=32.1_x000d__x000a_" sqref="T63">
      <formula1>0</formula1>
      <formula2>300</formula2>
    </dataValidation>
    <dataValidation type="textLength" errorStyle="information" allowBlank="1" showInputMessage="1" showErrorMessage="1" error="XLBVal:6=627.78_x000d__x000a_" sqref="S63">
      <formula1>0</formula1>
      <formula2>300</formula2>
    </dataValidation>
    <dataValidation type="textLength" errorStyle="information" allowBlank="1" showInputMessage="1" showErrorMessage="1" error="XLBVal:6=817.69_x000d__x000a_" sqref="R63">
      <formula1>0</formula1>
      <formula2>300</formula2>
    </dataValidation>
    <dataValidation type="textLength" errorStyle="information" allowBlank="1" showInputMessage="1" showErrorMessage="1" error="XLBVal:6=536.87_x000d__x000a_" sqref="Q63">
      <formula1>0</formula1>
      <formula2>300</formula2>
    </dataValidation>
    <dataValidation type="textLength" errorStyle="information" allowBlank="1" showInputMessage="1" showErrorMessage="1" error="XLBVal:6=41979.85_x000d__x000a_" sqref="U43">
      <formula1>0</formula1>
      <formula2>300</formula2>
    </dataValidation>
    <dataValidation type="textLength" errorStyle="information" allowBlank="1" showInputMessage="1" showErrorMessage="1" error="XLBVal:6=95183.97_x000d__x000a_" sqref="T43">
      <formula1>0</formula1>
      <formula2>300</formula2>
    </dataValidation>
    <dataValidation type="textLength" errorStyle="information" allowBlank="1" showInputMessage="1" showErrorMessage="1" error="XLBVal:6=55115.69_x000d__x000a_" sqref="S43">
      <formula1>0</formula1>
      <formula2>300</formula2>
    </dataValidation>
    <dataValidation type="textLength" errorStyle="information" allowBlank="1" showInputMessage="1" showErrorMessage="1" error="XLBVal:6=83991.72_x000d__x000a_" sqref="Q43">
      <formula1>0</formula1>
      <formula2>300</formula2>
    </dataValidation>
    <dataValidation type="textLength" errorStyle="information" allowBlank="1" showInputMessage="1" showErrorMessage="1" error="XLBVal:6=15_x000d__x000a_" sqref="U136">
      <formula1>0</formula1>
      <formula2>300</formula2>
    </dataValidation>
    <dataValidation type="textLength" errorStyle="information" allowBlank="1" showInputMessage="1" showErrorMessage="1" error="XLBVal:6=-2331.51_x000d__x000a_" sqref="S111">
      <formula1>0</formula1>
      <formula2>300</formula2>
    </dataValidation>
    <dataValidation type="textLength" errorStyle="information" allowBlank="1" showInputMessage="1" showErrorMessage="1" error="XLBVal:6=-4801243.75_x000d__x000a_" sqref="Q79:V79">
      <formula1>0</formula1>
      <formula2>300</formula2>
    </dataValidation>
    <dataValidation type="textLength" errorStyle="information" allowBlank="1" showInputMessage="1" showErrorMessage="1" error="XLBVal:6=97750.6_x000d__x000a_" sqref="R43">
      <formula1>0</formula1>
      <formula2>300</formula2>
    </dataValidation>
    <dataValidation type="textLength" errorStyle="information" allowBlank="1" showInputMessage="1" showErrorMessage="1" error="XLBVal:6=140000_x000d__x000a_" sqref="AD24">
      <formula1>0</formula1>
      <formula2>300</formula2>
    </dataValidation>
    <dataValidation type="textLength" errorStyle="information" allowBlank="1" showInputMessage="1" showErrorMessage="1" error="XLBVal:6=1214.54_x000d__x000a_" sqref="J24:O24">
      <formula1>0</formula1>
      <formula2>300</formula2>
    </dataValidation>
    <dataValidation type="textLength" errorStyle="information" allowBlank="1" showInputMessage="1" showErrorMessage="1" error="XLBVal:2=0_x000d__x000a_" sqref="Q76:V76 D85:I89 D31:I32 D44:O71 D9:O13 D24:I26 D17:I21 D38:O42 D131:I132 S107 W114:AB120 Q44:V57 W74:AB76 Q85:AB89 Q131:V132 Q17:AB21 Q60:V62 Q103:AB103 W102:AB102 W111:AB111 Q118:V118 W93:AB97 Q38:V42 Q24:AB26 Q77:AB77 Q9:AB13 Q58:AB58 W78:AB79 Q73:AB73 W104:AB104 W38:AB57 W59:AB72 W107:AB109 Q121:AB121 Q124:V126 W124:AB132 W136:AB136 Q110:AB110 Q64:V70 U59:V59 Q30:AB32 D73:O7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  <rowBreaks count="1" manualBreakCount="1">
    <brk id="99" max="3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AF117"/>
  <sheetViews>
    <sheetView workbookViewId="0">
      <pane xSplit="4" ySplit="7" topLeftCell="K29" activePane="bottomRight" state="frozen"/>
      <selection activeCell="AP43" sqref="AP43"/>
      <selection pane="topRight" activeCell="AP43" sqref="AP43"/>
      <selection pane="bottomLeft" activeCell="AP43" sqref="AP43"/>
      <selection pane="bottomRight" activeCell="O83" sqref="O83"/>
    </sheetView>
  </sheetViews>
  <sheetFormatPr defaultColWidth="9" defaultRowHeight="14.25" outlineLevelCol="2"/>
  <cols>
    <col min="1" max="2" width="9" style="105" hidden="1" customWidth="1" outlineLevel="1"/>
    <col min="3" max="3" width="40.25" style="105" customWidth="1" collapsed="1"/>
    <col min="4" max="15" width="14.5" style="72" bestFit="1" customWidth="1"/>
    <col min="16" max="16" width="15.75" style="72" bestFit="1" customWidth="1"/>
    <col min="17" max="23" width="15.75" style="72" hidden="1" customWidth="1" outlineLevel="1"/>
    <col min="24" max="24" width="15.75" style="72" hidden="1" customWidth="1" outlineLevel="2"/>
    <col min="25" max="28" width="14.5" style="72" hidden="1" customWidth="1" outlineLevel="2"/>
    <col min="29" max="29" width="16.125" style="127" customWidth="1" collapsed="1"/>
    <col min="30" max="30" width="13.875" style="72" bestFit="1" customWidth="1"/>
    <col min="31" max="16384" width="9" style="105"/>
  </cols>
  <sheetData>
    <row r="1" spans="1:31" s="100" customFormat="1">
      <c r="A1" s="100" t="s">
        <v>118</v>
      </c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1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02"/>
      <c r="AD1" s="101"/>
    </row>
    <row r="2" spans="1:31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1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02"/>
      <c r="AD2" s="101"/>
    </row>
    <row r="3" spans="1:31">
      <c r="C3" s="106" t="s">
        <v>623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7"/>
      <c r="AD3" s="2"/>
    </row>
    <row r="4" spans="1:31" s="100" customFormat="1" ht="18">
      <c r="C4" s="18">
        <f>+'2025 Summay'!$D$7</f>
        <v>2025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2"/>
      <c r="AD4" s="101"/>
    </row>
    <row r="5" spans="1:31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2"/>
      <c r="AD5" s="101"/>
    </row>
    <row r="6" spans="1:31" s="100" customFormat="1">
      <c r="C6" s="100" t="s">
        <v>154</v>
      </c>
      <c r="D6" s="101">
        <f>'F&amp;B+Summary'!D6</f>
        <v>1</v>
      </c>
      <c r="E6" s="101">
        <f>'F&amp;B+Summary'!E6</f>
        <v>2</v>
      </c>
      <c r="F6" s="101">
        <f>'F&amp;B+Summary'!F6</f>
        <v>3</v>
      </c>
      <c r="G6" s="101">
        <f>'F&amp;B+Summary'!G6</f>
        <v>4</v>
      </c>
      <c r="H6" s="101">
        <f>'F&amp;B+Summary'!H6</f>
        <v>5</v>
      </c>
      <c r="I6" s="101">
        <f>'F&amp;B+Summary'!I6</f>
        <v>6</v>
      </c>
      <c r="J6" s="101">
        <f>'F&amp;B+Summary'!J6</f>
        <v>7</v>
      </c>
      <c r="K6" s="101">
        <f>'F&amp;B+Summary'!K6</f>
        <v>8</v>
      </c>
      <c r="L6" s="101">
        <f>'F&amp;B+Summary'!L6</f>
        <v>9</v>
      </c>
      <c r="M6" s="101">
        <f>'F&amp;B+Summary'!M6</f>
        <v>10</v>
      </c>
      <c r="N6" s="101">
        <f>'F&amp;B+Summary'!N6</f>
        <v>11</v>
      </c>
      <c r="O6" s="101">
        <f>'F&amp;B+Summary'!O6</f>
        <v>12</v>
      </c>
      <c r="P6" s="239">
        <f>'F&amp;B+Summary'!P6</f>
        <v>2025</v>
      </c>
      <c r="Q6" s="240">
        <f>'F&amp;B+Summary'!Q6</f>
        <v>202401</v>
      </c>
      <c r="R6" s="240">
        <f>'F&amp;B+Summary'!R6</f>
        <v>202402</v>
      </c>
      <c r="S6" s="240">
        <f>'F&amp;B+Summary'!S6</f>
        <v>202403</v>
      </c>
      <c r="T6" s="240">
        <f>'F&amp;B+Summary'!T6</f>
        <v>202404</v>
      </c>
      <c r="U6" s="240">
        <f>'F&amp;B+Summary'!U6</f>
        <v>202405</v>
      </c>
      <c r="V6" s="240">
        <f>'F&amp;B+Summary'!V6</f>
        <v>202406</v>
      </c>
      <c r="W6" s="240">
        <f>'F&amp;B+Summary'!W6</f>
        <v>202407</v>
      </c>
      <c r="X6" s="240">
        <f>'F&amp;B+Summary'!X6</f>
        <v>202408</v>
      </c>
      <c r="Y6" s="205">
        <f>'F&amp;B+Summary'!Y6</f>
        <v>202409</v>
      </c>
      <c r="Z6" s="205">
        <f>'F&amp;B+Summary'!Z6</f>
        <v>202410</v>
      </c>
      <c r="AA6" s="205">
        <f>'F&amp;B+Summary'!AA6</f>
        <v>202411</v>
      </c>
      <c r="AB6" s="205">
        <f>'F&amp;B+Summary'!AB6</f>
        <v>202412</v>
      </c>
      <c r="AC6" s="206">
        <f>'F&amp;B+Summary'!AC6</f>
        <v>2024</v>
      </c>
      <c r="AD6" s="101" t="s">
        <v>477</v>
      </c>
      <c r="AE6" s="100" t="s">
        <v>156</v>
      </c>
    </row>
    <row r="7" spans="1:31">
      <c r="C7" s="105" t="s">
        <v>154</v>
      </c>
      <c r="D7" s="2" t="str">
        <f>'F&amp;B+Summary'!D7</f>
        <v>Budget</v>
      </c>
      <c r="E7" s="2" t="str">
        <f>'F&amp;B+Summary'!E7</f>
        <v>Budget</v>
      </c>
      <c r="F7" s="2" t="str">
        <f>'F&amp;B+Summary'!F7</f>
        <v>Budget</v>
      </c>
      <c r="G7" s="2" t="str">
        <f>'F&amp;B+Summary'!G7</f>
        <v>Budget</v>
      </c>
      <c r="H7" s="2" t="str">
        <f>'F&amp;B+Summary'!H7</f>
        <v>Budget</v>
      </c>
      <c r="I7" s="2" t="str">
        <f>'F&amp;B+Summary'!I7</f>
        <v>Budget</v>
      </c>
      <c r="J7" s="2" t="str">
        <f>'F&amp;B+Summary'!J7</f>
        <v>Budget</v>
      </c>
      <c r="K7" s="2" t="str">
        <f>'F&amp;B+Summary'!K7</f>
        <v>Budget</v>
      </c>
      <c r="L7" s="2" t="str">
        <f>'F&amp;B+Summary'!L7</f>
        <v>Budget</v>
      </c>
      <c r="M7" s="2" t="str">
        <f>'F&amp;B+Summary'!M7</f>
        <v>Budget</v>
      </c>
      <c r="N7" s="2" t="str">
        <f>'F&amp;B+Summary'!N7</f>
        <v>Budget</v>
      </c>
      <c r="O7" s="2" t="str">
        <f>'F&amp;B+Summary'!O7</f>
        <v>Budget</v>
      </c>
      <c r="P7" s="2" t="str">
        <f>'F&amp;B+Summary'!P7</f>
        <v>Budget</v>
      </c>
      <c r="Q7" s="207" t="str">
        <f>'F&amp;B+Summary'!Q7</f>
        <v>Actual</v>
      </c>
      <c r="R7" s="207" t="str">
        <f>'F&amp;B+Summary'!R7</f>
        <v>Actual</v>
      </c>
      <c r="S7" s="207" t="str">
        <f>'F&amp;B+Summary'!S7</f>
        <v>Actual</v>
      </c>
      <c r="T7" s="207" t="str">
        <f>'F&amp;B+Summary'!T7</f>
        <v>Actual</v>
      </c>
      <c r="U7" s="207" t="str">
        <f>'F&amp;B+Summary'!U7</f>
        <v>Actual</v>
      </c>
      <c r="V7" s="207" t="str">
        <f>'F&amp;B+Summary'!V7</f>
        <v>Actual</v>
      </c>
      <c r="W7" s="207" t="str">
        <f>'F&amp;B+Summary'!W7</f>
        <v>Actual</v>
      </c>
      <c r="X7" s="207" t="str">
        <f>'F&amp;B+Summary'!X7</f>
        <v>Actual</v>
      </c>
      <c r="Y7" s="207" t="str">
        <f>'F&amp;B+Summary'!Y7</f>
        <v>Forecast</v>
      </c>
      <c r="Z7" s="207" t="str">
        <f>'F&amp;B+Summary'!Z7</f>
        <v>Forecast</v>
      </c>
      <c r="AA7" s="207" t="str">
        <f>'F&amp;B+Summary'!AA7</f>
        <v>Forecast</v>
      </c>
      <c r="AB7" s="207" t="str">
        <f>'F&amp;B+Summary'!AB7</f>
        <v>Forecast</v>
      </c>
      <c r="AC7" s="208" t="str">
        <f>'F&amp;B+Summary'!AC7</f>
        <v>Forecast</v>
      </c>
      <c r="AD7" s="2"/>
    </row>
    <row r="8" spans="1:31">
      <c r="C8" s="105" t="s">
        <v>624</v>
      </c>
    </row>
    <row r="9" spans="1:31">
      <c r="A9" s="105" t="s">
        <v>409</v>
      </c>
      <c r="B9" s="105" t="s">
        <v>625</v>
      </c>
      <c r="C9" s="105" t="s">
        <v>626</v>
      </c>
      <c r="J9" s="123"/>
      <c r="K9" s="123"/>
      <c r="L9" s="123"/>
      <c r="M9" s="123"/>
      <c r="N9" s="123"/>
      <c r="O9" s="123"/>
      <c r="P9" s="72">
        <f>SUM(D9:O9)</f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127">
        <f>SUM(Q9:AB9)</f>
        <v>0</v>
      </c>
      <c r="AD9" s="195"/>
      <c r="AE9" s="192" t="e">
        <f>AD9/AC9</f>
        <v>#DIV/0!</v>
      </c>
    </row>
    <row r="10" spans="1:31">
      <c r="C10" s="109" t="s">
        <v>500</v>
      </c>
      <c r="D10" s="127">
        <f t="shared" ref="D10:AC10" si="0">SUM(D9:D9)</f>
        <v>0</v>
      </c>
      <c r="E10" s="127">
        <f t="shared" si="0"/>
        <v>0</v>
      </c>
      <c r="F10" s="127">
        <f t="shared" si="0"/>
        <v>0</v>
      </c>
      <c r="G10" s="127">
        <f t="shared" si="0"/>
        <v>0</v>
      </c>
      <c r="H10" s="127">
        <f t="shared" si="0"/>
        <v>0</v>
      </c>
      <c r="I10" s="127">
        <f t="shared" si="0"/>
        <v>0</v>
      </c>
      <c r="J10" s="127">
        <f t="shared" si="0"/>
        <v>0</v>
      </c>
      <c r="K10" s="127">
        <f t="shared" si="0"/>
        <v>0</v>
      </c>
      <c r="L10" s="127">
        <f t="shared" si="0"/>
        <v>0</v>
      </c>
      <c r="M10" s="127">
        <f t="shared" si="0"/>
        <v>0</v>
      </c>
      <c r="N10" s="127">
        <f t="shared" si="0"/>
        <v>0</v>
      </c>
      <c r="O10" s="127">
        <f t="shared" si="0"/>
        <v>0</v>
      </c>
      <c r="P10" s="127">
        <f t="shared" si="0"/>
        <v>0</v>
      </c>
      <c r="Q10" s="127">
        <f t="shared" si="0"/>
        <v>0</v>
      </c>
      <c r="R10" s="127">
        <f t="shared" si="0"/>
        <v>0</v>
      </c>
      <c r="S10" s="127">
        <f t="shared" si="0"/>
        <v>0</v>
      </c>
      <c r="T10" s="127">
        <f t="shared" si="0"/>
        <v>0</v>
      </c>
      <c r="U10" s="127">
        <f t="shared" si="0"/>
        <v>0</v>
      </c>
      <c r="V10" s="127">
        <f t="shared" si="0"/>
        <v>0</v>
      </c>
      <c r="W10" s="127">
        <f t="shared" si="0"/>
        <v>0</v>
      </c>
      <c r="X10" s="127">
        <f t="shared" si="0"/>
        <v>0</v>
      </c>
      <c r="Y10" s="127">
        <f t="shared" si="0"/>
        <v>0</v>
      </c>
      <c r="Z10" s="127">
        <f t="shared" si="0"/>
        <v>0</v>
      </c>
      <c r="AA10" s="127">
        <f t="shared" si="0"/>
        <v>0</v>
      </c>
      <c r="AB10" s="127">
        <f t="shared" si="0"/>
        <v>0</v>
      </c>
      <c r="AC10" s="127">
        <f t="shared" si="0"/>
        <v>0</v>
      </c>
      <c r="AD10" s="72">
        <f>P10-AC10</f>
        <v>0</v>
      </c>
      <c r="AE10" s="192" t="e">
        <f>AD10/AC10</f>
        <v>#DIV/0!</v>
      </c>
    </row>
    <row r="11" spans="1:31">
      <c r="C11" s="105" t="s">
        <v>154</v>
      </c>
    </row>
    <row r="12" spans="1:31">
      <c r="C12" s="105" t="s">
        <v>414</v>
      </c>
    </row>
    <row r="13" spans="1:31">
      <c r="A13" s="105" t="s">
        <v>419</v>
      </c>
      <c r="B13" s="105" t="s">
        <v>625</v>
      </c>
      <c r="C13" s="105" t="s">
        <v>627</v>
      </c>
      <c r="P13" s="72">
        <f>SUM(D13:O13)</f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127">
        <f>SUM(Q13:AB13)</f>
        <v>0</v>
      </c>
      <c r="AD13" s="72">
        <f>AC13-P13</f>
        <v>0</v>
      </c>
      <c r="AE13" s="192" t="e">
        <f>AD13/AC13</f>
        <v>#DIV/0!</v>
      </c>
    </row>
    <row r="14" spans="1:31">
      <c r="C14" s="109" t="s">
        <v>501</v>
      </c>
      <c r="D14" s="127">
        <f t="shared" ref="D14:AC14" si="1">SUM(D13:D13)</f>
        <v>0</v>
      </c>
      <c r="E14" s="127">
        <f t="shared" si="1"/>
        <v>0</v>
      </c>
      <c r="F14" s="127">
        <f t="shared" si="1"/>
        <v>0</v>
      </c>
      <c r="G14" s="127">
        <f t="shared" si="1"/>
        <v>0</v>
      </c>
      <c r="H14" s="127">
        <f t="shared" si="1"/>
        <v>0</v>
      </c>
      <c r="I14" s="127">
        <f t="shared" si="1"/>
        <v>0</v>
      </c>
      <c r="J14" s="127">
        <f t="shared" si="1"/>
        <v>0</v>
      </c>
      <c r="K14" s="127">
        <f t="shared" si="1"/>
        <v>0</v>
      </c>
      <c r="L14" s="127">
        <f t="shared" si="1"/>
        <v>0</v>
      </c>
      <c r="M14" s="127">
        <f t="shared" si="1"/>
        <v>0</v>
      </c>
      <c r="N14" s="127">
        <f t="shared" si="1"/>
        <v>0</v>
      </c>
      <c r="O14" s="127">
        <f t="shared" si="1"/>
        <v>0</v>
      </c>
      <c r="P14" s="127">
        <f t="shared" si="1"/>
        <v>0</v>
      </c>
      <c r="Q14" s="127">
        <f t="shared" si="1"/>
        <v>0</v>
      </c>
      <c r="R14" s="127">
        <f t="shared" si="1"/>
        <v>0</v>
      </c>
      <c r="S14" s="127">
        <f t="shared" si="1"/>
        <v>0</v>
      </c>
      <c r="T14" s="127">
        <f t="shared" si="1"/>
        <v>0</v>
      </c>
      <c r="U14" s="127">
        <f t="shared" si="1"/>
        <v>0</v>
      </c>
      <c r="V14" s="127">
        <f t="shared" si="1"/>
        <v>0</v>
      </c>
      <c r="W14" s="127">
        <f t="shared" si="1"/>
        <v>0</v>
      </c>
      <c r="X14" s="127">
        <f t="shared" si="1"/>
        <v>0</v>
      </c>
      <c r="Y14" s="127">
        <f t="shared" si="1"/>
        <v>0</v>
      </c>
      <c r="Z14" s="127">
        <f t="shared" si="1"/>
        <v>0</v>
      </c>
      <c r="AA14" s="127">
        <f t="shared" si="1"/>
        <v>0</v>
      </c>
      <c r="AB14" s="127">
        <f t="shared" si="1"/>
        <v>0</v>
      </c>
      <c r="AC14" s="127">
        <f t="shared" si="1"/>
        <v>0</v>
      </c>
      <c r="AD14" s="72">
        <f>AC14-P14</f>
        <v>0</v>
      </c>
      <c r="AE14" s="192" t="e">
        <f>AD14/AC14</f>
        <v>#DIV/0!</v>
      </c>
    </row>
    <row r="15" spans="1:31">
      <c r="C15" s="105" t="s">
        <v>154</v>
      </c>
    </row>
    <row r="16" spans="1:31">
      <c r="C16" s="105" t="s">
        <v>289</v>
      </c>
      <c r="D16" s="72">
        <f t="shared" ref="D16:AB16" si="2">D115</f>
        <v>0</v>
      </c>
      <c r="E16" s="72">
        <f t="shared" si="2"/>
        <v>0</v>
      </c>
      <c r="F16" s="72">
        <f t="shared" si="2"/>
        <v>0</v>
      </c>
      <c r="G16" s="72">
        <f t="shared" si="2"/>
        <v>0</v>
      </c>
      <c r="H16" s="72">
        <f t="shared" si="2"/>
        <v>0</v>
      </c>
      <c r="I16" s="72">
        <f t="shared" si="2"/>
        <v>0</v>
      </c>
      <c r="J16" s="72">
        <f t="shared" si="2"/>
        <v>0</v>
      </c>
      <c r="K16" s="72">
        <f t="shared" si="2"/>
        <v>0</v>
      </c>
      <c r="L16" s="72">
        <f t="shared" si="2"/>
        <v>0</v>
      </c>
      <c r="M16" s="72">
        <f t="shared" si="2"/>
        <v>0</v>
      </c>
      <c r="N16" s="72">
        <f t="shared" si="2"/>
        <v>0</v>
      </c>
      <c r="O16" s="72">
        <f t="shared" si="2"/>
        <v>0</v>
      </c>
      <c r="P16" s="72">
        <f t="shared" si="2"/>
        <v>0</v>
      </c>
      <c r="Q16" s="72">
        <f t="shared" si="2"/>
        <v>0</v>
      </c>
      <c r="R16" s="72">
        <f t="shared" si="2"/>
        <v>0</v>
      </c>
      <c r="S16" s="72">
        <f t="shared" si="2"/>
        <v>0</v>
      </c>
      <c r="T16" s="72">
        <f t="shared" si="2"/>
        <v>0</v>
      </c>
      <c r="U16" s="72">
        <f t="shared" si="2"/>
        <v>0</v>
      </c>
      <c r="V16" s="72">
        <f t="shared" si="2"/>
        <v>0</v>
      </c>
      <c r="W16" s="72">
        <f t="shared" si="2"/>
        <v>0</v>
      </c>
      <c r="X16" s="72">
        <f t="shared" si="2"/>
        <v>0</v>
      </c>
      <c r="Y16" s="72">
        <f t="shared" si="2"/>
        <v>0</v>
      </c>
      <c r="Z16" s="72">
        <f t="shared" si="2"/>
        <v>0</v>
      </c>
      <c r="AA16" s="72">
        <f t="shared" si="2"/>
        <v>0</v>
      </c>
      <c r="AB16" s="72">
        <f t="shared" si="2"/>
        <v>0</v>
      </c>
      <c r="AC16" s="127">
        <f>SUM(Q16:AB16)</f>
        <v>0</v>
      </c>
      <c r="AD16" s="72">
        <f>AC16-P16</f>
        <v>0</v>
      </c>
      <c r="AE16" s="192" t="e">
        <f>AD16/AC16</f>
        <v>#DIV/0!</v>
      </c>
    </row>
    <row r="17" spans="1:31">
      <c r="C17" s="105" t="s">
        <v>154</v>
      </c>
    </row>
    <row r="18" spans="1:31">
      <c r="C18" s="109" t="s">
        <v>502</v>
      </c>
    </row>
    <row r="19" spans="1:31">
      <c r="A19" s="105" t="s">
        <v>424</v>
      </c>
      <c r="B19" s="105" t="s">
        <v>625</v>
      </c>
      <c r="C19" s="105" t="s">
        <v>425</v>
      </c>
      <c r="J19" s="231"/>
      <c r="K19" s="231"/>
      <c r="L19" s="231"/>
      <c r="M19" s="231"/>
      <c r="N19" s="231"/>
      <c r="O19" s="231"/>
      <c r="P19" s="123">
        <f t="shared" ref="P19:P59" si="3">SUM(D19:O19)</f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127">
        <f t="shared" ref="AC19:AC61" si="4">SUM(Q19:AB19)</f>
        <v>0</v>
      </c>
      <c r="AD19" s="72">
        <f t="shared" ref="AD19:AD61" si="5">AC19-P19</f>
        <v>0</v>
      </c>
      <c r="AE19" s="192" t="e">
        <f t="shared" ref="AE19:AE62" si="6">AD19/AC19</f>
        <v>#DIV/0!</v>
      </c>
    </row>
    <row r="20" spans="1:31">
      <c r="A20" s="105" t="s">
        <v>273</v>
      </c>
      <c r="C20" s="105" t="s">
        <v>426</v>
      </c>
      <c r="J20" s="231"/>
      <c r="K20" s="231"/>
      <c r="L20" s="231"/>
      <c r="M20" s="231"/>
      <c r="N20" s="231"/>
      <c r="O20" s="231"/>
      <c r="P20" s="123">
        <f t="shared" si="3"/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127">
        <f t="shared" si="4"/>
        <v>0</v>
      </c>
      <c r="AD20" s="72">
        <f t="shared" si="5"/>
        <v>0</v>
      </c>
      <c r="AE20" s="192" t="e">
        <f t="shared" si="6"/>
        <v>#DIV/0!</v>
      </c>
    </row>
    <row r="21" spans="1:31">
      <c r="A21" s="105" t="s">
        <v>273</v>
      </c>
      <c r="C21" s="105" t="s">
        <v>427</v>
      </c>
      <c r="J21" s="231"/>
      <c r="K21" s="231"/>
      <c r="L21" s="231"/>
      <c r="M21" s="231"/>
      <c r="N21" s="231"/>
      <c r="O21" s="231"/>
      <c r="P21" s="123">
        <f t="shared" si="3"/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127">
        <f t="shared" si="4"/>
        <v>0</v>
      </c>
      <c r="AD21" s="72">
        <f t="shared" si="5"/>
        <v>0</v>
      </c>
      <c r="AE21" s="192" t="e">
        <f t="shared" si="6"/>
        <v>#DIV/0!</v>
      </c>
    </row>
    <row r="22" spans="1:31">
      <c r="A22" s="105" t="s">
        <v>273</v>
      </c>
      <c r="C22" s="105" t="s">
        <v>428</v>
      </c>
      <c r="J22" s="231"/>
      <c r="K22" s="231"/>
      <c r="L22" s="231"/>
      <c r="M22" s="231"/>
      <c r="N22" s="231"/>
      <c r="O22" s="231"/>
      <c r="P22" s="123">
        <f t="shared" si="3"/>
        <v>0</v>
      </c>
      <c r="Q22" s="72"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2">
        <v>0</v>
      </c>
      <c r="AB22" s="72">
        <v>0</v>
      </c>
      <c r="AC22" s="127">
        <f t="shared" si="4"/>
        <v>0</v>
      </c>
      <c r="AD22" s="72">
        <f t="shared" si="5"/>
        <v>0</v>
      </c>
      <c r="AE22" s="192" t="e">
        <f t="shared" si="6"/>
        <v>#DIV/0!</v>
      </c>
    </row>
    <row r="23" spans="1:31">
      <c r="A23" s="105" t="s">
        <v>429</v>
      </c>
      <c r="B23" s="105" t="s">
        <v>625</v>
      </c>
      <c r="C23" s="105" t="s">
        <v>143</v>
      </c>
      <c r="J23" s="231"/>
      <c r="K23" s="231"/>
      <c r="L23" s="231"/>
      <c r="M23" s="231"/>
      <c r="N23" s="231"/>
      <c r="O23" s="231"/>
      <c r="P23" s="123">
        <f t="shared" si="3"/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127">
        <f t="shared" si="4"/>
        <v>0</v>
      </c>
      <c r="AD23" s="72">
        <f t="shared" si="5"/>
        <v>0</v>
      </c>
      <c r="AE23" s="192" t="e">
        <f t="shared" si="6"/>
        <v>#DIV/0!</v>
      </c>
    </row>
    <row r="24" spans="1:31">
      <c r="A24" s="105" t="s">
        <v>180</v>
      </c>
      <c r="B24" s="105" t="s">
        <v>625</v>
      </c>
      <c r="C24" s="105" t="s">
        <v>144</v>
      </c>
      <c r="J24" s="231"/>
      <c r="K24" s="231"/>
      <c r="L24" s="231"/>
      <c r="M24" s="231"/>
      <c r="N24" s="231"/>
      <c r="O24" s="231"/>
      <c r="P24" s="123">
        <f t="shared" si="3"/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127">
        <f t="shared" si="4"/>
        <v>0</v>
      </c>
      <c r="AD24" s="72">
        <f t="shared" si="5"/>
        <v>0</v>
      </c>
      <c r="AE24" s="192" t="e">
        <f t="shared" si="6"/>
        <v>#DIV/0!</v>
      </c>
    </row>
    <row r="25" spans="1:31">
      <c r="A25" s="105" t="s">
        <v>181</v>
      </c>
      <c r="B25" s="105" t="s">
        <v>625</v>
      </c>
      <c r="C25" s="105" t="s">
        <v>182</v>
      </c>
      <c r="J25" s="231"/>
      <c r="K25" s="231"/>
      <c r="L25" s="231"/>
      <c r="M25" s="231"/>
      <c r="N25" s="231"/>
      <c r="O25" s="231"/>
      <c r="P25" s="123">
        <f t="shared" si="3"/>
        <v>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127">
        <f t="shared" si="4"/>
        <v>0</v>
      </c>
      <c r="AD25" s="72">
        <f t="shared" si="5"/>
        <v>0</v>
      </c>
      <c r="AE25" s="192" t="e">
        <f t="shared" si="6"/>
        <v>#DIV/0!</v>
      </c>
    </row>
    <row r="26" spans="1:31">
      <c r="A26" s="105" t="s">
        <v>430</v>
      </c>
      <c r="B26" s="105" t="s">
        <v>625</v>
      </c>
      <c r="C26" s="105" t="s">
        <v>431</v>
      </c>
      <c r="J26" s="231"/>
      <c r="K26" s="231"/>
      <c r="L26" s="231"/>
      <c r="M26" s="231"/>
      <c r="N26" s="231"/>
      <c r="O26" s="231"/>
      <c r="P26" s="123">
        <f t="shared" si="3"/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127">
        <f t="shared" si="4"/>
        <v>0</v>
      </c>
      <c r="AD26" s="72">
        <f t="shared" si="5"/>
        <v>0</v>
      </c>
      <c r="AE26" s="192" t="e">
        <f t="shared" si="6"/>
        <v>#DIV/0!</v>
      </c>
    </row>
    <row r="27" spans="1:31">
      <c r="A27" s="105" t="s">
        <v>183</v>
      </c>
      <c r="B27" s="105" t="s">
        <v>625</v>
      </c>
      <c r="C27" s="105" t="s">
        <v>184</v>
      </c>
      <c r="J27" s="231"/>
      <c r="K27" s="231"/>
      <c r="L27" s="231"/>
      <c r="M27" s="231"/>
      <c r="N27" s="231"/>
      <c r="O27" s="231"/>
      <c r="P27" s="123">
        <f t="shared" si="3"/>
        <v>0</v>
      </c>
      <c r="Q27" s="72">
        <v>0</v>
      </c>
      <c r="R27" s="72">
        <v>0</v>
      </c>
      <c r="S27" s="72">
        <v>0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127">
        <f t="shared" si="4"/>
        <v>0</v>
      </c>
      <c r="AD27" s="72">
        <f t="shared" si="5"/>
        <v>0</v>
      </c>
      <c r="AE27" s="192" t="e">
        <f t="shared" si="6"/>
        <v>#DIV/0!</v>
      </c>
    </row>
    <row r="28" spans="1:31">
      <c r="A28" s="105" t="s">
        <v>619</v>
      </c>
      <c r="C28" s="105" t="s">
        <v>432</v>
      </c>
      <c r="J28" s="231"/>
      <c r="K28" s="231"/>
      <c r="L28" s="231"/>
      <c r="M28" s="231"/>
      <c r="N28" s="231"/>
      <c r="O28" s="231"/>
      <c r="P28" s="123">
        <f t="shared" si="3"/>
        <v>0</v>
      </c>
      <c r="Q28" s="72">
        <v>0</v>
      </c>
      <c r="R28" s="72">
        <v>0</v>
      </c>
      <c r="S28" s="72">
        <v>0</v>
      </c>
      <c r="T28" s="72">
        <v>0</v>
      </c>
      <c r="U28" s="72">
        <v>0</v>
      </c>
      <c r="V28" s="72">
        <v>0</v>
      </c>
      <c r="W28" s="72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127">
        <f t="shared" si="4"/>
        <v>0</v>
      </c>
      <c r="AD28" s="72">
        <f t="shared" si="5"/>
        <v>0</v>
      </c>
      <c r="AE28" s="192" t="e">
        <f t="shared" si="6"/>
        <v>#DIV/0!</v>
      </c>
    </row>
    <row r="29" spans="1:31">
      <c r="A29" s="105" t="s">
        <v>185</v>
      </c>
      <c r="B29" s="105" t="s">
        <v>625</v>
      </c>
      <c r="C29" s="105" t="s">
        <v>186</v>
      </c>
      <c r="J29" s="231"/>
      <c r="K29" s="231"/>
      <c r="L29" s="231"/>
      <c r="M29" s="231"/>
      <c r="N29" s="231"/>
      <c r="O29" s="231"/>
      <c r="P29" s="123">
        <f t="shared" si="3"/>
        <v>0</v>
      </c>
      <c r="Q29" s="72">
        <v>0</v>
      </c>
      <c r="R29" s="72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127">
        <f t="shared" si="4"/>
        <v>0</v>
      </c>
      <c r="AD29" s="72">
        <f t="shared" si="5"/>
        <v>0</v>
      </c>
      <c r="AE29" s="192" t="e">
        <f t="shared" si="6"/>
        <v>#DIV/0!</v>
      </c>
    </row>
    <row r="30" spans="1:31">
      <c r="A30" s="105" t="s">
        <v>187</v>
      </c>
      <c r="B30" s="105" t="s">
        <v>625</v>
      </c>
      <c r="C30" s="105" t="s">
        <v>188</v>
      </c>
      <c r="J30" s="231"/>
      <c r="K30" s="231"/>
      <c r="L30" s="231"/>
      <c r="M30" s="231"/>
      <c r="N30" s="231"/>
      <c r="O30" s="231"/>
      <c r="P30" s="123">
        <f t="shared" si="3"/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127">
        <f t="shared" si="4"/>
        <v>0</v>
      </c>
      <c r="AD30" s="72">
        <f t="shared" si="5"/>
        <v>0</v>
      </c>
      <c r="AE30" s="192" t="e">
        <f t="shared" si="6"/>
        <v>#DIV/0!</v>
      </c>
    </row>
    <row r="31" spans="1:31">
      <c r="A31" s="105" t="s">
        <v>195</v>
      </c>
      <c r="B31" s="105" t="s">
        <v>625</v>
      </c>
      <c r="C31" s="105" t="s">
        <v>196</v>
      </c>
      <c r="J31" s="141"/>
      <c r="K31" s="141"/>
      <c r="L31" s="141"/>
      <c r="M31" s="141"/>
      <c r="N31" s="141"/>
      <c r="O31" s="141"/>
      <c r="P31" s="123">
        <f t="shared" si="3"/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127">
        <f t="shared" si="4"/>
        <v>0</v>
      </c>
      <c r="AD31" s="72">
        <f t="shared" si="5"/>
        <v>0</v>
      </c>
      <c r="AE31" s="192" t="e">
        <f t="shared" si="6"/>
        <v>#DIV/0!</v>
      </c>
    </row>
    <row r="32" spans="1:31">
      <c r="A32" s="105" t="s">
        <v>197</v>
      </c>
      <c r="B32" s="105" t="s">
        <v>625</v>
      </c>
      <c r="C32" s="105" t="s">
        <v>305</v>
      </c>
      <c r="J32" s="231"/>
      <c r="K32" s="231"/>
      <c r="L32" s="231"/>
      <c r="M32" s="231"/>
      <c r="N32" s="231"/>
      <c r="O32" s="231"/>
      <c r="P32" s="123">
        <f t="shared" si="3"/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127">
        <f t="shared" si="4"/>
        <v>0</v>
      </c>
      <c r="AD32" s="72">
        <f t="shared" si="5"/>
        <v>0</v>
      </c>
      <c r="AE32" s="192" t="e">
        <f t="shared" si="6"/>
        <v>#DIV/0!</v>
      </c>
    </row>
    <row r="33" spans="1:31">
      <c r="A33" s="105" t="s">
        <v>434</v>
      </c>
      <c r="B33" s="105" t="s">
        <v>625</v>
      </c>
      <c r="C33" s="105" t="s">
        <v>435</v>
      </c>
      <c r="J33" s="231"/>
      <c r="K33" s="231"/>
      <c r="L33" s="231"/>
      <c r="M33" s="231"/>
      <c r="N33" s="231"/>
      <c r="O33" s="231"/>
      <c r="P33" s="123">
        <f t="shared" si="3"/>
        <v>0</v>
      </c>
      <c r="Q33" s="72">
        <v>0</v>
      </c>
      <c r="R33" s="72">
        <v>0</v>
      </c>
      <c r="S33" s="72">
        <v>0</v>
      </c>
      <c r="T33" s="72">
        <v>0</v>
      </c>
      <c r="U33" s="72">
        <v>0</v>
      </c>
      <c r="V33" s="72">
        <v>0</v>
      </c>
      <c r="W33" s="72">
        <v>0</v>
      </c>
      <c r="X33" s="72">
        <v>0</v>
      </c>
      <c r="Y33" s="72">
        <v>0</v>
      </c>
      <c r="Z33" s="72">
        <v>0</v>
      </c>
      <c r="AA33" s="72">
        <v>0</v>
      </c>
      <c r="AB33" s="72">
        <v>0</v>
      </c>
      <c r="AC33" s="127">
        <f t="shared" si="4"/>
        <v>0</v>
      </c>
      <c r="AD33" s="72">
        <f t="shared" si="5"/>
        <v>0</v>
      </c>
      <c r="AE33" s="192" t="e">
        <f t="shared" si="6"/>
        <v>#DIV/0!</v>
      </c>
    </row>
    <row r="34" spans="1:31">
      <c r="A34" s="105" t="s">
        <v>436</v>
      </c>
      <c r="B34" s="105" t="s">
        <v>625</v>
      </c>
      <c r="C34" s="105" t="s">
        <v>437</v>
      </c>
      <c r="J34" s="231"/>
      <c r="K34" s="231"/>
      <c r="L34" s="231"/>
      <c r="M34" s="231"/>
      <c r="N34" s="231"/>
      <c r="O34" s="231"/>
      <c r="P34" s="123">
        <f t="shared" si="3"/>
        <v>0</v>
      </c>
      <c r="Q34" s="72"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2">
        <v>0</v>
      </c>
      <c r="Y34" s="72">
        <v>0</v>
      </c>
      <c r="Z34" s="72">
        <v>0</v>
      </c>
      <c r="AA34" s="72">
        <v>0</v>
      </c>
      <c r="AB34" s="72">
        <v>0</v>
      </c>
      <c r="AC34" s="127">
        <f t="shared" si="4"/>
        <v>0</v>
      </c>
      <c r="AD34" s="72">
        <f t="shared" si="5"/>
        <v>0</v>
      </c>
      <c r="AE34" s="192" t="e">
        <f t="shared" si="6"/>
        <v>#DIV/0!</v>
      </c>
    </row>
    <row r="35" spans="1:31">
      <c r="A35" s="105" t="s">
        <v>199</v>
      </c>
      <c r="B35" s="105" t="s">
        <v>625</v>
      </c>
      <c r="C35" s="105" t="s">
        <v>200</v>
      </c>
      <c r="J35" s="231"/>
      <c r="K35" s="231"/>
      <c r="L35" s="231"/>
      <c r="M35" s="231"/>
      <c r="N35" s="231"/>
      <c r="O35" s="231"/>
      <c r="P35" s="123">
        <f t="shared" si="3"/>
        <v>0</v>
      </c>
      <c r="Q35" s="72">
        <v>0</v>
      </c>
      <c r="R35" s="72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127">
        <f t="shared" si="4"/>
        <v>0</v>
      </c>
      <c r="AD35" s="72">
        <f t="shared" si="5"/>
        <v>0</v>
      </c>
      <c r="AE35" s="192" t="e">
        <f t="shared" si="6"/>
        <v>#DIV/0!</v>
      </c>
    </row>
    <row r="36" spans="1:31">
      <c r="A36" s="105" t="s">
        <v>438</v>
      </c>
      <c r="B36" s="105" t="s">
        <v>625</v>
      </c>
      <c r="C36" s="105" t="s">
        <v>439</v>
      </c>
      <c r="J36" s="231"/>
      <c r="K36" s="231"/>
      <c r="L36" s="231"/>
      <c r="M36" s="231"/>
      <c r="N36" s="231"/>
      <c r="O36" s="231"/>
      <c r="P36" s="123">
        <f t="shared" si="3"/>
        <v>0</v>
      </c>
      <c r="Q36" s="72">
        <v>0</v>
      </c>
      <c r="R36" s="72">
        <v>0</v>
      </c>
      <c r="S36" s="72">
        <v>0</v>
      </c>
      <c r="T36" s="72">
        <v>0</v>
      </c>
      <c r="U36" s="72">
        <v>0</v>
      </c>
      <c r="V36" s="72">
        <v>0</v>
      </c>
      <c r="W36" s="72">
        <v>0</v>
      </c>
      <c r="X36" s="72">
        <v>0</v>
      </c>
      <c r="Y36" s="72">
        <v>0</v>
      </c>
      <c r="Z36" s="72">
        <v>0</v>
      </c>
      <c r="AA36" s="72">
        <v>0</v>
      </c>
      <c r="AB36" s="72">
        <v>0</v>
      </c>
      <c r="AC36" s="127">
        <f t="shared" si="4"/>
        <v>0</v>
      </c>
      <c r="AD36" s="72">
        <f t="shared" si="5"/>
        <v>0</v>
      </c>
      <c r="AE36" s="192" t="e">
        <f t="shared" si="6"/>
        <v>#DIV/0!</v>
      </c>
    </row>
    <row r="37" spans="1:31">
      <c r="A37" s="105" t="s">
        <v>201</v>
      </c>
      <c r="B37" s="105" t="s">
        <v>625</v>
      </c>
      <c r="C37" s="105" t="s">
        <v>202</v>
      </c>
      <c r="J37" s="231"/>
      <c r="K37" s="231"/>
      <c r="L37" s="231"/>
      <c r="M37" s="231"/>
      <c r="N37" s="231"/>
      <c r="O37" s="231"/>
      <c r="P37" s="123">
        <f t="shared" si="3"/>
        <v>0</v>
      </c>
      <c r="Q37" s="72">
        <v>0</v>
      </c>
      <c r="R37" s="72">
        <v>0</v>
      </c>
      <c r="S37" s="72">
        <v>0</v>
      </c>
      <c r="T37" s="72">
        <v>0</v>
      </c>
      <c r="U37" s="72">
        <v>0</v>
      </c>
      <c r="V37" s="72">
        <v>0</v>
      </c>
      <c r="W37" s="72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127">
        <f t="shared" si="4"/>
        <v>0</v>
      </c>
      <c r="AD37" s="72">
        <f t="shared" si="5"/>
        <v>0</v>
      </c>
      <c r="AE37" s="192" t="e">
        <f t="shared" si="6"/>
        <v>#DIV/0!</v>
      </c>
    </row>
    <row r="38" spans="1:31">
      <c r="A38" s="105" t="s">
        <v>440</v>
      </c>
      <c r="B38" s="105" t="s">
        <v>625</v>
      </c>
      <c r="C38" s="105" t="s">
        <v>441</v>
      </c>
      <c r="J38" s="231"/>
      <c r="K38" s="231"/>
      <c r="L38" s="231"/>
      <c r="M38" s="231"/>
      <c r="N38" s="231"/>
      <c r="O38" s="231"/>
      <c r="P38" s="123">
        <f t="shared" si="3"/>
        <v>0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127">
        <f t="shared" si="4"/>
        <v>0</v>
      </c>
      <c r="AD38" s="72">
        <f t="shared" si="5"/>
        <v>0</v>
      </c>
      <c r="AE38" s="192" t="e">
        <f t="shared" si="6"/>
        <v>#DIV/0!</v>
      </c>
    </row>
    <row r="39" spans="1:31">
      <c r="A39" s="105" t="s">
        <v>442</v>
      </c>
      <c r="B39" s="105" t="s">
        <v>625</v>
      </c>
      <c r="C39" s="105" t="s">
        <v>443</v>
      </c>
      <c r="J39" s="231"/>
      <c r="K39" s="231"/>
      <c r="L39" s="231"/>
      <c r="M39" s="231"/>
      <c r="N39" s="231"/>
      <c r="O39" s="231"/>
      <c r="P39" s="123">
        <f t="shared" si="3"/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127">
        <f t="shared" si="4"/>
        <v>0</v>
      </c>
      <c r="AD39" s="72">
        <f t="shared" si="5"/>
        <v>0</v>
      </c>
      <c r="AE39" s="192" t="e">
        <f t="shared" si="6"/>
        <v>#DIV/0!</v>
      </c>
    </row>
    <row r="40" spans="1:31">
      <c r="A40" s="105" t="s">
        <v>203</v>
      </c>
      <c r="B40" s="105" t="s">
        <v>625</v>
      </c>
      <c r="C40" s="105" t="s">
        <v>204</v>
      </c>
      <c r="J40" s="141"/>
      <c r="K40" s="141"/>
      <c r="L40" s="141"/>
      <c r="M40" s="141"/>
      <c r="N40" s="141"/>
      <c r="O40" s="141"/>
      <c r="P40" s="123">
        <f t="shared" si="3"/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127">
        <f t="shared" si="4"/>
        <v>0</v>
      </c>
      <c r="AD40" s="72">
        <f t="shared" si="5"/>
        <v>0</v>
      </c>
      <c r="AE40" s="192" t="e">
        <f t="shared" si="6"/>
        <v>#DIV/0!</v>
      </c>
    </row>
    <row r="41" spans="1:31">
      <c r="A41" s="105" t="s">
        <v>444</v>
      </c>
      <c r="B41" s="105" t="s">
        <v>625</v>
      </c>
      <c r="C41" s="105" t="s">
        <v>445</v>
      </c>
      <c r="J41" s="231"/>
      <c r="K41" s="231"/>
      <c r="L41" s="231"/>
      <c r="M41" s="231"/>
      <c r="N41" s="231"/>
      <c r="O41" s="231"/>
      <c r="P41" s="123">
        <f t="shared" si="3"/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127">
        <f t="shared" si="4"/>
        <v>0</v>
      </c>
      <c r="AD41" s="72">
        <f t="shared" si="5"/>
        <v>0</v>
      </c>
      <c r="AE41" s="192" t="e">
        <f t="shared" si="6"/>
        <v>#DIV/0!</v>
      </c>
    </row>
    <row r="42" spans="1:31">
      <c r="A42" s="105" t="s">
        <v>446</v>
      </c>
      <c r="B42" s="105" t="s">
        <v>625</v>
      </c>
      <c r="C42" s="105" t="s">
        <v>447</v>
      </c>
      <c r="J42" s="231"/>
      <c r="K42" s="231"/>
      <c r="L42" s="231"/>
      <c r="M42" s="231"/>
      <c r="N42" s="231"/>
      <c r="O42" s="231"/>
      <c r="P42" s="123">
        <f t="shared" si="3"/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127">
        <f t="shared" si="4"/>
        <v>0</v>
      </c>
      <c r="AD42" s="72">
        <f t="shared" si="5"/>
        <v>0</v>
      </c>
      <c r="AE42" s="192" t="e">
        <f t="shared" si="6"/>
        <v>#DIV/0!</v>
      </c>
    </row>
    <row r="43" spans="1:31">
      <c r="A43" s="105" t="s">
        <v>273</v>
      </c>
      <c r="C43" s="105" t="s">
        <v>448</v>
      </c>
      <c r="J43" s="231"/>
      <c r="K43" s="231"/>
      <c r="L43" s="231"/>
      <c r="M43" s="231"/>
      <c r="N43" s="231"/>
      <c r="O43" s="231"/>
      <c r="P43" s="123">
        <f t="shared" si="3"/>
        <v>0</v>
      </c>
      <c r="Q43" s="72">
        <v>0</v>
      </c>
      <c r="R43" s="72">
        <v>0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127">
        <f t="shared" si="4"/>
        <v>0</v>
      </c>
      <c r="AD43" s="72">
        <f t="shared" si="5"/>
        <v>0</v>
      </c>
      <c r="AE43" s="192" t="e">
        <f t="shared" si="6"/>
        <v>#DIV/0!</v>
      </c>
    </row>
    <row r="44" spans="1:31">
      <c r="A44" s="105" t="s">
        <v>207</v>
      </c>
      <c r="B44" s="105" t="s">
        <v>625</v>
      </c>
      <c r="C44" s="105" t="s">
        <v>208</v>
      </c>
      <c r="J44" s="231"/>
      <c r="K44" s="231"/>
      <c r="L44" s="231"/>
      <c r="M44" s="231"/>
      <c r="N44" s="231"/>
      <c r="O44" s="231"/>
      <c r="P44" s="123">
        <f t="shared" si="3"/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127">
        <f t="shared" si="4"/>
        <v>0</v>
      </c>
      <c r="AD44" s="72">
        <f t="shared" si="5"/>
        <v>0</v>
      </c>
      <c r="AE44" s="192" t="e">
        <f t="shared" si="6"/>
        <v>#DIV/0!</v>
      </c>
    </row>
    <row r="45" spans="1:31">
      <c r="A45" s="105" t="s">
        <v>449</v>
      </c>
      <c r="B45" s="105" t="s">
        <v>625</v>
      </c>
      <c r="C45" s="105" t="s">
        <v>450</v>
      </c>
      <c r="J45" s="231"/>
      <c r="K45" s="231"/>
      <c r="L45" s="231"/>
      <c r="M45" s="231"/>
      <c r="N45" s="231"/>
      <c r="O45" s="231"/>
      <c r="P45" s="123">
        <f t="shared" si="3"/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127">
        <f t="shared" si="4"/>
        <v>0</v>
      </c>
      <c r="AD45" s="72">
        <f t="shared" si="5"/>
        <v>0</v>
      </c>
      <c r="AE45" s="192" t="e">
        <f t="shared" si="6"/>
        <v>#DIV/0!</v>
      </c>
    </row>
    <row r="46" spans="1:31">
      <c r="A46" s="105" t="s">
        <v>273</v>
      </c>
      <c r="C46" s="105" t="s">
        <v>451</v>
      </c>
      <c r="J46" s="231"/>
      <c r="K46" s="231"/>
      <c r="L46" s="231"/>
      <c r="M46" s="231"/>
      <c r="N46" s="231"/>
      <c r="O46" s="231"/>
      <c r="P46" s="123">
        <f t="shared" si="3"/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127">
        <f t="shared" si="4"/>
        <v>0</v>
      </c>
      <c r="AD46" s="72">
        <f t="shared" si="5"/>
        <v>0</v>
      </c>
      <c r="AE46" s="192" t="e">
        <f t="shared" si="6"/>
        <v>#DIV/0!</v>
      </c>
    </row>
    <row r="47" spans="1:31">
      <c r="A47" s="105" t="s">
        <v>452</v>
      </c>
      <c r="B47" s="105" t="s">
        <v>625</v>
      </c>
      <c r="C47" s="105" t="s">
        <v>453</v>
      </c>
      <c r="J47" s="231"/>
      <c r="K47" s="231"/>
      <c r="L47" s="231"/>
      <c r="M47" s="231"/>
      <c r="N47" s="231"/>
      <c r="O47" s="231"/>
      <c r="P47" s="123">
        <f t="shared" si="3"/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127">
        <f t="shared" si="4"/>
        <v>0</v>
      </c>
      <c r="AD47" s="72">
        <f t="shared" si="5"/>
        <v>0</v>
      </c>
      <c r="AE47" s="192" t="e">
        <f t="shared" si="6"/>
        <v>#DIV/0!</v>
      </c>
    </row>
    <row r="48" spans="1:31">
      <c r="A48" s="105" t="s">
        <v>454</v>
      </c>
      <c r="B48" s="105" t="s">
        <v>625</v>
      </c>
      <c r="C48" s="105" t="s">
        <v>455</v>
      </c>
      <c r="J48" s="141"/>
      <c r="K48" s="141"/>
      <c r="L48" s="141"/>
      <c r="M48" s="141"/>
      <c r="N48" s="141"/>
      <c r="O48" s="141"/>
      <c r="P48" s="123">
        <f t="shared" si="3"/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127">
        <f t="shared" si="4"/>
        <v>0</v>
      </c>
      <c r="AD48" s="72">
        <f t="shared" si="5"/>
        <v>0</v>
      </c>
      <c r="AE48" s="192" t="e">
        <f t="shared" si="6"/>
        <v>#DIV/0!</v>
      </c>
    </row>
    <row r="49" spans="1:31">
      <c r="A49" s="105" t="s">
        <v>456</v>
      </c>
      <c r="B49" s="105" t="s">
        <v>625</v>
      </c>
      <c r="C49" s="105" t="s">
        <v>457</v>
      </c>
      <c r="J49" s="231"/>
      <c r="K49" s="231"/>
      <c r="L49" s="231"/>
      <c r="M49" s="231"/>
      <c r="N49" s="231"/>
      <c r="O49" s="231"/>
      <c r="P49" s="123">
        <f t="shared" si="3"/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127">
        <f t="shared" si="4"/>
        <v>0</v>
      </c>
      <c r="AD49" s="72">
        <f t="shared" si="5"/>
        <v>0</v>
      </c>
      <c r="AE49" s="192" t="e">
        <f t="shared" si="6"/>
        <v>#DIV/0!</v>
      </c>
    </row>
    <row r="50" spans="1:31">
      <c r="A50" s="105" t="s">
        <v>273</v>
      </c>
      <c r="C50" s="105" t="s">
        <v>458</v>
      </c>
      <c r="J50" s="231"/>
      <c r="K50" s="231"/>
      <c r="L50" s="231"/>
      <c r="M50" s="231"/>
      <c r="N50" s="231"/>
      <c r="O50" s="231"/>
      <c r="P50" s="123">
        <f t="shared" si="3"/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127">
        <f t="shared" si="4"/>
        <v>0</v>
      </c>
      <c r="AD50" s="72">
        <f t="shared" si="5"/>
        <v>0</v>
      </c>
      <c r="AE50" s="192" t="e">
        <f t="shared" si="6"/>
        <v>#DIV/0!</v>
      </c>
    </row>
    <row r="51" spans="1:31">
      <c r="A51" s="105" t="s">
        <v>209</v>
      </c>
      <c r="B51" s="105" t="s">
        <v>625</v>
      </c>
      <c r="C51" s="105" t="s">
        <v>210</v>
      </c>
      <c r="J51" s="231"/>
      <c r="K51" s="231"/>
      <c r="L51" s="231"/>
      <c r="M51" s="231"/>
      <c r="N51" s="231"/>
      <c r="O51" s="231"/>
      <c r="P51" s="123">
        <f t="shared" si="3"/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127">
        <f t="shared" si="4"/>
        <v>0</v>
      </c>
      <c r="AD51" s="72">
        <f t="shared" si="5"/>
        <v>0</v>
      </c>
      <c r="AE51" s="192" t="e">
        <f t="shared" si="6"/>
        <v>#DIV/0!</v>
      </c>
    </row>
    <row r="52" spans="1:31">
      <c r="A52" s="105" t="s">
        <v>211</v>
      </c>
      <c r="B52" s="105" t="s">
        <v>625</v>
      </c>
      <c r="C52" s="105" t="s">
        <v>212</v>
      </c>
      <c r="J52" s="231"/>
      <c r="K52" s="231"/>
      <c r="L52" s="231"/>
      <c r="M52" s="231"/>
      <c r="N52" s="231"/>
      <c r="O52" s="231"/>
      <c r="P52" s="123">
        <f t="shared" si="3"/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127">
        <f t="shared" si="4"/>
        <v>0</v>
      </c>
      <c r="AD52" s="72">
        <f t="shared" si="5"/>
        <v>0</v>
      </c>
      <c r="AE52" s="192" t="e">
        <f t="shared" si="6"/>
        <v>#DIV/0!</v>
      </c>
    </row>
    <row r="53" spans="1:31">
      <c r="A53" s="105" t="s">
        <v>213</v>
      </c>
      <c r="B53" s="105" t="s">
        <v>625</v>
      </c>
      <c r="C53" s="105" t="s">
        <v>214</v>
      </c>
      <c r="J53" s="231"/>
      <c r="K53" s="231"/>
      <c r="L53" s="231"/>
      <c r="M53" s="231"/>
      <c r="N53" s="231"/>
      <c r="O53" s="231"/>
      <c r="P53" s="123">
        <f t="shared" si="3"/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127">
        <f t="shared" si="4"/>
        <v>0</v>
      </c>
      <c r="AD53" s="72">
        <f t="shared" si="5"/>
        <v>0</v>
      </c>
      <c r="AE53" s="192" t="e">
        <f t="shared" si="6"/>
        <v>#DIV/0!</v>
      </c>
    </row>
    <row r="54" spans="1:31">
      <c r="A54" s="105" t="s">
        <v>306</v>
      </c>
      <c r="B54" s="105" t="s">
        <v>625</v>
      </c>
      <c r="C54" s="105" t="s">
        <v>206</v>
      </c>
      <c r="J54" s="231"/>
      <c r="K54" s="231"/>
      <c r="L54" s="231"/>
      <c r="M54" s="231"/>
      <c r="N54" s="231"/>
      <c r="O54" s="231"/>
      <c r="P54" s="123">
        <f t="shared" si="3"/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127">
        <f t="shared" si="4"/>
        <v>0</v>
      </c>
      <c r="AD54" s="72">
        <f t="shared" si="5"/>
        <v>0</v>
      </c>
      <c r="AE54" s="192" t="e">
        <f t="shared" si="6"/>
        <v>#DIV/0!</v>
      </c>
    </row>
    <row r="55" spans="1:31">
      <c r="A55" s="105" t="s">
        <v>215</v>
      </c>
      <c r="B55" s="105" t="s">
        <v>625</v>
      </c>
      <c r="C55" s="105" t="s">
        <v>216</v>
      </c>
      <c r="J55" s="231"/>
      <c r="K55" s="231"/>
      <c r="L55" s="231"/>
      <c r="M55" s="231"/>
      <c r="N55" s="231"/>
      <c r="O55" s="231"/>
      <c r="P55" s="123">
        <f t="shared" si="3"/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127">
        <f t="shared" si="4"/>
        <v>0</v>
      </c>
      <c r="AD55" s="72">
        <f t="shared" si="5"/>
        <v>0</v>
      </c>
      <c r="AE55" s="192" t="e">
        <f t="shared" si="6"/>
        <v>#DIV/0!</v>
      </c>
    </row>
    <row r="56" spans="1:31">
      <c r="A56" s="105" t="s">
        <v>217</v>
      </c>
      <c r="B56" s="105" t="s">
        <v>625</v>
      </c>
      <c r="C56" s="105" t="s">
        <v>218</v>
      </c>
      <c r="J56" s="231"/>
      <c r="K56" s="231"/>
      <c r="L56" s="231"/>
      <c r="M56" s="231"/>
      <c r="N56" s="231"/>
      <c r="O56" s="231"/>
      <c r="P56" s="123">
        <f t="shared" si="3"/>
        <v>0</v>
      </c>
      <c r="Q56" s="72"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127">
        <f t="shared" si="4"/>
        <v>0</v>
      </c>
      <c r="AD56" s="72">
        <f t="shared" si="5"/>
        <v>0</v>
      </c>
      <c r="AE56" s="192" t="e">
        <f t="shared" si="6"/>
        <v>#DIV/0!</v>
      </c>
    </row>
    <row r="57" spans="1:31">
      <c r="A57" s="105" t="s">
        <v>219</v>
      </c>
      <c r="B57" s="105" t="s">
        <v>625</v>
      </c>
      <c r="C57" s="105" t="s">
        <v>220</v>
      </c>
      <c r="J57" s="231"/>
      <c r="K57" s="231"/>
      <c r="L57" s="231"/>
      <c r="M57" s="231"/>
      <c r="N57" s="231"/>
      <c r="O57" s="231"/>
      <c r="P57" s="123">
        <f t="shared" si="3"/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127">
        <f t="shared" si="4"/>
        <v>0</v>
      </c>
      <c r="AD57" s="72">
        <f t="shared" si="5"/>
        <v>0</v>
      </c>
      <c r="AE57" s="192" t="e">
        <f t="shared" si="6"/>
        <v>#DIV/0!</v>
      </c>
    </row>
    <row r="58" spans="1:31">
      <c r="A58" s="105" t="s">
        <v>619</v>
      </c>
      <c r="C58" s="105" t="s">
        <v>459</v>
      </c>
      <c r="J58" s="231"/>
      <c r="K58" s="231"/>
      <c r="L58" s="231"/>
      <c r="M58" s="231"/>
      <c r="N58" s="231"/>
      <c r="O58" s="231"/>
      <c r="P58" s="123">
        <f t="shared" si="3"/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127">
        <f t="shared" si="4"/>
        <v>0</v>
      </c>
      <c r="AD58" s="72">
        <f t="shared" si="5"/>
        <v>0</v>
      </c>
      <c r="AE58" s="192" t="e">
        <f t="shared" si="6"/>
        <v>#DIV/0!</v>
      </c>
    </row>
    <row r="59" spans="1:31">
      <c r="A59" s="105" t="s">
        <v>221</v>
      </c>
      <c r="B59" s="105" t="s">
        <v>625</v>
      </c>
      <c r="C59" s="105" t="s">
        <v>222</v>
      </c>
      <c r="J59" s="231"/>
      <c r="K59" s="231"/>
      <c r="L59" s="231"/>
      <c r="M59" s="231"/>
      <c r="N59" s="231"/>
      <c r="O59" s="231"/>
      <c r="P59" s="123">
        <f t="shared" si="3"/>
        <v>0</v>
      </c>
      <c r="Q59" s="72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127">
        <f t="shared" si="4"/>
        <v>0</v>
      </c>
      <c r="AD59" s="72">
        <f t="shared" si="5"/>
        <v>0</v>
      </c>
      <c r="AE59" s="192" t="e">
        <f t="shared" si="6"/>
        <v>#DIV/0!</v>
      </c>
    </row>
    <row r="60" spans="1:31">
      <c r="A60" s="105" t="s">
        <v>505</v>
      </c>
      <c r="B60" s="105" t="s">
        <v>625</v>
      </c>
      <c r="C60" s="105" t="s">
        <v>506</v>
      </c>
      <c r="J60" s="7"/>
      <c r="K60" s="7"/>
      <c r="L60" s="7"/>
      <c r="M60" s="7"/>
      <c r="N60" s="7"/>
      <c r="O60" s="7"/>
      <c r="P60" s="72">
        <f>SUM(D60:O60)</f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127">
        <f t="shared" si="4"/>
        <v>0</v>
      </c>
      <c r="AD60" s="72">
        <f t="shared" si="5"/>
        <v>0</v>
      </c>
      <c r="AE60" s="192" t="e">
        <f t="shared" si="6"/>
        <v>#DIV/0!</v>
      </c>
    </row>
    <row r="61" spans="1:31">
      <c r="C61" s="109" t="s">
        <v>507</v>
      </c>
      <c r="D61" s="127">
        <f t="shared" ref="D61:O61" si="7">SUM(D19:D60)</f>
        <v>0</v>
      </c>
      <c r="E61" s="127">
        <f t="shared" si="7"/>
        <v>0</v>
      </c>
      <c r="F61" s="127">
        <f t="shared" si="7"/>
        <v>0</v>
      </c>
      <c r="G61" s="127">
        <f t="shared" si="7"/>
        <v>0</v>
      </c>
      <c r="H61" s="127">
        <f t="shared" si="7"/>
        <v>0</v>
      </c>
      <c r="I61" s="127">
        <f t="shared" si="7"/>
        <v>0</v>
      </c>
      <c r="J61" s="127">
        <f t="shared" si="7"/>
        <v>0</v>
      </c>
      <c r="K61" s="127">
        <f t="shared" si="7"/>
        <v>0</v>
      </c>
      <c r="L61" s="127">
        <f t="shared" si="7"/>
        <v>0</v>
      </c>
      <c r="M61" s="127">
        <f t="shared" si="7"/>
        <v>0</v>
      </c>
      <c r="N61" s="127">
        <f t="shared" si="7"/>
        <v>0</v>
      </c>
      <c r="O61" s="127">
        <f t="shared" si="7"/>
        <v>0</v>
      </c>
      <c r="P61" s="127">
        <f>SUM(P19:P60)</f>
        <v>0</v>
      </c>
      <c r="Q61" s="127">
        <f t="shared" ref="Q61:AB61" si="8">SUM(Q19:Q60)</f>
        <v>0</v>
      </c>
      <c r="R61" s="127">
        <f t="shared" si="8"/>
        <v>0</v>
      </c>
      <c r="S61" s="127">
        <f t="shared" si="8"/>
        <v>0</v>
      </c>
      <c r="T61" s="127">
        <f t="shared" si="8"/>
        <v>0</v>
      </c>
      <c r="U61" s="127">
        <f t="shared" si="8"/>
        <v>0</v>
      </c>
      <c r="V61" s="127">
        <f t="shared" si="8"/>
        <v>0</v>
      </c>
      <c r="W61" s="127">
        <f t="shared" si="8"/>
        <v>0</v>
      </c>
      <c r="X61" s="127">
        <f t="shared" si="8"/>
        <v>0</v>
      </c>
      <c r="Y61" s="127">
        <f t="shared" si="8"/>
        <v>0</v>
      </c>
      <c r="Z61" s="127">
        <f t="shared" si="8"/>
        <v>0</v>
      </c>
      <c r="AA61" s="127">
        <f t="shared" si="8"/>
        <v>0</v>
      </c>
      <c r="AB61" s="127">
        <f t="shared" si="8"/>
        <v>0</v>
      </c>
      <c r="AC61" s="127">
        <f t="shared" si="4"/>
        <v>0</v>
      </c>
      <c r="AD61" s="72">
        <f t="shared" si="5"/>
        <v>0</v>
      </c>
      <c r="AE61" s="192" t="e">
        <f t="shared" si="6"/>
        <v>#DIV/0!</v>
      </c>
    </row>
    <row r="62" spans="1:31">
      <c r="C62" s="109" t="s">
        <v>508</v>
      </c>
      <c r="D62" s="127">
        <f t="shared" ref="D62:AC62" si="9">D10-D14-D16-D61</f>
        <v>0</v>
      </c>
      <c r="E62" s="127">
        <f t="shared" si="9"/>
        <v>0</v>
      </c>
      <c r="F62" s="127">
        <f t="shared" si="9"/>
        <v>0</v>
      </c>
      <c r="G62" s="127">
        <f t="shared" si="9"/>
        <v>0</v>
      </c>
      <c r="H62" s="127">
        <f t="shared" si="9"/>
        <v>0</v>
      </c>
      <c r="I62" s="127">
        <f t="shared" si="9"/>
        <v>0</v>
      </c>
      <c r="J62" s="127">
        <f t="shared" si="9"/>
        <v>0</v>
      </c>
      <c r="K62" s="127">
        <f t="shared" si="9"/>
        <v>0</v>
      </c>
      <c r="L62" s="127">
        <f t="shared" si="9"/>
        <v>0</v>
      </c>
      <c r="M62" s="127">
        <f t="shared" si="9"/>
        <v>0</v>
      </c>
      <c r="N62" s="127">
        <f t="shared" si="9"/>
        <v>0</v>
      </c>
      <c r="O62" s="127">
        <f t="shared" si="9"/>
        <v>0</v>
      </c>
      <c r="P62" s="127">
        <f t="shared" si="9"/>
        <v>0</v>
      </c>
      <c r="Q62" s="127">
        <f t="shared" si="9"/>
        <v>0</v>
      </c>
      <c r="R62" s="127">
        <f t="shared" si="9"/>
        <v>0</v>
      </c>
      <c r="S62" s="127">
        <f t="shared" si="9"/>
        <v>0</v>
      </c>
      <c r="T62" s="127">
        <f t="shared" si="9"/>
        <v>0</v>
      </c>
      <c r="U62" s="127">
        <f t="shared" si="9"/>
        <v>0</v>
      </c>
      <c r="V62" s="127">
        <f t="shared" si="9"/>
        <v>0</v>
      </c>
      <c r="W62" s="127">
        <f t="shared" si="9"/>
        <v>0</v>
      </c>
      <c r="X62" s="127">
        <f t="shared" si="9"/>
        <v>0</v>
      </c>
      <c r="Y62" s="127">
        <f t="shared" si="9"/>
        <v>0</v>
      </c>
      <c r="Z62" s="127">
        <f t="shared" si="9"/>
        <v>0</v>
      </c>
      <c r="AA62" s="127">
        <f t="shared" si="9"/>
        <v>0</v>
      </c>
      <c r="AB62" s="127">
        <f t="shared" si="9"/>
        <v>0</v>
      </c>
      <c r="AC62" s="127">
        <f t="shared" si="9"/>
        <v>0</v>
      </c>
      <c r="AD62" s="72">
        <f>P62-AC62</f>
        <v>0</v>
      </c>
      <c r="AE62" s="192" t="e">
        <f t="shared" si="6"/>
        <v>#DIV/0!</v>
      </c>
    </row>
    <row r="63" spans="1:31">
      <c r="C63" s="109" t="s">
        <v>509</v>
      </c>
      <c r="D63" s="241" t="e">
        <f t="shared" ref="D63:AC63" si="10">D62/D10</f>
        <v>#DIV/0!</v>
      </c>
      <c r="E63" s="241" t="e">
        <f t="shared" si="10"/>
        <v>#DIV/0!</v>
      </c>
      <c r="F63" s="241" t="e">
        <f t="shared" si="10"/>
        <v>#DIV/0!</v>
      </c>
      <c r="G63" s="241" t="e">
        <f t="shared" si="10"/>
        <v>#DIV/0!</v>
      </c>
      <c r="H63" s="241" t="e">
        <f t="shared" si="10"/>
        <v>#DIV/0!</v>
      </c>
      <c r="I63" s="241" t="e">
        <f t="shared" si="10"/>
        <v>#DIV/0!</v>
      </c>
      <c r="J63" s="241" t="e">
        <f t="shared" si="10"/>
        <v>#DIV/0!</v>
      </c>
      <c r="K63" s="241" t="e">
        <f t="shared" si="10"/>
        <v>#DIV/0!</v>
      </c>
      <c r="L63" s="241" t="e">
        <f t="shared" si="10"/>
        <v>#DIV/0!</v>
      </c>
      <c r="M63" s="241" t="e">
        <f t="shared" si="10"/>
        <v>#DIV/0!</v>
      </c>
      <c r="N63" s="241" t="e">
        <f t="shared" si="10"/>
        <v>#DIV/0!</v>
      </c>
      <c r="O63" s="241" t="e">
        <f t="shared" si="10"/>
        <v>#DIV/0!</v>
      </c>
      <c r="P63" s="241" t="e">
        <f t="shared" si="10"/>
        <v>#DIV/0!</v>
      </c>
      <c r="Q63" s="241" t="e">
        <f t="shared" si="10"/>
        <v>#DIV/0!</v>
      </c>
      <c r="R63" s="241" t="e">
        <f t="shared" si="10"/>
        <v>#DIV/0!</v>
      </c>
      <c r="S63" s="241" t="e">
        <f t="shared" si="10"/>
        <v>#DIV/0!</v>
      </c>
      <c r="T63" s="241" t="e">
        <f t="shared" si="10"/>
        <v>#DIV/0!</v>
      </c>
      <c r="U63" s="241" t="e">
        <f t="shared" si="10"/>
        <v>#DIV/0!</v>
      </c>
      <c r="V63" s="241" t="e">
        <f t="shared" si="10"/>
        <v>#DIV/0!</v>
      </c>
      <c r="W63" s="241" t="e">
        <f t="shared" si="10"/>
        <v>#DIV/0!</v>
      </c>
      <c r="X63" s="241" t="e">
        <f t="shared" si="10"/>
        <v>#DIV/0!</v>
      </c>
      <c r="Y63" s="241" t="e">
        <f t="shared" si="10"/>
        <v>#DIV/0!</v>
      </c>
      <c r="Z63" s="241" t="e">
        <f t="shared" si="10"/>
        <v>#DIV/0!</v>
      </c>
      <c r="AA63" s="241" t="e">
        <f t="shared" si="10"/>
        <v>#DIV/0!</v>
      </c>
      <c r="AB63" s="241" t="e">
        <f t="shared" si="10"/>
        <v>#DIV/0!</v>
      </c>
      <c r="AC63" s="241" t="e">
        <f t="shared" si="10"/>
        <v>#DIV/0!</v>
      </c>
      <c r="AD63" s="72">
        <v>0</v>
      </c>
      <c r="AE63" s="105">
        <v>0</v>
      </c>
    </row>
    <row r="64" spans="1:31">
      <c r="C64" s="105" t="s">
        <v>154</v>
      </c>
    </row>
    <row r="65" spans="1:31">
      <c r="C65" s="109" t="s">
        <v>460</v>
      </c>
    </row>
    <row r="66" spans="1:31">
      <c r="A66" s="105" t="s">
        <v>510</v>
      </c>
      <c r="B66" s="105" t="s">
        <v>625</v>
      </c>
      <c r="C66" s="105" t="s">
        <v>481</v>
      </c>
      <c r="P66" s="72">
        <f>SUM(D66:O66)</f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127">
        <f>SUM(Q66:AB66)</f>
        <v>0</v>
      </c>
      <c r="AD66" s="72">
        <f t="shared" ref="AD66:AD71" si="11">P66-AC66</f>
        <v>0</v>
      </c>
      <c r="AE66" s="192" t="e">
        <f t="shared" ref="AE66:AE71" si="12">AD66/AC66</f>
        <v>#DIV/0!</v>
      </c>
    </row>
    <row r="67" spans="1:31">
      <c r="A67" s="105" t="s">
        <v>511</v>
      </c>
      <c r="B67" s="105" t="s">
        <v>625</v>
      </c>
      <c r="C67" s="105" t="s">
        <v>483</v>
      </c>
      <c r="P67" s="72">
        <f>SUM(D67:O67)</f>
        <v>0</v>
      </c>
      <c r="Q67" s="72">
        <v>0</v>
      </c>
      <c r="R67" s="72">
        <v>0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127">
        <f>SUM(Q67:AB67)</f>
        <v>0</v>
      </c>
      <c r="AD67" s="72">
        <f t="shared" si="11"/>
        <v>0</v>
      </c>
      <c r="AE67" s="192" t="e">
        <f t="shared" si="12"/>
        <v>#DIV/0!</v>
      </c>
    </row>
    <row r="68" spans="1:31">
      <c r="A68" s="105" t="s">
        <v>512</v>
      </c>
      <c r="B68" s="105" t="s">
        <v>625</v>
      </c>
      <c r="C68" s="105" t="s">
        <v>485</v>
      </c>
      <c r="P68" s="72">
        <f>SUM(D68:O68)</f>
        <v>0</v>
      </c>
      <c r="Q68" s="72"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127">
        <f>SUM(Q68:AB68)</f>
        <v>0</v>
      </c>
      <c r="AD68" s="72">
        <f t="shared" si="11"/>
        <v>0</v>
      </c>
      <c r="AE68" s="192" t="e">
        <f t="shared" si="12"/>
        <v>#DIV/0!</v>
      </c>
    </row>
    <row r="69" spans="1:31">
      <c r="A69" s="105" t="s">
        <v>513</v>
      </c>
      <c r="B69" s="105" t="s">
        <v>625</v>
      </c>
      <c r="C69" s="105" t="s">
        <v>487</v>
      </c>
      <c r="P69" s="72">
        <f>SUM(D69:O69)</f>
        <v>0</v>
      </c>
      <c r="Q69" s="72">
        <v>0</v>
      </c>
      <c r="R69" s="72">
        <v>0</v>
      </c>
      <c r="S69" s="72">
        <v>0</v>
      </c>
      <c r="T69" s="72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127">
        <f>SUM(Q69:AB69)</f>
        <v>0</v>
      </c>
      <c r="AD69" s="72">
        <f t="shared" si="11"/>
        <v>0</v>
      </c>
      <c r="AE69" s="192" t="e">
        <f t="shared" si="12"/>
        <v>#DIV/0!</v>
      </c>
    </row>
    <row r="70" spans="1:31">
      <c r="A70" s="105" t="s">
        <v>514</v>
      </c>
      <c r="B70" s="105" t="s">
        <v>625</v>
      </c>
      <c r="C70" s="105" t="s">
        <v>489</v>
      </c>
      <c r="P70" s="72">
        <f>SUM(D70:O70)</f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127">
        <f>SUM(Q70:AB70)</f>
        <v>0</v>
      </c>
      <c r="AD70" s="72">
        <f t="shared" si="11"/>
        <v>0</v>
      </c>
      <c r="AE70" s="192" t="e">
        <f t="shared" si="12"/>
        <v>#DIV/0!</v>
      </c>
    </row>
    <row r="71" spans="1:31">
      <c r="C71" s="109" t="s">
        <v>462</v>
      </c>
      <c r="D71" s="127">
        <f t="shared" ref="D71:AC71" si="13">SUM(D66:D70)</f>
        <v>0</v>
      </c>
      <c r="E71" s="127">
        <f t="shared" si="13"/>
        <v>0</v>
      </c>
      <c r="F71" s="127">
        <f t="shared" si="13"/>
        <v>0</v>
      </c>
      <c r="G71" s="127">
        <f t="shared" si="13"/>
        <v>0</v>
      </c>
      <c r="H71" s="127">
        <f t="shared" si="13"/>
        <v>0</v>
      </c>
      <c r="I71" s="127">
        <f t="shared" si="13"/>
        <v>0</v>
      </c>
      <c r="J71" s="127">
        <f t="shared" si="13"/>
        <v>0</v>
      </c>
      <c r="K71" s="127">
        <f t="shared" si="13"/>
        <v>0</v>
      </c>
      <c r="L71" s="127">
        <f t="shared" si="13"/>
        <v>0</v>
      </c>
      <c r="M71" s="127">
        <f t="shared" si="13"/>
        <v>0</v>
      </c>
      <c r="N71" s="127">
        <f t="shared" si="13"/>
        <v>0</v>
      </c>
      <c r="O71" s="127">
        <f t="shared" si="13"/>
        <v>0</v>
      </c>
      <c r="P71" s="127">
        <f t="shared" si="13"/>
        <v>0</v>
      </c>
      <c r="Q71" s="127">
        <f t="shared" si="13"/>
        <v>0</v>
      </c>
      <c r="R71" s="127">
        <f t="shared" si="13"/>
        <v>0</v>
      </c>
      <c r="S71" s="127">
        <f t="shared" si="13"/>
        <v>0</v>
      </c>
      <c r="T71" s="127">
        <f t="shared" si="13"/>
        <v>0</v>
      </c>
      <c r="U71" s="127">
        <f t="shared" si="13"/>
        <v>0</v>
      </c>
      <c r="V71" s="127">
        <f t="shared" si="13"/>
        <v>0</v>
      </c>
      <c r="W71" s="127">
        <f t="shared" si="13"/>
        <v>0</v>
      </c>
      <c r="X71" s="127">
        <f t="shared" si="13"/>
        <v>0</v>
      </c>
      <c r="Y71" s="127">
        <f t="shared" si="13"/>
        <v>0</v>
      </c>
      <c r="Z71" s="127">
        <f t="shared" si="13"/>
        <v>0</v>
      </c>
      <c r="AA71" s="127">
        <f t="shared" si="13"/>
        <v>0</v>
      </c>
      <c r="AB71" s="127">
        <f t="shared" si="13"/>
        <v>0</v>
      </c>
      <c r="AC71" s="127">
        <f t="shared" si="13"/>
        <v>0</v>
      </c>
      <c r="AD71" s="72">
        <f t="shared" si="11"/>
        <v>0</v>
      </c>
      <c r="AE71" s="192" t="e">
        <f t="shared" si="12"/>
        <v>#DIV/0!</v>
      </c>
    </row>
    <row r="72" spans="1:31">
      <c r="C72" s="105" t="s">
        <v>154</v>
      </c>
    </row>
    <row r="73" spans="1:31">
      <c r="C73" s="109" t="s">
        <v>515</v>
      </c>
    </row>
    <row r="74" spans="1:31">
      <c r="C74" s="105" t="s">
        <v>481</v>
      </c>
      <c r="D74" s="72" t="e">
        <f>#REF!/D66</f>
        <v>#REF!</v>
      </c>
      <c r="E74" s="72" t="e">
        <f>#REF!/E66</f>
        <v>#REF!</v>
      </c>
      <c r="F74" s="72" t="e">
        <f>#REF!/F66</f>
        <v>#REF!</v>
      </c>
      <c r="G74" s="72" t="e">
        <f>#REF!/G66</f>
        <v>#REF!</v>
      </c>
      <c r="H74" s="72" t="e">
        <f>#REF!/H66</f>
        <v>#REF!</v>
      </c>
      <c r="I74" s="72" t="e">
        <f>#REF!/I66</f>
        <v>#REF!</v>
      </c>
      <c r="J74" s="72" t="e">
        <f>#REF!/J66</f>
        <v>#REF!</v>
      </c>
      <c r="K74" s="72" t="e">
        <f>#REF!/K66</f>
        <v>#REF!</v>
      </c>
      <c r="L74" s="72" t="e">
        <f>#REF!/L66</f>
        <v>#REF!</v>
      </c>
      <c r="M74" s="72" t="e">
        <f>#REF!/M66</f>
        <v>#REF!</v>
      </c>
      <c r="N74" s="72" t="e">
        <f>#REF!/N66</f>
        <v>#REF!</v>
      </c>
      <c r="O74" s="72" t="e">
        <f>#REF!/O66</f>
        <v>#REF!</v>
      </c>
      <c r="P74" s="72" t="e">
        <f>#REF!/P66</f>
        <v>#REF!</v>
      </c>
      <c r="Q74" s="72" t="e">
        <f>#REF!/Q66</f>
        <v>#REF!</v>
      </c>
      <c r="R74" s="72" t="e">
        <f>#REF!/R66</f>
        <v>#REF!</v>
      </c>
      <c r="S74" s="72" t="e">
        <f>#REF!/S66</f>
        <v>#REF!</v>
      </c>
      <c r="T74" s="72" t="e">
        <f>#REF!/T66</f>
        <v>#REF!</v>
      </c>
      <c r="U74" s="72" t="e">
        <f>#REF!/U66</f>
        <v>#REF!</v>
      </c>
      <c r="V74" s="72" t="e">
        <f>#REF!/V66</f>
        <v>#REF!</v>
      </c>
      <c r="W74" s="72" t="e">
        <v>#REF!</v>
      </c>
      <c r="X74" s="72" t="e">
        <v>#REF!</v>
      </c>
      <c r="Y74" s="72" t="e">
        <v>#REF!</v>
      </c>
      <c r="Z74" s="72" t="e">
        <v>#REF!</v>
      </c>
      <c r="AA74" s="72" t="e">
        <v>#REF!</v>
      </c>
      <c r="AB74" s="72" t="e">
        <v>#REF!</v>
      </c>
      <c r="AC74" s="127" t="e">
        <f>#REF!/AC66</f>
        <v>#REF!</v>
      </c>
      <c r="AD74" s="72" t="e">
        <f t="shared" ref="AD74:AD79" si="14">P74-AC74</f>
        <v>#REF!</v>
      </c>
      <c r="AE74" s="192" t="e">
        <f t="shared" ref="AE74:AE79" si="15">AD74/AC74</f>
        <v>#REF!</v>
      </c>
    </row>
    <row r="75" spans="1:31">
      <c r="C75" s="105" t="s">
        <v>483</v>
      </c>
      <c r="D75" s="72" t="e">
        <f>#REF!/D67</f>
        <v>#REF!</v>
      </c>
      <c r="E75" s="72" t="e">
        <f>#REF!/E67</f>
        <v>#REF!</v>
      </c>
      <c r="F75" s="72" t="e">
        <f>#REF!/F67</f>
        <v>#REF!</v>
      </c>
      <c r="G75" s="72" t="e">
        <f>#REF!/G67</f>
        <v>#REF!</v>
      </c>
      <c r="H75" s="72" t="e">
        <f>#REF!/H67</f>
        <v>#REF!</v>
      </c>
      <c r="I75" s="72" t="e">
        <f>#REF!/I67</f>
        <v>#REF!</v>
      </c>
      <c r="J75" s="72" t="e">
        <f>#REF!/J67</f>
        <v>#REF!</v>
      </c>
      <c r="K75" s="72" t="e">
        <f>#REF!/K67</f>
        <v>#REF!</v>
      </c>
      <c r="L75" s="72" t="e">
        <f>#REF!/L67</f>
        <v>#REF!</v>
      </c>
      <c r="M75" s="72" t="e">
        <f>#REF!/M67</f>
        <v>#REF!</v>
      </c>
      <c r="N75" s="72" t="e">
        <f>#REF!/N67</f>
        <v>#REF!</v>
      </c>
      <c r="O75" s="72" t="e">
        <f>#REF!/O67</f>
        <v>#REF!</v>
      </c>
      <c r="P75" s="72" t="e">
        <f>#REF!/P67</f>
        <v>#REF!</v>
      </c>
      <c r="Q75" s="72" t="e">
        <f>#REF!/Q67</f>
        <v>#REF!</v>
      </c>
      <c r="R75" s="72" t="e">
        <f>#REF!/R67</f>
        <v>#REF!</v>
      </c>
      <c r="S75" s="72" t="e">
        <f>#REF!/S67</f>
        <v>#REF!</v>
      </c>
      <c r="T75" s="72" t="e">
        <f>#REF!/T67</f>
        <v>#REF!</v>
      </c>
      <c r="U75" s="72" t="e">
        <f>#REF!/U67</f>
        <v>#REF!</v>
      </c>
      <c r="V75" s="72" t="e">
        <f>#REF!/V67</f>
        <v>#REF!</v>
      </c>
      <c r="W75" s="72" t="e">
        <v>#REF!</v>
      </c>
      <c r="X75" s="72" t="e">
        <v>#REF!</v>
      </c>
      <c r="Y75" s="72" t="e">
        <v>#REF!</v>
      </c>
      <c r="Z75" s="72" t="e">
        <v>#REF!</v>
      </c>
      <c r="AA75" s="72" t="e">
        <v>#REF!</v>
      </c>
      <c r="AB75" s="72" t="e">
        <v>#REF!</v>
      </c>
      <c r="AC75" s="127" t="e">
        <f>#REF!/AC67</f>
        <v>#REF!</v>
      </c>
      <c r="AD75" s="72" t="e">
        <f t="shared" si="14"/>
        <v>#REF!</v>
      </c>
      <c r="AE75" s="192" t="e">
        <f t="shared" si="15"/>
        <v>#REF!</v>
      </c>
    </row>
    <row r="76" spans="1:31">
      <c r="C76" s="105" t="s">
        <v>485</v>
      </c>
      <c r="D76" s="72" t="e">
        <f>#REF!/D68</f>
        <v>#REF!</v>
      </c>
      <c r="E76" s="72" t="e">
        <f>#REF!/E68</f>
        <v>#REF!</v>
      </c>
      <c r="F76" s="72" t="e">
        <f>#REF!/F68</f>
        <v>#REF!</v>
      </c>
      <c r="G76" s="72" t="e">
        <f>#REF!/G68</f>
        <v>#REF!</v>
      </c>
      <c r="H76" s="72" t="e">
        <f>#REF!/H68</f>
        <v>#REF!</v>
      </c>
      <c r="I76" s="72" t="e">
        <f>#REF!/I68</f>
        <v>#REF!</v>
      </c>
      <c r="J76" s="72" t="e">
        <f>#REF!/J68</f>
        <v>#REF!</v>
      </c>
      <c r="K76" s="72" t="e">
        <f>#REF!/K68</f>
        <v>#REF!</v>
      </c>
      <c r="L76" s="72" t="e">
        <f>#REF!/L68</f>
        <v>#REF!</v>
      </c>
      <c r="M76" s="72" t="e">
        <f>#REF!/M68</f>
        <v>#REF!</v>
      </c>
      <c r="N76" s="72" t="e">
        <f>#REF!/N68</f>
        <v>#REF!</v>
      </c>
      <c r="O76" s="72" t="e">
        <f>#REF!/O68</f>
        <v>#REF!</v>
      </c>
      <c r="P76" s="72" t="e">
        <f>#REF!/P68</f>
        <v>#REF!</v>
      </c>
      <c r="Q76" s="72" t="e">
        <f>#REF!/Q68</f>
        <v>#REF!</v>
      </c>
      <c r="R76" s="72" t="e">
        <f>#REF!/R68</f>
        <v>#REF!</v>
      </c>
      <c r="S76" s="72" t="e">
        <f>#REF!/S68</f>
        <v>#REF!</v>
      </c>
      <c r="T76" s="72" t="e">
        <f>#REF!/T68</f>
        <v>#REF!</v>
      </c>
      <c r="U76" s="72" t="e">
        <f>#REF!/U68</f>
        <v>#REF!</v>
      </c>
      <c r="V76" s="72" t="e">
        <f>#REF!/V68</f>
        <v>#REF!</v>
      </c>
      <c r="W76" s="72" t="e">
        <v>#REF!</v>
      </c>
      <c r="X76" s="72" t="e">
        <v>#REF!</v>
      </c>
      <c r="Y76" s="72" t="e">
        <v>#REF!</v>
      </c>
      <c r="Z76" s="72" t="e">
        <v>#REF!</v>
      </c>
      <c r="AA76" s="72" t="e">
        <v>#REF!</v>
      </c>
      <c r="AB76" s="72" t="e">
        <v>#REF!</v>
      </c>
      <c r="AC76" s="127" t="e">
        <f>#REF!/AC68</f>
        <v>#REF!</v>
      </c>
      <c r="AD76" s="72" t="e">
        <f t="shared" si="14"/>
        <v>#REF!</v>
      </c>
      <c r="AE76" s="192" t="e">
        <f t="shared" si="15"/>
        <v>#REF!</v>
      </c>
    </row>
    <row r="77" spans="1:31">
      <c r="C77" s="105" t="s">
        <v>487</v>
      </c>
      <c r="D77" s="72" t="e">
        <f>#REF!/D69</f>
        <v>#REF!</v>
      </c>
      <c r="E77" s="72" t="e">
        <f>#REF!/E69</f>
        <v>#REF!</v>
      </c>
      <c r="F77" s="72" t="e">
        <f>#REF!/F69</f>
        <v>#REF!</v>
      </c>
      <c r="G77" s="72" t="e">
        <f>#REF!/G69</f>
        <v>#REF!</v>
      </c>
      <c r="H77" s="72" t="e">
        <f>#REF!/H69</f>
        <v>#REF!</v>
      </c>
      <c r="I77" s="72" t="e">
        <f>#REF!/I69</f>
        <v>#REF!</v>
      </c>
      <c r="J77" s="72" t="e">
        <f>#REF!/J69</f>
        <v>#REF!</v>
      </c>
      <c r="K77" s="72" t="e">
        <f>#REF!/K69</f>
        <v>#REF!</v>
      </c>
      <c r="L77" s="72" t="e">
        <f>#REF!/L69</f>
        <v>#REF!</v>
      </c>
      <c r="M77" s="72" t="e">
        <f>#REF!/M69</f>
        <v>#REF!</v>
      </c>
      <c r="N77" s="72" t="e">
        <f>#REF!/N69</f>
        <v>#REF!</v>
      </c>
      <c r="O77" s="72" t="e">
        <f>#REF!/O69</f>
        <v>#REF!</v>
      </c>
      <c r="P77" s="72" t="e">
        <f>#REF!/P69</f>
        <v>#REF!</v>
      </c>
      <c r="Q77" s="72" t="e">
        <f>#REF!/Q69</f>
        <v>#REF!</v>
      </c>
      <c r="R77" s="72" t="e">
        <f>#REF!/R69</f>
        <v>#REF!</v>
      </c>
      <c r="S77" s="72" t="e">
        <f>#REF!/S69</f>
        <v>#REF!</v>
      </c>
      <c r="T77" s="72" t="e">
        <f>#REF!/T69</f>
        <v>#REF!</v>
      </c>
      <c r="U77" s="72" t="e">
        <f>#REF!/U69</f>
        <v>#REF!</v>
      </c>
      <c r="V77" s="72" t="e">
        <f>#REF!/V69</f>
        <v>#REF!</v>
      </c>
      <c r="W77" s="72" t="e">
        <v>#REF!</v>
      </c>
      <c r="X77" s="72" t="e">
        <v>#REF!</v>
      </c>
      <c r="Y77" s="72" t="e">
        <v>#REF!</v>
      </c>
      <c r="Z77" s="72" t="e">
        <v>#REF!</v>
      </c>
      <c r="AA77" s="72" t="e">
        <v>#REF!</v>
      </c>
      <c r="AB77" s="72" t="e">
        <v>#REF!</v>
      </c>
      <c r="AC77" s="127" t="e">
        <f>#REF!/AC69</f>
        <v>#REF!</v>
      </c>
      <c r="AD77" s="72" t="e">
        <f t="shared" si="14"/>
        <v>#REF!</v>
      </c>
      <c r="AE77" s="192" t="e">
        <f t="shared" si="15"/>
        <v>#REF!</v>
      </c>
    </row>
    <row r="78" spans="1:31">
      <c r="C78" s="105" t="s">
        <v>489</v>
      </c>
      <c r="D78" s="72" t="e">
        <f>#REF!/D70</f>
        <v>#REF!</v>
      </c>
      <c r="E78" s="72" t="e">
        <f>#REF!/E70</f>
        <v>#REF!</v>
      </c>
      <c r="F78" s="72" t="e">
        <f>#REF!/F70</f>
        <v>#REF!</v>
      </c>
      <c r="G78" s="72" t="e">
        <f>#REF!/G70</f>
        <v>#REF!</v>
      </c>
      <c r="H78" s="72" t="e">
        <f>#REF!/H70</f>
        <v>#REF!</v>
      </c>
      <c r="I78" s="72" t="e">
        <f>#REF!/I70</f>
        <v>#REF!</v>
      </c>
      <c r="J78" s="72" t="e">
        <f>#REF!/J70</f>
        <v>#REF!</v>
      </c>
      <c r="K78" s="72" t="e">
        <f>#REF!/K70</f>
        <v>#REF!</v>
      </c>
      <c r="L78" s="72" t="e">
        <f>#REF!/L70</f>
        <v>#REF!</v>
      </c>
      <c r="M78" s="72" t="e">
        <f>#REF!/M70</f>
        <v>#REF!</v>
      </c>
      <c r="N78" s="72" t="e">
        <f>#REF!/N70</f>
        <v>#REF!</v>
      </c>
      <c r="O78" s="72" t="e">
        <f>#REF!/O70</f>
        <v>#REF!</v>
      </c>
      <c r="P78" s="72" t="e">
        <f>#REF!/P70</f>
        <v>#REF!</v>
      </c>
      <c r="Q78" s="72" t="e">
        <f>#REF!/Q70</f>
        <v>#REF!</v>
      </c>
      <c r="R78" s="72" t="e">
        <f>#REF!/R70</f>
        <v>#REF!</v>
      </c>
      <c r="S78" s="72" t="e">
        <f>#REF!/S70</f>
        <v>#REF!</v>
      </c>
      <c r="T78" s="72" t="e">
        <f>#REF!/T70</f>
        <v>#REF!</v>
      </c>
      <c r="U78" s="72" t="e">
        <f>#REF!/U70</f>
        <v>#REF!</v>
      </c>
      <c r="V78" s="72" t="e">
        <f>#REF!/V70</f>
        <v>#REF!</v>
      </c>
      <c r="W78" s="72" t="e">
        <v>#REF!</v>
      </c>
      <c r="X78" s="72" t="e">
        <v>#REF!</v>
      </c>
      <c r="Y78" s="72" t="e">
        <v>#REF!</v>
      </c>
      <c r="Z78" s="72" t="e">
        <v>#REF!</v>
      </c>
      <c r="AA78" s="72" t="e">
        <v>#REF!</v>
      </c>
      <c r="AB78" s="72" t="e">
        <v>#REF!</v>
      </c>
      <c r="AC78" s="127" t="e">
        <f>#REF!/AC70</f>
        <v>#REF!</v>
      </c>
      <c r="AD78" s="72" t="e">
        <f t="shared" si="14"/>
        <v>#REF!</v>
      </c>
      <c r="AE78" s="192" t="e">
        <f t="shared" si="15"/>
        <v>#REF!</v>
      </c>
    </row>
    <row r="79" spans="1:31">
      <c r="C79" s="109" t="s">
        <v>463</v>
      </c>
      <c r="D79" s="72" t="e">
        <f>#REF!/D71</f>
        <v>#REF!</v>
      </c>
      <c r="E79" s="72" t="e">
        <f>#REF!/E71</f>
        <v>#REF!</v>
      </c>
      <c r="F79" s="72" t="e">
        <f>#REF!/F71</f>
        <v>#REF!</v>
      </c>
      <c r="G79" s="72" t="e">
        <f>#REF!/G71</f>
        <v>#REF!</v>
      </c>
      <c r="H79" s="72" t="e">
        <f>#REF!/H71</f>
        <v>#REF!</v>
      </c>
      <c r="I79" s="72" t="e">
        <f>#REF!/I71</f>
        <v>#REF!</v>
      </c>
      <c r="J79" s="72" t="e">
        <f>#REF!/J71</f>
        <v>#REF!</v>
      </c>
      <c r="K79" s="72" t="e">
        <f>#REF!/K71</f>
        <v>#REF!</v>
      </c>
      <c r="L79" s="72" t="e">
        <f>#REF!/L71</f>
        <v>#REF!</v>
      </c>
      <c r="M79" s="72" t="e">
        <f>#REF!/M71</f>
        <v>#REF!</v>
      </c>
      <c r="N79" s="72" t="e">
        <f>#REF!/N71</f>
        <v>#REF!</v>
      </c>
      <c r="O79" s="72" t="e">
        <f>#REF!/O71</f>
        <v>#REF!</v>
      </c>
      <c r="P79" s="72" t="e">
        <f>#REF!/P71</f>
        <v>#REF!</v>
      </c>
      <c r="Q79" s="72" t="e">
        <f>#REF!/Q71</f>
        <v>#REF!</v>
      </c>
      <c r="R79" s="72" t="e">
        <f>#REF!/R71</f>
        <v>#REF!</v>
      </c>
      <c r="S79" s="72" t="e">
        <f>#REF!/S71</f>
        <v>#REF!</v>
      </c>
      <c r="T79" s="72" t="e">
        <f>#REF!/T71</f>
        <v>#REF!</v>
      </c>
      <c r="U79" s="72" t="e">
        <f>#REF!/U71</f>
        <v>#REF!</v>
      </c>
      <c r="V79" s="72" t="e">
        <f>#REF!/V71</f>
        <v>#REF!</v>
      </c>
      <c r="W79" s="72" t="e">
        <f>#REF!/W71</f>
        <v>#REF!</v>
      </c>
      <c r="X79" s="72" t="e">
        <f>#REF!/X71</f>
        <v>#REF!</v>
      </c>
      <c r="Y79" s="72" t="e">
        <f>#REF!/Y71</f>
        <v>#REF!</v>
      </c>
      <c r="Z79" s="72" t="e">
        <f>#REF!/Z71</f>
        <v>#REF!</v>
      </c>
      <c r="AA79" s="72" t="e">
        <f>#REF!/AA71</f>
        <v>#REF!</v>
      </c>
      <c r="AB79" s="72" t="e">
        <f>#REF!/AB71</f>
        <v>#REF!</v>
      </c>
      <c r="AC79" s="127" t="e">
        <f>#REF!/AC71</f>
        <v>#REF!</v>
      </c>
      <c r="AD79" s="72" t="e">
        <f t="shared" si="14"/>
        <v>#REF!</v>
      </c>
      <c r="AE79" s="192" t="e">
        <f t="shared" si="15"/>
        <v>#REF!</v>
      </c>
    </row>
    <row r="80" spans="1:31">
      <c r="C80" s="105" t="s">
        <v>154</v>
      </c>
    </row>
    <row r="81" spans="1:31">
      <c r="C81" s="109" t="s">
        <v>516</v>
      </c>
    </row>
    <row r="82" spans="1:31">
      <c r="C82" s="105" t="s">
        <v>517</v>
      </c>
    </row>
    <row r="83" spans="1:31">
      <c r="A83" s="175" t="s">
        <v>248</v>
      </c>
      <c r="B83" s="105" t="s">
        <v>625</v>
      </c>
      <c r="C83" s="105" t="s">
        <v>250</v>
      </c>
      <c r="P83" s="72">
        <f>SUM(D83:O83)</f>
        <v>0</v>
      </c>
      <c r="Q83" s="72">
        <v>0</v>
      </c>
      <c r="R83" s="72">
        <v>0</v>
      </c>
      <c r="S83" s="72">
        <v>0</v>
      </c>
      <c r="T83" s="72">
        <v>0</v>
      </c>
      <c r="U83" s="72">
        <v>0</v>
      </c>
      <c r="V83" s="72">
        <v>0</v>
      </c>
      <c r="W83" s="72">
        <v>0</v>
      </c>
      <c r="X83" s="72">
        <v>0</v>
      </c>
      <c r="Y83" s="72">
        <v>0</v>
      </c>
      <c r="Z83" s="72">
        <v>0</v>
      </c>
      <c r="AA83" s="72">
        <v>0</v>
      </c>
      <c r="AB83" s="72">
        <v>0</v>
      </c>
      <c r="AC83" s="127">
        <f>SUM(Q83:AB83)</f>
        <v>0</v>
      </c>
      <c r="AD83" s="72">
        <f>AC83-P83</f>
        <v>0</v>
      </c>
      <c r="AE83" s="192" t="e">
        <f>AD83/AC83</f>
        <v>#DIV/0!</v>
      </c>
    </row>
    <row r="84" spans="1:31">
      <c r="A84" s="105" t="s">
        <v>251</v>
      </c>
      <c r="B84" s="105" t="s">
        <v>625</v>
      </c>
      <c r="C84" s="105" t="s">
        <v>468</v>
      </c>
      <c r="P84" s="72">
        <f>SUM(D84:O84)</f>
        <v>0</v>
      </c>
      <c r="Q84" s="72">
        <v>0</v>
      </c>
      <c r="R84" s="72">
        <v>0</v>
      </c>
      <c r="S84" s="72">
        <v>0</v>
      </c>
      <c r="T84" s="72">
        <v>0</v>
      </c>
      <c r="U84" s="72">
        <v>0</v>
      </c>
      <c r="V84" s="72">
        <v>0</v>
      </c>
      <c r="W84" s="72">
        <v>0</v>
      </c>
      <c r="X84" s="72">
        <v>0</v>
      </c>
      <c r="Y84" s="72">
        <v>0</v>
      </c>
      <c r="Z84" s="72">
        <v>0</v>
      </c>
      <c r="AA84" s="72">
        <v>0</v>
      </c>
      <c r="AB84" s="72">
        <v>0</v>
      </c>
      <c r="AC84" s="127">
        <f>SUM(Q84:AB84)</f>
        <v>0</v>
      </c>
      <c r="AD84" s="72">
        <f>AC84-P84</f>
        <v>0</v>
      </c>
      <c r="AE84" s="192" t="e">
        <f>AD84/AC84</f>
        <v>#DIV/0!</v>
      </c>
    </row>
    <row r="85" spans="1:31">
      <c r="A85" s="105" t="s">
        <v>273</v>
      </c>
      <c r="C85" s="105" t="s">
        <v>470</v>
      </c>
      <c r="P85" s="72">
        <f>SUM(D85:O85)</f>
        <v>0</v>
      </c>
      <c r="Q85" s="72">
        <v>0</v>
      </c>
      <c r="R85" s="72">
        <v>0</v>
      </c>
      <c r="S85" s="72">
        <v>0</v>
      </c>
      <c r="T85" s="72">
        <v>0</v>
      </c>
      <c r="U85" s="72">
        <v>0</v>
      </c>
      <c r="V85" s="72">
        <v>0</v>
      </c>
      <c r="W85" s="72">
        <v>0</v>
      </c>
      <c r="X85" s="72">
        <v>0</v>
      </c>
      <c r="Y85" s="72">
        <v>0</v>
      </c>
      <c r="Z85" s="72">
        <v>0</v>
      </c>
      <c r="AA85" s="72">
        <v>0</v>
      </c>
      <c r="AB85" s="72">
        <v>0</v>
      </c>
      <c r="AC85" s="127">
        <f>SUM(Q85:AB85)</f>
        <v>0</v>
      </c>
      <c r="AD85" s="72">
        <f>AC85-P85</f>
        <v>0</v>
      </c>
      <c r="AE85" s="192" t="e">
        <f>AD85/AC85</f>
        <v>#DIV/0!</v>
      </c>
    </row>
    <row r="86" spans="1:31">
      <c r="A86" s="105" t="s">
        <v>619</v>
      </c>
      <c r="C86" s="109" t="s">
        <v>520</v>
      </c>
      <c r="D86" s="127">
        <f t="shared" ref="D86:AC86" si="16">SUM(D83:D85)</f>
        <v>0</v>
      </c>
      <c r="E86" s="127">
        <f t="shared" si="16"/>
        <v>0</v>
      </c>
      <c r="F86" s="127">
        <f t="shared" si="16"/>
        <v>0</v>
      </c>
      <c r="G86" s="127">
        <f t="shared" si="16"/>
        <v>0</v>
      </c>
      <c r="H86" s="127">
        <f t="shared" si="16"/>
        <v>0</v>
      </c>
      <c r="I86" s="127">
        <f t="shared" si="16"/>
        <v>0</v>
      </c>
      <c r="J86" s="127">
        <f t="shared" si="16"/>
        <v>0</v>
      </c>
      <c r="K86" s="127">
        <f t="shared" si="16"/>
        <v>0</v>
      </c>
      <c r="L86" s="127">
        <f t="shared" si="16"/>
        <v>0</v>
      </c>
      <c r="M86" s="127">
        <f t="shared" si="16"/>
        <v>0</v>
      </c>
      <c r="N86" s="127">
        <f t="shared" si="16"/>
        <v>0</v>
      </c>
      <c r="O86" s="127">
        <f t="shared" si="16"/>
        <v>0</v>
      </c>
      <c r="P86" s="127">
        <f t="shared" si="16"/>
        <v>0</v>
      </c>
      <c r="Q86" s="127">
        <f t="shared" si="16"/>
        <v>0</v>
      </c>
      <c r="R86" s="127">
        <f t="shared" si="16"/>
        <v>0</v>
      </c>
      <c r="S86" s="127">
        <f t="shared" si="16"/>
        <v>0</v>
      </c>
      <c r="T86" s="127">
        <f t="shared" si="16"/>
        <v>0</v>
      </c>
      <c r="U86" s="127">
        <f t="shared" si="16"/>
        <v>0</v>
      </c>
      <c r="V86" s="127">
        <f t="shared" si="16"/>
        <v>0</v>
      </c>
      <c r="W86" s="127">
        <f t="shared" si="16"/>
        <v>0</v>
      </c>
      <c r="X86" s="127">
        <f t="shared" si="16"/>
        <v>0</v>
      </c>
      <c r="Y86" s="127">
        <f t="shared" si="16"/>
        <v>0</v>
      </c>
      <c r="Z86" s="127">
        <f t="shared" si="16"/>
        <v>0</v>
      </c>
      <c r="AA86" s="127">
        <f t="shared" si="16"/>
        <v>0</v>
      </c>
      <c r="AB86" s="127">
        <f t="shared" si="16"/>
        <v>0</v>
      </c>
      <c r="AC86" s="127">
        <f t="shared" si="16"/>
        <v>0</v>
      </c>
      <c r="AD86" s="72">
        <f>AC86-P86</f>
        <v>0</v>
      </c>
      <c r="AE86" s="192" t="e">
        <f>AD86/AC86</f>
        <v>#DIV/0!</v>
      </c>
    </row>
    <row r="87" spans="1:31">
      <c r="A87" s="105" t="s">
        <v>619</v>
      </c>
      <c r="C87" s="105" t="s">
        <v>154</v>
      </c>
    </row>
    <row r="88" spans="1:31">
      <c r="A88" s="105" t="s">
        <v>119</v>
      </c>
      <c r="B88" s="105" t="s">
        <v>625</v>
      </c>
      <c r="C88" s="105" t="s">
        <v>260</v>
      </c>
      <c r="P88" s="72">
        <f>SUM(D88:O88)</f>
        <v>0</v>
      </c>
      <c r="Q88" s="72">
        <v>0</v>
      </c>
      <c r="R88" s="72">
        <v>0</v>
      </c>
      <c r="S88" s="72">
        <v>0</v>
      </c>
      <c r="T88" s="72">
        <v>0</v>
      </c>
      <c r="U88" s="72">
        <v>0</v>
      </c>
      <c r="V88" s="72">
        <v>0</v>
      </c>
      <c r="W88" s="72">
        <v>0</v>
      </c>
      <c r="X88" s="72">
        <v>0</v>
      </c>
      <c r="Y88" s="72">
        <v>0</v>
      </c>
      <c r="Z88" s="72">
        <v>0</v>
      </c>
      <c r="AA88" s="72">
        <v>0</v>
      </c>
      <c r="AB88" s="72">
        <v>0</v>
      </c>
      <c r="AC88" s="127">
        <f>SUM(Q88:AB88)</f>
        <v>0</v>
      </c>
      <c r="AD88" s="72">
        <f t="shared" ref="AD88:AD93" si="17">AC88-P88</f>
        <v>0</v>
      </c>
      <c r="AE88" s="192" t="e">
        <f t="shared" ref="AE88:AE93" si="18">AD88/AC88</f>
        <v>#DIV/0!</v>
      </c>
    </row>
    <row r="89" spans="1:31">
      <c r="A89" s="105" t="s">
        <v>120</v>
      </c>
      <c r="B89" s="105" t="s">
        <v>625</v>
      </c>
      <c r="C89" s="105" t="s">
        <v>261</v>
      </c>
      <c r="P89" s="72">
        <f>SUM(D89:O89)</f>
        <v>0</v>
      </c>
      <c r="Q89" s="72">
        <v>0</v>
      </c>
      <c r="R89" s="72">
        <v>0</v>
      </c>
      <c r="S89" s="72">
        <v>0</v>
      </c>
      <c r="T89" s="72">
        <v>0</v>
      </c>
      <c r="U89" s="72">
        <v>0</v>
      </c>
      <c r="V89" s="72">
        <v>0</v>
      </c>
      <c r="W89" s="72">
        <v>0</v>
      </c>
      <c r="X89" s="72">
        <v>0</v>
      </c>
      <c r="Y89" s="72">
        <v>0</v>
      </c>
      <c r="Z89" s="72">
        <v>0</v>
      </c>
      <c r="AA89" s="72">
        <v>0</v>
      </c>
      <c r="AB89" s="72">
        <v>0</v>
      </c>
      <c r="AC89" s="127">
        <f>SUM(Q89:AB89)</f>
        <v>0</v>
      </c>
      <c r="AD89" s="72">
        <f t="shared" si="17"/>
        <v>0</v>
      </c>
      <c r="AE89" s="192" t="e">
        <f t="shared" si="18"/>
        <v>#DIV/0!</v>
      </c>
    </row>
    <row r="90" spans="1:31">
      <c r="A90" s="105" t="s">
        <v>121</v>
      </c>
      <c r="B90" s="105" t="s">
        <v>625</v>
      </c>
      <c r="C90" s="105" t="s">
        <v>262</v>
      </c>
      <c r="P90" s="72">
        <f>SUM(D90:O90)</f>
        <v>0</v>
      </c>
      <c r="Q90" s="72">
        <v>0</v>
      </c>
      <c r="R90" s="72">
        <v>0</v>
      </c>
      <c r="S90" s="72">
        <v>0</v>
      </c>
      <c r="T90" s="72">
        <v>0</v>
      </c>
      <c r="U90" s="72">
        <v>0</v>
      </c>
      <c r="V90" s="72">
        <v>0</v>
      </c>
      <c r="W90" s="72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127">
        <f>SUM(Q90:AB90)</f>
        <v>0</v>
      </c>
      <c r="AD90" s="72">
        <f t="shared" si="17"/>
        <v>0</v>
      </c>
      <c r="AE90" s="192" t="e">
        <f t="shared" si="18"/>
        <v>#DIV/0!</v>
      </c>
    </row>
    <row r="91" spans="1:31">
      <c r="A91" s="105" t="s">
        <v>122</v>
      </c>
      <c r="B91" s="105" t="s">
        <v>625</v>
      </c>
      <c r="C91" s="105" t="s">
        <v>263</v>
      </c>
      <c r="P91" s="72">
        <f>SUM(D91:O91)</f>
        <v>0</v>
      </c>
      <c r="Q91" s="72">
        <v>0</v>
      </c>
      <c r="R91" s="72">
        <v>0</v>
      </c>
      <c r="S91" s="72">
        <v>0</v>
      </c>
      <c r="T91" s="72">
        <v>0</v>
      </c>
      <c r="U91" s="72">
        <v>0</v>
      </c>
      <c r="V91" s="72">
        <v>0</v>
      </c>
      <c r="W91" s="72">
        <v>0</v>
      </c>
      <c r="X91" s="72">
        <v>0</v>
      </c>
      <c r="Y91" s="72">
        <v>0</v>
      </c>
      <c r="Z91" s="72">
        <v>0</v>
      </c>
      <c r="AA91" s="72">
        <v>0</v>
      </c>
      <c r="AB91" s="72">
        <v>0</v>
      </c>
      <c r="AC91" s="127">
        <f>SUM(Q91:AB91)</f>
        <v>0</v>
      </c>
      <c r="AD91" s="72">
        <f t="shared" si="17"/>
        <v>0</v>
      </c>
      <c r="AE91" s="192" t="e">
        <f t="shared" si="18"/>
        <v>#DIV/0!</v>
      </c>
    </row>
    <row r="92" spans="1:31">
      <c r="A92" s="105" t="s">
        <v>123</v>
      </c>
      <c r="B92" s="105" t="s">
        <v>625</v>
      </c>
      <c r="C92" s="105" t="s">
        <v>264</v>
      </c>
      <c r="P92" s="72">
        <f>SUM(D92:O92)</f>
        <v>0</v>
      </c>
      <c r="Q92" s="72">
        <v>0</v>
      </c>
      <c r="R92" s="72">
        <v>0</v>
      </c>
      <c r="S92" s="72">
        <v>0</v>
      </c>
      <c r="T92" s="72">
        <v>0</v>
      </c>
      <c r="U92" s="72">
        <v>0</v>
      </c>
      <c r="V92" s="72">
        <v>0</v>
      </c>
      <c r="W92" s="72">
        <v>0</v>
      </c>
      <c r="X92" s="72">
        <v>0</v>
      </c>
      <c r="Y92" s="72">
        <v>0</v>
      </c>
      <c r="Z92" s="72">
        <v>0</v>
      </c>
      <c r="AA92" s="72">
        <v>0</v>
      </c>
      <c r="AB92" s="72">
        <v>0</v>
      </c>
      <c r="AC92" s="127">
        <f>SUM(Q92:AB92)</f>
        <v>0</v>
      </c>
      <c r="AD92" s="72">
        <f t="shared" si="17"/>
        <v>0</v>
      </c>
      <c r="AE92" s="192" t="e">
        <f t="shared" si="18"/>
        <v>#DIV/0!</v>
      </c>
    </row>
    <row r="93" spans="1:31">
      <c r="A93" s="105" t="s">
        <v>273</v>
      </c>
      <c r="C93" s="109" t="s">
        <v>521</v>
      </c>
      <c r="D93" s="127">
        <f t="shared" ref="D93:O93" si="19">SUM(D88:D92)</f>
        <v>0</v>
      </c>
      <c r="E93" s="127">
        <f t="shared" si="19"/>
        <v>0</v>
      </c>
      <c r="F93" s="127">
        <f t="shared" si="19"/>
        <v>0</v>
      </c>
      <c r="G93" s="127">
        <f t="shared" si="19"/>
        <v>0</v>
      </c>
      <c r="H93" s="127">
        <f t="shared" si="19"/>
        <v>0</v>
      </c>
      <c r="I93" s="127">
        <f t="shared" si="19"/>
        <v>0</v>
      </c>
      <c r="J93" s="127">
        <f t="shared" si="19"/>
        <v>0</v>
      </c>
      <c r="K93" s="127">
        <f t="shared" si="19"/>
        <v>0</v>
      </c>
      <c r="L93" s="127">
        <f t="shared" si="19"/>
        <v>0</v>
      </c>
      <c r="M93" s="127">
        <f t="shared" si="19"/>
        <v>0</v>
      </c>
      <c r="N93" s="127">
        <f t="shared" si="19"/>
        <v>0</v>
      </c>
      <c r="O93" s="127">
        <f t="shared" si="19"/>
        <v>0</v>
      </c>
      <c r="P93" s="127">
        <f>SUM(P88:P92)</f>
        <v>0</v>
      </c>
      <c r="Q93" s="127">
        <f t="shared" ref="Q93:AC93" si="20">SUM(Q88:Q92)</f>
        <v>0</v>
      </c>
      <c r="R93" s="127">
        <f t="shared" si="20"/>
        <v>0</v>
      </c>
      <c r="S93" s="127">
        <f t="shared" si="20"/>
        <v>0</v>
      </c>
      <c r="T93" s="127">
        <f t="shared" si="20"/>
        <v>0</v>
      </c>
      <c r="U93" s="127">
        <f t="shared" si="20"/>
        <v>0</v>
      </c>
      <c r="V93" s="127">
        <f t="shared" si="20"/>
        <v>0</v>
      </c>
      <c r="W93" s="127">
        <f t="shared" si="20"/>
        <v>0</v>
      </c>
      <c r="X93" s="127">
        <f t="shared" si="20"/>
        <v>0</v>
      </c>
      <c r="Y93" s="127">
        <f t="shared" si="20"/>
        <v>0</v>
      </c>
      <c r="Z93" s="127">
        <f t="shared" si="20"/>
        <v>0</v>
      </c>
      <c r="AA93" s="127">
        <f t="shared" si="20"/>
        <v>0</v>
      </c>
      <c r="AB93" s="127">
        <f t="shared" si="20"/>
        <v>0</v>
      </c>
      <c r="AC93" s="127">
        <f t="shared" si="20"/>
        <v>0</v>
      </c>
      <c r="AD93" s="72">
        <f t="shared" si="17"/>
        <v>0</v>
      </c>
      <c r="AE93" s="192" t="e">
        <f t="shared" si="18"/>
        <v>#DIV/0!</v>
      </c>
    </row>
    <row r="94" spans="1:31">
      <c r="A94" s="105" t="s">
        <v>273</v>
      </c>
      <c r="C94" s="105" t="s">
        <v>154</v>
      </c>
    </row>
    <row r="95" spans="1:31">
      <c r="A95" s="105" t="s">
        <v>124</v>
      </c>
      <c r="B95" s="105" t="s">
        <v>625</v>
      </c>
      <c r="C95" s="105" t="s">
        <v>266</v>
      </c>
      <c r="P95" s="72">
        <f>SUM(D95:O95)</f>
        <v>0</v>
      </c>
      <c r="Q95" s="72">
        <v>0</v>
      </c>
      <c r="R95" s="72">
        <v>0</v>
      </c>
      <c r="S95" s="72">
        <v>0</v>
      </c>
      <c r="T95" s="72">
        <v>0</v>
      </c>
      <c r="U95" s="72">
        <v>0</v>
      </c>
      <c r="V95" s="72">
        <v>0</v>
      </c>
      <c r="W95" s="72">
        <v>0</v>
      </c>
      <c r="X95" s="72">
        <v>0</v>
      </c>
      <c r="Y95" s="72">
        <v>0</v>
      </c>
      <c r="Z95" s="72">
        <v>0</v>
      </c>
      <c r="AA95" s="72">
        <v>0</v>
      </c>
      <c r="AB95" s="72">
        <v>0</v>
      </c>
      <c r="AC95" s="127">
        <f t="shared" ref="AC95:AC102" si="21">SUM(Q95:AB95)</f>
        <v>0</v>
      </c>
      <c r="AD95" s="72">
        <f t="shared" ref="AD95:AD103" si="22">AC95-P95</f>
        <v>0</v>
      </c>
      <c r="AE95" s="192" t="e">
        <f t="shared" ref="AE95:AE103" si="23">AD95/AC95</f>
        <v>#DIV/0!</v>
      </c>
    </row>
    <row r="96" spans="1:31">
      <c r="A96" s="105" t="s">
        <v>125</v>
      </c>
      <c r="B96" s="105" t="s">
        <v>625</v>
      </c>
      <c r="C96" s="105" t="s">
        <v>267</v>
      </c>
      <c r="P96" s="72">
        <f t="shared" ref="P96:P102" si="24">SUM(D96:O96)</f>
        <v>0</v>
      </c>
      <c r="Q96" s="72">
        <v>0</v>
      </c>
      <c r="R96" s="72">
        <v>0</v>
      </c>
      <c r="S96" s="72">
        <v>0</v>
      </c>
      <c r="T96" s="72">
        <v>0</v>
      </c>
      <c r="U96" s="72">
        <v>0</v>
      </c>
      <c r="V96" s="72">
        <v>0</v>
      </c>
      <c r="W96" s="72">
        <v>0</v>
      </c>
      <c r="X96" s="72">
        <v>0</v>
      </c>
      <c r="Y96" s="72">
        <v>0</v>
      </c>
      <c r="Z96" s="72">
        <v>0</v>
      </c>
      <c r="AA96" s="72">
        <v>0</v>
      </c>
      <c r="AB96" s="72">
        <v>0</v>
      </c>
      <c r="AC96" s="127">
        <f t="shared" si="21"/>
        <v>0</v>
      </c>
      <c r="AD96" s="72">
        <f t="shared" si="22"/>
        <v>0</v>
      </c>
      <c r="AE96" s="192" t="e">
        <f t="shared" si="23"/>
        <v>#DIV/0!</v>
      </c>
    </row>
    <row r="97" spans="1:32">
      <c r="A97" s="105" t="s">
        <v>126</v>
      </c>
      <c r="B97" s="105" t="s">
        <v>625</v>
      </c>
      <c r="C97" s="105" t="s">
        <v>268</v>
      </c>
      <c r="P97" s="72">
        <f t="shared" si="24"/>
        <v>0</v>
      </c>
      <c r="Q97" s="72">
        <v>0</v>
      </c>
      <c r="R97" s="72">
        <v>0</v>
      </c>
      <c r="S97" s="72">
        <v>0</v>
      </c>
      <c r="T97" s="72">
        <v>0</v>
      </c>
      <c r="U97" s="72">
        <v>0</v>
      </c>
      <c r="V97" s="72">
        <v>0</v>
      </c>
      <c r="W97" s="72">
        <v>0</v>
      </c>
      <c r="X97" s="72">
        <v>0</v>
      </c>
      <c r="Y97" s="72">
        <v>0</v>
      </c>
      <c r="Z97" s="72">
        <v>0</v>
      </c>
      <c r="AA97" s="72">
        <v>0</v>
      </c>
      <c r="AB97" s="72">
        <v>0</v>
      </c>
      <c r="AC97" s="127">
        <f t="shared" si="21"/>
        <v>0</v>
      </c>
      <c r="AD97" s="72">
        <f t="shared" si="22"/>
        <v>0</v>
      </c>
      <c r="AE97" s="192" t="e">
        <f t="shared" si="23"/>
        <v>#DIV/0!</v>
      </c>
    </row>
    <row r="98" spans="1:32">
      <c r="A98" s="105" t="s">
        <v>127</v>
      </c>
      <c r="B98" s="105" t="s">
        <v>625</v>
      </c>
      <c r="C98" s="105" t="s">
        <v>269</v>
      </c>
      <c r="P98" s="72">
        <f t="shared" si="24"/>
        <v>0</v>
      </c>
      <c r="Q98" s="72">
        <v>0</v>
      </c>
      <c r="R98" s="72">
        <v>0</v>
      </c>
      <c r="S98" s="72">
        <v>0</v>
      </c>
      <c r="T98" s="72">
        <v>0</v>
      </c>
      <c r="U98" s="72">
        <v>0</v>
      </c>
      <c r="V98" s="72">
        <v>0</v>
      </c>
      <c r="W98" s="72">
        <v>0</v>
      </c>
      <c r="X98" s="72">
        <v>0</v>
      </c>
      <c r="Y98" s="72">
        <v>0</v>
      </c>
      <c r="Z98" s="72">
        <v>0</v>
      </c>
      <c r="AA98" s="72">
        <v>0</v>
      </c>
      <c r="AB98" s="72">
        <v>0</v>
      </c>
      <c r="AC98" s="127">
        <f t="shared" si="21"/>
        <v>0</v>
      </c>
      <c r="AD98" s="72">
        <f t="shared" si="22"/>
        <v>0</v>
      </c>
      <c r="AE98" s="192" t="e">
        <f t="shared" si="23"/>
        <v>#DIV/0!</v>
      </c>
    </row>
    <row r="99" spans="1:32">
      <c r="A99" s="105" t="s">
        <v>128</v>
      </c>
      <c r="B99" s="105" t="s">
        <v>625</v>
      </c>
      <c r="C99" s="105" t="s">
        <v>270</v>
      </c>
      <c r="P99" s="72">
        <f t="shared" si="24"/>
        <v>0</v>
      </c>
      <c r="Q99" s="72">
        <v>0</v>
      </c>
      <c r="R99" s="72">
        <v>0</v>
      </c>
      <c r="S99" s="72">
        <v>0</v>
      </c>
      <c r="T99" s="72">
        <v>0</v>
      </c>
      <c r="U99" s="72">
        <v>0</v>
      </c>
      <c r="V99" s="72">
        <v>0</v>
      </c>
      <c r="W99" s="72">
        <v>0</v>
      </c>
      <c r="X99" s="72">
        <v>0</v>
      </c>
      <c r="Y99" s="72">
        <v>0</v>
      </c>
      <c r="Z99" s="72">
        <v>0</v>
      </c>
      <c r="AA99" s="72">
        <v>0</v>
      </c>
      <c r="AB99" s="72">
        <v>0</v>
      </c>
      <c r="AC99" s="127">
        <f t="shared" si="21"/>
        <v>0</v>
      </c>
      <c r="AD99" s="72">
        <f t="shared" si="22"/>
        <v>0</v>
      </c>
      <c r="AE99" s="192" t="e">
        <f t="shared" si="23"/>
        <v>#DIV/0!</v>
      </c>
    </row>
    <row r="100" spans="1:32">
      <c r="A100" s="105" t="s">
        <v>129</v>
      </c>
      <c r="B100" s="105" t="s">
        <v>625</v>
      </c>
      <c r="C100" s="105" t="s">
        <v>271</v>
      </c>
      <c r="P100" s="72">
        <f t="shared" si="24"/>
        <v>0</v>
      </c>
      <c r="Q100" s="72">
        <v>0</v>
      </c>
      <c r="R100" s="72">
        <v>0</v>
      </c>
      <c r="S100" s="72">
        <v>0</v>
      </c>
      <c r="T100" s="72">
        <v>0</v>
      </c>
      <c r="U100" s="72">
        <v>0</v>
      </c>
      <c r="V100" s="72">
        <v>0</v>
      </c>
      <c r="W100" s="72">
        <v>0</v>
      </c>
      <c r="X100" s="72">
        <v>0</v>
      </c>
      <c r="Y100" s="72">
        <v>0</v>
      </c>
      <c r="Z100" s="72">
        <v>0</v>
      </c>
      <c r="AA100" s="72">
        <v>0</v>
      </c>
      <c r="AB100" s="72">
        <v>0</v>
      </c>
      <c r="AC100" s="127">
        <f t="shared" si="21"/>
        <v>0</v>
      </c>
      <c r="AD100" s="72">
        <f t="shared" si="22"/>
        <v>0</v>
      </c>
      <c r="AE100" s="192" t="e">
        <f t="shared" si="23"/>
        <v>#DIV/0!</v>
      </c>
    </row>
    <row r="101" spans="1:32">
      <c r="A101" s="105" t="s">
        <v>130</v>
      </c>
      <c r="B101" s="105" t="s">
        <v>625</v>
      </c>
      <c r="C101" s="105" t="s">
        <v>272</v>
      </c>
      <c r="P101" s="72">
        <f t="shared" si="24"/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2">
        <v>0</v>
      </c>
      <c r="Y101" s="72">
        <v>0</v>
      </c>
      <c r="Z101" s="72">
        <v>0</v>
      </c>
      <c r="AA101" s="72">
        <v>0</v>
      </c>
      <c r="AB101" s="72">
        <v>0</v>
      </c>
      <c r="AC101" s="127">
        <f t="shared" si="21"/>
        <v>0</v>
      </c>
      <c r="AD101" s="72">
        <f t="shared" si="22"/>
        <v>0</v>
      </c>
      <c r="AE101" s="192" t="e">
        <f t="shared" si="23"/>
        <v>#DIV/0!</v>
      </c>
    </row>
    <row r="102" spans="1:32">
      <c r="A102" s="105" t="s">
        <v>273</v>
      </c>
      <c r="C102" s="105" t="s">
        <v>274</v>
      </c>
      <c r="J102" s="123"/>
      <c r="K102" s="123"/>
      <c r="L102" s="123"/>
      <c r="M102" s="123"/>
      <c r="N102" s="123"/>
      <c r="O102" s="123"/>
      <c r="P102" s="72">
        <f t="shared" si="24"/>
        <v>0</v>
      </c>
      <c r="Q102" s="72">
        <v>0</v>
      </c>
      <c r="R102" s="72">
        <v>0</v>
      </c>
      <c r="S102" s="72">
        <v>0</v>
      </c>
      <c r="T102" s="72">
        <v>0</v>
      </c>
      <c r="U102" s="72">
        <v>0</v>
      </c>
      <c r="V102" s="72">
        <v>0</v>
      </c>
      <c r="W102" s="72">
        <v>0</v>
      </c>
      <c r="X102" s="72">
        <v>0</v>
      </c>
      <c r="Y102" s="72">
        <v>0</v>
      </c>
      <c r="Z102" s="72">
        <v>0</v>
      </c>
      <c r="AA102" s="72">
        <v>0</v>
      </c>
      <c r="AB102" s="72">
        <v>0</v>
      </c>
      <c r="AC102" s="127">
        <f t="shared" si="21"/>
        <v>0</v>
      </c>
      <c r="AD102" s="72">
        <f t="shared" si="22"/>
        <v>0</v>
      </c>
      <c r="AE102" s="192" t="e">
        <f t="shared" si="23"/>
        <v>#DIV/0!</v>
      </c>
    </row>
    <row r="103" spans="1:32">
      <c r="A103" s="105" t="s">
        <v>273</v>
      </c>
      <c r="C103" s="109" t="s">
        <v>522</v>
      </c>
      <c r="D103" s="127">
        <f t="shared" ref="D103:AC103" si="25">SUM(D95:D102)</f>
        <v>0</v>
      </c>
      <c r="E103" s="127">
        <f t="shared" si="25"/>
        <v>0</v>
      </c>
      <c r="F103" s="127">
        <f t="shared" si="25"/>
        <v>0</v>
      </c>
      <c r="G103" s="127">
        <f t="shared" si="25"/>
        <v>0</v>
      </c>
      <c r="H103" s="127">
        <f t="shared" si="25"/>
        <v>0</v>
      </c>
      <c r="I103" s="127">
        <f t="shared" si="25"/>
        <v>0</v>
      </c>
      <c r="J103" s="127">
        <f t="shared" si="25"/>
        <v>0</v>
      </c>
      <c r="K103" s="127">
        <f t="shared" si="25"/>
        <v>0</v>
      </c>
      <c r="L103" s="127">
        <f t="shared" si="25"/>
        <v>0</v>
      </c>
      <c r="M103" s="127">
        <f t="shared" si="25"/>
        <v>0</v>
      </c>
      <c r="N103" s="127">
        <f t="shared" si="25"/>
        <v>0</v>
      </c>
      <c r="O103" s="127">
        <f t="shared" si="25"/>
        <v>0</v>
      </c>
      <c r="P103" s="127">
        <f t="shared" si="25"/>
        <v>0</v>
      </c>
      <c r="Q103" s="127">
        <f t="shared" si="25"/>
        <v>0</v>
      </c>
      <c r="R103" s="127">
        <f t="shared" si="25"/>
        <v>0</v>
      </c>
      <c r="S103" s="127">
        <f t="shared" si="25"/>
        <v>0</v>
      </c>
      <c r="T103" s="127">
        <f t="shared" si="25"/>
        <v>0</v>
      </c>
      <c r="U103" s="127">
        <f t="shared" si="25"/>
        <v>0</v>
      </c>
      <c r="V103" s="127">
        <f t="shared" si="25"/>
        <v>0</v>
      </c>
      <c r="W103" s="127">
        <f t="shared" si="25"/>
        <v>0</v>
      </c>
      <c r="X103" s="127">
        <f t="shared" si="25"/>
        <v>0</v>
      </c>
      <c r="Y103" s="127">
        <f t="shared" si="25"/>
        <v>0</v>
      </c>
      <c r="Z103" s="127">
        <f t="shared" si="25"/>
        <v>0</v>
      </c>
      <c r="AA103" s="127">
        <f t="shared" si="25"/>
        <v>0</v>
      </c>
      <c r="AB103" s="127">
        <f t="shared" si="25"/>
        <v>0</v>
      </c>
      <c r="AC103" s="127">
        <f t="shared" si="25"/>
        <v>0</v>
      </c>
      <c r="AD103" s="72">
        <f t="shared" si="22"/>
        <v>0</v>
      </c>
      <c r="AE103" s="192" t="e">
        <f t="shared" si="23"/>
        <v>#DIV/0!</v>
      </c>
    </row>
    <row r="104" spans="1:32">
      <c r="A104" s="105" t="s">
        <v>273</v>
      </c>
      <c r="C104" s="105" t="s">
        <v>154</v>
      </c>
    </row>
    <row r="105" spans="1:32">
      <c r="A105" s="105" t="s">
        <v>131</v>
      </c>
      <c r="B105" s="105" t="s">
        <v>625</v>
      </c>
      <c r="C105" s="105" t="s">
        <v>276</v>
      </c>
      <c r="J105" s="123"/>
      <c r="K105" s="123"/>
      <c r="L105" s="123"/>
      <c r="M105" s="123"/>
      <c r="N105" s="123"/>
      <c r="O105" s="123"/>
      <c r="P105" s="123" t="s">
        <v>372</v>
      </c>
      <c r="Q105" s="72">
        <v>0</v>
      </c>
      <c r="R105" s="72">
        <v>0</v>
      </c>
      <c r="S105" s="72">
        <v>0</v>
      </c>
      <c r="T105" s="72">
        <v>0</v>
      </c>
      <c r="U105" s="72">
        <v>0</v>
      </c>
      <c r="V105" s="72">
        <v>0</v>
      </c>
      <c r="W105" s="72">
        <v>0</v>
      </c>
      <c r="X105" s="72">
        <v>0</v>
      </c>
      <c r="Y105" s="72">
        <v>0</v>
      </c>
      <c r="Z105" s="72">
        <v>0</v>
      </c>
      <c r="AA105" s="72">
        <v>0</v>
      </c>
      <c r="AB105" s="72">
        <v>0</v>
      </c>
      <c r="AC105" s="127">
        <f t="shared" ref="AC105:AC113" si="26">SUM(Q105:AB105)</f>
        <v>0</v>
      </c>
      <c r="AD105" s="72" t="e">
        <f t="shared" ref="AD105:AD115" si="27">AC105-P105</f>
        <v>#VALUE!</v>
      </c>
      <c r="AE105" s="192" t="e">
        <f t="shared" ref="AE105:AE115" si="28">AD105/AC105</f>
        <v>#VALUE!</v>
      </c>
    </row>
    <row r="106" spans="1:32">
      <c r="A106" s="105" t="s">
        <v>132</v>
      </c>
      <c r="B106" s="105" t="s">
        <v>625</v>
      </c>
      <c r="C106" s="105" t="s">
        <v>277</v>
      </c>
      <c r="J106" s="123"/>
      <c r="K106" s="123"/>
      <c r="L106" s="123"/>
      <c r="M106" s="123"/>
      <c r="N106" s="123"/>
      <c r="O106" s="123"/>
      <c r="P106" s="123">
        <f t="shared" ref="P106:P113" si="29">SUM(D106:O106)</f>
        <v>0</v>
      </c>
      <c r="Q106" s="72">
        <v>0</v>
      </c>
      <c r="R106" s="72">
        <v>0</v>
      </c>
      <c r="S106" s="72">
        <v>0</v>
      </c>
      <c r="T106" s="72">
        <v>0</v>
      </c>
      <c r="U106" s="72">
        <v>0</v>
      </c>
      <c r="V106" s="72">
        <v>0</v>
      </c>
      <c r="W106" s="72">
        <v>0</v>
      </c>
      <c r="X106" s="72">
        <v>0</v>
      </c>
      <c r="Y106" s="72">
        <v>0</v>
      </c>
      <c r="Z106" s="72">
        <v>0</v>
      </c>
      <c r="AA106" s="72">
        <v>0</v>
      </c>
      <c r="AB106" s="72">
        <v>0</v>
      </c>
      <c r="AC106" s="127">
        <f t="shared" si="26"/>
        <v>0</v>
      </c>
      <c r="AD106" s="72">
        <f t="shared" si="27"/>
        <v>0</v>
      </c>
      <c r="AE106" s="192" t="e">
        <f t="shared" si="28"/>
        <v>#DIV/0!</v>
      </c>
    </row>
    <row r="107" spans="1:32">
      <c r="A107" s="105" t="s">
        <v>133</v>
      </c>
      <c r="B107" s="105" t="s">
        <v>625</v>
      </c>
      <c r="C107" s="105" t="s">
        <v>278</v>
      </c>
      <c r="J107" s="123"/>
      <c r="K107" s="123"/>
      <c r="L107" s="123"/>
      <c r="M107" s="123"/>
      <c r="N107" s="123"/>
      <c r="O107" s="123"/>
      <c r="P107" s="123">
        <f t="shared" si="29"/>
        <v>0</v>
      </c>
      <c r="Q107" s="72">
        <v>0</v>
      </c>
      <c r="R107" s="72">
        <v>0</v>
      </c>
      <c r="S107" s="72">
        <v>0</v>
      </c>
      <c r="T107" s="72">
        <v>0</v>
      </c>
      <c r="U107" s="72">
        <v>0</v>
      </c>
      <c r="V107" s="72">
        <v>0</v>
      </c>
      <c r="W107" s="72">
        <v>0</v>
      </c>
      <c r="X107" s="72">
        <v>0</v>
      </c>
      <c r="Y107" s="72">
        <v>0</v>
      </c>
      <c r="Z107" s="72">
        <v>0</v>
      </c>
      <c r="AA107" s="72">
        <v>0</v>
      </c>
      <c r="AB107" s="72">
        <v>0</v>
      </c>
      <c r="AC107" s="127">
        <f t="shared" si="26"/>
        <v>0</v>
      </c>
      <c r="AD107" s="72">
        <f t="shared" si="27"/>
        <v>0</v>
      </c>
      <c r="AE107" s="192" t="e">
        <f t="shared" si="28"/>
        <v>#DIV/0!</v>
      </c>
    </row>
    <row r="108" spans="1:32">
      <c r="A108" s="105" t="s">
        <v>134</v>
      </c>
      <c r="B108" s="105" t="s">
        <v>625</v>
      </c>
      <c r="C108" s="105" t="s">
        <v>279</v>
      </c>
      <c r="J108" s="123"/>
      <c r="K108" s="123"/>
      <c r="L108" s="123"/>
      <c r="M108" s="123"/>
      <c r="N108" s="123"/>
      <c r="O108" s="123"/>
      <c r="P108" s="123">
        <f t="shared" si="29"/>
        <v>0</v>
      </c>
      <c r="Q108" s="72">
        <v>0</v>
      </c>
      <c r="R108" s="72">
        <v>0</v>
      </c>
      <c r="S108" s="72">
        <v>0</v>
      </c>
      <c r="T108" s="72">
        <v>0</v>
      </c>
      <c r="U108" s="72">
        <v>0</v>
      </c>
      <c r="V108" s="72">
        <v>0</v>
      </c>
      <c r="W108" s="72">
        <v>0</v>
      </c>
      <c r="X108" s="72">
        <v>0</v>
      </c>
      <c r="Y108" s="72">
        <v>0</v>
      </c>
      <c r="Z108" s="72">
        <v>0</v>
      </c>
      <c r="AA108" s="72">
        <v>0</v>
      </c>
      <c r="AB108" s="72">
        <v>0</v>
      </c>
      <c r="AC108" s="127">
        <f t="shared" si="26"/>
        <v>0</v>
      </c>
      <c r="AD108" s="72">
        <f t="shared" si="27"/>
        <v>0</v>
      </c>
      <c r="AE108" s="192" t="e">
        <f t="shared" si="28"/>
        <v>#DIV/0!</v>
      </c>
    </row>
    <row r="109" spans="1:32">
      <c r="A109" s="105" t="s">
        <v>135</v>
      </c>
      <c r="B109" s="105" t="s">
        <v>625</v>
      </c>
      <c r="C109" s="105" t="s">
        <v>280</v>
      </c>
      <c r="P109" s="72">
        <f t="shared" si="29"/>
        <v>0</v>
      </c>
      <c r="Q109" s="72">
        <v>0</v>
      </c>
      <c r="R109" s="72">
        <v>0</v>
      </c>
      <c r="S109" s="72">
        <v>0</v>
      </c>
      <c r="T109" s="72">
        <v>0</v>
      </c>
      <c r="U109" s="72">
        <v>0</v>
      </c>
      <c r="V109" s="72">
        <v>0</v>
      </c>
      <c r="W109" s="72">
        <v>0</v>
      </c>
      <c r="X109" s="72">
        <v>0</v>
      </c>
      <c r="Y109" s="72">
        <v>0</v>
      </c>
      <c r="Z109" s="72">
        <v>0</v>
      </c>
      <c r="AA109" s="72">
        <v>0</v>
      </c>
      <c r="AB109" s="72">
        <v>0</v>
      </c>
      <c r="AC109" s="127">
        <f t="shared" si="26"/>
        <v>0</v>
      </c>
      <c r="AD109" s="72">
        <f t="shared" si="27"/>
        <v>0</v>
      </c>
      <c r="AE109" s="192" t="e">
        <f t="shared" si="28"/>
        <v>#DIV/0!</v>
      </c>
    </row>
    <row r="110" spans="1:32">
      <c r="A110" s="105" t="s">
        <v>136</v>
      </c>
      <c r="B110" s="105" t="s">
        <v>625</v>
      </c>
      <c r="C110" s="105" t="s">
        <v>282</v>
      </c>
      <c r="P110" s="72">
        <f t="shared" si="29"/>
        <v>0</v>
      </c>
      <c r="Q110" s="72">
        <v>0</v>
      </c>
      <c r="R110" s="72">
        <v>0</v>
      </c>
      <c r="S110" s="72">
        <v>0</v>
      </c>
      <c r="T110" s="72">
        <v>0</v>
      </c>
      <c r="U110" s="72">
        <v>0</v>
      </c>
      <c r="V110" s="72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127">
        <f t="shared" si="26"/>
        <v>0</v>
      </c>
      <c r="AD110" s="72">
        <f t="shared" si="27"/>
        <v>0</v>
      </c>
      <c r="AE110" s="192" t="e">
        <f t="shared" si="28"/>
        <v>#DIV/0!</v>
      </c>
    </row>
    <row r="111" spans="1:32">
      <c r="A111" s="105" t="s">
        <v>137</v>
      </c>
      <c r="B111" s="105" t="s">
        <v>625</v>
      </c>
      <c r="C111" s="105" t="s">
        <v>283</v>
      </c>
      <c r="P111" s="72">
        <f t="shared" si="29"/>
        <v>0</v>
      </c>
      <c r="Q111" s="72">
        <v>0</v>
      </c>
      <c r="R111" s="72">
        <v>0</v>
      </c>
      <c r="S111" s="72">
        <v>0</v>
      </c>
      <c r="T111" s="72">
        <v>0</v>
      </c>
      <c r="U111" s="72">
        <v>0</v>
      </c>
      <c r="V111" s="72">
        <v>0</v>
      </c>
      <c r="W111" s="72">
        <v>0</v>
      </c>
      <c r="X111" s="72">
        <v>0</v>
      </c>
      <c r="Y111" s="72">
        <v>0</v>
      </c>
      <c r="Z111" s="72">
        <v>0</v>
      </c>
      <c r="AA111" s="72">
        <v>0</v>
      </c>
      <c r="AB111" s="72">
        <v>0</v>
      </c>
      <c r="AC111" s="127">
        <f t="shared" si="26"/>
        <v>0</v>
      </c>
      <c r="AD111" s="72">
        <f t="shared" si="27"/>
        <v>0</v>
      </c>
      <c r="AE111" s="192" t="e">
        <f t="shared" si="28"/>
        <v>#DIV/0!</v>
      </c>
    </row>
    <row r="112" spans="1:32">
      <c r="A112" s="105" t="s">
        <v>138</v>
      </c>
      <c r="B112" s="105" t="s">
        <v>625</v>
      </c>
      <c r="C112" s="105" t="s">
        <v>472</v>
      </c>
      <c r="J112" s="140"/>
      <c r="K112" s="140"/>
      <c r="L112" s="140"/>
      <c r="M112" s="140"/>
      <c r="N112" s="140"/>
      <c r="O112" s="140"/>
      <c r="P112" s="72">
        <f t="shared" si="29"/>
        <v>0</v>
      </c>
      <c r="Q112" s="72">
        <v>0</v>
      </c>
      <c r="R112" s="72">
        <v>0</v>
      </c>
      <c r="S112" s="72">
        <v>0</v>
      </c>
      <c r="T112" s="72">
        <v>0</v>
      </c>
      <c r="U112" s="72">
        <v>0</v>
      </c>
      <c r="V112" s="72">
        <v>0</v>
      </c>
      <c r="W112" s="72">
        <v>0</v>
      </c>
      <c r="X112" s="72">
        <v>0</v>
      </c>
      <c r="Y112" s="72">
        <v>0</v>
      </c>
      <c r="Z112" s="72">
        <v>0</v>
      </c>
      <c r="AA112" s="72">
        <v>0</v>
      </c>
      <c r="AB112" s="72">
        <v>0</v>
      </c>
      <c r="AC112" s="127">
        <f t="shared" si="26"/>
        <v>0</v>
      </c>
      <c r="AD112" s="72">
        <f t="shared" si="27"/>
        <v>0</v>
      </c>
      <c r="AE112" s="192" t="e">
        <f t="shared" si="28"/>
        <v>#DIV/0!</v>
      </c>
      <c r="AF112" s="72"/>
    </row>
    <row r="113" spans="1:32">
      <c r="A113" s="105" t="s">
        <v>140</v>
      </c>
      <c r="B113" s="105" t="s">
        <v>625</v>
      </c>
      <c r="C113" s="105" t="s">
        <v>473</v>
      </c>
      <c r="J113" s="140"/>
      <c r="K113" s="140"/>
      <c r="L113" s="140"/>
      <c r="M113" s="140"/>
      <c r="N113" s="140"/>
      <c r="O113" s="140"/>
      <c r="P113" s="72">
        <f t="shared" si="29"/>
        <v>0</v>
      </c>
      <c r="Q113" s="72">
        <v>0</v>
      </c>
      <c r="R113" s="72">
        <v>0</v>
      </c>
      <c r="S113" s="72">
        <v>0</v>
      </c>
      <c r="T113" s="72">
        <v>0</v>
      </c>
      <c r="U113" s="72">
        <v>0</v>
      </c>
      <c r="V113" s="72">
        <v>0</v>
      </c>
      <c r="W113" s="72">
        <v>0</v>
      </c>
      <c r="X113" s="72">
        <v>0</v>
      </c>
      <c r="Y113" s="72">
        <v>0</v>
      </c>
      <c r="Z113" s="72">
        <v>0</v>
      </c>
      <c r="AA113" s="72">
        <v>0</v>
      </c>
      <c r="AB113" s="72">
        <v>0</v>
      </c>
      <c r="AC113" s="127">
        <f t="shared" si="26"/>
        <v>0</v>
      </c>
      <c r="AD113" s="72">
        <f t="shared" si="27"/>
        <v>0</v>
      </c>
      <c r="AE113" s="192" t="e">
        <f t="shared" si="28"/>
        <v>#DIV/0!</v>
      </c>
      <c r="AF113" s="72"/>
    </row>
    <row r="114" spans="1:32">
      <c r="A114" s="105" t="s">
        <v>273</v>
      </c>
      <c r="C114" s="109" t="s">
        <v>523</v>
      </c>
      <c r="D114" s="127">
        <f t="shared" ref="D114:AC114" si="30">SUM(D105:D113)</f>
        <v>0</v>
      </c>
      <c r="E114" s="127">
        <f t="shared" si="30"/>
        <v>0</v>
      </c>
      <c r="F114" s="127">
        <f t="shared" si="30"/>
        <v>0</v>
      </c>
      <c r="G114" s="127">
        <f t="shared" si="30"/>
        <v>0</v>
      </c>
      <c r="H114" s="127">
        <f t="shared" si="30"/>
        <v>0</v>
      </c>
      <c r="I114" s="127">
        <f t="shared" si="30"/>
        <v>0</v>
      </c>
      <c r="J114" s="127">
        <f t="shared" si="30"/>
        <v>0</v>
      </c>
      <c r="K114" s="127">
        <f t="shared" si="30"/>
        <v>0</v>
      </c>
      <c r="L114" s="127">
        <f t="shared" si="30"/>
        <v>0</v>
      </c>
      <c r="M114" s="127">
        <f t="shared" si="30"/>
        <v>0</v>
      </c>
      <c r="N114" s="127">
        <f t="shared" si="30"/>
        <v>0</v>
      </c>
      <c r="O114" s="127">
        <f t="shared" si="30"/>
        <v>0</v>
      </c>
      <c r="P114" s="127">
        <f t="shared" si="30"/>
        <v>0</v>
      </c>
      <c r="Q114" s="127">
        <f t="shared" si="30"/>
        <v>0</v>
      </c>
      <c r="R114" s="127">
        <f t="shared" si="30"/>
        <v>0</v>
      </c>
      <c r="S114" s="127">
        <f t="shared" si="30"/>
        <v>0</v>
      </c>
      <c r="T114" s="127">
        <f t="shared" si="30"/>
        <v>0</v>
      </c>
      <c r="U114" s="127">
        <f t="shared" si="30"/>
        <v>0</v>
      </c>
      <c r="V114" s="127">
        <f t="shared" si="30"/>
        <v>0</v>
      </c>
      <c r="W114" s="127">
        <f t="shared" si="30"/>
        <v>0</v>
      </c>
      <c r="X114" s="127">
        <f t="shared" si="30"/>
        <v>0</v>
      </c>
      <c r="Y114" s="127">
        <f t="shared" si="30"/>
        <v>0</v>
      </c>
      <c r="Z114" s="127">
        <f t="shared" si="30"/>
        <v>0</v>
      </c>
      <c r="AA114" s="127">
        <f t="shared" si="30"/>
        <v>0</v>
      </c>
      <c r="AB114" s="127">
        <f t="shared" si="30"/>
        <v>0</v>
      </c>
      <c r="AC114" s="127">
        <f t="shared" si="30"/>
        <v>0</v>
      </c>
      <c r="AD114" s="72">
        <f t="shared" si="27"/>
        <v>0</v>
      </c>
      <c r="AE114" s="192" t="e">
        <f t="shared" si="28"/>
        <v>#DIV/0!</v>
      </c>
    </row>
    <row r="115" spans="1:32">
      <c r="A115" s="105" t="s">
        <v>273</v>
      </c>
      <c r="C115" s="109" t="s">
        <v>524</v>
      </c>
      <c r="D115" s="127">
        <f t="shared" ref="D115:AC115" si="31">D86+D93+D103+D114</f>
        <v>0</v>
      </c>
      <c r="E115" s="127">
        <f t="shared" si="31"/>
        <v>0</v>
      </c>
      <c r="F115" s="127">
        <f t="shared" si="31"/>
        <v>0</v>
      </c>
      <c r="G115" s="127">
        <f t="shared" si="31"/>
        <v>0</v>
      </c>
      <c r="H115" s="127">
        <f t="shared" si="31"/>
        <v>0</v>
      </c>
      <c r="I115" s="127">
        <f t="shared" si="31"/>
        <v>0</v>
      </c>
      <c r="J115" s="127">
        <f t="shared" si="31"/>
        <v>0</v>
      </c>
      <c r="K115" s="127">
        <f t="shared" si="31"/>
        <v>0</v>
      </c>
      <c r="L115" s="127">
        <f t="shared" si="31"/>
        <v>0</v>
      </c>
      <c r="M115" s="127">
        <f t="shared" si="31"/>
        <v>0</v>
      </c>
      <c r="N115" s="127">
        <f t="shared" si="31"/>
        <v>0</v>
      </c>
      <c r="O115" s="127">
        <f t="shared" si="31"/>
        <v>0</v>
      </c>
      <c r="P115" s="127">
        <f t="shared" si="31"/>
        <v>0</v>
      </c>
      <c r="Q115" s="127">
        <f t="shared" si="31"/>
        <v>0</v>
      </c>
      <c r="R115" s="127">
        <f t="shared" si="31"/>
        <v>0</v>
      </c>
      <c r="S115" s="127">
        <f t="shared" si="31"/>
        <v>0</v>
      </c>
      <c r="T115" s="127">
        <f t="shared" si="31"/>
        <v>0</v>
      </c>
      <c r="U115" s="127">
        <f t="shared" si="31"/>
        <v>0</v>
      </c>
      <c r="V115" s="127">
        <f t="shared" si="31"/>
        <v>0</v>
      </c>
      <c r="W115" s="127">
        <f t="shared" si="31"/>
        <v>0</v>
      </c>
      <c r="X115" s="127">
        <f t="shared" si="31"/>
        <v>0</v>
      </c>
      <c r="Y115" s="127">
        <f t="shared" si="31"/>
        <v>0</v>
      </c>
      <c r="Z115" s="127">
        <f t="shared" si="31"/>
        <v>0</v>
      </c>
      <c r="AA115" s="127">
        <f t="shared" si="31"/>
        <v>0</v>
      </c>
      <c r="AB115" s="127">
        <f t="shared" si="31"/>
        <v>0</v>
      </c>
      <c r="AC115" s="127">
        <f t="shared" si="31"/>
        <v>0</v>
      </c>
      <c r="AD115" s="72">
        <f t="shared" si="27"/>
        <v>0</v>
      </c>
      <c r="AE115" s="192" t="e">
        <f t="shared" si="28"/>
        <v>#DIV/0!</v>
      </c>
    </row>
    <row r="116" spans="1:32">
      <c r="A116" s="105" t="s">
        <v>273</v>
      </c>
      <c r="C116" s="105" t="s">
        <v>154</v>
      </c>
    </row>
    <row r="117" spans="1:32">
      <c r="A117" s="105" t="s">
        <v>141</v>
      </c>
      <c r="B117" s="105" t="s">
        <v>625</v>
      </c>
      <c r="C117" s="105" t="s">
        <v>142</v>
      </c>
      <c r="P117" s="72">
        <f>SUM(D117:O117)/12</f>
        <v>0</v>
      </c>
      <c r="Q117" s="72">
        <v>0</v>
      </c>
      <c r="R117" s="72">
        <v>0</v>
      </c>
      <c r="S117" s="72">
        <v>0</v>
      </c>
      <c r="T117" s="72">
        <v>0</v>
      </c>
      <c r="U117" s="72">
        <v>0</v>
      </c>
      <c r="V117" s="72">
        <v>0</v>
      </c>
      <c r="W117" s="127">
        <v>0</v>
      </c>
      <c r="X117" s="127">
        <v>0</v>
      </c>
      <c r="Y117" s="127">
        <v>0</v>
      </c>
      <c r="Z117" s="127">
        <v>0</v>
      </c>
      <c r="AA117" s="127">
        <v>0</v>
      </c>
      <c r="AB117" s="127">
        <v>0</v>
      </c>
      <c r="AC117" s="127">
        <f>SUM(Q117:AB117)/12</f>
        <v>0</v>
      </c>
      <c r="AD117" s="72">
        <f>AC117-P117</f>
        <v>0</v>
      </c>
      <c r="AE117" s="192" t="e">
        <f>AD117/AC117</f>
        <v>#DIV/0!</v>
      </c>
    </row>
  </sheetData>
  <phoneticPr fontId="7" type="noConversion"/>
  <dataValidations count="4"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40000_x000d__x000a_" sqref="AD9">
      <formula1>0</formula1>
      <formula2>300</formula2>
    </dataValidation>
    <dataValidation type="textLength" errorStyle="information" allowBlank="1" showInputMessage="1" showErrorMessage="1" error="XLBVal:6=1214.54_x000d__x000a_" sqref="J9:O9">
      <formula1>0</formula1>
      <formula2>300</formula2>
    </dataValidation>
    <dataValidation type="textLength" errorStyle="information" allowBlank="1" showInputMessage="1" showErrorMessage="1" error="XLBVal:2=0_x000d__x000a_" sqref="D117:I117 D95:I102 D13:I13 D66:I70 D83:I85 D19:I60 D88:I92 D105:I113 Q105:AB113 Q95:AB102 Q83:AB85 Q13:AB13 W74:AB78 Q19:AB60 Q88:AB92 Q66:AB70 Q117:AB117 Q9:AB9 D9:I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35" orientation="landscape" r:id="rId1"/>
  <headerFooter>
    <oddFooter>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D7C3F6"/>
  </sheetPr>
  <dimension ref="A1:AI84"/>
  <sheetViews>
    <sheetView view="pageBreakPreview" topLeftCell="C1" zoomScaleNormal="100" zoomScaleSheetLayoutView="100" workbookViewId="0">
      <pane xSplit="2" ySplit="7" topLeftCell="Y8" activePane="bottomRight" state="frozen"/>
      <selection activeCell="AP43" sqref="AP43"/>
      <selection pane="topRight" activeCell="AP43" sqref="AP43"/>
      <selection pane="bottomLeft" activeCell="AP43" sqref="AP43"/>
      <selection pane="bottomRight" activeCell="AI26" sqref="AI26"/>
    </sheetView>
  </sheetViews>
  <sheetFormatPr defaultColWidth="9" defaultRowHeight="14.25" outlineLevelCol="2"/>
  <cols>
    <col min="1" max="2" width="9" style="105" hidden="1" customWidth="1" outlineLevel="1"/>
    <col min="3" max="3" width="38.5" style="105" customWidth="1" collapsed="1"/>
    <col min="4" max="15" width="19.5" style="124" customWidth="1"/>
    <col min="16" max="16" width="19.5" style="129" customWidth="1"/>
    <col min="17" max="23" width="19.125" style="124" customWidth="1" outlineLevel="1"/>
    <col min="24" max="28" width="18.375" style="124" customWidth="1" outlineLevel="2"/>
    <col min="29" max="29" width="19.5" style="129" customWidth="1"/>
    <col min="30" max="30" width="19.5" style="124" customWidth="1"/>
    <col min="31" max="31" width="10.5" style="124" customWidth="1"/>
    <col min="32" max="32" width="19.5" style="109" hidden="1" customWidth="1"/>
    <col min="33" max="33" width="17.25" style="124" hidden="1" customWidth="1"/>
    <col min="34" max="34" width="9" style="105"/>
    <col min="35" max="35" width="14.875" style="105" bestFit="1" customWidth="1"/>
    <col min="36" max="16384" width="9" style="105"/>
  </cols>
  <sheetData>
    <row r="1" spans="1:35" s="100" customFormat="1">
      <c r="A1" s="100" t="s">
        <v>628</v>
      </c>
      <c r="C1" s="100" t="s">
        <v>146</v>
      </c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7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E1" s="183"/>
      <c r="AF1" s="103"/>
      <c r="AG1" s="183"/>
    </row>
    <row r="2" spans="1:35" s="100" customFormat="1">
      <c r="C2" s="100" t="s">
        <v>147</v>
      </c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7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E2" s="183"/>
      <c r="AF2" s="103"/>
      <c r="AG2" s="183"/>
    </row>
    <row r="3" spans="1:35">
      <c r="C3" s="105" t="s">
        <v>629</v>
      </c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209"/>
      <c r="Q3" s="108" t="s">
        <v>321</v>
      </c>
      <c r="R3" s="108" t="s">
        <v>630</v>
      </c>
      <c r="S3" s="108" t="s">
        <v>321</v>
      </c>
      <c r="T3" s="108" t="s">
        <v>321</v>
      </c>
      <c r="U3" s="108" t="s">
        <v>321</v>
      </c>
      <c r="V3" s="108" t="s">
        <v>0</v>
      </c>
      <c r="W3" s="108" t="s">
        <v>0</v>
      </c>
      <c r="X3" s="108" t="s">
        <v>0</v>
      </c>
      <c r="Y3" s="108" t="s">
        <v>631</v>
      </c>
      <c r="Z3" s="108" t="s">
        <v>321</v>
      </c>
      <c r="AA3" s="108" t="s">
        <v>631</v>
      </c>
      <c r="AB3" s="108" t="s">
        <v>0</v>
      </c>
      <c r="AC3" s="209"/>
      <c r="AD3" s="184"/>
      <c r="AE3" s="184"/>
      <c r="AG3" s="184"/>
    </row>
    <row r="4" spans="1:35" s="100" customFormat="1" ht="18">
      <c r="C4" s="18">
        <f>+'2025 Summay'!$D$7</f>
        <v>2025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72"/>
      <c r="Q4" s="101"/>
      <c r="R4" s="101"/>
      <c r="S4" s="101"/>
      <c r="T4" s="101"/>
      <c r="U4" s="101"/>
      <c r="V4" s="101"/>
      <c r="W4" s="101"/>
      <c r="X4" s="183"/>
      <c r="Y4" s="183"/>
      <c r="Z4" s="183"/>
      <c r="AA4" s="183"/>
      <c r="AB4" s="183"/>
      <c r="AC4" s="172"/>
      <c r="AD4" s="183"/>
      <c r="AE4" s="183"/>
      <c r="AF4" s="103"/>
      <c r="AG4" s="183"/>
    </row>
    <row r="5" spans="1:35" s="100" customFormat="1">
      <c r="C5" s="100" t="s">
        <v>154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72"/>
      <c r="Q5" s="101"/>
      <c r="R5" s="101"/>
      <c r="S5" s="101"/>
      <c r="T5" s="101"/>
      <c r="U5" s="101"/>
      <c r="V5" s="101"/>
      <c r="W5" s="101"/>
      <c r="X5" s="183"/>
      <c r="Y5" s="183"/>
      <c r="Z5" s="183"/>
      <c r="AA5" s="183"/>
      <c r="AB5" s="183"/>
      <c r="AC5" s="172"/>
      <c r="AD5" s="183"/>
      <c r="AE5" s="183"/>
      <c r="AF5" s="103"/>
      <c r="AG5" s="183"/>
    </row>
    <row r="6" spans="1:35" s="100" customFormat="1">
      <c r="C6" s="100" t="s">
        <v>154</v>
      </c>
      <c r="D6" s="183">
        <f>'2025 Summay'!E9</f>
        <v>1</v>
      </c>
      <c r="E6" s="183">
        <f>'2025 Summay'!F9</f>
        <v>2</v>
      </c>
      <c r="F6" s="183">
        <f>'2025 Summay'!G9</f>
        <v>3</v>
      </c>
      <c r="G6" s="183">
        <f>'2025 Summay'!H9</f>
        <v>4</v>
      </c>
      <c r="H6" s="183">
        <f>'2025 Summay'!I9</f>
        <v>5</v>
      </c>
      <c r="I6" s="183">
        <f>'2025 Summay'!J9</f>
        <v>6</v>
      </c>
      <c r="J6" s="183">
        <f>'2025 Summay'!K9</f>
        <v>7</v>
      </c>
      <c r="K6" s="183">
        <f>'2025 Summay'!L9</f>
        <v>8</v>
      </c>
      <c r="L6" s="183">
        <f>'2025 Summay'!M9</f>
        <v>9</v>
      </c>
      <c r="M6" s="183">
        <f>'2025 Summay'!N9</f>
        <v>10</v>
      </c>
      <c r="N6" s="183">
        <f>'2025 Summay'!O9</f>
        <v>11</v>
      </c>
      <c r="O6" s="183">
        <f>'2025 Summay'!P9</f>
        <v>12</v>
      </c>
      <c r="P6" s="242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 t="s">
        <v>6</v>
      </c>
      <c r="AE6" s="243" t="s">
        <v>156</v>
      </c>
      <c r="AF6" s="115">
        <v>2019</v>
      </c>
      <c r="AG6" s="183"/>
    </row>
    <row r="7" spans="1:35">
      <c r="C7" s="105" t="s">
        <v>154</v>
      </c>
      <c r="D7" s="124" t="str">
        <f>'2025 Summay'!E10</f>
        <v>Budget</v>
      </c>
      <c r="E7" s="124" t="str">
        <f>'2025 Summay'!F10</f>
        <v>Budget</v>
      </c>
      <c r="F7" s="124" t="str">
        <f>'2025 Summay'!G10</f>
        <v>Budget</v>
      </c>
      <c r="G7" s="124" t="str">
        <f>'2025 Summay'!H10</f>
        <v>Budget</v>
      </c>
      <c r="H7" s="124" t="str">
        <f>'2025 Summay'!I10</f>
        <v>Budget</v>
      </c>
      <c r="I7" s="124" t="str">
        <f>'2025 Summay'!J10</f>
        <v>Budget</v>
      </c>
      <c r="J7" s="124" t="str">
        <f>'2025 Summay'!K10</f>
        <v>Budget</v>
      </c>
      <c r="K7" s="124" t="str">
        <f>'2025 Summay'!L10</f>
        <v>Budget</v>
      </c>
      <c r="L7" s="124" t="str">
        <f>'2025 Summay'!M10</f>
        <v>Budget</v>
      </c>
      <c r="M7" s="124" t="str">
        <f>'2025 Summay'!N10</f>
        <v>Budget</v>
      </c>
      <c r="N7" s="124" t="str">
        <f>'2025 Summay'!O10</f>
        <v>Budget</v>
      </c>
      <c r="O7" s="124" t="str">
        <f>'2025 Summay'!P10</f>
        <v>Budget</v>
      </c>
      <c r="P7" s="129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189"/>
      <c r="AE7" s="246"/>
      <c r="AF7" s="158" t="s">
        <v>12</v>
      </c>
    </row>
    <row r="8" spans="1:35">
      <c r="C8" s="105" t="s">
        <v>158</v>
      </c>
      <c r="D8" s="124" t="s">
        <v>632</v>
      </c>
      <c r="E8" s="124" t="s">
        <v>633</v>
      </c>
      <c r="F8" s="124" t="s">
        <v>633</v>
      </c>
      <c r="H8" s="124" t="s">
        <v>633</v>
      </c>
      <c r="J8" s="124" t="s">
        <v>633</v>
      </c>
      <c r="L8" s="124" t="s">
        <v>633</v>
      </c>
      <c r="M8" s="124" t="s">
        <v>633</v>
      </c>
      <c r="N8" s="124" t="s">
        <v>633</v>
      </c>
      <c r="AF8" s="129"/>
    </row>
    <row r="9" spans="1:35">
      <c r="A9" s="105" t="s">
        <v>634</v>
      </c>
      <c r="B9" s="105" t="s">
        <v>635</v>
      </c>
      <c r="C9" s="105" t="s">
        <v>636</v>
      </c>
      <c r="D9" s="247">
        <f>Recreation!D9</f>
        <v>0</v>
      </c>
      <c r="E9" s="247">
        <f>Recreation!E9</f>
        <v>0</v>
      </c>
      <c r="F9" s="247">
        <f>Recreation!F9</f>
        <v>0</v>
      </c>
      <c r="G9" s="247">
        <f>Recreation!G9</f>
        <v>0</v>
      </c>
      <c r="H9" s="247">
        <f>Recreation!H9</f>
        <v>0</v>
      </c>
      <c r="I9" s="247">
        <f>Recreation!I9</f>
        <v>0</v>
      </c>
      <c r="J9" s="247">
        <f>Recreation!J9</f>
        <v>0</v>
      </c>
      <c r="K9" s="247">
        <f>Recreation!K9</f>
        <v>0</v>
      </c>
      <c r="L9" s="247">
        <f>Recreation!L9</f>
        <v>0</v>
      </c>
      <c r="M9" s="247">
        <f>Recreation!M9</f>
        <v>0</v>
      </c>
      <c r="N9" s="247">
        <f>Recreation!N9</f>
        <v>0</v>
      </c>
      <c r="O9" s="247">
        <f>Recreation!O9</f>
        <v>0</v>
      </c>
      <c r="P9" s="248">
        <f>SUM(D9:O9)</f>
        <v>0</v>
      </c>
      <c r="Q9" s="247">
        <f>Recreation!Q9</f>
        <v>0</v>
      </c>
      <c r="R9" s="247">
        <f>Recreation!R9</f>
        <v>0</v>
      </c>
      <c r="S9" s="247">
        <f>Recreation!S9</f>
        <v>0</v>
      </c>
      <c r="T9" s="247">
        <f>Recreation!T9</f>
        <v>0</v>
      </c>
      <c r="U9" s="247">
        <f>Recreation!U9</f>
        <v>0</v>
      </c>
      <c r="V9" s="247">
        <f>Recreation!V9</f>
        <v>0</v>
      </c>
      <c r="W9" s="247">
        <f>Recreation!W9</f>
        <v>0</v>
      </c>
      <c r="X9" s="247">
        <f>Recreation!X9</f>
        <v>0</v>
      </c>
      <c r="Y9" s="247">
        <f>Recreation!Y9</f>
        <v>0</v>
      </c>
      <c r="Z9" s="247">
        <f>Recreation!Z9</f>
        <v>0</v>
      </c>
      <c r="AA9" s="247">
        <f>Recreation!AA9</f>
        <v>0</v>
      </c>
      <c r="AB9" s="247">
        <f>Recreation!AB9</f>
        <v>0</v>
      </c>
      <c r="AC9" s="129">
        <f>SUM(Q9:AB9)</f>
        <v>0</v>
      </c>
      <c r="AF9" s="129">
        <v>0</v>
      </c>
      <c r="AG9" s="124">
        <f t="shared" ref="AG9:AG18" si="0">P9-AF9</f>
        <v>0</v>
      </c>
    </row>
    <row r="10" spans="1:35">
      <c r="A10" s="105" t="s">
        <v>637</v>
      </c>
      <c r="B10" s="105" t="s">
        <v>638</v>
      </c>
      <c r="C10" s="105" t="s">
        <v>639</v>
      </c>
      <c r="D10" s="124">
        <f>Pool!E12</f>
        <v>48490</v>
      </c>
      <c r="E10" s="124">
        <f>Pool!F12</f>
        <v>84307</v>
      </c>
      <c r="F10" s="124">
        <f>Pool!G12</f>
        <v>24147</v>
      </c>
      <c r="G10" s="124">
        <f>Pool!H12</f>
        <v>27504</v>
      </c>
      <c r="H10" s="124">
        <f>Pool!I12</f>
        <v>23260</v>
      </c>
      <c r="I10" s="124">
        <f>Pool!J12</f>
        <v>23115</v>
      </c>
      <c r="J10" s="124">
        <f>Pool!K12</f>
        <v>55126</v>
      </c>
      <c r="K10" s="124">
        <f>Pool!L12</f>
        <v>56955</v>
      </c>
      <c r="L10" s="124">
        <f>Pool!M12</f>
        <v>28235</v>
      </c>
      <c r="M10" s="124">
        <f>Pool!N12</f>
        <v>51878</v>
      </c>
      <c r="N10" s="124">
        <f>Pool!O12</f>
        <v>27325</v>
      </c>
      <c r="O10" s="124">
        <f>Pool!P12</f>
        <v>30933</v>
      </c>
      <c r="P10" s="129">
        <f>SUM(D10:O10)</f>
        <v>481275</v>
      </c>
      <c r="Q10" s="124">
        <f>Pool!R12</f>
        <v>50697.2</v>
      </c>
      <c r="R10" s="124">
        <f>Pool!S12</f>
        <v>90114.7</v>
      </c>
      <c r="S10" s="124">
        <f>Pool!T12</f>
        <v>25889.9</v>
      </c>
      <c r="T10" s="124">
        <f>Pool!U12</f>
        <v>29060.16</v>
      </c>
      <c r="U10" s="124">
        <f>Pool!V12</f>
        <v>23512.84</v>
      </c>
      <c r="V10" s="124">
        <f>Pool!W12</f>
        <v>24834.3</v>
      </c>
      <c r="W10" s="124">
        <f>Pool!X12</f>
        <v>58594.400000000001</v>
      </c>
      <c r="X10" s="124">
        <f>Pool!Y12</f>
        <v>79066.3</v>
      </c>
      <c r="Y10" s="124">
        <f>Pool!Z12</f>
        <v>30000</v>
      </c>
      <c r="Z10" s="124">
        <f>Pool!AA12</f>
        <v>50000</v>
      </c>
      <c r="AA10" s="124">
        <f>Pool!AB12</f>
        <v>28000</v>
      </c>
      <c r="AB10" s="124">
        <f>Pool!AC12</f>
        <v>32000</v>
      </c>
      <c r="AC10" s="129">
        <f t="shared" ref="AC10:AC17" si="1">SUM(Q10:AB10)</f>
        <v>521769.8</v>
      </c>
      <c r="AD10" s="124">
        <f>P10-AC10</f>
        <v>-40494.799999999988</v>
      </c>
      <c r="AE10" s="192">
        <f>AD10/AC10</f>
        <v>-7.7610471131138656E-2</v>
      </c>
      <c r="AF10" s="129">
        <v>952668.2699999999</v>
      </c>
      <c r="AG10" s="124">
        <f t="shared" si="0"/>
        <v>-471393.2699999999</v>
      </c>
      <c r="AH10" s="123"/>
      <c r="AI10" s="124"/>
    </row>
    <row r="11" spans="1:35">
      <c r="A11" s="105" t="s">
        <v>640</v>
      </c>
      <c r="B11" s="105" t="s">
        <v>641</v>
      </c>
      <c r="C11" s="105" t="s">
        <v>642</v>
      </c>
      <c r="D11" s="124">
        <f>Kids!E12</f>
        <v>353465</v>
      </c>
      <c r="E11" s="124">
        <f>Kids!F12</f>
        <v>426120</v>
      </c>
      <c r="F11" s="124">
        <f>Kids!G12</f>
        <v>265145</v>
      </c>
      <c r="G11" s="124">
        <f>Kids!H12</f>
        <v>276792</v>
      </c>
      <c r="H11" s="124">
        <f>Kids!I12</f>
        <v>277204</v>
      </c>
      <c r="I11" s="124">
        <f>Kids!J12</f>
        <v>158177</v>
      </c>
      <c r="J11" s="124">
        <f>Kids!K12</f>
        <v>268913</v>
      </c>
      <c r="K11" s="124">
        <f>Kids!L12</f>
        <v>259937</v>
      </c>
      <c r="L11" s="124">
        <f>Kids!M12</f>
        <v>210666</v>
      </c>
      <c r="M11" s="124">
        <f>Kids!N12</f>
        <v>286191</v>
      </c>
      <c r="N11" s="124">
        <f>Kids!O12</f>
        <v>220391</v>
      </c>
      <c r="O11" s="124">
        <f>Kids!P12</f>
        <v>295639</v>
      </c>
      <c r="P11" s="129">
        <f t="shared" ref="P11:P17" si="2">SUM(D11:O11)</f>
        <v>3298640</v>
      </c>
      <c r="Q11" s="124">
        <f>Kids!R12</f>
        <v>369556.03</v>
      </c>
      <c r="R11" s="124">
        <f>Kids!S12</f>
        <v>455474.4</v>
      </c>
      <c r="S11" s="124">
        <f>Kids!T12</f>
        <v>284277.63</v>
      </c>
      <c r="T11" s="124">
        <f>Kids!U12</f>
        <v>292447.62</v>
      </c>
      <c r="U11" s="124">
        <f>Kids!V12</f>
        <v>280216.67</v>
      </c>
      <c r="V11" s="124">
        <f>Kids!W12</f>
        <v>169944.13</v>
      </c>
      <c r="W11" s="124">
        <f>Kids!X12</f>
        <v>275942.59999999998</v>
      </c>
      <c r="X11" s="124">
        <f>Kids!Y12</f>
        <v>395784.78</v>
      </c>
      <c r="Y11" s="124">
        <f>Kids!Z12</f>
        <v>173833</v>
      </c>
      <c r="Z11" s="124">
        <f>Kids!AA12</f>
        <v>275833</v>
      </c>
      <c r="AA11" s="124">
        <f>Kids!AB12</f>
        <v>225833</v>
      </c>
      <c r="AB11" s="124">
        <f>Kids!AC12</f>
        <v>305833</v>
      </c>
      <c r="AC11" s="129">
        <f t="shared" si="1"/>
        <v>3504975.8600000003</v>
      </c>
      <c r="AD11" s="124">
        <f t="shared" ref="AD11:AD17" si="3">P11-AC11</f>
        <v>-206335.86000000034</v>
      </c>
      <c r="AE11" s="192">
        <f t="shared" ref="AE11:AE18" si="4">AD11/AC11</f>
        <v>-5.8869409731113043E-2</v>
      </c>
      <c r="AF11" s="129">
        <v>1243447.6099999999</v>
      </c>
      <c r="AG11" s="124">
        <f t="shared" si="0"/>
        <v>2055192.3900000001</v>
      </c>
      <c r="AH11" s="123"/>
      <c r="AI11" s="124"/>
    </row>
    <row r="12" spans="1:35">
      <c r="A12" s="105" t="s">
        <v>643</v>
      </c>
      <c r="B12" s="105" t="s">
        <v>644</v>
      </c>
      <c r="C12" s="105" t="s">
        <v>645</v>
      </c>
      <c r="D12" s="124">
        <f>SPA!E15</f>
        <v>0</v>
      </c>
      <c r="E12" s="124">
        <f>SPA!F15</f>
        <v>0</v>
      </c>
      <c r="F12" s="124">
        <f>SPA!G15</f>
        <v>0</v>
      </c>
      <c r="G12" s="124">
        <f>SPA!H15</f>
        <v>0</v>
      </c>
      <c r="H12" s="124">
        <f>SPA!I15</f>
        <v>0</v>
      </c>
      <c r="I12" s="124">
        <f>SPA!J15</f>
        <v>0</v>
      </c>
      <c r="J12" s="124">
        <f>SPA!K15</f>
        <v>0</v>
      </c>
      <c r="K12" s="124">
        <f>SPA!L15</f>
        <v>0</v>
      </c>
      <c r="L12" s="124">
        <f>SPA!M15</f>
        <v>0</v>
      </c>
      <c r="M12" s="124">
        <f>SPA!N15</f>
        <v>0</v>
      </c>
      <c r="N12" s="124">
        <f>SPA!O15</f>
        <v>0</v>
      </c>
      <c r="O12" s="124">
        <f>SPA!P15</f>
        <v>0</v>
      </c>
      <c r="P12" s="129">
        <f t="shared" si="2"/>
        <v>0</v>
      </c>
      <c r="Q12" s="124">
        <f>SPA!R15</f>
        <v>137672.29999999999</v>
      </c>
      <c r="R12" s="124">
        <f>SPA!S15</f>
        <v>206300.72999999998</v>
      </c>
      <c r="S12" s="124">
        <f>SPA!T15</f>
        <v>100699.8</v>
      </c>
      <c r="T12" s="124">
        <f>SPA!U15</f>
        <v>95209.26</v>
      </c>
      <c r="U12" s="124">
        <f>SPA!V15</f>
        <v>102873.97</v>
      </c>
      <c r="V12" s="124">
        <f>SPA!W15</f>
        <v>78038.14</v>
      </c>
      <c r="W12" s="124">
        <f>SPA!X15</f>
        <v>77882.16</v>
      </c>
      <c r="X12" s="124">
        <f>SPA!Y15</f>
        <v>105288.66</v>
      </c>
      <c r="Y12" s="124">
        <f>SPA!Z15</f>
        <v>105508.7</v>
      </c>
      <c r="Z12" s="124">
        <f>SPA!AA15</f>
        <v>132652.29999999999</v>
      </c>
      <c r="AA12" s="124">
        <f>SPA!AB15</f>
        <v>133311.20000000001</v>
      </c>
      <c r="AB12" s="124">
        <f>SPA!AC15</f>
        <v>183225.9</v>
      </c>
      <c r="AC12" s="129">
        <f t="shared" si="1"/>
        <v>1458663.1199999999</v>
      </c>
      <c r="AD12" s="124">
        <f t="shared" si="3"/>
        <v>-1458663.1199999999</v>
      </c>
      <c r="AE12" s="192">
        <f t="shared" si="4"/>
        <v>-1</v>
      </c>
      <c r="AF12" s="129">
        <v>2216713.33</v>
      </c>
      <c r="AG12" s="124">
        <f t="shared" si="0"/>
        <v>-2216713.33</v>
      </c>
      <c r="AH12" s="123"/>
      <c r="AI12" s="124"/>
    </row>
    <row r="13" spans="1:35">
      <c r="A13" s="105" t="s">
        <v>646</v>
      </c>
      <c r="B13" s="105" t="s">
        <v>647</v>
      </c>
      <c r="C13" s="105" t="s">
        <v>648</v>
      </c>
      <c r="D13" s="124">
        <f>Telephone!E11</f>
        <v>0</v>
      </c>
      <c r="E13" s="124">
        <f>Telephone!F11</f>
        <v>0</v>
      </c>
      <c r="F13" s="124">
        <f>Telephone!G11</f>
        <v>0</v>
      </c>
      <c r="G13" s="124">
        <f>Telephone!H11</f>
        <v>0</v>
      </c>
      <c r="H13" s="124">
        <f>Telephone!I11</f>
        <v>0</v>
      </c>
      <c r="I13" s="124">
        <f>Telephone!J11</f>
        <v>0</v>
      </c>
      <c r="J13" s="124">
        <f>Telephone!K11</f>
        <v>0</v>
      </c>
      <c r="K13" s="124">
        <f>Telephone!L11</f>
        <v>0</v>
      </c>
      <c r="L13" s="124">
        <f>Telephone!M11</f>
        <v>0</v>
      </c>
      <c r="M13" s="124">
        <f>Telephone!N11</f>
        <v>0</v>
      </c>
      <c r="N13" s="124">
        <f>Telephone!O11</f>
        <v>0</v>
      </c>
      <c r="O13" s="124">
        <f>Telephone!P11</f>
        <v>0</v>
      </c>
      <c r="P13" s="129">
        <f t="shared" si="2"/>
        <v>0</v>
      </c>
      <c r="Q13" s="124">
        <f>Telephone!R11</f>
        <v>54.330000000000005</v>
      </c>
      <c r="R13" s="124">
        <f>Telephone!S11</f>
        <v>9.129999999999999</v>
      </c>
      <c r="S13" s="124">
        <f>Telephone!T11</f>
        <v>0.16999999999999993</v>
      </c>
      <c r="T13" s="124">
        <f>Telephone!U11</f>
        <v>0</v>
      </c>
      <c r="U13" s="124">
        <f>Telephone!V11</f>
        <v>3.71</v>
      </c>
      <c r="V13" s="124">
        <f>Telephone!W11</f>
        <v>-0.38999999999999968</v>
      </c>
      <c r="W13" s="124">
        <f>Telephone!X11</f>
        <v>416.25</v>
      </c>
      <c r="X13" s="124">
        <f>Telephone!Y11</f>
        <v>4.6399999999999997</v>
      </c>
      <c r="Y13" s="124">
        <f>Telephone!Z11</f>
        <v>0</v>
      </c>
      <c r="Z13" s="124">
        <f>Telephone!AA11</f>
        <v>0</v>
      </c>
      <c r="AA13" s="124">
        <f>Telephone!AB11</f>
        <v>0</v>
      </c>
      <c r="AB13" s="124">
        <f>Telephone!AC11</f>
        <v>0</v>
      </c>
      <c r="AC13" s="129">
        <f t="shared" si="1"/>
        <v>487.84</v>
      </c>
      <c r="AD13" s="124">
        <f t="shared" si="3"/>
        <v>-487.84</v>
      </c>
      <c r="AE13" s="192">
        <f t="shared" si="4"/>
        <v>-1</v>
      </c>
      <c r="AF13" s="129">
        <v>1388.09</v>
      </c>
      <c r="AG13" s="124">
        <f t="shared" si="0"/>
        <v>-1388.09</v>
      </c>
      <c r="AH13" s="123"/>
      <c r="AI13" s="124"/>
    </row>
    <row r="14" spans="1:35">
      <c r="A14" s="105" t="s">
        <v>649</v>
      </c>
      <c r="B14" s="105" t="s">
        <v>650</v>
      </c>
      <c r="C14" s="105" t="s">
        <v>651</v>
      </c>
      <c r="D14" s="124">
        <f>Transportation!E10</f>
        <v>2000</v>
      </c>
      <c r="E14" s="124">
        <f>Transportation!F10</f>
        <v>2000</v>
      </c>
      <c r="F14" s="124">
        <f>Transportation!G10</f>
        <v>2000</v>
      </c>
      <c r="G14" s="124">
        <f>Transportation!H10</f>
        <v>1000</v>
      </c>
      <c r="H14" s="124">
        <f>Transportation!I10</f>
        <v>1000</v>
      </c>
      <c r="I14" s="124">
        <f>Transportation!J10</f>
        <v>1000</v>
      </c>
      <c r="J14" s="124">
        <f>Transportation!K10</f>
        <v>1000</v>
      </c>
      <c r="K14" s="124">
        <f>Transportation!L10</f>
        <v>2000</v>
      </c>
      <c r="L14" s="124">
        <f>Transportation!M10</f>
        <v>1000</v>
      </c>
      <c r="M14" s="124">
        <f>Transportation!N10</f>
        <v>1000</v>
      </c>
      <c r="N14" s="124">
        <f>Transportation!O10</f>
        <v>2000</v>
      </c>
      <c r="O14" s="124">
        <f>Transportation!P10</f>
        <v>2000</v>
      </c>
      <c r="P14" s="129">
        <f t="shared" si="2"/>
        <v>18000</v>
      </c>
      <c r="Q14" s="124">
        <f>Transportation!R10</f>
        <v>440.37</v>
      </c>
      <c r="R14" s="124">
        <f>Transportation!S10</f>
        <v>8367.01</v>
      </c>
      <c r="S14" s="124">
        <f>Transportation!T10</f>
        <v>440.37</v>
      </c>
      <c r="T14" s="124">
        <f>Transportation!U10</f>
        <v>1174.31</v>
      </c>
      <c r="U14" s="124">
        <f>Transportation!V10</f>
        <v>0</v>
      </c>
      <c r="V14" s="124">
        <f>Transportation!W10</f>
        <v>733.94</v>
      </c>
      <c r="W14" s="124">
        <f>Transportation!X10</f>
        <v>0</v>
      </c>
      <c r="X14" s="124">
        <f>Transportation!Y10</f>
        <v>1761.48</v>
      </c>
      <c r="Y14" s="124">
        <f>Transportation!Z10</f>
        <v>1000</v>
      </c>
      <c r="Z14" s="124">
        <f>Transportation!AA10</f>
        <v>1000</v>
      </c>
      <c r="AA14" s="124">
        <f>Transportation!AB10</f>
        <v>1000</v>
      </c>
      <c r="AB14" s="124">
        <f>Transportation!AC10</f>
        <v>1000</v>
      </c>
      <c r="AC14" s="129">
        <f t="shared" si="1"/>
        <v>16917.480000000003</v>
      </c>
      <c r="AD14" s="124">
        <f t="shared" si="3"/>
        <v>1082.5199999999968</v>
      </c>
      <c r="AE14" s="192">
        <f t="shared" si="4"/>
        <v>6.3988253569680395E-2</v>
      </c>
      <c r="AF14" s="129">
        <v>54592.000000000007</v>
      </c>
      <c r="AG14" s="124">
        <f t="shared" si="0"/>
        <v>-36592.000000000007</v>
      </c>
      <c r="AH14" s="123"/>
      <c r="AI14" s="124"/>
    </row>
    <row r="15" spans="1:35">
      <c r="A15" s="105" t="s">
        <v>652</v>
      </c>
      <c r="B15" s="105" t="s">
        <v>653</v>
      </c>
      <c r="C15" s="105" t="s">
        <v>654</v>
      </c>
      <c r="D15" s="124">
        <f>Garage!E10</f>
        <v>22000</v>
      </c>
      <c r="E15" s="124">
        <f>Garage!F10</f>
        <v>34500</v>
      </c>
      <c r="F15" s="124">
        <f>Garage!G10</f>
        <v>16000</v>
      </c>
      <c r="G15" s="124">
        <f>Garage!H10</f>
        <v>17000</v>
      </c>
      <c r="H15" s="124">
        <f>Garage!I10</f>
        <v>14800</v>
      </c>
      <c r="I15" s="124">
        <f>Garage!J10</f>
        <v>13000</v>
      </c>
      <c r="J15" s="124">
        <f>Garage!K10</f>
        <v>13000</v>
      </c>
      <c r="K15" s="124">
        <f>Garage!L10</f>
        <v>13000</v>
      </c>
      <c r="L15" s="124">
        <f>Garage!M10</f>
        <v>8500</v>
      </c>
      <c r="M15" s="124">
        <f>Garage!N10</f>
        <v>11000</v>
      </c>
      <c r="N15" s="124">
        <f>Garage!O10</f>
        <v>10000</v>
      </c>
      <c r="O15" s="124">
        <f>Garage!P10</f>
        <v>18000</v>
      </c>
      <c r="P15" s="129">
        <f t="shared" si="2"/>
        <v>190800</v>
      </c>
      <c r="Q15" s="124">
        <f>Garage!R10</f>
        <v>18808.560000000001</v>
      </c>
      <c r="R15" s="124">
        <f>Garage!S10</f>
        <v>38278.53</v>
      </c>
      <c r="S15" s="124">
        <f>Garage!T10</f>
        <v>16501.900000000001</v>
      </c>
      <c r="T15" s="124">
        <f>Garage!U10</f>
        <v>14968.91</v>
      </c>
      <c r="U15" s="124">
        <f>Garage!V10</f>
        <v>16633.41</v>
      </c>
      <c r="V15" s="124">
        <f>Garage!W10</f>
        <v>14161.5</v>
      </c>
      <c r="W15" s="124">
        <f>Garage!X10</f>
        <v>12447.52</v>
      </c>
      <c r="X15" s="124">
        <f>Garage!Y10</f>
        <v>15416.8</v>
      </c>
      <c r="Y15" s="124">
        <f>Garage!Z10</f>
        <v>10000</v>
      </c>
      <c r="Z15" s="124">
        <f>Garage!AA10</f>
        <v>13000</v>
      </c>
      <c r="AA15" s="124">
        <f>Garage!AB10</f>
        <v>12000</v>
      </c>
      <c r="AB15" s="124">
        <f>Garage!AC10</f>
        <v>15000</v>
      </c>
      <c r="AC15" s="129">
        <f t="shared" si="1"/>
        <v>197217.12999999998</v>
      </c>
      <c r="AD15" s="124">
        <f t="shared" si="3"/>
        <v>-6417.1299999999756</v>
      </c>
      <c r="AE15" s="192">
        <f t="shared" si="4"/>
        <v>-3.2538400695720379E-2</v>
      </c>
      <c r="AF15" s="129">
        <v>127409.5</v>
      </c>
      <c r="AG15" s="124">
        <f t="shared" si="0"/>
        <v>63390.5</v>
      </c>
      <c r="AH15" s="123"/>
      <c r="AI15" s="124"/>
    </row>
    <row r="16" spans="1:35">
      <c r="A16" s="105" t="s">
        <v>655</v>
      </c>
      <c r="B16" s="105" t="s">
        <v>656</v>
      </c>
      <c r="C16" s="105" t="s">
        <v>657</v>
      </c>
      <c r="D16" s="124">
        <f>'Guest Laundry'!E11</f>
        <v>10445</v>
      </c>
      <c r="E16" s="124">
        <f>'Guest Laundry'!F11</f>
        <v>9433</v>
      </c>
      <c r="F16" s="124">
        <f>'Guest Laundry'!G11</f>
        <v>10210</v>
      </c>
      <c r="G16" s="124">
        <f>'Guest Laundry'!H11</f>
        <v>9623</v>
      </c>
      <c r="H16" s="124">
        <f>'Guest Laundry'!I11</f>
        <v>9747</v>
      </c>
      <c r="I16" s="124">
        <f>'Guest Laundry'!J11</f>
        <v>9312</v>
      </c>
      <c r="J16" s="124">
        <f>'Guest Laundry'!K11</f>
        <v>10445</v>
      </c>
      <c r="K16" s="124">
        <f>'Guest Laundry'!L11</f>
        <v>10445</v>
      </c>
      <c r="L16" s="124">
        <f>'Guest Laundry'!M11</f>
        <v>9085</v>
      </c>
      <c r="M16" s="124">
        <f>'Guest Laundry'!N11</f>
        <v>9623</v>
      </c>
      <c r="N16" s="124">
        <f>'Guest Laundry'!O11</f>
        <v>9199</v>
      </c>
      <c r="O16" s="124">
        <f>'Guest Laundry'!P11</f>
        <v>10210</v>
      </c>
      <c r="P16" s="129">
        <f t="shared" si="2"/>
        <v>117777</v>
      </c>
      <c r="Q16" s="124">
        <f>'Guest Laundry'!R11</f>
        <v>12067.3</v>
      </c>
      <c r="R16" s="124">
        <f>'Guest Laundry'!S11</f>
        <v>23693.35</v>
      </c>
      <c r="S16" s="124">
        <f>'Guest Laundry'!T11</f>
        <v>11526.75</v>
      </c>
      <c r="T16" s="124">
        <f>'Guest Laundry'!U11</f>
        <v>7534</v>
      </c>
      <c r="U16" s="124">
        <f>'Guest Laundry'!V11</f>
        <v>5684.65</v>
      </c>
      <c r="V16" s="124">
        <f>'Guest Laundry'!W11</f>
        <v>5242.45</v>
      </c>
      <c r="W16" s="124">
        <f>'Guest Laundry'!X11</f>
        <v>8514.6</v>
      </c>
      <c r="X16" s="124">
        <f>'Guest Laundry'!Y11</f>
        <v>6200.6500000000005</v>
      </c>
      <c r="Y16" s="124">
        <f>'Guest Laundry'!Z11</f>
        <v>4884</v>
      </c>
      <c r="Z16" s="124">
        <f>'Guest Laundry'!AA11</f>
        <v>6958</v>
      </c>
      <c r="AA16" s="124">
        <f>'Guest Laundry'!AB11</f>
        <v>6837</v>
      </c>
      <c r="AB16" s="124">
        <f>'Guest Laundry'!AC11</f>
        <v>14586</v>
      </c>
      <c r="AC16" s="129">
        <f t="shared" si="1"/>
        <v>113728.75</v>
      </c>
      <c r="AD16" s="124">
        <f t="shared" si="3"/>
        <v>4048.25</v>
      </c>
      <c r="AE16" s="192">
        <f t="shared" si="4"/>
        <v>3.5595660727828278E-2</v>
      </c>
      <c r="AF16" s="129">
        <v>155818.77999999997</v>
      </c>
      <c r="AG16" s="124">
        <f t="shared" si="0"/>
        <v>-38041.77999999997</v>
      </c>
      <c r="AH16" s="123"/>
      <c r="AI16" s="124"/>
    </row>
    <row r="17" spans="1:35">
      <c r="A17" s="105" t="s">
        <v>658</v>
      </c>
      <c r="B17" s="105" t="s">
        <v>659</v>
      </c>
      <c r="C17" s="105" t="s">
        <v>660</v>
      </c>
      <c r="D17" s="124">
        <f>'Other Income'!E10</f>
        <v>354146</v>
      </c>
      <c r="E17" s="124">
        <f>'Other Income'!F10</f>
        <v>354146</v>
      </c>
      <c r="F17" s="124">
        <f>'Other Income'!G10</f>
        <v>354146</v>
      </c>
      <c r="G17" s="124">
        <f>'Other Income'!H10</f>
        <v>354146</v>
      </c>
      <c r="H17" s="124">
        <f>'Other Income'!I10</f>
        <v>354146</v>
      </c>
      <c r="I17" s="124">
        <f>'Other Income'!J10</f>
        <v>354146</v>
      </c>
      <c r="J17" s="124">
        <f>'Other Income'!K10</f>
        <v>354146</v>
      </c>
      <c r="K17" s="124">
        <f>'Other Income'!L10</f>
        <v>354146</v>
      </c>
      <c r="L17" s="124">
        <f>'Other Income'!M10</f>
        <v>354146</v>
      </c>
      <c r="M17" s="124">
        <f>'Other Income'!N10</f>
        <v>354146</v>
      </c>
      <c r="N17" s="124">
        <f>'Other Income'!O10</f>
        <v>354146</v>
      </c>
      <c r="O17" s="124">
        <f>'Other Income'!P10</f>
        <v>354154</v>
      </c>
      <c r="P17" s="129">
        <f t="shared" si="2"/>
        <v>4249760</v>
      </c>
      <c r="Q17" s="124">
        <f>'Other Income'!R10</f>
        <v>274421.34000000003</v>
      </c>
      <c r="R17" s="124">
        <f>'Other Income'!S10</f>
        <v>325261.56</v>
      </c>
      <c r="S17" s="124">
        <f>'Other Income'!T10</f>
        <v>368758.67</v>
      </c>
      <c r="T17" s="124">
        <f>'Other Income'!U10</f>
        <v>303970.49</v>
      </c>
      <c r="U17" s="124">
        <f>'Other Income'!V10</f>
        <v>280657.18</v>
      </c>
      <c r="V17" s="124">
        <f>'Other Income'!W10</f>
        <v>276915.02</v>
      </c>
      <c r="W17" s="124">
        <f>'Other Income'!X10</f>
        <v>264193.96999999997</v>
      </c>
      <c r="X17" s="124">
        <f>'Other Income'!Y10</f>
        <v>312553.67</v>
      </c>
      <c r="Y17" s="124">
        <f>'Other Income'!Z10</f>
        <v>278033</v>
      </c>
      <c r="Z17" s="124">
        <f>'Other Income'!AA10</f>
        <v>278033</v>
      </c>
      <c r="AA17" s="124">
        <f>'Other Income'!AB10</f>
        <v>278033</v>
      </c>
      <c r="AB17" s="124">
        <f>'Other Income'!AC10</f>
        <v>278033</v>
      </c>
      <c r="AC17" s="129">
        <f t="shared" si="1"/>
        <v>3518863.9</v>
      </c>
      <c r="AD17" s="124">
        <f t="shared" si="3"/>
        <v>730896.10000000009</v>
      </c>
      <c r="AE17" s="192">
        <f t="shared" si="4"/>
        <v>0.20770797642955163</v>
      </c>
      <c r="AF17" s="129">
        <v>4549679.7</v>
      </c>
      <c r="AG17" s="124">
        <f t="shared" si="0"/>
        <v>-299919.70000000019</v>
      </c>
      <c r="AH17" s="123"/>
      <c r="AI17" s="124"/>
    </row>
    <row r="18" spans="1:35">
      <c r="C18" s="105" t="s">
        <v>661</v>
      </c>
      <c r="D18" s="129">
        <f>SUM(D9:D17)</f>
        <v>790546</v>
      </c>
      <c r="E18" s="129">
        <f t="shared" ref="E18:O18" si="5">SUM(E9:E17)</f>
        <v>910506</v>
      </c>
      <c r="F18" s="129">
        <f t="shared" si="5"/>
        <v>671648</v>
      </c>
      <c r="G18" s="129">
        <f t="shared" si="5"/>
        <v>686065</v>
      </c>
      <c r="H18" s="129">
        <f t="shared" si="5"/>
        <v>680157</v>
      </c>
      <c r="I18" s="129">
        <f t="shared" si="5"/>
        <v>558750</v>
      </c>
      <c r="J18" s="129">
        <f t="shared" si="5"/>
        <v>702630</v>
      </c>
      <c r="K18" s="129">
        <f t="shared" si="5"/>
        <v>696483</v>
      </c>
      <c r="L18" s="129">
        <f t="shared" si="5"/>
        <v>611632</v>
      </c>
      <c r="M18" s="129">
        <f t="shared" si="5"/>
        <v>713838</v>
      </c>
      <c r="N18" s="129">
        <f t="shared" si="5"/>
        <v>623061</v>
      </c>
      <c r="O18" s="129">
        <f t="shared" si="5"/>
        <v>710936</v>
      </c>
      <c r="P18" s="129">
        <f>SUM(P9:P17)</f>
        <v>8356252</v>
      </c>
      <c r="Q18" s="129">
        <f t="shared" ref="Q18:X18" si="6">SUM(Q9:Q17)</f>
        <v>863717.43000000017</v>
      </c>
      <c r="R18" s="129">
        <f t="shared" si="6"/>
        <v>1147499.4099999999</v>
      </c>
      <c r="S18" s="129">
        <f t="shared" si="6"/>
        <v>808095.19</v>
      </c>
      <c r="T18" s="129">
        <f t="shared" si="6"/>
        <v>744364.75</v>
      </c>
      <c r="U18" s="129">
        <f t="shared" si="6"/>
        <v>709582.42999999993</v>
      </c>
      <c r="V18" s="129">
        <f t="shared" si="6"/>
        <v>569869.09000000008</v>
      </c>
      <c r="W18" s="129">
        <f>SUM(W9:W17)</f>
        <v>697991.5</v>
      </c>
      <c r="X18" s="129">
        <f t="shared" si="6"/>
        <v>916076.98</v>
      </c>
      <c r="Y18" s="129">
        <f>SUM(Y9:Y17)</f>
        <v>603258.69999999995</v>
      </c>
      <c r="Z18" s="129">
        <f>SUM(Z9:Z17)</f>
        <v>757476.3</v>
      </c>
      <c r="AA18" s="129">
        <f>SUM(AA9:AA17)</f>
        <v>685014.2</v>
      </c>
      <c r="AB18" s="129">
        <f>SUM(AB9:AB17)</f>
        <v>829677.9</v>
      </c>
      <c r="AC18" s="129">
        <f>SUM(AC9:AC17)</f>
        <v>9332623.8800000008</v>
      </c>
      <c r="AD18" s="129">
        <f>P18-AC18</f>
        <v>-976371.88000000082</v>
      </c>
      <c r="AE18" s="192">
        <f t="shared" si="4"/>
        <v>-0.10461922526336728</v>
      </c>
      <c r="AF18" s="129">
        <v>9301717.2800000012</v>
      </c>
      <c r="AG18" s="124">
        <f t="shared" si="0"/>
        <v>-945465.28000000119</v>
      </c>
      <c r="AH18" s="123"/>
      <c r="AI18" s="124"/>
    </row>
    <row r="19" spans="1:35">
      <c r="C19" s="105" t="s">
        <v>154</v>
      </c>
      <c r="AF19" s="129"/>
      <c r="AH19" s="123"/>
      <c r="AI19" s="124"/>
    </row>
    <row r="20" spans="1:35">
      <c r="C20" s="105" t="s">
        <v>662</v>
      </c>
      <c r="AF20" s="129"/>
      <c r="AH20" s="123"/>
    </row>
    <row r="21" spans="1:35">
      <c r="A21" s="105" t="s">
        <v>663</v>
      </c>
      <c r="B21" s="105" t="s">
        <v>635</v>
      </c>
      <c r="C21" s="105" t="s">
        <v>636</v>
      </c>
      <c r="D21" s="124">
        <f>Recreation!D28</f>
        <v>165078</v>
      </c>
      <c r="E21" s="124">
        <f>Recreation!E28</f>
        <v>148278</v>
      </c>
      <c r="F21" s="124">
        <f>Recreation!F28</f>
        <v>129278</v>
      </c>
      <c r="G21" s="124">
        <f>Recreation!G28</f>
        <v>128078</v>
      </c>
      <c r="H21" s="124">
        <f>Recreation!H28</f>
        <v>160078</v>
      </c>
      <c r="I21" s="124">
        <f>Recreation!I28</f>
        <v>131078</v>
      </c>
      <c r="J21" s="124">
        <f>Recreation!J28</f>
        <v>126078</v>
      </c>
      <c r="K21" s="124">
        <f>Recreation!K28</f>
        <v>126078</v>
      </c>
      <c r="L21" s="124">
        <f>Recreation!L28</f>
        <v>125078</v>
      </c>
      <c r="M21" s="124">
        <f>Recreation!M28</f>
        <v>165078</v>
      </c>
      <c r="N21" s="124">
        <f>Recreation!N28</f>
        <v>130078</v>
      </c>
      <c r="O21" s="124">
        <f>Recreation!O28</f>
        <v>130078</v>
      </c>
      <c r="P21" s="129">
        <f>SUM(D21:O21)</f>
        <v>1664336</v>
      </c>
      <c r="Q21" s="124">
        <f>Recreation!Q28</f>
        <v>276676.81</v>
      </c>
      <c r="R21" s="124">
        <f>Recreation!R28</f>
        <v>910672.49</v>
      </c>
      <c r="S21" s="124">
        <f>Recreation!S28</f>
        <v>236144.56</v>
      </c>
      <c r="T21" s="124">
        <f>Recreation!T28</f>
        <v>239092.69999999998</v>
      </c>
      <c r="U21" s="124">
        <f>Recreation!U28</f>
        <v>-595710.84999999986</v>
      </c>
      <c r="V21" s="124">
        <f>Recreation!V28</f>
        <v>121309.61000000002</v>
      </c>
      <c r="W21" s="124">
        <f>Recreation!W28</f>
        <v>89293.169999999984</v>
      </c>
      <c r="X21" s="124">
        <f>Recreation!X28</f>
        <v>98349.780000000013</v>
      </c>
      <c r="Y21" s="124">
        <f>Recreation!Y28</f>
        <v>70510</v>
      </c>
      <c r="Z21" s="124">
        <f>Recreation!Z28</f>
        <v>179906</v>
      </c>
      <c r="AA21" s="124">
        <f>Recreation!AA28</f>
        <v>42010</v>
      </c>
      <c r="AB21" s="124">
        <f>Recreation!AB28</f>
        <v>229890</v>
      </c>
      <c r="AC21" s="129">
        <f t="shared" ref="AC21:AC29" si="7">SUM(Q21:AB21)</f>
        <v>1898144.2700000003</v>
      </c>
      <c r="AD21" s="124">
        <f>AC21-P21</f>
        <v>233808.27000000025</v>
      </c>
      <c r="AE21" s="192">
        <f t="shared" ref="AE21:AE30" si="8">AD21/AC21</f>
        <v>0.12317729147110626</v>
      </c>
      <c r="AF21" s="129">
        <v>763408.09000000008</v>
      </c>
      <c r="AG21" s="124">
        <f t="shared" ref="AG21:AG30" si="9">AF21-P21</f>
        <v>-900927.90999999992</v>
      </c>
      <c r="AH21" s="123"/>
    </row>
    <row r="22" spans="1:35">
      <c r="A22" s="105" t="s">
        <v>663</v>
      </c>
      <c r="B22" s="105" t="s">
        <v>638</v>
      </c>
      <c r="C22" s="105" t="s">
        <v>639</v>
      </c>
      <c r="D22" s="124">
        <f>Pool!E32</f>
        <v>172182.64</v>
      </c>
      <c r="E22" s="124">
        <f>Pool!F32</f>
        <v>156039.19</v>
      </c>
      <c r="F22" s="124">
        <f>Pool!G32</f>
        <v>153950.19</v>
      </c>
      <c r="G22" s="124">
        <f>Pool!H32</f>
        <v>158271.28</v>
      </c>
      <c r="H22" s="124">
        <f>Pool!I32</f>
        <v>166911.38</v>
      </c>
      <c r="I22" s="124">
        <f>Pool!J32</f>
        <v>158096.19</v>
      </c>
      <c r="J22" s="124">
        <f>Pool!K32</f>
        <v>159415.53</v>
      </c>
      <c r="K22" s="124">
        <f>Pool!L32</f>
        <v>160171.53</v>
      </c>
      <c r="L22" s="124">
        <f>Pool!M32</f>
        <v>154920.53</v>
      </c>
      <c r="M22" s="124">
        <f>Pool!N32</f>
        <v>176916.94</v>
      </c>
      <c r="N22" s="124">
        <f>Pool!O32</f>
        <v>154879.53</v>
      </c>
      <c r="O22" s="124">
        <f>Pool!P32</f>
        <v>158346.53</v>
      </c>
      <c r="P22" s="129">
        <f t="shared" ref="P22:P29" si="10">SUM(D22:O22)</f>
        <v>1930101.4600000002</v>
      </c>
      <c r="Q22" s="124">
        <f>Pool!R32</f>
        <v>253569.37</v>
      </c>
      <c r="R22" s="124">
        <f>Pool!S32</f>
        <v>278785.29999999993</v>
      </c>
      <c r="S22" s="124">
        <f>Pool!T32</f>
        <v>191146.09</v>
      </c>
      <c r="T22" s="124">
        <f>Pool!U32</f>
        <v>142782.04999999999</v>
      </c>
      <c r="U22" s="124">
        <f>Pool!V32</f>
        <v>128786.5</v>
      </c>
      <c r="V22" s="124">
        <f>Pool!W32</f>
        <v>163126.28</v>
      </c>
      <c r="W22" s="124">
        <f>Pool!X32</f>
        <v>180134.19999999998</v>
      </c>
      <c r="X22" s="124">
        <f>Pool!Y32</f>
        <v>211446.93000000002</v>
      </c>
      <c r="Y22" s="124">
        <f>Pool!Z32</f>
        <v>149891</v>
      </c>
      <c r="Z22" s="124">
        <f>Pool!AA32</f>
        <v>159116</v>
      </c>
      <c r="AA22" s="124">
        <f>Pool!AB32</f>
        <v>131439</v>
      </c>
      <c r="AB22" s="124">
        <f>Pool!AC32</f>
        <v>186728</v>
      </c>
      <c r="AC22" s="129">
        <f t="shared" si="7"/>
        <v>2176950.7199999997</v>
      </c>
      <c r="AD22" s="124">
        <f t="shared" ref="AD22:AD30" si="11">AC22-P22</f>
        <v>246849.25999999954</v>
      </c>
      <c r="AE22" s="192">
        <f t="shared" si="8"/>
        <v>0.11339221312276632</v>
      </c>
      <c r="AF22" s="129">
        <v>2759866.36</v>
      </c>
      <c r="AG22" s="124">
        <f t="shared" si="9"/>
        <v>829764.89999999967</v>
      </c>
      <c r="AH22" s="123"/>
    </row>
    <row r="23" spans="1:35">
      <c r="A23" s="105" t="s">
        <v>663</v>
      </c>
      <c r="B23" s="105" t="s">
        <v>641</v>
      </c>
      <c r="C23" s="105" t="s">
        <v>642</v>
      </c>
      <c r="D23" s="124">
        <f>Kids!E31</f>
        <v>485861.83</v>
      </c>
      <c r="E23" s="124">
        <f>Kids!F31</f>
        <v>414394.71</v>
      </c>
      <c r="F23" s="124">
        <f>Kids!G31</f>
        <v>378405.71</v>
      </c>
      <c r="G23" s="124">
        <f>Kids!H31</f>
        <v>384183.35</v>
      </c>
      <c r="H23" s="124">
        <f>Kids!I31</f>
        <v>408232.75</v>
      </c>
      <c r="I23" s="124">
        <f>Kids!J31</f>
        <v>399648.71</v>
      </c>
      <c r="J23" s="124">
        <f>Kids!K31</f>
        <v>432043.38</v>
      </c>
      <c r="K23" s="124">
        <f>Kids!L31</f>
        <v>423137.38</v>
      </c>
      <c r="L23" s="124">
        <f>Kids!M31</f>
        <v>377731.38</v>
      </c>
      <c r="M23" s="124">
        <f>Kids!N31</f>
        <v>456943.74</v>
      </c>
      <c r="N23" s="124">
        <f>Kids!O31</f>
        <v>386407.38</v>
      </c>
      <c r="O23" s="124">
        <f>Kids!P31</f>
        <v>443186.38</v>
      </c>
      <c r="P23" s="129">
        <f t="shared" si="10"/>
        <v>4990176.6999999993</v>
      </c>
      <c r="Q23" s="124">
        <f>Kids!R31</f>
        <v>559034.98</v>
      </c>
      <c r="R23" s="124">
        <f>Kids!S31</f>
        <v>763030.5</v>
      </c>
      <c r="S23" s="124">
        <f>Kids!T31</f>
        <v>370990.14</v>
      </c>
      <c r="T23" s="124">
        <f>Kids!U31</f>
        <v>369743.09</v>
      </c>
      <c r="U23" s="124">
        <f>Kids!V31</f>
        <v>356316.36</v>
      </c>
      <c r="V23" s="124">
        <f>Kids!W31</f>
        <v>359167.26</v>
      </c>
      <c r="W23" s="124">
        <f>Kids!X31</f>
        <v>598479.49</v>
      </c>
      <c r="X23" s="124">
        <f>Kids!Y31</f>
        <v>665860.07999999996</v>
      </c>
      <c r="Y23" s="124">
        <f>Kids!Z31</f>
        <v>147116.79999999999</v>
      </c>
      <c r="Z23" s="124">
        <f>Kids!AA31</f>
        <v>277028.8</v>
      </c>
      <c r="AA23" s="124">
        <f>Kids!AB31</f>
        <v>161656.79999999999</v>
      </c>
      <c r="AB23" s="124">
        <f>Kids!AC31</f>
        <v>314743.8</v>
      </c>
      <c r="AC23" s="129">
        <f t="shared" si="7"/>
        <v>4943168.0999999996</v>
      </c>
      <c r="AD23" s="124">
        <f t="shared" si="11"/>
        <v>-47008.599999999627</v>
      </c>
      <c r="AE23" s="192">
        <f t="shared" si="8"/>
        <v>-9.50981213849467E-3</v>
      </c>
      <c r="AF23" s="129">
        <v>807441.25</v>
      </c>
      <c r="AG23" s="124">
        <f t="shared" si="9"/>
        <v>-4182735.4499999993</v>
      </c>
      <c r="AH23" s="123"/>
    </row>
    <row r="24" spans="1:35">
      <c r="A24" s="105" t="s">
        <v>663</v>
      </c>
      <c r="B24" s="105" t="s">
        <v>644</v>
      </c>
      <c r="C24" s="105" t="s">
        <v>645</v>
      </c>
      <c r="D24" s="124">
        <f>SPA!E20+SPA!E44</f>
        <v>0</v>
      </c>
      <c r="E24" s="124">
        <f>SPA!F20+SPA!F44</f>
        <v>0</v>
      </c>
      <c r="F24" s="124">
        <f>SPA!G20+SPA!G44</f>
        <v>0</v>
      </c>
      <c r="G24" s="124">
        <f>SPA!H20+SPA!H44</f>
        <v>0</v>
      </c>
      <c r="H24" s="124">
        <f>SPA!I20+SPA!I44</f>
        <v>0</v>
      </c>
      <c r="I24" s="124">
        <f>SPA!J20+SPA!J44</f>
        <v>0</v>
      </c>
      <c r="J24" s="124">
        <f>SPA!K20+SPA!K44</f>
        <v>0</v>
      </c>
      <c r="K24" s="124">
        <f>SPA!L20+SPA!L44</f>
        <v>0</v>
      </c>
      <c r="L24" s="124">
        <f>SPA!M20+SPA!M44</f>
        <v>0</v>
      </c>
      <c r="M24" s="124">
        <f>SPA!N20+SPA!N44</f>
        <v>0</v>
      </c>
      <c r="N24" s="124">
        <f>SPA!O20+SPA!O44</f>
        <v>0</v>
      </c>
      <c r="O24" s="124">
        <f>SPA!P20+SPA!P44</f>
        <v>0</v>
      </c>
      <c r="P24" s="129">
        <f t="shared" si="10"/>
        <v>0</v>
      </c>
      <c r="Q24" s="124">
        <f>SPA!R20+SPA!R44</f>
        <v>25887.820000000003</v>
      </c>
      <c r="R24" s="124">
        <f>SPA!S20+SPA!S44</f>
        <v>28132.179999999997</v>
      </c>
      <c r="S24" s="124">
        <f>SPA!T20+SPA!T44</f>
        <v>26865.7</v>
      </c>
      <c r="T24" s="124">
        <f>SPA!U20+SPA!U44</f>
        <v>17538.090000000004</v>
      </c>
      <c r="U24" s="124">
        <f>SPA!V20+SPA!V44</f>
        <v>27012.6</v>
      </c>
      <c r="V24" s="124">
        <f>SPA!W20+SPA!W44</f>
        <v>32376.420000000002</v>
      </c>
      <c r="W24" s="124">
        <f>SPA!X20+SPA!X44</f>
        <v>28254.160000000003</v>
      </c>
      <c r="X24" s="124">
        <f>SPA!Y20+SPA!Y44</f>
        <v>25295.88</v>
      </c>
      <c r="Y24" s="124">
        <f>SPA!Z20+SPA!Z44</f>
        <v>28168</v>
      </c>
      <c r="Z24" s="124">
        <f>SPA!AA20+SPA!AA44</f>
        <v>32440</v>
      </c>
      <c r="AA24" s="124">
        <f>SPA!AB20+SPA!AB44</f>
        <v>31622</v>
      </c>
      <c r="AB24" s="124">
        <f>SPA!AC20+SPA!AC44</f>
        <v>40776.820000000007</v>
      </c>
      <c r="AC24" s="129">
        <f t="shared" si="7"/>
        <v>344369.67000000004</v>
      </c>
      <c r="AD24" s="124">
        <f t="shared" si="11"/>
        <v>344369.67000000004</v>
      </c>
      <c r="AE24" s="192">
        <f t="shared" si="8"/>
        <v>1</v>
      </c>
      <c r="AF24" s="129">
        <v>341438.82999999996</v>
      </c>
      <c r="AG24" s="124">
        <f t="shared" si="9"/>
        <v>341438.82999999996</v>
      </c>
      <c r="AH24" s="123"/>
    </row>
    <row r="25" spans="1:35">
      <c r="A25" s="105" t="s">
        <v>663</v>
      </c>
      <c r="B25" s="105" t="s">
        <v>647</v>
      </c>
      <c r="C25" s="105" t="s">
        <v>648</v>
      </c>
      <c r="D25" s="124">
        <f>Telephone!E39+Telephone!E16</f>
        <v>55430.27</v>
      </c>
      <c r="E25" s="124">
        <f>Telephone!F39+Telephone!F16</f>
        <v>47118.479999999996</v>
      </c>
      <c r="F25" s="124">
        <f>Telephone!G39+Telephone!G16</f>
        <v>47179.479999999996</v>
      </c>
      <c r="G25" s="124">
        <f>Telephone!H39+Telephone!H16</f>
        <v>48586.44</v>
      </c>
      <c r="H25" s="124">
        <f>Telephone!I39+Telephone!I16</f>
        <v>51382.36</v>
      </c>
      <c r="I25" s="124">
        <f>Telephone!J39+Telephone!J16</f>
        <v>47268.479999999996</v>
      </c>
      <c r="J25" s="124">
        <f>Telephone!K39+Telephone!K16</f>
        <v>47941.81</v>
      </c>
      <c r="K25" s="124">
        <f>Telephone!L39+Telephone!L16</f>
        <v>47932.81</v>
      </c>
      <c r="L25" s="124">
        <f>Telephone!M39+Telephone!M16</f>
        <v>47981.81</v>
      </c>
      <c r="M25" s="124">
        <f>Telephone!N39+Telephone!N16</f>
        <v>53262.17</v>
      </c>
      <c r="N25" s="124">
        <f>Telephone!O39+Telephone!O16</f>
        <v>48005.81</v>
      </c>
      <c r="O25" s="124">
        <f>Telephone!P39+Telephone!P16</f>
        <v>47996.81</v>
      </c>
      <c r="P25" s="129">
        <f t="shared" si="10"/>
        <v>590086.73</v>
      </c>
      <c r="Q25" s="124">
        <f>Telephone!R39+Telephone!R16</f>
        <v>46675.9</v>
      </c>
      <c r="R25" s="124">
        <f>Telephone!S39+Telephone!S16</f>
        <v>57421.5</v>
      </c>
      <c r="S25" s="124">
        <f>Telephone!T39+Telephone!T16</f>
        <v>52473.530000000006</v>
      </c>
      <c r="T25" s="124">
        <f>Telephone!U39+Telephone!U16</f>
        <v>36414.36</v>
      </c>
      <c r="U25" s="124">
        <f>Telephone!V39+Telephone!V16</f>
        <v>39120.050000000003</v>
      </c>
      <c r="V25" s="124">
        <f>Telephone!W39+Telephone!W16</f>
        <v>44554.78</v>
      </c>
      <c r="W25" s="124">
        <f>Telephone!X39+Telephone!X16</f>
        <v>46016.960000000006</v>
      </c>
      <c r="X25" s="124">
        <f>Telephone!Y39+Telephone!Y16</f>
        <v>42263.040000000008</v>
      </c>
      <c r="Y25" s="124">
        <f>Telephone!Z39+Telephone!Z16</f>
        <v>24856.05</v>
      </c>
      <c r="Z25" s="124">
        <f>Telephone!AA39+Telephone!AA16</f>
        <v>24874.05</v>
      </c>
      <c r="AA25" s="124">
        <f>Telephone!AB39+Telephone!AB16</f>
        <v>24847.05</v>
      </c>
      <c r="AB25" s="124">
        <f>Telephone!AC39+Telephone!AC16</f>
        <v>24850.05</v>
      </c>
      <c r="AC25" s="129">
        <f t="shared" si="7"/>
        <v>464367.31999999995</v>
      </c>
      <c r="AD25" s="124">
        <f t="shared" si="11"/>
        <v>-125719.41000000003</v>
      </c>
      <c r="AE25" s="192">
        <f t="shared" si="8"/>
        <v>-0.2707326820500634</v>
      </c>
      <c r="AF25" s="129">
        <v>129626.29999999997</v>
      </c>
      <c r="AG25" s="124">
        <f t="shared" si="9"/>
        <v>-460460.43</v>
      </c>
      <c r="AH25" s="123"/>
    </row>
    <row r="26" spans="1:35">
      <c r="A26" s="105" t="s">
        <v>663</v>
      </c>
      <c r="B26" s="105" t="s">
        <v>650</v>
      </c>
      <c r="C26" s="105" t="s">
        <v>651</v>
      </c>
      <c r="D26" s="124">
        <f>Transportation!E26</f>
        <v>49141.75</v>
      </c>
      <c r="E26" s="124">
        <f>Transportation!F26</f>
        <v>39984.69</v>
      </c>
      <c r="F26" s="124">
        <f>Transportation!G26</f>
        <v>102630.69</v>
      </c>
      <c r="G26" s="124">
        <f>Transportation!H26</f>
        <v>45261.37</v>
      </c>
      <c r="H26" s="124">
        <f>Transportation!I26</f>
        <v>43785.07</v>
      </c>
      <c r="I26" s="124">
        <f>Transportation!J26</f>
        <v>55063.69</v>
      </c>
      <c r="J26" s="124">
        <f>Transportation!K26</f>
        <v>43464.44</v>
      </c>
      <c r="K26" s="124">
        <f>Transportation!L26</f>
        <v>43470.79</v>
      </c>
      <c r="L26" s="124">
        <f>Transportation!M26</f>
        <v>63118.79</v>
      </c>
      <c r="M26" s="124">
        <f>Transportation!N26</f>
        <v>44268.51</v>
      </c>
      <c r="N26" s="124">
        <f>Transportation!O26</f>
        <v>40442.44</v>
      </c>
      <c r="O26" s="124">
        <f>Transportation!P26</f>
        <v>42779.79</v>
      </c>
      <c r="P26" s="129">
        <f t="shared" si="10"/>
        <v>613412.02</v>
      </c>
      <c r="Q26" s="124">
        <f>Transportation!R26</f>
        <v>22968.93</v>
      </c>
      <c r="R26" s="124">
        <f>Transportation!S26</f>
        <v>26277.579999999998</v>
      </c>
      <c r="S26" s="124">
        <f>Transportation!T26</f>
        <v>58454.409999999996</v>
      </c>
      <c r="T26" s="124">
        <f>Transportation!U26</f>
        <v>20890.78</v>
      </c>
      <c r="U26" s="124">
        <f>Transportation!V26</f>
        <v>41897.469999999994</v>
      </c>
      <c r="V26" s="124">
        <f>Transportation!W26</f>
        <v>41295.129999999997</v>
      </c>
      <c r="W26" s="124">
        <f>Transportation!X26</f>
        <v>99182.640000000014</v>
      </c>
      <c r="X26" s="124">
        <f>Transportation!Y26</f>
        <v>14893.7</v>
      </c>
      <c r="Y26" s="124">
        <f>Transportation!Z26</f>
        <v>27059.21</v>
      </c>
      <c r="Z26" s="124">
        <f>Transportation!AA26</f>
        <v>28341.21</v>
      </c>
      <c r="AA26" s="124">
        <f>Transportation!AB26</f>
        <v>27921.21</v>
      </c>
      <c r="AB26" s="124">
        <f>Transportation!AC26</f>
        <v>29186.21</v>
      </c>
      <c r="AC26" s="129">
        <f t="shared" si="7"/>
        <v>438368.4800000001</v>
      </c>
      <c r="AD26" s="124">
        <f t="shared" si="11"/>
        <v>-175043.53999999992</v>
      </c>
      <c r="AE26" s="192">
        <f t="shared" si="8"/>
        <v>-0.39930685709884955</v>
      </c>
      <c r="AF26" s="129">
        <v>404860.74</v>
      </c>
      <c r="AG26" s="124">
        <f t="shared" si="9"/>
        <v>-208551.28000000003</v>
      </c>
      <c r="AH26" s="123"/>
    </row>
    <row r="27" spans="1:35">
      <c r="A27" s="105" t="s">
        <v>663</v>
      </c>
      <c r="B27" s="105" t="s">
        <v>653</v>
      </c>
      <c r="C27" s="105" t="s">
        <v>654</v>
      </c>
      <c r="D27" s="124">
        <f>Garage!E23</f>
        <v>0</v>
      </c>
      <c r="E27" s="124">
        <f>Garage!F23</f>
        <v>0</v>
      </c>
      <c r="F27" s="124">
        <f>Garage!G23</f>
        <v>0</v>
      </c>
      <c r="G27" s="124">
        <f>Garage!H23</f>
        <v>0</v>
      </c>
      <c r="H27" s="124">
        <f>Garage!I23</f>
        <v>0</v>
      </c>
      <c r="I27" s="124">
        <f>Garage!J23</f>
        <v>0</v>
      </c>
      <c r="J27" s="124">
        <f>Garage!K23</f>
        <v>0</v>
      </c>
      <c r="K27" s="124">
        <f>Garage!L23</f>
        <v>0</v>
      </c>
      <c r="L27" s="124">
        <f>Garage!M23</f>
        <v>0</v>
      </c>
      <c r="M27" s="124">
        <f>Garage!N23</f>
        <v>0</v>
      </c>
      <c r="N27" s="124">
        <f>Garage!O23</f>
        <v>0</v>
      </c>
      <c r="O27" s="124">
        <f>Garage!P23</f>
        <v>0</v>
      </c>
      <c r="P27" s="129">
        <f t="shared" si="10"/>
        <v>0</v>
      </c>
      <c r="Q27" s="124">
        <f>Garage!R23</f>
        <v>0</v>
      </c>
      <c r="R27" s="124">
        <f>Garage!S23</f>
        <v>0</v>
      </c>
      <c r="S27" s="124">
        <f>Garage!T23</f>
        <v>0</v>
      </c>
      <c r="T27" s="124">
        <f>Garage!U23</f>
        <v>0</v>
      </c>
      <c r="U27" s="124">
        <f>Garage!V23</f>
        <v>0</v>
      </c>
      <c r="V27" s="124">
        <f>Garage!W23</f>
        <v>0</v>
      </c>
      <c r="W27" s="124">
        <f>Garage!X23</f>
        <v>0</v>
      </c>
      <c r="X27" s="124">
        <f>Garage!Y23</f>
        <v>0</v>
      </c>
      <c r="Y27" s="124">
        <f>Garage!Z23</f>
        <v>0</v>
      </c>
      <c r="Z27" s="124">
        <f>Garage!AA23</f>
        <v>0</v>
      </c>
      <c r="AA27" s="124">
        <f>Garage!AB23</f>
        <v>0</v>
      </c>
      <c r="AB27" s="124">
        <f>Garage!AC23</f>
        <v>0</v>
      </c>
      <c r="AC27" s="129">
        <f t="shared" si="7"/>
        <v>0</v>
      </c>
      <c r="AD27" s="124">
        <f t="shared" si="11"/>
        <v>0</v>
      </c>
      <c r="AE27" s="192" t="e">
        <f t="shared" si="8"/>
        <v>#DIV/0!</v>
      </c>
      <c r="AF27" s="129">
        <v>375.67</v>
      </c>
      <c r="AG27" s="124">
        <f t="shared" si="9"/>
        <v>375.67</v>
      </c>
      <c r="AH27" s="123"/>
    </row>
    <row r="28" spans="1:35">
      <c r="A28" s="105" t="s">
        <v>663</v>
      </c>
      <c r="B28" s="105" t="s">
        <v>656</v>
      </c>
      <c r="C28" s="105" t="s">
        <v>657</v>
      </c>
      <c r="D28" s="124">
        <f>'Guest Laundry'!E17</f>
        <v>542</v>
      </c>
      <c r="E28" s="124">
        <f>'Guest Laundry'!F17</f>
        <v>495</v>
      </c>
      <c r="F28" s="124">
        <f>'Guest Laundry'!G17</f>
        <v>500</v>
      </c>
      <c r="G28" s="124">
        <f>'Guest Laundry'!H17</f>
        <v>514</v>
      </c>
      <c r="H28" s="124">
        <f>'Guest Laundry'!I17</f>
        <v>528</v>
      </c>
      <c r="I28" s="124">
        <f>'Guest Laundry'!J17</f>
        <v>505</v>
      </c>
      <c r="J28" s="124">
        <f>'Guest Laundry'!K17</f>
        <v>538</v>
      </c>
      <c r="K28" s="124">
        <f>'Guest Laundry'!L17</f>
        <v>536</v>
      </c>
      <c r="L28" s="124">
        <f>'Guest Laundry'!M17</f>
        <v>517</v>
      </c>
      <c r="M28" s="124">
        <f>'Guest Laundry'!N17</f>
        <v>589</v>
      </c>
      <c r="N28" s="124">
        <f>'Guest Laundry'!O17</f>
        <v>520</v>
      </c>
      <c r="O28" s="124">
        <f>'Guest Laundry'!P17</f>
        <v>517</v>
      </c>
      <c r="P28" s="129">
        <f t="shared" si="10"/>
        <v>6301</v>
      </c>
      <c r="Q28" s="124">
        <f>'Guest Laundry'!R17</f>
        <v>953.71</v>
      </c>
      <c r="R28" s="124">
        <f>'Guest Laundry'!S17</f>
        <v>1209.68</v>
      </c>
      <c r="S28" s="124">
        <f>'Guest Laundry'!T17</f>
        <v>719.87</v>
      </c>
      <c r="T28" s="124">
        <f>'Guest Laundry'!U17</f>
        <v>619.66999999999996</v>
      </c>
      <c r="U28" s="124">
        <f>'Guest Laundry'!V17</f>
        <v>241.7</v>
      </c>
      <c r="V28" s="124">
        <f>'Guest Laundry'!W17</f>
        <v>632.02</v>
      </c>
      <c r="W28" s="124">
        <f>'Guest Laundry'!X17</f>
        <v>556.44000000000005</v>
      </c>
      <c r="X28" s="124">
        <f>'Guest Laundry'!Y17</f>
        <v>451.06</v>
      </c>
      <c r="Y28" s="124">
        <f>'Guest Laundry'!Z17</f>
        <v>760</v>
      </c>
      <c r="Z28" s="124">
        <f>'Guest Laundry'!AA17</f>
        <v>851</v>
      </c>
      <c r="AA28" s="124">
        <f>'Guest Laundry'!AB17</f>
        <v>715</v>
      </c>
      <c r="AB28" s="124">
        <f>'Guest Laundry'!AC17</f>
        <v>731</v>
      </c>
      <c r="AC28" s="129">
        <f t="shared" si="7"/>
        <v>8441.1500000000015</v>
      </c>
      <c r="AD28" s="124">
        <f t="shared" si="11"/>
        <v>2140.1500000000015</v>
      </c>
      <c r="AE28" s="192">
        <f t="shared" si="8"/>
        <v>0.25353772886395826</v>
      </c>
      <c r="AF28" s="129">
        <v>7774.2</v>
      </c>
      <c r="AG28" s="124">
        <f t="shared" si="9"/>
        <v>1473.1999999999998</v>
      </c>
      <c r="AH28" s="123"/>
    </row>
    <row r="29" spans="1:35">
      <c r="A29" s="105" t="s">
        <v>663</v>
      </c>
      <c r="B29" s="105" t="s">
        <v>659</v>
      </c>
      <c r="C29" s="105" t="s">
        <v>660</v>
      </c>
      <c r="D29" s="124">
        <f>'Other Income'!E16</f>
        <v>0</v>
      </c>
      <c r="E29" s="124">
        <f>'Other Income'!F16</f>
        <v>0</v>
      </c>
      <c r="F29" s="124">
        <f>'Other Income'!G16</f>
        <v>0</v>
      </c>
      <c r="G29" s="124">
        <f>'Other Income'!H16</f>
        <v>0</v>
      </c>
      <c r="H29" s="124">
        <f>'Other Income'!I16</f>
        <v>0</v>
      </c>
      <c r="I29" s="124">
        <f>'Other Income'!J16</f>
        <v>0</v>
      </c>
      <c r="J29" s="124">
        <f>'Other Income'!K16</f>
        <v>0</v>
      </c>
      <c r="K29" s="124">
        <f>'Other Income'!L16</f>
        <v>0</v>
      </c>
      <c r="L29" s="124">
        <f>'Other Income'!M16</f>
        <v>0</v>
      </c>
      <c r="M29" s="124">
        <f>'Other Income'!N16</f>
        <v>0</v>
      </c>
      <c r="N29" s="124">
        <f>'Other Income'!O16</f>
        <v>0</v>
      </c>
      <c r="O29" s="124">
        <f>'Other Income'!P16</f>
        <v>0</v>
      </c>
      <c r="P29" s="129">
        <f t="shared" si="10"/>
        <v>0</v>
      </c>
      <c r="Q29" s="124">
        <f>'Other Income'!R16</f>
        <v>0</v>
      </c>
      <c r="R29" s="124">
        <f>'Other Income'!S16</f>
        <v>0</v>
      </c>
      <c r="S29" s="124">
        <f>'Other Income'!T16</f>
        <v>0</v>
      </c>
      <c r="T29" s="124">
        <f>'Other Income'!U16</f>
        <v>0</v>
      </c>
      <c r="U29" s="124">
        <f>'Other Income'!V16</f>
        <v>0</v>
      </c>
      <c r="V29" s="124">
        <f>'Other Income'!W16</f>
        <v>0</v>
      </c>
      <c r="W29" s="124">
        <f>'Other Income'!X16</f>
        <v>0</v>
      </c>
      <c r="X29" s="124">
        <f>'Other Income'!Y16</f>
        <v>0</v>
      </c>
      <c r="Y29" s="124">
        <f>'Other Income'!Z16</f>
        <v>0</v>
      </c>
      <c r="Z29" s="124">
        <f>'Other Income'!AA16</f>
        <v>0</v>
      </c>
      <c r="AA29" s="124">
        <f>'Other Income'!AB16</f>
        <v>0</v>
      </c>
      <c r="AB29" s="124">
        <f>'Other Income'!AC16</f>
        <v>0</v>
      </c>
      <c r="AC29" s="129">
        <f t="shared" si="7"/>
        <v>0</v>
      </c>
      <c r="AD29" s="124">
        <f t="shared" si="11"/>
        <v>0</v>
      </c>
      <c r="AE29" s="192" t="e">
        <f t="shared" si="8"/>
        <v>#DIV/0!</v>
      </c>
      <c r="AF29" s="129">
        <v>0</v>
      </c>
      <c r="AG29" s="124">
        <f t="shared" si="9"/>
        <v>0</v>
      </c>
      <c r="AH29" s="123"/>
    </row>
    <row r="30" spans="1:35">
      <c r="C30" s="105" t="s">
        <v>664</v>
      </c>
      <c r="D30" s="129">
        <f>SUM(D21:D29)</f>
        <v>928236.49</v>
      </c>
      <c r="E30" s="129">
        <f t="shared" ref="E30:X30" si="12">SUM(E21:E29)</f>
        <v>806310.07000000007</v>
      </c>
      <c r="F30" s="129">
        <f t="shared" si="12"/>
        <v>811944.07000000007</v>
      </c>
      <c r="G30" s="129">
        <f t="shared" si="12"/>
        <v>764894.44000000006</v>
      </c>
      <c r="H30" s="129">
        <f t="shared" si="12"/>
        <v>830917.55999999994</v>
      </c>
      <c r="I30" s="129">
        <f t="shared" si="12"/>
        <v>791660.07000000007</v>
      </c>
      <c r="J30" s="129">
        <f t="shared" si="12"/>
        <v>809481.15999999992</v>
      </c>
      <c r="K30" s="129">
        <f t="shared" si="12"/>
        <v>801326.51</v>
      </c>
      <c r="L30" s="129">
        <f t="shared" si="12"/>
        <v>769347.51</v>
      </c>
      <c r="M30" s="129">
        <f t="shared" si="12"/>
        <v>897058.36</v>
      </c>
      <c r="N30" s="129">
        <f t="shared" si="12"/>
        <v>760333.15999999992</v>
      </c>
      <c r="O30" s="129">
        <f t="shared" si="12"/>
        <v>822904.51</v>
      </c>
      <c r="P30" s="129">
        <f t="shared" si="12"/>
        <v>9794413.9100000001</v>
      </c>
      <c r="Q30" s="129">
        <f t="shared" si="12"/>
        <v>1185767.5199999998</v>
      </c>
      <c r="R30" s="129">
        <f t="shared" si="12"/>
        <v>2065529.23</v>
      </c>
      <c r="S30" s="129">
        <f t="shared" si="12"/>
        <v>936794.3</v>
      </c>
      <c r="T30" s="129">
        <f t="shared" si="12"/>
        <v>827080.74000000011</v>
      </c>
      <c r="U30" s="129">
        <f t="shared" si="12"/>
        <v>-2336.1699999998718</v>
      </c>
      <c r="V30" s="129">
        <f t="shared" si="12"/>
        <v>762461.50000000012</v>
      </c>
      <c r="W30" s="129">
        <f>SUM(W21:W29)</f>
        <v>1041917.0599999999</v>
      </c>
      <c r="X30" s="129">
        <f t="shared" si="12"/>
        <v>1058560.4700000002</v>
      </c>
      <c r="Y30" s="129">
        <f>SUM(Y21:Y29)</f>
        <v>448361.06</v>
      </c>
      <c r="Z30" s="129">
        <f>SUM(Z21:Z29)</f>
        <v>702557.06</v>
      </c>
      <c r="AA30" s="129">
        <f>SUM(AA21:AA29)</f>
        <v>420211.06</v>
      </c>
      <c r="AB30" s="129">
        <f>SUM(AB21:AB29)</f>
        <v>826905.88000000012</v>
      </c>
      <c r="AC30" s="129">
        <f>SUM(AC21:AC29)</f>
        <v>10273809.710000001</v>
      </c>
      <c r="AD30" s="129">
        <f t="shared" si="11"/>
        <v>479395.80000000075</v>
      </c>
      <c r="AE30" s="192">
        <f t="shared" si="8"/>
        <v>4.6661931019939117E-2</v>
      </c>
      <c r="AF30" s="129">
        <v>5214791.4400000004</v>
      </c>
      <c r="AG30" s="124">
        <f t="shared" si="9"/>
        <v>-4579622.47</v>
      </c>
      <c r="AH30" s="123"/>
    </row>
    <row r="31" spans="1:35">
      <c r="C31" s="105" t="s">
        <v>154</v>
      </c>
      <c r="AF31" s="129"/>
      <c r="AH31" s="123"/>
    </row>
    <row r="32" spans="1:35">
      <c r="C32" s="105" t="s">
        <v>665</v>
      </c>
      <c r="AF32" s="129"/>
      <c r="AH32" s="123"/>
    </row>
    <row r="33" spans="1:34">
      <c r="C33" s="105" t="s">
        <v>636</v>
      </c>
      <c r="D33" s="124">
        <f>D9-D21</f>
        <v>-165078</v>
      </c>
      <c r="E33" s="124">
        <f t="shared" ref="E33:T36" si="13">E9-E21</f>
        <v>-148278</v>
      </c>
      <c r="F33" s="124">
        <f t="shared" si="13"/>
        <v>-129278</v>
      </c>
      <c r="G33" s="124">
        <f t="shared" si="13"/>
        <v>-128078</v>
      </c>
      <c r="H33" s="124">
        <f t="shared" si="13"/>
        <v>-160078</v>
      </c>
      <c r="I33" s="124">
        <f t="shared" si="13"/>
        <v>-131078</v>
      </c>
      <c r="J33" s="124">
        <f t="shared" si="13"/>
        <v>-126078</v>
      </c>
      <c r="K33" s="124">
        <f t="shared" si="13"/>
        <v>-126078</v>
      </c>
      <c r="L33" s="124">
        <f t="shared" si="13"/>
        <v>-125078</v>
      </c>
      <c r="M33" s="124">
        <f t="shared" si="13"/>
        <v>-165078</v>
      </c>
      <c r="N33" s="124">
        <f t="shared" si="13"/>
        <v>-130078</v>
      </c>
      <c r="O33" s="124">
        <f t="shared" si="13"/>
        <v>-130078</v>
      </c>
      <c r="P33" s="129">
        <f>P9-P21</f>
        <v>-1664336</v>
      </c>
      <c r="Q33" s="124">
        <f t="shared" ref="Q33:AC41" si="14">Q9-Q21</f>
        <v>-276676.81</v>
      </c>
      <c r="R33" s="124">
        <f t="shared" si="14"/>
        <v>-910672.49</v>
      </c>
      <c r="S33" s="124">
        <f t="shared" si="14"/>
        <v>-236144.56</v>
      </c>
      <c r="T33" s="124">
        <f t="shared" si="14"/>
        <v>-239092.69999999998</v>
      </c>
      <c r="U33" s="124">
        <f t="shared" si="14"/>
        <v>595710.84999999986</v>
      </c>
      <c r="V33" s="124">
        <f t="shared" si="14"/>
        <v>-121309.61000000002</v>
      </c>
      <c r="W33" s="124">
        <f t="shared" si="14"/>
        <v>-89293.169999999984</v>
      </c>
      <c r="X33" s="124">
        <f t="shared" si="14"/>
        <v>-98349.780000000013</v>
      </c>
      <c r="Y33" s="124">
        <f>Y9-Y21</f>
        <v>-70510</v>
      </c>
      <c r="Z33" s="124">
        <f>Z9-Z21</f>
        <v>-179906</v>
      </c>
      <c r="AA33" s="124">
        <f>AA9-AA21</f>
        <v>-42010</v>
      </c>
      <c r="AB33" s="124">
        <f>AB9-AB21</f>
        <v>-229890</v>
      </c>
      <c r="AC33" s="129">
        <f>AC9-AC21</f>
        <v>-1898144.2700000003</v>
      </c>
      <c r="AD33" s="124">
        <f>P33-AC33</f>
        <v>233808.27000000025</v>
      </c>
      <c r="AE33" s="192">
        <f t="shared" ref="AE33:AE42" si="15">AD33/AC33</f>
        <v>-0.12317729147110626</v>
      </c>
      <c r="AF33" s="129">
        <v>-763408.09000000008</v>
      </c>
      <c r="AG33" s="124">
        <f t="shared" ref="AG33:AG42" si="16">P33-AF33</f>
        <v>-900927.90999999992</v>
      </c>
      <c r="AH33" s="123"/>
    </row>
    <row r="34" spans="1:34">
      <c r="C34" s="105" t="s">
        <v>639</v>
      </c>
      <c r="D34" s="124">
        <f>D10-D22</f>
        <v>-123692.64000000001</v>
      </c>
      <c r="E34" s="124">
        <f t="shared" si="13"/>
        <v>-71732.19</v>
      </c>
      <c r="F34" s="124">
        <f t="shared" si="13"/>
        <v>-129803.19</v>
      </c>
      <c r="G34" s="124">
        <f t="shared" si="13"/>
        <v>-130767.28</v>
      </c>
      <c r="H34" s="124">
        <f t="shared" si="13"/>
        <v>-143651.38</v>
      </c>
      <c r="I34" s="124">
        <f t="shared" si="13"/>
        <v>-134981.19</v>
      </c>
      <c r="J34" s="124">
        <f t="shared" si="13"/>
        <v>-104289.53</v>
      </c>
      <c r="K34" s="124">
        <f t="shared" si="13"/>
        <v>-103216.53</v>
      </c>
      <c r="L34" s="124">
        <f t="shared" si="13"/>
        <v>-126685.53</v>
      </c>
      <c r="M34" s="124">
        <f t="shared" si="13"/>
        <v>-125038.94</v>
      </c>
      <c r="N34" s="124">
        <f t="shared" si="13"/>
        <v>-127554.53</v>
      </c>
      <c r="O34" s="124">
        <f t="shared" si="13"/>
        <v>-127413.53</v>
      </c>
      <c r="P34" s="129">
        <f t="shared" si="13"/>
        <v>-1448826.4600000002</v>
      </c>
      <c r="Q34" s="124">
        <f t="shared" si="13"/>
        <v>-202872.16999999998</v>
      </c>
      <c r="R34" s="124">
        <f t="shared" si="13"/>
        <v>-188670.59999999992</v>
      </c>
      <c r="S34" s="124">
        <f t="shared" si="13"/>
        <v>-165256.19</v>
      </c>
      <c r="T34" s="124">
        <f t="shared" si="13"/>
        <v>-113721.88999999998</v>
      </c>
      <c r="U34" s="124">
        <f t="shared" si="14"/>
        <v>-105273.66</v>
      </c>
      <c r="V34" s="124">
        <f t="shared" si="14"/>
        <v>-138291.98000000001</v>
      </c>
      <c r="W34" s="124">
        <f t="shared" si="14"/>
        <v>-121539.79999999999</v>
      </c>
      <c r="X34" s="124">
        <f t="shared" si="14"/>
        <v>-132380.63</v>
      </c>
      <c r="Y34" s="124">
        <f t="shared" si="14"/>
        <v>-119891</v>
      </c>
      <c r="Z34" s="124">
        <f t="shared" si="14"/>
        <v>-109116</v>
      </c>
      <c r="AA34" s="124">
        <f t="shared" si="14"/>
        <v>-103439</v>
      </c>
      <c r="AB34" s="124">
        <f t="shared" si="14"/>
        <v>-154728</v>
      </c>
      <c r="AC34" s="129">
        <f t="shared" si="14"/>
        <v>-1655180.9199999997</v>
      </c>
      <c r="AD34" s="124">
        <f t="shared" ref="AD34:AD41" si="17">P34-AC34</f>
        <v>206354.4599999995</v>
      </c>
      <c r="AE34" s="192">
        <f t="shared" si="15"/>
        <v>-0.12467184554060684</v>
      </c>
      <c r="AF34" s="129">
        <v>-1807198.0899999999</v>
      </c>
      <c r="AG34" s="124">
        <f t="shared" si="16"/>
        <v>358371.62999999966</v>
      </c>
      <c r="AH34" s="123"/>
    </row>
    <row r="35" spans="1:34">
      <c r="C35" s="105" t="s">
        <v>642</v>
      </c>
      <c r="D35" s="124">
        <f>D11-D23</f>
        <v>-132396.83000000002</v>
      </c>
      <c r="E35" s="124">
        <f t="shared" si="13"/>
        <v>11725.289999999979</v>
      </c>
      <c r="F35" s="124">
        <f t="shared" si="13"/>
        <v>-113260.71000000002</v>
      </c>
      <c r="G35" s="124">
        <f t="shared" si="13"/>
        <v>-107391.34999999998</v>
      </c>
      <c r="H35" s="124">
        <f t="shared" si="13"/>
        <v>-131028.75</v>
      </c>
      <c r="I35" s="124">
        <f t="shared" si="13"/>
        <v>-241471.71000000002</v>
      </c>
      <c r="J35" s="124">
        <f t="shared" si="13"/>
        <v>-163130.38</v>
      </c>
      <c r="K35" s="124">
        <f t="shared" si="13"/>
        <v>-163200.38</v>
      </c>
      <c r="L35" s="124">
        <f t="shared" si="13"/>
        <v>-167065.38</v>
      </c>
      <c r="M35" s="124">
        <f t="shared" si="13"/>
        <v>-170752.74</v>
      </c>
      <c r="N35" s="124">
        <f t="shared" si="13"/>
        <v>-166016.38</v>
      </c>
      <c r="O35" s="124">
        <f t="shared" si="13"/>
        <v>-147547.38</v>
      </c>
      <c r="P35" s="129">
        <f t="shared" si="13"/>
        <v>-1691536.6999999993</v>
      </c>
      <c r="Q35" s="124">
        <f t="shared" si="13"/>
        <v>-189478.94999999995</v>
      </c>
      <c r="R35" s="124">
        <f t="shared" si="13"/>
        <v>-307556.09999999998</v>
      </c>
      <c r="S35" s="124">
        <f t="shared" si="13"/>
        <v>-86712.510000000009</v>
      </c>
      <c r="T35" s="124">
        <f t="shared" si="13"/>
        <v>-77295.47000000003</v>
      </c>
      <c r="U35" s="124">
        <f t="shared" si="14"/>
        <v>-76099.69</v>
      </c>
      <c r="V35" s="124">
        <f t="shared" si="14"/>
        <v>-189223.13</v>
      </c>
      <c r="W35" s="124">
        <f t="shared" si="14"/>
        <v>-322536.89</v>
      </c>
      <c r="X35" s="124">
        <f t="shared" si="14"/>
        <v>-270075.29999999993</v>
      </c>
      <c r="Y35" s="124">
        <f t="shared" si="14"/>
        <v>26716.200000000012</v>
      </c>
      <c r="Z35" s="124">
        <f t="shared" si="14"/>
        <v>-1195.7999999999884</v>
      </c>
      <c r="AA35" s="124">
        <f t="shared" si="14"/>
        <v>64176.200000000012</v>
      </c>
      <c r="AB35" s="124">
        <f t="shared" si="14"/>
        <v>-8910.7999999999884</v>
      </c>
      <c r="AC35" s="129">
        <f t="shared" si="14"/>
        <v>-1438192.2399999993</v>
      </c>
      <c r="AD35" s="124">
        <f t="shared" si="17"/>
        <v>-253344.45999999996</v>
      </c>
      <c r="AE35" s="192">
        <f t="shared" si="15"/>
        <v>0.17615479555083685</v>
      </c>
      <c r="AF35" s="129">
        <v>436006.35999999987</v>
      </c>
      <c r="AG35" s="124">
        <f t="shared" si="16"/>
        <v>-2127543.0599999991</v>
      </c>
      <c r="AH35" s="123"/>
    </row>
    <row r="36" spans="1:34">
      <c r="C36" s="105" t="s">
        <v>645</v>
      </c>
      <c r="D36" s="124">
        <f>D12-D24</f>
        <v>0</v>
      </c>
      <c r="E36" s="124">
        <f t="shared" si="13"/>
        <v>0</v>
      </c>
      <c r="F36" s="124">
        <f t="shared" si="13"/>
        <v>0</v>
      </c>
      <c r="G36" s="124">
        <f t="shared" si="13"/>
        <v>0</v>
      </c>
      <c r="H36" s="124">
        <f t="shared" si="13"/>
        <v>0</v>
      </c>
      <c r="I36" s="124">
        <f t="shared" si="13"/>
        <v>0</v>
      </c>
      <c r="J36" s="124">
        <f t="shared" si="13"/>
        <v>0</v>
      </c>
      <c r="K36" s="124">
        <f t="shared" si="13"/>
        <v>0</v>
      </c>
      <c r="L36" s="124">
        <f t="shared" si="13"/>
        <v>0</v>
      </c>
      <c r="M36" s="124">
        <f t="shared" si="13"/>
        <v>0</v>
      </c>
      <c r="N36" s="124">
        <f t="shared" si="13"/>
        <v>0</v>
      </c>
      <c r="O36" s="124">
        <f t="shared" si="13"/>
        <v>0</v>
      </c>
      <c r="P36" s="129">
        <f t="shared" si="13"/>
        <v>0</v>
      </c>
      <c r="Q36" s="124">
        <f t="shared" si="13"/>
        <v>111784.47999999998</v>
      </c>
      <c r="R36" s="124">
        <f t="shared" si="13"/>
        <v>178168.55</v>
      </c>
      <c r="S36" s="124">
        <f t="shared" si="13"/>
        <v>73834.100000000006</v>
      </c>
      <c r="T36" s="124">
        <f t="shared" si="13"/>
        <v>77671.169999999984</v>
      </c>
      <c r="U36" s="124">
        <f t="shared" si="14"/>
        <v>75861.37</v>
      </c>
      <c r="V36" s="124">
        <f t="shared" si="14"/>
        <v>45661.72</v>
      </c>
      <c r="W36" s="124">
        <f t="shared" si="14"/>
        <v>49628</v>
      </c>
      <c r="X36" s="124">
        <f t="shared" si="14"/>
        <v>79992.78</v>
      </c>
      <c r="Y36" s="124">
        <f t="shared" si="14"/>
        <v>77340.7</v>
      </c>
      <c r="Z36" s="124">
        <f t="shared" si="14"/>
        <v>100212.29999999999</v>
      </c>
      <c r="AA36" s="124">
        <f t="shared" si="14"/>
        <v>101689.20000000001</v>
      </c>
      <c r="AB36" s="124">
        <f t="shared" si="14"/>
        <v>142449.07999999999</v>
      </c>
      <c r="AC36" s="129">
        <f t="shared" si="14"/>
        <v>1114293.4499999997</v>
      </c>
      <c r="AD36" s="124">
        <f t="shared" si="17"/>
        <v>-1114293.4499999997</v>
      </c>
      <c r="AE36" s="192">
        <f t="shared" si="15"/>
        <v>-1</v>
      </c>
      <c r="AF36" s="129">
        <v>1875274.5</v>
      </c>
      <c r="AG36" s="124">
        <f t="shared" si="16"/>
        <v>-1875274.5</v>
      </c>
      <c r="AH36" s="123"/>
    </row>
    <row r="37" spans="1:34">
      <c r="C37" s="105" t="s">
        <v>648</v>
      </c>
      <c r="D37" s="124">
        <f t="shared" ref="D37:AC41" si="18">D13-D25</f>
        <v>-55430.27</v>
      </c>
      <c r="E37" s="124">
        <f t="shared" si="18"/>
        <v>-47118.479999999996</v>
      </c>
      <c r="F37" s="124">
        <f t="shared" si="18"/>
        <v>-47179.479999999996</v>
      </c>
      <c r="G37" s="124">
        <f t="shared" si="18"/>
        <v>-48586.44</v>
      </c>
      <c r="H37" s="124">
        <f t="shared" si="18"/>
        <v>-51382.36</v>
      </c>
      <c r="I37" s="124">
        <f t="shared" si="18"/>
        <v>-47268.479999999996</v>
      </c>
      <c r="J37" s="124">
        <f t="shared" si="18"/>
        <v>-47941.81</v>
      </c>
      <c r="K37" s="124">
        <f t="shared" si="18"/>
        <v>-47932.81</v>
      </c>
      <c r="L37" s="124">
        <f t="shared" si="18"/>
        <v>-47981.81</v>
      </c>
      <c r="M37" s="124">
        <f t="shared" si="18"/>
        <v>-53262.17</v>
      </c>
      <c r="N37" s="124">
        <f t="shared" si="18"/>
        <v>-48005.81</v>
      </c>
      <c r="O37" s="124">
        <f t="shared" si="18"/>
        <v>-47996.81</v>
      </c>
      <c r="P37" s="129">
        <f t="shared" si="18"/>
        <v>-590086.73</v>
      </c>
      <c r="Q37" s="124">
        <f t="shared" si="18"/>
        <v>-46621.57</v>
      </c>
      <c r="R37" s="124">
        <f t="shared" si="18"/>
        <v>-57412.37</v>
      </c>
      <c r="S37" s="124">
        <f t="shared" si="18"/>
        <v>-52473.360000000008</v>
      </c>
      <c r="T37" s="124">
        <f t="shared" si="18"/>
        <v>-36414.36</v>
      </c>
      <c r="U37" s="124">
        <f t="shared" si="18"/>
        <v>-39116.340000000004</v>
      </c>
      <c r="V37" s="124">
        <f t="shared" si="18"/>
        <v>-44555.17</v>
      </c>
      <c r="W37" s="124">
        <f t="shared" si="14"/>
        <v>-45600.710000000006</v>
      </c>
      <c r="X37" s="124">
        <f t="shared" si="18"/>
        <v>-42258.400000000009</v>
      </c>
      <c r="Y37" s="124">
        <f t="shared" si="14"/>
        <v>-24856.05</v>
      </c>
      <c r="Z37" s="124">
        <f t="shared" si="14"/>
        <v>-24874.05</v>
      </c>
      <c r="AA37" s="124">
        <f t="shared" si="14"/>
        <v>-24847.05</v>
      </c>
      <c r="AB37" s="124">
        <f t="shared" si="14"/>
        <v>-24850.05</v>
      </c>
      <c r="AC37" s="129">
        <f t="shared" si="18"/>
        <v>-463879.47999999992</v>
      </c>
      <c r="AD37" s="124">
        <f t="shared" si="17"/>
        <v>-126207.25000000006</v>
      </c>
      <c r="AE37" s="192">
        <f t="shared" si="15"/>
        <v>0.27206905121131914</v>
      </c>
      <c r="AF37" s="129">
        <v>-128238.20999999998</v>
      </c>
      <c r="AG37" s="124">
        <f t="shared" si="16"/>
        <v>-461848.52</v>
      </c>
      <c r="AH37" s="123"/>
    </row>
    <row r="38" spans="1:34">
      <c r="C38" s="105" t="s">
        <v>651</v>
      </c>
      <c r="D38" s="124">
        <f t="shared" si="18"/>
        <v>-47141.75</v>
      </c>
      <c r="E38" s="124">
        <f t="shared" si="18"/>
        <v>-37984.69</v>
      </c>
      <c r="F38" s="124">
        <f t="shared" si="18"/>
        <v>-100630.69</v>
      </c>
      <c r="G38" s="124">
        <f t="shared" si="18"/>
        <v>-44261.37</v>
      </c>
      <c r="H38" s="124">
        <f t="shared" si="18"/>
        <v>-42785.07</v>
      </c>
      <c r="I38" s="124">
        <f t="shared" si="18"/>
        <v>-54063.69</v>
      </c>
      <c r="J38" s="124">
        <f t="shared" si="18"/>
        <v>-42464.44</v>
      </c>
      <c r="K38" s="124">
        <f t="shared" si="18"/>
        <v>-41470.79</v>
      </c>
      <c r="L38" s="124">
        <f t="shared" si="18"/>
        <v>-62118.79</v>
      </c>
      <c r="M38" s="124">
        <f t="shared" si="18"/>
        <v>-43268.51</v>
      </c>
      <c r="N38" s="124">
        <f t="shared" si="18"/>
        <v>-38442.44</v>
      </c>
      <c r="O38" s="124">
        <f t="shared" si="18"/>
        <v>-40779.79</v>
      </c>
      <c r="P38" s="129">
        <f t="shared" si="18"/>
        <v>-595412.02</v>
      </c>
      <c r="Q38" s="124">
        <f t="shared" si="18"/>
        <v>-22528.560000000001</v>
      </c>
      <c r="R38" s="124">
        <f t="shared" si="18"/>
        <v>-17910.57</v>
      </c>
      <c r="S38" s="124">
        <f t="shared" si="18"/>
        <v>-58014.039999999994</v>
      </c>
      <c r="T38" s="124">
        <f t="shared" si="18"/>
        <v>-19716.469999999998</v>
      </c>
      <c r="U38" s="124">
        <f t="shared" si="18"/>
        <v>-41897.469999999994</v>
      </c>
      <c r="V38" s="124">
        <f t="shared" si="18"/>
        <v>-40561.189999999995</v>
      </c>
      <c r="W38" s="124">
        <f t="shared" si="14"/>
        <v>-99182.640000000014</v>
      </c>
      <c r="X38" s="124">
        <f t="shared" si="18"/>
        <v>-13132.220000000001</v>
      </c>
      <c r="Y38" s="124">
        <f t="shared" si="14"/>
        <v>-26059.21</v>
      </c>
      <c r="Z38" s="124">
        <f t="shared" si="14"/>
        <v>-27341.21</v>
      </c>
      <c r="AA38" s="124">
        <f t="shared" si="14"/>
        <v>-26921.21</v>
      </c>
      <c r="AB38" s="124">
        <f t="shared" si="14"/>
        <v>-28186.21</v>
      </c>
      <c r="AC38" s="129">
        <f t="shared" si="18"/>
        <v>-421451.00000000012</v>
      </c>
      <c r="AD38" s="124">
        <f t="shared" si="17"/>
        <v>-173961.0199999999</v>
      </c>
      <c r="AE38" s="192">
        <f t="shared" si="15"/>
        <v>0.41276689342295986</v>
      </c>
      <c r="AF38" s="129">
        <v>-350268.74</v>
      </c>
      <c r="AG38" s="124">
        <f t="shared" si="16"/>
        <v>-245143.28000000003</v>
      </c>
      <c r="AH38" s="123"/>
    </row>
    <row r="39" spans="1:34">
      <c r="C39" s="105" t="s">
        <v>654</v>
      </c>
      <c r="D39" s="124">
        <f t="shared" si="18"/>
        <v>22000</v>
      </c>
      <c r="E39" s="124">
        <f t="shared" si="18"/>
        <v>34500</v>
      </c>
      <c r="F39" s="124">
        <f t="shared" si="18"/>
        <v>16000</v>
      </c>
      <c r="G39" s="124">
        <f t="shared" si="18"/>
        <v>17000</v>
      </c>
      <c r="H39" s="124">
        <f t="shared" si="18"/>
        <v>14800</v>
      </c>
      <c r="I39" s="124">
        <f t="shared" si="18"/>
        <v>13000</v>
      </c>
      <c r="J39" s="124">
        <f t="shared" si="18"/>
        <v>13000</v>
      </c>
      <c r="K39" s="124">
        <f t="shared" si="18"/>
        <v>13000</v>
      </c>
      <c r="L39" s="124">
        <f t="shared" si="18"/>
        <v>8500</v>
      </c>
      <c r="M39" s="124">
        <f t="shared" si="18"/>
        <v>11000</v>
      </c>
      <c r="N39" s="124">
        <f t="shared" si="18"/>
        <v>10000</v>
      </c>
      <c r="O39" s="124">
        <f t="shared" si="18"/>
        <v>18000</v>
      </c>
      <c r="P39" s="129">
        <f t="shared" si="18"/>
        <v>190800</v>
      </c>
      <c r="Q39" s="124">
        <f t="shared" si="18"/>
        <v>18808.560000000001</v>
      </c>
      <c r="R39" s="124">
        <f t="shared" si="18"/>
        <v>38278.53</v>
      </c>
      <c r="S39" s="124">
        <f t="shared" si="18"/>
        <v>16501.900000000001</v>
      </c>
      <c r="T39" s="124">
        <f t="shared" si="18"/>
        <v>14968.91</v>
      </c>
      <c r="U39" s="124">
        <f t="shared" si="18"/>
        <v>16633.41</v>
      </c>
      <c r="V39" s="124">
        <f t="shared" si="18"/>
        <v>14161.5</v>
      </c>
      <c r="W39" s="124">
        <f t="shared" si="14"/>
        <v>12447.52</v>
      </c>
      <c r="X39" s="124">
        <f t="shared" si="18"/>
        <v>15416.8</v>
      </c>
      <c r="Y39" s="124">
        <f t="shared" si="14"/>
        <v>10000</v>
      </c>
      <c r="Z39" s="124">
        <f t="shared" si="14"/>
        <v>13000</v>
      </c>
      <c r="AA39" s="124">
        <f t="shared" si="14"/>
        <v>12000</v>
      </c>
      <c r="AB39" s="124">
        <f t="shared" si="14"/>
        <v>15000</v>
      </c>
      <c r="AC39" s="129">
        <f t="shared" si="18"/>
        <v>197217.12999999998</v>
      </c>
      <c r="AD39" s="124">
        <f t="shared" si="17"/>
        <v>-6417.1299999999756</v>
      </c>
      <c r="AE39" s="192">
        <f t="shared" si="15"/>
        <v>-3.2538400695720379E-2</v>
      </c>
      <c r="AF39" s="129">
        <v>127033.83</v>
      </c>
      <c r="AG39" s="124">
        <f t="shared" si="16"/>
        <v>63766.17</v>
      </c>
      <c r="AH39" s="123"/>
    </row>
    <row r="40" spans="1:34">
      <c r="C40" s="105" t="s">
        <v>657</v>
      </c>
      <c r="D40" s="124">
        <f t="shared" si="18"/>
        <v>9903</v>
      </c>
      <c r="E40" s="124">
        <f t="shared" si="18"/>
        <v>8938</v>
      </c>
      <c r="F40" s="124">
        <f t="shared" si="18"/>
        <v>9710</v>
      </c>
      <c r="G40" s="124">
        <f t="shared" si="18"/>
        <v>9109</v>
      </c>
      <c r="H40" s="124">
        <f t="shared" si="18"/>
        <v>9219</v>
      </c>
      <c r="I40" s="124">
        <f t="shared" si="18"/>
        <v>8807</v>
      </c>
      <c r="J40" s="124">
        <f t="shared" si="18"/>
        <v>9907</v>
      </c>
      <c r="K40" s="124">
        <f t="shared" si="18"/>
        <v>9909</v>
      </c>
      <c r="L40" s="124">
        <f t="shared" si="18"/>
        <v>8568</v>
      </c>
      <c r="M40" s="124">
        <f t="shared" si="18"/>
        <v>9034</v>
      </c>
      <c r="N40" s="124">
        <f t="shared" si="18"/>
        <v>8679</v>
      </c>
      <c r="O40" s="124">
        <f t="shared" si="18"/>
        <v>9693</v>
      </c>
      <c r="P40" s="129">
        <f t="shared" si="18"/>
        <v>111476</v>
      </c>
      <c r="Q40" s="124">
        <f t="shared" si="18"/>
        <v>11113.59</v>
      </c>
      <c r="R40" s="124">
        <f t="shared" si="18"/>
        <v>22483.67</v>
      </c>
      <c r="S40" s="124">
        <f t="shared" si="18"/>
        <v>10806.88</v>
      </c>
      <c r="T40" s="124">
        <f t="shared" si="18"/>
        <v>6914.33</v>
      </c>
      <c r="U40" s="124">
        <f t="shared" si="18"/>
        <v>5442.95</v>
      </c>
      <c r="V40" s="124">
        <f t="shared" si="18"/>
        <v>4610.43</v>
      </c>
      <c r="W40" s="124">
        <f t="shared" si="14"/>
        <v>7958.16</v>
      </c>
      <c r="X40" s="124">
        <f t="shared" si="18"/>
        <v>5749.59</v>
      </c>
      <c r="Y40" s="124">
        <f t="shared" si="14"/>
        <v>4124</v>
      </c>
      <c r="Z40" s="124">
        <f t="shared" si="14"/>
        <v>6107</v>
      </c>
      <c r="AA40" s="124">
        <f t="shared" si="14"/>
        <v>6122</v>
      </c>
      <c r="AB40" s="124">
        <f t="shared" si="14"/>
        <v>13855</v>
      </c>
      <c r="AC40" s="129">
        <f t="shared" si="18"/>
        <v>105287.6</v>
      </c>
      <c r="AD40" s="124">
        <f t="shared" si="17"/>
        <v>6188.3999999999942</v>
      </c>
      <c r="AE40" s="192">
        <f t="shared" si="15"/>
        <v>5.8776152177464333E-2</v>
      </c>
      <c r="AF40" s="129">
        <v>148044.57999999996</v>
      </c>
      <c r="AG40" s="124">
        <f t="shared" si="16"/>
        <v>-36568.579999999958</v>
      </c>
      <c r="AH40" s="123"/>
    </row>
    <row r="41" spans="1:34">
      <c r="C41" s="105" t="s">
        <v>660</v>
      </c>
      <c r="D41" s="124">
        <f t="shared" si="18"/>
        <v>354146</v>
      </c>
      <c r="E41" s="124">
        <f t="shared" si="18"/>
        <v>354146</v>
      </c>
      <c r="F41" s="124">
        <f t="shared" si="18"/>
        <v>354146</v>
      </c>
      <c r="G41" s="124">
        <f t="shared" si="18"/>
        <v>354146</v>
      </c>
      <c r="H41" s="124">
        <f t="shared" si="18"/>
        <v>354146</v>
      </c>
      <c r="I41" s="124">
        <f t="shared" si="18"/>
        <v>354146</v>
      </c>
      <c r="J41" s="124">
        <f t="shared" si="18"/>
        <v>354146</v>
      </c>
      <c r="K41" s="124">
        <f t="shared" si="18"/>
        <v>354146</v>
      </c>
      <c r="L41" s="124">
        <f t="shared" si="18"/>
        <v>354146</v>
      </c>
      <c r="M41" s="124">
        <f t="shared" si="18"/>
        <v>354146</v>
      </c>
      <c r="N41" s="124">
        <f t="shared" si="18"/>
        <v>354146</v>
      </c>
      <c r="O41" s="124">
        <f t="shared" si="18"/>
        <v>354154</v>
      </c>
      <c r="P41" s="129">
        <f t="shared" si="18"/>
        <v>4249760</v>
      </c>
      <c r="Q41" s="124">
        <f t="shared" si="18"/>
        <v>274421.34000000003</v>
      </c>
      <c r="R41" s="124">
        <f t="shared" si="18"/>
        <v>325261.56</v>
      </c>
      <c r="S41" s="124">
        <f t="shared" si="18"/>
        <v>368758.67</v>
      </c>
      <c r="T41" s="124">
        <f t="shared" si="18"/>
        <v>303970.49</v>
      </c>
      <c r="U41" s="124">
        <f t="shared" si="18"/>
        <v>280657.18</v>
      </c>
      <c r="V41" s="124">
        <f t="shared" si="18"/>
        <v>276915.02</v>
      </c>
      <c r="W41" s="124">
        <f t="shared" si="14"/>
        <v>264193.96999999997</v>
      </c>
      <c r="X41" s="124">
        <f t="shared" si="18"/>
        <v>312553.67</v>
      </c>
      <c r="Y41" s="124">
        <f t="shared" si="14"/>
        <v>278033</v>
      </c>
      <c r="Z41" s="124">
        <f t="shared" si="14"/>
        <v>278033</v>
      </c>
      <c r="AA41" s="124">
        <f t="shared" si="14"/>
        <v>278033</v>
      </c>
      <c r="AB41" s="124">
        <f t="shared" si="14"/>
        <v>278033</v>
      </c>
      <c r="AC41" s="129">
        <f t="shared" si="18"/>
        <v>3518863.9</v>
      </c>
      <c r="AD41" s="124">
        <f t="shared" si="17"/>
        <v>730896.10000000009</v>
      </c>
      <c r="AE41" s="192">
        <f t="shared" si="15"/>
        <v>0.20770797642955163</v>
      </c>
      <c r="AF41" s="129">
        <v>4549679.7</v>
      </c>
      <c r="AG41" s="124">
        <f t="shared" si="16"/>
        <v>-299919.70000000019</v>
      </c>
      <c r="AH41" s="123"/>
    </row>
    <row r="42" spans="1:34">
      <c r="C42" s="105" t="s">
        <v>666</v>
      </c>
      <c r="D42" s="129">
        <f>SUM(D33:D41)</f>
        <v>-137690.49000000005</v>
      </c>
      <c r="E42" s="129">
        <f t="shared" ref="E42:X42" si="19">SUM(E33:E41)</f>
        <v>104195.93</v>
      </c>
      <c r="F42" s="129">
        <f t="shared" si="19"/>
        <v>-140296.07</v>
      </c>
      <c r="G42" s="129">
        <f t="shared" si="19"/>
        <v>-78829.440000000002</v>
      </c>
      <c r="H42" s="129">
        <f t="shared" si="19"/>
        <v>-150760.55999999994</v>
      </c>
      <c r="I42" s="129">
        <f t="shared" si="19"/>
        <v>-232910.07000000007</v>
      </c>
      <c r="J42" s="129">
        <f t="shared" si="19"/>
        <v>-106851.16000000003</v>
      </c>
      <c r="K42" s="129">
        <f t="shared" si="19"/>
        <v>-104843.51000000001</v>
      </c>
      <c r="L42" s="129">
        <f t="shared" si="19"/>
        <v>-157715.51</v>
      </c>
      <c r="M42" s="129">
        <f t="shared" si="19"/>
        <v>-183220.36</v>
      </c>
      <c r="N42" s="129">
        <f t="shared" si="19"/>
        <v>-137272.16000000003</v>
      </c>
      <c r="O42" s="129">
        <f t="shared" si="19"/>
        <v>-111968.51000000001</v>
      </c>
      <c r="P42" s="129">
        <f t="shared" si="19"/>
        <v>-1438161.9099999983</v>
      </c>
      <c r="Q42" s="129">
        <f t="shared" si="19"/>
        <v>-322050.08999999991</v>
      </c>
      <c r="R42" s="129">
        <f t="shared" si="19"/>
        <v>-918029.82000000007</v>
      </c>
      <c r="S42" s="129">
        <f t="shared" si="19"/>
        <v>-128699.11000000004</v>
      </c>
      <c r="T42" s="129">
        <f t="shared" si="19"/>
        <v>-82715.989999999991</v>
      </c>
      <c r="U42" s="129">
        <f t="shared" si="19"/>
        <v>711918.59999999986</v>
      </c>
      <c r="V42" s="129">
        <f t="shared" si="19"/>
        <v>-192592.40999999997</v>
      </c>
      <c r="W42" s="129">
        <f>SUM(W33:W41)</f>
        <v>-343925.55999999994</v>
      </c>
      <c r="X42" s="129">
        <f t="shared" si="19"/>
        <v>-142483.48999999993</v>
      </c>
      <c r="Y42" s="129">
        <f>SUM(Y33:Y41)</f>
        <v>154897.64000000001</v>
      </c>
      <c r="Z42" s="129">
        <f>SUM(Z33:Z41)</f>
        <v>54919.24000000002</v>
      </c>
      <c r="AA42" s="129">
        <f>SUM(AA33:AA41)</f>
        <v>264803.14</v>
      </c>
      <c r="AB42" s="129">
        <f>SUM(AB33:AB41)</f>
        <v>2772.0199999999604</v>
      </c>
      <c r="AC42" s="129">
        <f>SUM(AC33:AC41)</f>
        <v>-941185.83000000054</v>
      </c>
      <c r="AD42" s="129">
        <f>P42-AC42</f>
        <v>-496976.07999999775</v>
      </c>
      <c r="AE42" s="192">
        <f t="shared" si="15"/>
        <v>0.52803183405342757</v>
      </c>
      <c r="AF42" s="249">
        <v>4086925.8400000003</v>
      </c>
      <c r="AG42" s="124">
        <f t="shared" si="16"/>
        <v>-5525087.7499999981</v>
      </c>
      <c r="AH42" s="123"/>
    </row>
    <row r="43" spans="1:34">
      <c r="C43" s="105" t="s">
        <v>154</v>
      </c>
      <c r="AF43" s="129"/>
      <c r="AH43" s="123"/>
    </row>
    <row r="44" spans="1:34">
      <c r="C44" s="105" t="s">
        <v>246</v>
      </c>
      <c r="AF44" s="129"/>
      <c r="AH44" s="123"/>
    </row>
    <row r="45" spans="1:34">
      <c r="C45" s="105" t="s">
        <v>465</v>
      </c>
      <c r="AF45" s="129"/>
      <c r="AH45" s="123"/>
    </row>
    <row r="46" spans="1:34">
      <c r="A46" s="105" t="s">
        <v>248</v>
      </c>
      <c r="B46" s="105" t="s">
        <v>667</v>
      </c>
      <c r="C46" s="105" t="s">
        <v>250</v>
      </c>
      <c r="D46" s="124">
        <f>Recreation!D34+Pool!E37+Kids!E36+SPA!E49+Telephone!E44+Transportation!E31+Garage!E28+Laundry!E29</f>
        <v>47113.33</v>
      </c>
      <c r="E46" s="124">
        <f>Recreation!E34+Pool!F37+Kids!F36+SPA!F49+Telephone!F44+Transportation!F31+Garage!F28+Laundry!F29</f>
        <v>47113.33</v>
      </c>
      <c r="F46" s="124">
        <f>Recreation!F34+Pool!G37+Kids!G36+SPA!G49+Telephone!G44+Transportation!G31+Garage!G28+Laundry!G29</f>
        <v>48014.080000000002</v>
      </c>
      <c r="G46" s="124">
        <f>Recreation!G34+Pool!H37+Kids!H36+SPA!H49+Telephone!H44+Transportation!H31+Garage!H28+Laundry!H29</f>
        <v>48014.080000000002</v>
      </c>
      <c r="H46" s="124">
        <f>Recreation!H34+Pool!I37+Kids!I36+SPA!I49+Telephone!I44+Transportation!I31+Garage!I28+Laundry!I29</f>
        <v>48014.080000000002</v>
      </c>
      <c r="I46" s="124">
        <f>Recreation!I34+Pool!J37+Kids!J36+SPA!J49+Telephone!J44+Transportation!J31+Garage!J28+Laundry!J29</f>
        <v>49295.46</v>
      </c>
      <c r="J46" s="124">
        <f>Recreation!J34+Pool!K37+Kids!K36+SPA!K49+Telephone!K44+Transportation!K31+Garage!K28+Laundry!K29</f>
        <v>49295.46</v>
      </c>
      <c r="K46" s="124">
        <f>Recreation!K34+Pool!L37+Kids!L36+SPA!L49+Telephone!L44+Transportation!L31+Garage!L28+Laundry!L29</f>
        <v>49295.46</v>
      </c>
      <c r="L46" s="124">
        <f>Recreation!L34+Pool!M37+Kids!M36+SPA!M49+Telephone!M44+Transportation!M31+Garage!M28+Laundry!M29</f>
        <v>49295.46</v>
      </c>
      <c r="M46" s="124">
        <f>Recreation!M34+Pool!N37+Kids!N36+SPA!N49+Telephone!N44+Transportation!N31+Garage!N28+Laundry!N29</f>
        <v>49295.46</v>
      </c>
      <c r="N46" s="124">
        <f>Recreation!N34+Pool!O37+Kids!O36+SPA!O49+Telephone!O44+Transportation!O31+Garage!O28+Laundry!O29</f>
        <v>49295.46</v>
      </c>
      <c r="O46" s="124">
        <f>Recreation!O34+Pool!P37+Kids!P36+SPA!P49+Telephone!P44+Transportation!P31+Garage!P28+Laundry!P29</f>
        <v>49295.46</v>
      </c>
      <c r="P46" s="129">
        <f>SUM(D46:O46)</f>
        <v>583337.12000000011</v>
      </c>
      <c r="Q46" s="124">
        <f>Recreation!Q34+Pool!R37+Kids!R36+SPA!R49+Telephone!R44+Transportation!R31+Garage!R28+Laundry!R29</f>
        <v>65548.28</v>
      </c>
      <c r="R46" s="124">
        <f>Recreation!R34+Pool!S37+Kids!S36+SPA!S49+Telephone!S44+Transportation!S31+Garage!S28+Laundry!S29</f>
        <v>43243.72</v>
      </c>
      <c r="S46" s="124">
        <f>Recreation!S34+Pool!T37+Kids!T36+SPA!T49+Telephone!T44+Transportation!T31+Garage!T28+Laundry!T29</f>
        <v>48357.47</v>
      </c>
      <c r="T46" s="124">
        <f>Recreation!T34+Pool!U37+Kids!U36+SPA!U49+Telephone!U44+Transportation!U31+Garage!U28+Laundry!U29</f>
        <v>60495.4</v>
      </c>
      <c r="U46" s="124">
        <f>Recreation!U34+Pool!V37+Kids!V36+SPA!V49+Telephone!V44+Transportation!V31+Garage!V28+Laundry!V29</f>
        <v>43300</v>
      </c>
      <c r="V46" s="124">
        <f>Recreation!V34+Pool!W37+Kids!W36+SPA!W49+Telephone!W44+Transportation!W31+Garage!W28+Laundry!W29</f>
        <v>48172.41</v>
      </c>
      <c r="W46" s="124">
        <f>Recreation!W34+Pool!X37+Kids!X36+SPA!X49+Telephone!X44+Transportation!X31+Garage!X28+Laundry!X29</f>
        <v>68000</v>
      </c>
      <c r="X46" s="124">
        <f>Recreation!X34+Pool!Y37+Kids!Y36+SPA!Y49+Telephone!Y44+Transportation!Y31+Garage!Y28+Laundry!Y29</f>
        <v>69418.97</v>
      </c>
      <c r="Y46" s="124">
        <f>Recreation!Y34+Pool!Z37+Kids!Z36+SPA!Z49+Telephone!Z44+Transportation!Z31+Garage!Z28+Laundry!Z29</f>
        <v>73776</v>
      </c>
      <c r="Z46" s="124">
        <f>Recreation!Z34+Pool!AA37+Kids!AA36+SPA!AA49+Telephone!AA44+Transportation!AA31+Garage!AA28+Laundry!AA29</f>
        <v>73776</v>
      </c>
      <c r="AA46" s="124">
        <f>Recreation!AA34+Pool!AB37+Kids!AB36+SPA!AB49+Telephone!AB44+Transportation!AB31+Garage!AB28+Laundry!AB29</f>
        <v>73776</v>
      </c>
      <c r="AB46" s="124">
        <f>Recreation!AB34+Pool!AC37+Kids!AC36+SPA!AC49+Telephone!AC44+Transportation!AC31+Garage!AC28+Laundry!AC29</f>
        <v>73776</v>
      </c>
      <c r="AC46" s="129">
        <f>SUM(Q46:AB46)</f>
        <v>741640.25</v>
      </c>
      <c r="AD46" s="124">
        <f t="shared" ref="AD46:AD48" si="20">P46-AC46</f>
        <v>-158303.12999999989</v>
      </c>
      <c r="AE46" s="192">
        <f t="shared" ref="AE46:AE48" si="21">AD46/AC46</f>
        <v>-0.21345002513010841</v>
      </c>
      <c r="AF46" s="129">
        <v>523040.43</v>
      </c>
      <c r="AG46" s="124">
        <f t="shared" ref="AG46:AG80" si="22">AF46-P46</f>
        <v>-60296.690000000119</v>
      </c>
      <c r="AH46" s="123"/>
    </row>
    <row r="47" spans="1:34">
      <c r="A47" s="105" t="s">
        <v>251</v>
      </c>
      <c r="B47" s="105" t="s">
        <v>667</v>
      </c>
      <c r="C47" s="105" t="s">
        <v>468</v>
      </c>
      <c r="D47" s="124">
        <f>Recreation!D35+Pool!E38+Kids!E37+SPA!E50+Telephone!E45+Transportation!E32+Garage!E29+Laundry!E30</f>
        <v>197999.66999999998</v>
      </c>
      <c r="E47" s="124">
        <f>Recreation!E35+Pool!F38+Kids!F37+SPA!F50+Telephone!F45+Transportation!F32+Garage!F29+Laundry!F30</f>
        <v>197999.66999999998</v>
      </c>
      <c r="F47" s="124">
        <f>Recreation!F35+Pool!G38+Kids!G37+SPA!G50+Telephone!G45+Transportation!G32+Garage!G29+Laundry!G30</f>
        <v>207457.82</v>
      </c>
      <c r="G47" s="124">
        <f>Recreation!G35+Pool!H38+Kids!H37+SPA!H50+Telephone!H45+Transportation!H32+Garage!H29+Laundry!H30</f>
        <v>210009.32</v>
      </c>
      <c r="H47" s="124">
        <f>Recreation!H35+Pool!I38+Kids!I37+SPA!I50+Telephone!I45+Transportation!I32+Garage!I29+Laundry!I30</f>
        <v>210009.32</v>
      </c>
      <c r="I47" s="124">
        <f>Recreation!I35+Pool!J38+Kids!J37+SPA!J50+Telephone!J45+Transportation!J32+Garage!J29+Laundry!J30</f>
        <v>210009.32</v>
      </c>
      <c r="J47" s="124">
        <f>Recreation!J35+Pool!K38+Kids!K37+SPA!K50+Telephone!K45+Transportation!K32+Garage!K29+Laundry!K30</f>
        <v>213042.77000000002</v>
      </c>
      <c r="K47" s="124">
        <f>Recreation!K35+Pool!L38+Kids!L37+SPA!L50+Telephone!L45+Transportation!L32+Garage!L29+Laundry!L30</f>
        <v>213042.77000000002</v>
      </c>
      <c r="L47" s="124">
        <f>Recreation!L35+Pool!M38+Kids!M37+SPA!M50+Telephone!M45+Transportation!M32+Garage!M29+Laundry!M30</f>
        <v>213042.77000000002</v>
      </c>
      <c r="M47" s="124">
        <f>Recreation!M35+Pool!N38+Kids!N37+SPA!N50+Telephone!N45+Transportation!N32+Garage!N29+Laundry!N30</f>
        <v>213042.77000000002</v>
      </c>
      <c r="N47" s="124">
        <f>Recreation!N35+Pool!O38+Kids!O37+SPA!O50+Telephone!O45+Transportation!O32+Garage!O29+Laundry!O30</f>
        <v>213042.77000000002</v>
      </c>
      <c r="O47" s="124">
        <f>Recreation!O35+Pool!P38+Kids!P37+SPA!P50+Telephone!P45+Transportation!P32+Garage!P29+Laundry!P30</f>
        <v>213042.77000000002</v>
      </c>
      <c r="P47" s="129">
        <f>SUM(D47:O47)</f>
        <v>2511741.7400000002</v>
      </c>
      <c r="Q47" s="124">
        <f>Recreation!Q35+Pool!R38+Kids!R37+SPA!R50+Telephone!R45+Transportation!R32+Garage!R29+Laundry!R30</f>
        <v>237345.92000000001</v>
      </c>
      <c r="R47" s="124">
        <f>Recreation!R35+Pool!S38+Kids!S37+SPA!S50+Telephone!S45+Transportation!S32+Garage!S29+Laundry!S30</f>
        <v>237055.12</v>
      </c>
      <c r="S47" s="124">
        <f>Recreation!S35+Pool!T38+Kids!T37+SPA!T50+Telephone!T45+Transportation!T32+Garage!T29+Laundry!T30</f>
        <v>237389.08</v>
      </c>
      <c r="T47" s="124">
        <f>Recreation!T35+Pool!U38+Kids!U37+SPA!U50+Telephone!U45+Transportation!U32+Garage!U29+Laundry!U30</f>
        <v>230876.77000000002</v>
      </c>
      <c r="U47" s="124">
        <f>Recreation!U35+Pool!V38+Kids!V37+SPA!V50+Telephone!V45+Transportation!V32+Garage!V29+Laundry!V30</f>
        <v>222062.82</v>
      </c>
      <c r="V47" s="124">
        <f>Recreation!V35+Pool!W38+Kids!W37+SPA!W50+Telephone!W45+Transportation!W32+Garage!W29+Laundry!W30</f>
        <v>215072.39</v>
      </c>
      <c r="W47" s="124">
        <f>Recreation!W35+Pool!X38+Kids!X37+SPA!X50+Telephone!X45+Transportation!X32+Garage!X29+Laundry!X30</f>
        <v>204505.73</v>
      </c>
      <c r="X47" s="124">
        <f>Recreation!X35+Pool!Y38+Kids!Y37+SPA!Y50+Telephone!Y45+Transportation!Y32+Garage!Y29+Laundry!Y30</f>
        <v>210554.37000000002</v>
      </c>
      <c r="Y47" s="124">
        <f>Recreation!Y35+Pool!Z38+Kids!Z37+SPA!Z50+Telephone!Z45+Transportation!Z32+Garage!Z29+Laundry!Z30</f>
        <v>216090</v>
      </c>
      <c r="Z47" s="124">
        <f>Recreation!Z35+Pool!AA38+Kids!AA37+SPA!AA50+Telephone!AA45+Transportation!AA32+Garage!AA29+Laundry!AA30</f>
        <v>216090</v>
      </c>
      <c r="AA47" s="124">
        <f>Recreation!AA35+Pool!AB38+Kids!AB37+SPA!AB50+Telephone!AB45+Transportation!AB32+Garage!AB29+Laundry!AB30</f>
        <v>216090</v>
      </c>
      <c r="AB47" s="124">
        <f>Recreation!AB35+Pool!AC38+Kids!AC37+SPA!AC50+Telephone!AC45+Transportation!AC32+Garage!AC29+Laundry!AC30</f>
        <v>216090</v>
      </c>
      <c r="AC47" s="129">
        <f>SUM(Q47:AB47)</f>
        <v>2659222.2000000002</v>
      </c>
      <c r="AD47" s="124">
        <f t="shared" si="20"/>
        <v>-147480.45999999996</v>
      </c>
      <c r="AE47" s="192">
        <f t="shared" si="21"/>
        <v>-5.5459998792127999E-2</v>
      </c>
      <c r="AF47" s="129">
        <v>2784471.2699999996</v>
      </c>
      <c r="AG47" s="124">
        <f t="shared" si="22"/>
        <v>272729.52999999933</v>
      </c>
      <c r="AH47" s="123"/>
    </row>
    <row r="48" spans="1:34">
      <c r="C48" s="109" t="s">
        <v>471</v>
      </c>
      <c r="D48" s="133">
        <f>SUM(D46:D47)</f>
        <v>245113</v>
      </c>
      <c r="E48" s="133">
        <f t="shared" ref="E48:O48" si="23">SUM(E46:E47)</f>
        <v>245113</v>
      </c>
      <c r="F48" s="133">
        <f t="shared" si="23"/>
        <v>255471.90000000002</v>
      </c>
      <c r="G48" s="133">
        <f t="shared" si="23"/>
        <v>258023.40000000002</v>
      </c>
      <c r="H48" s="133">
        <f t="shared" si="23"/>
        <v>258023.40000000002</v>
      </c>
      <c r="I48" s="133">
        <f t="shared" si="23"/>
        <v>259304.78</v>
      </c>
      <c r="J48" s="133">
        <f t="shared" si="23"/>
        <v>262338.23000000004</v>
      </c>
      <c r="K48" s="133">
        <f t="shared" si="23"/>
        <v>262338.23000000004</v>
      </c>
      <c r="L48" s="133">
        <f t="shared" si="23"/>
        <v>262338.23000000004</v>
      </c>
      <c r="M48" s="133">
        <f t="shared" si="23"/>
        <v>262338.23000000004</v>
      </c>
      <c r="N48" s="133">
        <f t="shared" si="23"/>
        <v>262338.23000000004</v>
      </c>
      <c r="O48" s="133">
        <f t="shared" si="23"/>
        <v>262338.23000000004</v>
      </c>
      <c r="P48" s="133">
        <f>SUM(P46:P47)</f>
        <v>3095078.8600000003</v>
      </c>
      <c r="Q48" s="133">
        <f t="shared" ref="Q48:AB48" si="24">SUM(Q46:Q47)</f>
        <v>302894.2</v>
      </c>
      <c r="R48" s="133">
        <f t="shared" si="24"/>
        <v>280298.83999999997</v>
      </c>
      <c r="S48" s="133">
        <f t="shared" si="24"/>
        <v>285746.55</v>
      </c>
      <c r="T48" s="133">
        <f t="shared" si="24"/>
        <v>291372.17000000004</v>
      </c>
      <c r="U48" s="133">
        <f t="shared" si="24"/>
        <v>265362.82</v>
      </c>
      <c r="V48" s="133">
        <f t="shared" si="24"/>
        <v>263244.80000000005</v>
      </c>
      <c r="W48" s="133">
        <f t="shared" si="24"/>
        <v>272505.73</v>
      </c>
      <c r="X48" s="133">
        <f t="shared" si="24"/>
        <v>279973.34000000003</v>
      </c>
      <c r="Y48" s="133">
        <f t="shared" si="24"/>
        <v>289866</v>
      </c>
      <c r="Z48" s="133">
        <f t="shared" si="24"/>
        <v>289866</v>
      </c>
      <c r="AA48" s="133">
        <f t="shared" si="24"/>
        <v>289866</v>
      </c>
      <c r="AB48" s="133">
        <f t="shared" si="24"/>
        <v>289866</v>
      </c>
      <c r="AC48" s="133">
        <f>SUM(AC46:AC47)</f>
        <v>3400862.45</v>
      </c>
      <c r="AD48" s="133">
        <f t="shared" si="20"/>
        <v>-305783.58999999985</v>
      </c>
      <c r="AE48" s="196">
        <f t="shared" si="21"/>
        <v>-8.9913542372170863E-2</v>
      </c>
      <c r="AF48" s="133">
        <v>3307511.6999999997</v>
      </c>
      <c r="AG48" s="124">
        <f t="shared" si="22"/>
        <v>212432.83999999939</v>
      </c>
      <c r="AH48" s="123"/>
    </row>
    <row r="49" spans="1:34">
      <c r="C49" s="105" t="s">
        <v>154</v>
      </c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3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33"/>
      <c r="AD49" s="123"/>
      <c r="AE49" s="123"/>
      <c r="AF49" s="133"/>
      <c r="AG49" s="124">
        <f t="shared" si="22"/>
        <v>0</v>
      </c>
      <c r="AH49" s="123"/>
    </row>
    <row r="50" spans="1:34">
      <c r="A50" s="105" t="s">
        <v>119</v>
      </c>
      <c r="B50" s="105" t="s">
        <v>667</v>
      </c>
      <c r="C50" s="105" t="s">
        <v>260</v>
      </c>
      <c r="D50" s="123">
        <f>Recreation!D38+Pool!E41+Kids!E40+SPA!E53+Telephone!E48+Transportation!E35+Garage!E32+Laundry!E33</f>
        <v>113133.67000000001</v>
      </c>
      <c r="E50" s="123">
        <f>Recreation!E38+Pool!F41+Kids!F40+SPA!F53+Telephone!F48+Transportation!F35+Garage!F32+Laundry!F33</f>
        <v>0</v>
      </c>
      <c r="F50" s="123">
        <f>Recreation!F38+Pool!G41+Kids!G40+SPA!G53+Telephone!G48+Transportation!G35+Garage!G32+Laundry!G33</f>
        <v>0</v>
      </c>
      <c r="G50" s="123">
        <f>Recreation!G38+Pool!H41+Kids!H40+SPA!H53+Telephone!H48+Transportation!H35+Garage!H32+Laundry!H33</f>
        <v>22919.300000000007</v>
      </c>
      <c r="H50" s="123">
        <f>Recreation!H38+Pool!I41+Kids!I40+SPA!I53+Telephone!I48+Transportation!I35+Garage!I32+Laundry!I33</f>
        <v>42363.490000000005</v>
      </c>
      <c r="I50" s="123">
        <f>Recreation!I38+Pool!J41+Kids!J40+SPA!J53+Telephone!J48+Transportation!J35+Garage!J32+Laundry!J33</f>
        <v>0</v>
      </c>
      <c r="J50" s="123">
        <f>Recreation!J38+Pool!K41+Kids!K40+SPA!K53+Telephone!K48+Transportation!K35+Garage!K32+Laundry!K33</f>
        <v>0</v>
      </c>
      <c r="K50" s="123">
        <f>Recreation!K38+Pool!L41+Kids!L40+SPA!L53+Telephone!L48+Transportation!L35+Garage!L32+Laundry!L33</f>
        <v>0</v>
      </c>
      <c r="L50" s="123">
        <f>Recreation!L38+Pool!M41+Kids!M40+SPA!M53+Telephone!M48+Transportation!M35+Garage!M32+Laundry!M33</f>
        <v>0</v>
      </c>
      <c r="M50" s="123">
        <f>Recreation!M38+Pool!N41+Kids!N40+SPA!N53+Telephone!N48+Transportation!N35+Garage!N32+Laundry!N33</f>
        <v>117538.11000000002</v>
      </c>
      <c r="N50" s="123">
        <f>Recreation!N38+Pool!O41+Kids!O40+SPA!O53+Telephone!O48+Transportation!O35+Garage!O32+Laundry!O33</f>
        <v>0</v>
      </c>
      <c r="O50" s="123">
        <f>Recreation!O38+Pool!P41+Kids!P40+SPA!P53+Telephone!P48+Transportation!P35+Garage!P32+Laundry!P33</f>
        <v>0</v>
      </c>
      <c r="P50" s="133">
        <f>SUM(D50:O50)</f>
        <v>295954.57000000007</v>
      </c>
      <c r="Q50" s="123">
        <f>Recreation!Q38+Pool!R41+Kids!R40+SPA!R53+Telephone!R48+Transportation!R35+Garage!R32+Laundry!R33</f>
        <v>31413.759999999998</v>
      </c>
      <c r="R50" s="123">
        <f>Recreation!R38+Pool!S41+Kids!S40+SPA!S53+Telephone!S48+Transportation!S35+Garage!S32+Laundry!S33</f>
        <v>84199.91</v>
      </c>
      <c r="S50" s="123">
        <f>Recreation!S38+Pool!T41+Kids!T40+SPA!T53+Telephone!T48+Transportation!T35+Garage!T32+Laundry!T33</f>
        <v>0</v>
      </c>
      <c r="T50" s="123">
        <f>Recreation!T38+Pool!U41+Kids!U40+SPA!U53+Telephone!U48+Transportation!U35+Garage!U32+Laundry!U33</f>
        <v>26041.35</v>
      </c>
      <c r="U50" s="123">
        <f>Recreation!U38+Pool!V41+Kids!V40+SPA!V53+Telephone!V48+Transportation!V35+Garage!V32+Laundry!V33</f>
        <v>29568.94</v>
      </c>
      <c r="V50" s="123">
        <f>Recreation!V38+Pool!W41+Kids!W40+SPA!W53+Telephone!W48+Transportation!W35+Garage!W32+Laundry!W33</f>
        <v>26055.149999999998</v>
      </c>
      <c r="W50" s="123">
        <f>Recreation!W38+Pool!X41+Kids!X40+SPA!X53+Telephone!X48+Transportation!X35+Garage!X32+Laundry!X33</f>
        <v>0</v>
      </c>
      <c r="X50" s="123">
        <f>Recreation!X38+Pool!Y41+Kids!Y40+SPA!Y53+Telephone!Y48+Transportation!Y35+Garage!Y32+Laundry!Y33</f>
        <v>0</v>
      </c>
      <c r="Y50" s="123">
        <f>Recreation!Y38+Pool!Z41+Kids!Z40+SPA!Z53+Telephone!Z48+Transportation!Z35+Garage!Z32+Laundry!Z33</f>
        <v>42713</v>
      </c>
      <c r="Z50" s="123">
        <f>Recreation!Z38+Pool!AA41+Kids!AA40+SPA!AA53+Telephone!AA48+Transportation!AA35+Garage!AA32+Laundry!AA33</f>
        <v>128140</v>
      </c>
      <c r="AA50" s="123">
        <f>Recreation!AA38+Pool!AB41+Kids!AB40+SPA!AB53+Telephone!AB48+Transportation!AB35+Garage!AB32+Laundry!AB33</f>
        <v>0</v>
      </c>
      <c r="AB50" s="123">
        <f>Recreation!AB38+Pool!AC41+Kids!AC40+SPA!AC53+Telephone!AC48+Transportation!AC35+Garage!AC32+Laundry!AC33</f>
        <v>0</v>
      </c>
      <c r="AC50" s="133">
        <f>SUM(Q50:AB50)</f>
        <v>368132.11</v>
      </c>
      <c r="AD50" s="123">
        <f t="shared" ref="AD50:AD55" si="25">P50-AC50</f>
        <v>-72177.539999999921</v>
      </c>
      <c r="AE50" s="196">
        <f t="shared" ref="AE50:AE55" si="26">AD50/AC50</f>
        <v>-0.1960642335709317</v>
      </c>
      <c r="AF50" s="133">
        <v>343125.79000000004</v>
      </c>
      <c r="AG50" s="124">
        <f t="shared" si="22"/>
        <v>47171.219999999972</v>
      </c>
      <c r="AH50" s="123"/>
    </row>
    <row r="51" spans="1:34">
      <c r="A51" s="105" t="s">
        <v>120</v>
      </c>
      <c r="B51" s="105" t="s">
        <v>667</v>
      </c>
      <c r="C51" s="105" t="s">
        <v>668</v>
      </c>
      <c r="D51" s="123">
        <f>Recreation!D39+Pool!E42+Kids!E41+SPA!E54+Telephone!E49+Transportation!E36+Garage!E33+Laundry!E34</f>
        <v>46816.639999999999</v>
      </c>
      <c r="E51" s="123">
        <f>Recreation!E39+Pool!F42+Kids!F41+SPA!F54+Telephone!F49+Transportation!F36+Garage!F33+Laundry!F34</f>
        <v>46816.639999999999</v>
      </c>
      <c r="F51" s="123">
        <f>Recreation!F39+Pool!G42+Kids!G41+SPA!G54+Telephone!G49+Transportation!G36+Garage!G33+Laundry!G34</f>
        <v>46816.639999999999</v>
      </c>
      <c r="G51" s="123">
        <f>Recreation!G39+Pool!H42+Kids!H41+SPA!H54+Telephone!H49+Transportation!H36+Garage!H33+Laundry!H34</f>
        <v>47266.64</v>
      </c>
      <c r="H51" s="123">
        <f>Recreation!H39+Pool!I42+Kids!I41+SPA!I54+Telephone!I49+Transportation!I36+Garage!I33+Laundry!I34</f>
        <v>47266.64</v>
      </c>
      <c r="I51" s="123">
        <f>Recreation!I39+Pool!J42+Kids!J41+SPA!J54+Telephone!J49+Transportation!J36+Garage!J33+Laundry!J34</f>
        <v>47516.639999999999</v>
      </c>
      <c r="J51" s="123">
        <f>Recreation!J39+Pool!K42+Kids!K41+SPA!K54+Telephone!K49+Transportation!K36+Garage!K33+Laundry!K34</f>
        <v>47966.64</v>
      </c>
      <c r="K51" s="123">
        <f>Recreation!K39+Pool!L42+Kids!L41+SPA!L54+Telephone!L49+Transportation!L36+Garage!L33+Laundry!L34</f>
        <v>47966.64</v>
      </c>
      <c r="L51" s="123">
        <f>Recreation!L39+Pool!M42+Kids!M41+SPA!M54+Telephone!M49+Transportation!M36+Garage!M33+Laundry!M34</f>
        <v>47966.64</v>
      </c>
      <c r="M51" s="123">
        <f>Recreation!M39+Pool!N42+Kids!N41+SPA!N54+Telephone!N49+Transportation!N36+Garage!N33+Laundry!N34</f>
        <v>47966.64</v>
      </c>
      <c r="N51" s="123">
        <f>Recreation!N39+Pool!O42+Kids!O41+SPA!O54+Telephone!O49+Transportation!O36+Garage!O33+Laundry!O34</f>
        <v>47966.64</v>
      </c>
      <c r="O51" s="123">
        <f>Recreation!O39+Pool!P42+Kids!P41+SPA!P54+Telephone!P49+Transportation!P36+Garage!P33+Laundry!P34</f>
        <v>47966.64</v>
      </c>
      <c r="P51" s="133">
        <f>SUM(D51:O51)</f>
        <v>570299.68000000005</v>
      </c>
      <c r="Q51" s="123">
        <f>Recreation!Q39+Pool!R42+Kids!R41+SPA!R54+Telephone!R49+Transportation!R36+Garage!R33+Laundry!R34</f>
        <v>78462.09</v>
      </c>
      <c r="R51" s="123">
        <f>Recreation!R39+Pool!S42+Kids!S41+SPA!S54+Telephone!S49+Transportation!S36+Garage!S33+Laundry!S34</f>
        <v>71467.079999999987</v>
      </c>
      <c r="S51" s="123">
        <f>Recreation!S39+Pool!T42+Kids!T41+SPA!T54+Telephone!T49+Transportation!T36+Garage!T33+Laundry!T34</f>
        <v>75417.22</v>
      </c>
      <c r="T51" s="123">
        <f>Recreation!T39+Pool!U42+Kids!U41+SPA!U54+Telephone!U49+Transportation!U36+Garage!U33+Laundry!U34</f>
        <v>50218.419999999991</v>
      </c>
      <c r="U51" s="123">
        <f>Recreation!U39+Pool!V42+Kids!V41+SPA!V54+Telephone!V49+Transportation!V36+Garage!V33+Laundry!V34</f>
        <v>45412.14</v>
      </c>
      <c r="V51" s="123">
        <f>Recreation!V39+Pool!W42+Kids!W41+SPA!W54+Telephone!W49+Transportation!W36+Garage!W33+Laundry!W34</f>
        <v>47405.590000000011</v>
      </c>
      <c r="W51" s="123">
        <f>Recreation!W39+Pool!X42+Kids!X41+SPA!X54+Telephone!X49+Transportation!X36+Garage!X33+Laundry!X34</f>
        <v>46786.340000000004</v>
      </c>
      <c r="X51" s="123">
        <f>Recreation!X39+Pool!Y42+Kids!Y41+SPA!Y54+Telephone!Y49+Transportation!Y36+Garage!Y33+Laundry!Y34</f>
        <v>47069.36</v>
      </c>
      <c r="Y51" s="123">
        <f>Recreation!Y39+Pool!Z42+Kids!Z41+SPA!Z54+Telephone!Z49+Transportation!Z36+Garage!Z33+Laundry!Z34</f>
        <v>48310.990000000005</v>
      </c>
      <c r="Z51" s="123">
        <f>Recreation!Z39+Pool!AA42+Kids!AA41+SPA!AA54+Telephone!AA49+Transportation!AA36+Garage!AA33+Laundry!AA34</f>
        <v>48310.990000000005</v>
      </c>
      <c r="AA51" s="123">
        <f>Recreation!AA39+Pool!AB42+Kids!AB41+SPA!AB54+Telephone!AB49+Transportation!AB36+Garage!AB33+Laundry!AB34</f>
        <v>48310.990000000005</v>
      </c>
      <c r="AB51" s="123">
        <f>Recreation!AB39+Pool!AC42+Kids!AC41+SPA!AC54+Telephone!AC49+Transportation!AC36+Garage!AC33+Laundry!AC34</f>
        <v>48310.990000000005</v>
      </c>
      <c r="AC51" s="133">
        <f>SUM(Q51:AB51)</f>
        <v>655482.20000000007</v>
      </c>
      <c r="AD51" s="123">
        <f t="shared" si="25"/>
        <v>-85182.520000000019</v>
      </c>
      <c r="AE51" s="196">
        <f t="shared" si="26"/>
        <v>-0.12995397891811555</v>
      </c>
      <c r="AF51" s="133">
        <v>470533.42000000004</v>
      </c>
      <c r="AG51" s="124">
        <f t="shared" si="22"/>
        <v>-99766.260000000009</v>
      </c>
      <c r="AH51" s="123"/>
    </row>
    <row r="52" spans="1:34">
      <c r="A52" s="105" t="s">
        <v>121</v>
      </c>
      <c r="B52" s="105" t="s">
        <v>667</v>
      </c>
      <c r="C52" s="105" t="s">
        <v>262</v>
      </c>
      <c r="D52" s="123">
        <f>Recreation!D40+Pool!E43+Kids!E42+SPA!E55+Telephone!E50+Transportation!E37+Garage!E34+Laundry!E35</f>
        <v>48505</v>
      </c>
      <c r="E52" s="123">
        <f>Recreation!E40+Pool!F43+Kids!F42+SPA!F55+Telephone!F50+Transportation!F37+Garage!F34+Laundry!F35</f>
        <v>48505</v>
      </c>
      <c r="F52" s="123">
        <f>Recreation!F40+Pool!G43+Kids!G42+SPA!G55+Telephone!G50+Transportation!G37+Garage!G34+Laundry!G35</f>
        <v>48505</v>
      </c>
      <c r="G52" s="123">
        <f>Recreation!G40+Pool!H43+Kids!H42+SPA!H55+Telephone!H50+Transportation!H37+Garage!H34+Laundry!H35</f>
        <v>49035</v>
      </c>
      <c r="H52" s="123">
        <f>Recreation!H40+Pool!I43+Kids!I42+SPA!I55+Telephone!I50+Transportation!I37+Garage!I34+Laundry!I35</f>
        <v>49035</v>
      </c>
      <c r="I52" s="123">
        <f>Recreation!I40+Pool!J43+Kids!J42+SPA!J55+Telephone!J50+Transportation!J37+Garage!J34+Laundry!J35</f>
        <v>48635</v>
      </c>
      <c r="J52" s="123">
        <f>Recreation!J40+Pool!K43+Kids!K42+SPA!K55+Telephone!K50+Transportation!K37+Garage!K34+Laundry!K35</f>
        <v>49165</v>
      </c>
      <c r="K52" s="123">
        <f>Recreation!K40+Pool!L43+Kids!L42+SPA!L55+Telephone!L50+Transportation!L37+Garage!L34+Laundry!L35</f>
        <v>49165</v>
      </c>
      <c r="L52" s="123">
        <f>Recreation!L40+Pool!M43+Kids!M42+SPA!M55+Telephone!M50+Transportation!M37+Garage!M34+Laundry!M35</f>
        <v>49165</v>
      </c>
      <c r="M52" s="123">
        <f>Recreation!M40+Pool!N43+Kids!N42+SPA!N55+Telephone!N50+Transportation!N37+Garage!N34+Laundry!N35</f>
        <v>49165</v>
      </c>
      <c r="N52" s="123">
        <f>Recreation!N40+Pool!O43+Kids!O42+SPA!O55+Telephone!O50+Transportation!O37+Garage!O34+Laundry!O35</f>
        <v>49165</v>
      </c>
      <c r="O52" s="123">
        <f>Recreation!O40+Pool!P43+Kids!P42+SPA!P55+Telephone!P50+Transportation!P37+Garage!P34+Laundry!P35</f>
        <v>49165</v>
      </c>
      <c r="P52" s="133">
        <f>SUM(D52:O52)</f>
        <v>587210</v>
      </c>
      <c r="Q52" s="123">
        <f>Recreation!Q40+Pool!R43+Kids!R42+SPA!R55+Telephone!R50+Transportation!R37+Garage!R34+Laundry!R35</f>
        <v>49167.25</v>
      </c>
      <c r="R52" s="123">
        <f>Recreation!R40+Pool!S43+Kids!S42+SPA!S55+Telephone!S50+Transportation!S37+Garage!S34+Laundry!S35</f>
        <v>48341.380000000005</v>
      </c>
      <c r="S52" s="123">
        <f>Recreation!S40+Pool!T43+Kids!T42+SPA!T55+Telephone!T50+Transportation!T37+Garage!T34+Laundry!T35</f>
        <v>48253.17</v>
      </c>
      <c r="T52" s="123">
        <f>Recreation!T40+Pool!U43+Kids!U42+SPA!U55+Telephone!U50+Transportation!U37+Garage!U34+Laundry!U35</f>
        <v>47314.84</v>
      </c>
      <c r="U52" s="123">
        <f>Recreation!U40+Pool!V43+Kids!V42+SPA!V55+Telephone!V50+Transportation!V37+Garage!V34+Laundry!V35</f>
        <v>49560</v>
      </c>
      <c r="V52" s="123">
        <f>Recreation!V40+Pool!W43+Kids!W42+SPA!W55+Telephone!W50+Transportation!W37+Garage!W34+Laundry!W35</f>
        <v>43098.29</v>
      </c>
      <c r="W52" s="123">
        <f>Recreation!W40+Pool!X43+Kids!X42+SPA!X55+Telephone!X50+Transportation!X37+Garage!X34+Laundry!X35</f>
        <v>44883.5</v>
      </c>
      <c r="X52" s="123">
        <f>Recreation!X40+Pool!Y43+Kids!Y42+SPA!Y55+Telephone!Y50+Transportation!Y37+Garage!Y34+Laundry!Y35</f>
        <v>44891.27</v>
      </c>
      <c r="Y52" s="123">
        <f>Recreation!Y40+Pool!Z43+Kids!Z42+SPA!Z55+Telephone!Z50+Transportation!Z37+Garage!Z34+Laundry!Z35</f>
        <v>64788</v>
      </c>
      <c r="Z52" s="123">
        <f>Recreation!Z40+Pool!AA43+Kids!AA42+SPA!AA55+Telephone!AA50+Transportation!AA37+Garage!AA34+Laundry!AA35</f>
        <v>60800</v>
      </c>
      <c r="AA52" s="123">
        <f>Recreation!AA40+Pool!AB43+Kids!AB42+SPA!AB55+Telephone!AB50+Transportation!AB37+Garage!AB34+Laundry!AB35</f>
        <v>61063</v>
      </c>
      <c r="AB52" s="123">
        <f>Recreation!AB40+Pool!AC43+Kids!AC42+SPA!AC55+Telephone!AC50+Transportation!AC37+Garage!AC34+Laundry!AC35</f>
        <v>61063</v>
      </c>
      <c r="AC52" s="133">
        <f>SUM(Q52:AB52)</f>
        <v>623223.69999999995</v>
      </c>
      <c r="AD52" s="123">
        <f t="shared" si="25"/>
        <v>-36013.699999999953</v>
      </c>
      <c r="AE52" s="196">
        <f t="shared" si="26"/>
        <v>-5.7786152869346845E-2</v>
      </c>
      <c r="AF52" s="133">
        <v>313836.74</v>
      </c>
      <c r="AG52" s="124">
        <f t="shared" si="22"/>
        <v>-273373.26</v>
      </c>
      <c r="AH52" s="123"/>
    </row>
    <row r="53" spans="1:34">
      <c r="A53" s="105" t="s">
        <v>122</v>
      </c>
      <c r="B53" s="105" t="s">
        <v>667</v>
      </c>
      <c r="C53" s="105" t="s">
        <v>263</v>
      </c>
      <c r="D53" s="123">
        <f>Recreation!D41+Pool!E44+Kids!E43+SPA!E56+Telephone!E51+Transportation!E38+Garage!E35+Laundry!E36</f>
        <v>0</v>
      </c>
      <c r="E53" s="123">
        <f>Recreation!E41+Pool!F44+Kids!F43+SPA!F56+Telephone!F51+Transportation!F38+Garage!F35+Laundry!F36</f>
        <v>0</v>
      </c>
      <c r="F53" s="123">
        <f>Recreation!F41+Pool!G44+Kids!G43+SPA!G56+Telephone!G51+Transportation!G38+Garage!G35+Laundry!G36</f>
        <v>0</v>
      </c>
      <c r="G53" s="123">
        <f>Recreation!G41+Pool!H44+Kids!H43+SPA!H56+Telephone!H51+Transportation!H38+Garage!H35+Laundry!H36</f>
        <v>0</v>
      </c>
      <c r="H53" s="123">
        <f>Recreation!H41+Pool!I44+Kids!I43+SPA!I56+Telephone!I51+Transportation!I38+Garage!I35+Laundry!I36</f>
        <v>0</v>
      </c>
      <c r="I53" s="123">
        <f>Recreation!I41+Pool!J44+Kids!J43+SPA!J56+Telephone!J51+Transportation!J38+Garage!J35+Laundry!J36</f>
        <v>0</v>
      </c>
      <c r="J53" s="123">
        <f>Recreation!J41+Pool!K44+Kids!K43+SPA!K56+Telephone!K51+Transportation!K38+Garage!K35+Laundry!K36</f>
        <v>0</v>
      </c>
      <c r="K53" s="123">
        <f>Recreation!K41+Pool!L44+Kids!L43+SPA!L56+Telephone!L51+Transportation!L38+Garage!L35+Laundry!L36</f>
        <v>0</v>
      </c>
      <c r="L53" s="123">
        <f>Recreation!L41+Pool!M44+Kids!M43+SPA!M56+Telephone!M51+Transportation!M38+Garage!M35+Laundry!M36</f>
        <v>0</v>
      </c>
      <c r="M53" s="123">
        <f>Recreation!M41+Pool!N44+Kids!N43+SPA!N56+Telephone!N51+Transportation!N38+Garage!N35+Laundry!N36</f>
        <v>0</v>
      </c>
      <c r="N53" s="123">
        <f>Recreation!N41+Pool!O44+Kids!O43+SPA!O56+Telephone!O51+Transportation!O38+Garage!O35+Laundry!O36</f>
        <v>0</v>
      </c>
      <c r="O53" s="123">
        <f>Recreation!O41+Pool!P44+Kids!P43+SPA!P56+Telephone!P51+Transportation!P38+Garage!P35+Laundry!P36</f>
        <v>0</v>
      </c>
      <c r="P53" s="133">
        <f>SUM(D53:O53)</f>
        <v>0</v>
      </c>
      <c r="Q53" s="123">
        <f>Recreation!Q41+Pool!R44+Kids!R43+SPA!R56+Telephone!R51+Transportation!R38+Garage!R35+Laundry!R36</f>
        <v>0</v>
      </c>
      <c r="R53" s="123">
        <f>Recreation!R41+Pool!S44+Kids!S43+SPA!S56+Telephone!S51+Transportation!S38+Garage!S35+Laundry!S36</f>
        <v>0</v>
      </c>
      <c r="S53" s="123">
        <f>Recreation!S41+Pool!T44+Kids!T43+SPA!T56+Telephone!T51+Transportation!T38+Garage!T35+Laundry!T36</f>
        <v>0</v>
      </c>
      <c r="T53" s="123">
        <f>Recreation!T41+Pool!U44+Kids!U43+SPA!U56+Telephone!U51+Transportation!U38+Garage!U35+Laundry!U36</f>
        <v>0</v>
      </c>
      <c r="U53" s="123">
        <f>Recreation!U41+Pool!V44+Kids!V43+SPA!V56+Telephone!V51+Transportation!V38+Garage!V35+Laundry!V36</f>
        <v>0</v>
      </c>
      <c r="V53" s="123">
        <f>Recreation!V41+Pool!W44+Kids!W43+SPA!W56+Telephone!W51+Transportation!W38+Garage!W35+Laundry!W36</f>
        <v>0</v>
      </c>
      <c r="W53" s="123">
        <f>Recreation!W41+Pool!X44+Kids!X43+SPA!X56+Telephone!X51+Transportation!X38+Garage!X35+Laundry!X36</f>
        <v>0</v>
      </c>
      <c r="X53" s="123">
        <f>Recreation!X41+Pool!Y44+Kids!Y43+SPA!Y56+Telephone!Y51+Transportation!Y38+Garage!Y35+Laundry!Y36</f>
        <v>0</v>
      </c>
      <c r="Y53" s="123">
        <f>Recreation!Y41+Pool!Z44+Kids!Z43+SPA!Z56+Telephone!Z51+Transportation!Z38+Garage!Z35+Laundry!Z36</f>
        <v>0</v>
      </c>
      <c r="Z53" s="123">
        <f>Recreation!Z41+Pool!AA44+Kids!AA43+SPA!AA56+Telephone!AA51+Transportation!AA38+Garage!AA35+Laundry!AA36</f>
        <v>0</v>
      </c>
      <c r="AA53" s="123">
        <f>Recreation!AA41+Pool!AB44+Kids!AB43+SPA!AB56+Telephone!AB51+Transportation!AB38+Garage!AB35+Laundry!AB36</f>
        <v>0</v>
      </c>
      <c r="AB53" s="123">
        <f>Recreation!AB41+Pool!AC44+Kids!AC43+SPA!AC56+Telephone!AC51+Transportation!AC38+Garage!AC35+Laundry!AC36</f>
        <v>0</v>
      </c>
      <c r="AC53" s="133">
        <f>SUM(Q53:AB53)</f>
        <v>0</v>
      </c>
      <c r="AD53" s="123">
        <f t="shared" si="25"/>
        <v>0</v>
      </c>
      <c r="AE53" s="196" t="e">
        <f t="shared" si="26"/>
        <v>#DIV/0!</v>
      </c>
      <c r="AF53" s="133">
        <v>0</v>
      </c>
      <c r="AG53" s="124">
        <f t="shared" si="22"/>
        <v>0</v>
      </c>
      <c r="AH53" s="123"/>
    </row>
    <row r="54" spans="1:34">
      <c r="A54" s="105" t="s">
        <v>123</v>
      </c>
      <c r="B54" s="105" t="s">
        <v>667</v>
      </c>
      <c r="C54" s="105" t="s">
        <v>264</v>
      </c>
      <c r="D54" s="123">
        <f>Recreation!D42+Pool!E45+Kids!E44+SPA!E57+Telephone!E52+Transportation!E39+Garage!E36+Laundry!E37</f>
        <v>28756.67</v>
      </c>
      <c r="E54" s="123">
        <f>Recreation!E42+Pool!F45+Kids!F44+SPA!F57+Telephone!F52+Transportation!F39+Garage!F36+Laundry!F37</f>
        <v>28756.67</v>
      </c>
      <c r="F54" s="123">
        <f>Recreation!F42+Pool!G45+Kids!G44+SPA!G57+Telephone!G52+Transportation!G39+Garage!G36+Laundry!G37</f>
        <v>28756.67</v>
      </c>
      <c r="G54" s="123">
        <f>Recreation!G42+Pool!H45+Kids!H44+SPA!H57+Telephone!H52+Transportation!H39+Garage!H36+Laundry!H37</f>
        <v>28756.67</v>
      </c>
      <c r="H54" s="123">
        <f>Recreation!H42+Pool!I45+Kids!I44+SPA!I57+Telephone!I52+Transportation!I39+Garage!I36+Laundry!I37</f>
        <v>28756.67</v>
      </c>
      <c r="I54" s="123">
        <f>Recreation!I42+Pool!J45+Kids!J44+SPA!J57+Telephone!J52+Transportation!J39+Garage!J36+Laundry!J37</f>
        <v>28756.67</v>
      </c>
      <c r="J54" s="123">
        <f>Recreation!J42+Pool!K45+Kids!K44+SPA!K57+Telephone!K52+Transportation!K39+Garage!K36+Laundry!K37</f>
        <v>28756.67</v>
      </c>
      <c r="K54" s="123">
        <f>Recreation!K42+Pool!L45+Kids!L44+SPA!L57+Telephone!L52+Transportation!L39+Garage!L36+Laundry!L37</f>
        <v>28756.67</v>
      </c>
      <c r="L54" s="123">
        <f>Recreation!L42+Pool!M45+Kids!M44+SPA!M57+Telephone!M52+Transportation!M39+Garage!M36+Laundry!M37</f>
        <v>28756.67</v>
      </c>
      <c r="M54" s="123">
        <f>Recreation!M42+Pool!N45+Kids!N44+SPA!N57+Telephone!N52+Transportation!N39+Garage!N36+Laundry!N37</f>
        <v>28756.67</v>
      </c>
      <c r="N54" s="123">
        <f>Recreation!N42+Pool!O45+Kids!O44+SPA!O57+Telephone!O52+Transportation!O39+Garage!O36+Laundry!O37</f>
        <v>28756.67</v>
      </c>
      <c r="O54" s="123">
        <f>Recreation!O42+Pool!P45+Kids!P44+SPA!P57+Telephone!P52+Transportation!P39+Garage!P36+Laundry!P37</f>
        <v>28756.67</v>
      </c>
      <c r="P54" s="133">
        <f>SUM(D54:O54)</f>
        <v>345080.03999999986</v>
      </c>
      <c r="Q54" s="123">
        <f>Recreation!Q42+Pool!R45+Kids!R44+SPA!R57+Telephone!R52+Transportation!R39+Garage!R36+Laundry!R37</f>
        <v>46720.800000000003</v>
      </c>
      <c r="R54" s="123">
        <f>Recreation!R42+Pool!S45+Kids!S44+SPA!S57+Telephone!S52+Transportation!S39+Garage!S36+Laundry!S37</f>
        <v>63550.78</v>
      </c>
      <c r="S54" s="123">
        <f>Recreation!S42+Pool!T45+Kids!T44+SPA!T57+Telephone!T52+Transportation!T39+Garage!T36+Laundry!T37</f>
        <v>24229.200000000001</v>
      </c>
      <c r="T54" s="123">
        <f>Recreation!T42+Pool!U45+Kids!U44+SPA!U57+Telephone!U52+Transportation!U39+Garage!U36+Laundry!U37</f>
        <v>34389.01</v>
      </c>
      <c r="U54" s="123">
        <f>Recreation!U42+Pool!V45+Kids!V44+SPA!V57+Telephone!V52+Transportation!V39+Garage!V36+Laundry!V37</f>
        <v>34967.57</v>
      </c>
      <c r="V54" s="123">
        <f>Recreation!V42+Pool!W45+Kids!W44+SPA!W57+Telephone!W52+Transportation!W39+Garage!W36+Laundry!W37</f>
        <v>26207.5</v>
      </c>
      <c r="W54" s="123">
        <f>Recreation!W42+Pool!X45+Kids!X44+SPA!X57+Telephone!X52+Transportation!X39+Garage!X36+Laundry!X37</f>
        <v>34634.74</v>
      </c>
      <c r="X54" s="123">
        <f>Recreation!X42+Pool!Y45+Kids!Y44+SPA!Y57+Telephone!Y52+Transportation!Y39+Garage!Y36+Laundry!Y37</f>
        <v>107383.2</v>
      </c>
      <c r="Y54" s="123">
        <f>Recreation!Y42+Pool!Z45+Kids!Z44+SPA!Z57+Telephone!Z52+Transportation!Z39+Garage!Z36+Laundry!Z37</f>
        <v>65285</v>
      </c>
      <c r="Z54" s="123">
        <f>Recreation!Z42+Pool!AA45+Kids!AA44+SPA!AA57+Telephone!AA52+Transportation!AA39+Garage!AA36+Laundry!AA37</f>
        <v>128239</v>
      </c>
      <c r="AA54" s="123">
        <f>Recreation!AA42+Pool!AB45+Kids!AB44+SPA!AB57+Telephone!AB52+Transportation!AB39+Garage!AB36+Laundry!AB37</f>
        <v>92230</v>
      </c>
      <c r="AB54" s="123">
        <f>Recreation!AB42+Pool!AC45+Kids!AC44+SPA!AC57+Telephone!AC52+Transportation!AC39+Garage!AC36+Laundry!AC37</f>
        <v>80048</v>
      </c>
      <c r="AC54" s="133">
        <f>SUM(Q54:AB54)</f>
        <v>737884.8</v>
      </c>
      <c r="AD54" s="123">
        <f t="shared" si="25"/>
        <v>-392804.76000000018</v>
      </c>
      <c r="AE54" s="196">
        <f t="shared" si="26"/>
        <v>-0.53233886915681172</v>
      </c>
      <c r="AF54" s="133">
        <v>373209.82999999996</v>
      </c>
      <c r="AG54" s="124">
        <f t="shared" si="22"/>
        <v>28129.790000000095</v>
      </c>
      <c r="AH54" s="123"/>
    </row>
    <row r="55" spans="1:34">
      <c r="C55" s="109" t="s">
        <v>265</v>
      </c>
      <c r="D55" s="133">
        <f>SUM(D50:D54)</f>
        <v>237211.97999999998</v>
      </c>
      <c r="E55" s="133">
        <f t="shared" ref="E55:O55" si="27">SUM(E50:E54)</f>
        <v>124078.31</v>
      </c>
      <c r="F55" s="133">
        <f t="shared" si="27"/>
        <v>124078.31</v>
      </c>
      <c r="G55" s="133">
        <f t="shared" si="27"/>
        <v>147977.60999999999</v>
      </c>
      <c r="H55" s="133">
        <f t="shared" si="27"/>
        <v>167421.79999999999</v>
      </c>
      <c r="I55" s="133">
        <f t="shared" si="27"/>
        <v>124908.31</v>
      </c>
      <c r="J55" s="133">
        <f t="shared" si="27"/>
        <v>125888.31</v>
      </c>
      <c r="K55" s="133">
        <f t="shared" si="27"/>
        <v>125888.31</v>
      </c>
      <c r="L55" s="133">
        <f t="shared" si="27"/>
        <v>125888.31</v>
      </c>
      <c r="M55" s="133">
        <f t="shared" si="27"/>
        <v>243426.41999999998</v>
      </c>
      <c r="N55" s="133">
        <f t="shared" si="27"/>
        <v>125888.31</v>
      </c>
      <c r="O55" s="133">
        <f t="shared" si="27"/>
        <v>125888.31</v>
      </c>
      <c r="P55" s="133">
        <f>SUM(P50:P54)</f>
        <v>1798544.2899999998</v>
      </c>
      <c r="Q55" s="133">
        <f t="shared" ref="Q55:AB55" si="28">SUM(Q50:Q54)</f>
        <v>205763.89999999997</v>
      </c>
      <c r="R55" s="133">
        <f t="shared" si="28"/>
        <v>267559.15000000002</v>
      </c>
      <c r="S55" s="133">
        <f t="shared" si="28"/>
        <v>147899.59</v>
      </c>
      <c r="T55" s="133">
        <f t="shared" si="28"/>
        <v>157963.62</v>
      </c>
      <c r="U55" s="133">
        <f t="shared" si="28"/>
        <v>159508.65</v>
      </c>
      <c r="V55" s="133">
        <f t="shared" si="28"/>
        <v>142766.53</v>
      </c>
      <c r="W55" s="133">
        <f t="shared" si="28"/>
        <v>126304.57999999999</v>
      </c>
      <c r="X55" s="133">
        <f t="shared" si="28"/>
        <v>199343.83000000002</v>
      </c>
      <c r="Y55" s="133">
        <f t="shared" si="28"/>
        <v>221096.99</v>
      </c>
      <c r="Z55" s="133">
        <f t="shared" si="28"/>
        <v>365489.99</v>
      </c>
      <c r="AA55" s="133">
        <f t="shared" si="28"/>
        <v>201603.99</v>
      </c>
      <c r="AB55" s="133">
        <f t="shared" si="28"/>
        <v>189421.99</v>
      </c>
      <c r="AC55" s="133">
        <f>SUM(AC50:AC54)</f>
        <v>2384722.81</v>
      </c>
      <c r="AD55" s="133">
        <f t="shared" si="25"/>
        <v>-586178.52000000025</v>
      </c>
      <c r="AE55" s="196">
        <f t="shared" si="26"/>
        <v>-0.24580572532033618</v>
      </c>
      <c r="AF55" s="133">
        <v>1500705.7800000003</v>
      </c>
      <c r="AG55" s="124">
        <f t="shared" si="22"/>
        <v>-297838.50999999954</v>
      </c>
      <c r="AH55" s="123"/>
    </row>
    <row r="56" spans="1:34">
      <c r="C56" s="105" t="s">
        <v>154</v>
      </c>
      <c r="D56" s="123" t="s">
        <v>669</v>
      </c>
      <c r="E56" s="123" t="s">
        <v>669</v>
      </c>
      <c r="F56" s="123" t="s">
        <v>669</v>
      </c>
      <c r="G56" s="123" t="s">
        <v>669</v>
      </c>
      <c r="H56" s="123" t="s">
        <v>669</v>
      </c>
      <c r="I56" s="123" t="s">
        <v>669</v>
      </c>
      <c r="J56" s="123" t="s">
        <v>669</v>
      </c>
      <c r="K56" s="123" t="s">
        <v>669</v>
      </c>
      <c r="L56" s="123" t="s">
        <v>669</v>
      </c>
      <c r="M56" s="123" t="s">
        <v>669</v>
      </c>
      <c r="N56" s="123" t="s">
        <v>669</v>
      </c>
      <c r="O56" s="123" t="s">
        <v>669</v>
      </c>
      <c r="P56" s="133" t="s">
        <v>669</v>
      </c>
      <c r="Q56" s="123" t="s">
        <v>669</v>
      </c>
      <c r="R56" s="123" t="s">
        <v>669</v>
      </c>
      <c r="S56" s="123" t="s">
        <v>669</v>
      </c>
      <c r="T56" s="123" t="s">
        <v>669</v>
      </c>
      <c r="U56" s="123" t="s">
        <v>669</v>
      </c>
      <c r="V56" s="123" t="s">
        <v>669</v>
      </c>
      <c r="W56" s="123" t="s">
        <v>669</v>
      </c>
      <c r="X56" s="123" t="s">
        <v>669</v>
      </c>
      <c r="Y56" s="123" t="s">
        <v>669</v>
      </c>
      <c r="Z56" s="123" t="s">
        <v>669</v>
      </c>
      <c r="AA56" s="123" t="s">
        <v>669</v>
      </c>
      <c r="AB56" s="123" t="s">
        <v>669</v>
      </c>
      <c r="AC56" s="133"/>
      <c r="AD56" s="123"/>
      <c r="AE56" s="123"/>
      <c r="AF56" s="133"/>
      <c r="AG56" s="124" t="e">
        <f t="shared" si="22"/>
        <v>#VALUE!</v>
      </c>
      <c r="AH56" s="123"/>
    </row>
    <row r="57" spans="1:34">
      <c r="A57" s="105" t="s">
        <v>124</v>
      </c>
      <c r="B57" s="105" t="s">
        <v>667</v>
      </c>
      <c r="C57" s="105" t="s">
        <v>266</v>
      </c>
      <c r="D57" s="123">
        <f>Recreation!D45+Pool!E48+Kids!E47+SPA!E60+Telephone!E55+Transportation!E42+Garage!E39+Laundry!E40</f>
        <v>66953.260000000009</v>
      </c>
      <c r="E57" s="123">
        <f>Recreation!E45+Pool!F48+Kids!F47+SPA!F60+Telephone!F55+Transportation!F42+Garage!F39+Laundry!F40</f>
        <v>66953.260000000009</v>
      </c>
      <c r="F57" s="123">
        <f>Recreation!F45+Pool!G48+Kids!G47+SPA!G60+Telephone!G55+Transportation!G42+Garage!G39+Laundry!G40</f>
        <v>66953.260000000009</v>
      </c>
      <c r="G57" s="123">
        <f>Recreation!G45+Pool!H48+Kids!H47+SPA!H60+Telephone!H55+Transportation!H42+Garage!H39+Laundry!H40</f>
        <v>67780.500000000015</v>
      </c>
      <c r="H57" s="123">
        <f>Recreation!H45+Pool!I48+Kids!I47+SPA!I60+Telephone!I55+Transportation!I42+Garage!I39+Laundry!I40</f>
        <v>67780.500000000015</v>
      </c>
      <c r="I57" s="123">
        <f>Recreation!I45+Pool!J48+Kids!J47+SPA!J60+Telephone!J55+Transportation!J42+Garage!J39+Laundry!J40</f>
        <v>67608.750000000015</v>
      </c>
      <c r="J57" s="123">
        <f>Recreation!J45+Pool!K48+Kids!K47+SPA!K60+Telephone!K55+Transportation!K42+Garage!K39+Laundry!K40</f>
        <v>69946.720000000016</v>
      </c>
      <c r="K57" s="123">
        <f>Recreation!K45+Pool!L48+Kids!L47+SPA!L60+Telephone!L55+Transportation!L42+Garage!L39+Laundry!L40</f>
        <v>69946.720000000016</v>
      </c>
      <c r="L57" s="123">
        <f>Recreation!L45+Pool!M48+Kids!M47+SPA!M60+Telephone!M55+Transportation!M42+Garage!M39+Laundry!M40</f>
        <v>69946.720000000016</v>
      </c>
      <c r="M57" s="123">
        <f>Recreation!M45+Pool!N48+Kids!N47+SPA!N60+Telephone!N55+Transportation!N42+Garage!N39+Laundry!N40</f>
        <v>69946.720000000016</v>
      </c>
      <c r="N57" s="123">
        <f>Recreation!N45+Pool!O48+Kids!O47+SPA!O60+Telephone!O55+Transportation!O42+Garage!O39+Laundry!O40</f>
        <v>69946.720000000016</v>
      </c>
      <c r="O57" s="123">
        <f>Recreation!O45+Pool!P48+Kids!P47+SPA!P60+Telephone!P55+Transportation!P42+Garage!P39+Laundry!P40</f>
        <v>69946.720000000016</v>
      </c>
      <c r="P57" s="133">
        <f t="shared" ref="P57:P64" si="29">SUM(D57:O57)</f>
        <v>823709.85</v>
      </c>
      <c r="Q57" s="123">
        <f>Recreation!Q45+Pool!R48+Kids!R47+SPA!R60+Telephone!R55+Transportation!R42+Garage!R39+Laundry!R40</f>
        <v>80834.899999999994</v>
      </c>
      <c r="R57" s="123">
        <f>Recreation!R45+Pool!S48+Kids!S47+SPA!S60+Telephone!S55+Transportation!S42+Garage!S39+Laundry!S40</f>
        <v>78925.509999999995</v>
      </c>
      <c r="S57" s="123">
        <f>Recreation!S45+Pool!T48+Kids!T47+SPA!T60+Telephone!T55+Transportation!T42+Garage!T39+Laundry!T40</f>
        <v>78925.509999999995</v>
      </c>
      <c r="T57" s="123">
        <f>Recreation!T45+Pool!U48+Kids!U47+SPA!U60+Telephone!U55+Transportation!U42+Garage!U39+Laundry!U40</f>
        <v>80578.37</v>
      </c>
      <c r="U57" s="123">
        <f>Recreation!U45+Pool!V48+Kids!V47+SPA!V60+Telephone!V55+Transportation!V42+Garage!V39+Laundry!V40</f>
        <v>72081.739999999991</v>
      </c>
      <c r="V57" s="123">
        <f>Recreation!V45+Pool!W48+Kids!W47+SPA!W60+Telephone!W55+Transportation!W42+Garage!W39+Laundry!W40</f>
        <v>71308.939999999988</v>
      </c>
      <c r="W57" s="123">
        <f>Recreation!W45+Pool!X48+Kids!X47+SPA!X60+Telephone!X55+Transportation!X42+Garage!X39+Laundry!X40</f>
        <v>71579.049999999988</v>
      </c>
      <c r="X57" s="123">
        <f>Recreation!X45+Pool!Y48+Kids!Y47+SPA!Y60+Telephone!Y55+Transportation!Y42+Garage!Y39+Laundry!Y40</f>
        <v>72286.999999999985</v>
      </c>
      <c r="Y57" s="123">
        <f>Recreation!Y45+Pool!Z48+Kids!Z47+SPA!Z60+Telephone!Z55+Transportation!Z42+Garage!Z39+Laundry!Z40</f>
        <v>82227</v>
      </c>
      <c r="Z57" s="123">
        <f>Recreation!Z45+Pool!AA48+Kids!AA47+SPA!AA60+Telephone!AA55+Transportation!AA42+Garage!AA39+Laundry!AA40</f>
        <v>82227</v>
      </c>
      <c r="AA57" s="123">
        <f>Recreation!AA45+Pool!AB48+Kids!AB47+SPA!AB60+Telephone!AB55+Transportation!AB42+Garage!AB39+Laundry!AB40</f>
        <v>82227</v>
      </c>
      <c r="AB57" s="123">
        <f>Recreation!AB45+Pool!AC48+Kids!AC47+SPA!AC60+Telephone!AC55+Transportation!AC42+Garage!AC39+Laundry!AC40</f>
        <v>82227</v>
      </c>
      <c r="AC57" s="133">
        <f t="shared" ref="AC57:AC64" si="30">SUM(Q57:AB57)</f>
        <v>935429.02</v>
      </c>
      <c r="AD57" s="123">
        <f t="shared" ref="AD57:AD65" si="31">P57-AC57</f>
        <v>-111719.17000000004</v>
      </c>
      <c r="AE57" s="196">
        <f t="shared" ref="AE57:AE65" si="32">AD57/AC57</f>
        <v>-0.11943094303403164</v>
      </c>
      <c r="AF57" s="133">
        <v>674963.36</v>
      </c>
      <c r="AG57" s="124">
        <f t="shared" si="22"/>
        <v>-148746.49</v>
      </c>
      <c r="AH57" s="123"/>
    </row>
    <row r="58" spans="1:34">
      <c r="A58" s="105" t="s">
        <v>125</v>
      </c>
      <c r="B58" s="105" t="s">
        <v>667</v>
      </c>
      <c r="C58" s="105" t="s">
        <v>267</v>
      </c>
      <c r="D58" s="123">
        <f>Recreation!D46+Pool!E49+Kids!E48+SPA!E61+Telephone!E56+Transportation!E43+Garage!E40+Laundry!E41</f>
        <v>27123.32</v>
      </c>
      <c r="E58" s="123">
        <f>Recreation!E46+Pool!F49+Kids!F48+SPA!F61+Telephone!F56+Transportation!F43+Garage!F40+Laundry!F41</f>
        <v>27123.32</v>
      </c>
      <c r="F58" s="123">
        <f>Recreation!F46+Pool!G49+Kids!G48+SPA!G61+Telephone!G56+Transportation!G43+Garage!G40+Laundry!G41</f>
        <v>27123.32</v>
      </c>
      <c r="G58" s="123">
        <f>Recreation!G46+Pool!H49+Kids!H48+SPA!H61+Telephone!H56+Transportation!H43+Garage!H40+Laundry!H41</f>
        <v>27455.96</v>
      </c>
      <c r="H58" s="123">
        <f>Recreation!H46+Pool!I49+Kids!I48+SPA!I61+Telephone!I56+Transportation!I43+Garage!I40+Laundry!I41</f>
        <v>27455.96</v>
      </c>
      <c r="I58" s="123">
        <f>Recreation!I46+Pool!J49+Kids!J48+SPA!J61+Telephone!J56+Transportation!J43+Garage!J40+Laundry!J41</f>
        <v>27386.19</v>
      </c>
      <c r="J58" s="123">
        <f>Recreation!J46+Pool!K49+Kids!K48+SPA!K61+Telephone!K56+Transportation!K43+Garage!K40+Laundry!K41</f>
        <v>28215.61</v>
      </c>
      <c r="K58" s="123">
        <f>Recreation!K46+Pool!L49+Kids!L48+SPA!L61+Telephone!L56+Transportation!L43+Garage!L40+Laundry!L41</f>
        <v>28215.61</v>
      </c>
      <c r="L58" s="123">
        <f>Recreation!L46+Pool!M49+Kids!M48+SPA!M61+Telephone!M56+Transportation!M43+Garage!M40+Laundry!M41</f>
        <v>28215.61</v>
      </c>
      <c r="M58" s="123">
        <f>Recreation!M46+Pool!N49+Kids!N48+SPA!N61+Telephone!N56+Transportation!N43+Garage!N40+Laundry!N41</f>
        <v>28215.61</v>
      </c>
      <c r="N58" s="123">
        <f>Recreation!N46+Pool!O49+Kids!O48+SPA!O61+Telephone!O56+Transportation!O43+Garage!O40+Laundry!O41</f>
        <v>28215.61</v>
      </c>
      <c r="O58" s="123">
        <f>Recreation!O46+Pool!P49+Kids!P48+SPA!P61+Telephone!P56+Transportation!P43+Garage!P40+Laundry!P41</f>
        <v>28215.61</v>
      </c>
      <c r="P58" s="133">
        <f t="shared" si="29"/>
        <v>332961.72999999992</v>
      </c>
      <c r="Q58" s="123">
        <f>Recreation!Q46+Pool!R49+Kids!R48+SPA!R61+Telephone!R56+Transportation!R43+Garage!R40+Laundry!R41</f>
        <v>42943.54</v>
      </c>
      <c r="R58" s="123">
        <f>Recreation!R46+Pool!S49+Kids!S48+SPA!S61+Telephone!S56+Transportation!S43+Garage!S40+Laundry!S41</f>
        <v>41929.18</v>
      </c>
      <c r="S58" s="123">
        <f>Recreation!S46+Pool!T49+Kids!T48+SPA!T61+Telephone!T56+Transportation!T43+Garage!T40+Laundry!T41</f>
        <v>41929.18</v>
      </c>
      <c r="T58" s="123">
        <f>Recreation!T46+Pool!U49+Kids!U48+SPA!U61+Telephone!U56+Transportation!U43+Garage!U40+Laundry!U41</f>
        <v>42807.26</v>
      </c>
      <c r="U58" s="123">
        <f>Recreation!U46+Pool!V49+Kids!V48+SPA!V61+Telephone!V56+Transportation!V43+Garage!V40+Laundry!V41</f>
        <v>38293.43</v>
      </c>
      <c r="V58" s="123">
        <f>Recreation!V46+Pool!W49+Kids!W48+SPA!W61+Telephone!W56+Transportation!W43+Garage!W40+Laundry!W41</f>
        <v>37882.879999999997</v>
      </c>
      <c r="W58" s="123">
        <f>Recreation!W46+Pool!X49+Kids!X48+SPA!X61+Telephone!X56+Transportation!X43+Garage!X40+Laundry!X41</f>
        <v>29078.969999999998</v>
      </c>
      <c r="X58" s="123">
        <f>Recreation!X46+Pool!Y49+Kids!Y48+SPA!Y61+Telephone!Y56+Transportation!Y43+Garage!Y40+Laundry!Y41</f>
        <v>29366.579999999998</v>
      </c>
      <c r="Y58" s="123">
        <f>Recreation!Y46+Pool!Z49+Kids!Z48+SPA!Z61+Telephone!Z56+Transportation!Z43+Garage!Z40+Laundry!Z41</f>
        <v>43148</v>
      </c>
      <c r="Z58" s="123">
        <f>Recreation!Z46+Pool!AA49+Kids!AA48+SPA!AA61+Telephone!AA56+Transportation!AA43+Garage!AA40+Laundry!AA41</f>
        <v>43148</v>
      </c>
      <c r="AA58" s="123">
        <f>Recreation!AA46+Pool!AB49+Kids!AB48+SPA!AB61+Telephone!AB56+Transportation!AB43+Garage!AB40+Laundry!AB41</f>
        <v>43148</v>
      </c>
      <c r="AB58" s="123">
        <f>Recreation!AB46+Pool!AC49+Kids!AC48+SPA!AC61+Telephone!AC56+Transportation!AC43+Garage!AC40+Laundry!AC41</f>
        <v>43148</v>
      </c>
      <c r="AC58" s="133">
        <f t="shared" si="30"/>
        <v>476823.02</v>
      </c>
      <c r="AD58" s="123">
        <f t="shared" si="31"/>
        <v>-143861.2900000001</v>
      </c>
      <c r="AE58" s="196">
        <f t="shared" si="32"/>
        <v>-0.30170793767465354</v>
      </c>
      <c r="AF58" s="133">
        <v>327596.64</v>
      </c>
      <c r="AG58" s="124">
        <f t="shared" si="22"/>
        <v>-5365.0899999999092</v>
      </c>
      <c r="AH58" s="123"/>
    </row>
    <row r="59" spans="1:34">
      <c r="A59" s="105" t="s">
        <v>126</v>
      </c>
      <c r="B59" s="105" t="s">
        <v>667</v>
      </c>
      <c r="C59" s="105" t="s">
        <v>268</v>
      </c>
      <c r="D59" s="123">
        <f>Recreation!D47+Pool!E50+Kids!E49+SPA!E62+Telephone!E57+Transportation!E44+Garage!E41+Laundry!E42</f>
        <v>2087.46</v>
      </c>
      <c r="E59" s="123">
        <f>Recreation!E47+Pool!F50+Kids!F49+SPA!F62+Telephone!F57+Transportation!F44+Garage!F41+Laundry!F42</f>
        <v>2087.46</v>
      </c>
      <c r="F59" s="123">
        <f>Recreation!F47+Pool!G50+Kids!G49+SPA!G62+Telephone!G57+Transportation!G44+Garage!G41+Laundry!G42</f>
        <v>2087.46</v>
      </c>
      <c r="G59" s="123">
        <f>Recreation!G47+Pool!H50+Kids!H49+SPA!H62+Telephone!H57+Transportation!H44+Garage!H41+Laundry!H42</f>
        <v>2113.0500000000002</v>
      </c>
      <c r="H59" s="123">
        <f>Recreation!H47+Pool!I50+Kids!I49+SPA!I62+Telephone!I57+Transportation!I44+Garage!I41+Laundry!I42</f>
        <v>2113.0500000000002</v>
      </c>
      <c r="I59" s="123">
        <f>Recreation!I47+Pool!J50+Kids!J49+SPA!J62+Telephone!J57+Transportation!J44+Garage!J41+Laundry!J42</f>
        <v>2107.6800000000003</v>
      </c>
      <c r="J59" s="123">
        <f>Recreation!J47+Pool!K50+Kids!K49+SPA!K62+Telephone!K57+Transportation!K44+Garage!K41+Laundry!K42</f>
        <v>2171.56</v>
      </c>
      <c r="K59" s="123">
        <f>Recreation!K47+Pool!L50+Kids!L49+SPA!L62+Telephone!L57+Transportation!L44+Garage!L41+Laundry!L42</f>
        <v>2171.56</v>
      </c>
      <c r="L59" s="123">
        <f>Recreation!L47+Pool!M50+Kids!M49+SPA!M62+Telephone!M57+Transportation!M44+Garage!M41+Laundry!M42</f>
        <v>2171.56</v>
      </c>
      <c r="M59" s="123">
        <f>Recreation!M47+Pool!N50+Kids!N49+SPA!N62+Telephone!N57+Transportation!N44+Garage!N41+Laundry!N42</f>
        <v>2171.56</v>
      </c>
      <c r="N59" s="123">
        <f>Recreation!N47+Pool!O50+Kids!O49+SPA!O62+Telephone!O57+Transportation!O44+Garage!O41+Laundry!O42</f>
        <v>2171.56</v>
      </c>
      <c r="O59" s="123">
        <f>Recreation!O47+Pool!P50+Kids!P49+SPA!P62+Telephone!P57+Transportation!P44+Garage!P41+Laundry!P42</f>
        <v>2171.56</v>
      </c>
      <c r="P59" s="133">
        <f t="shared" si="29"/>
        <v>25625.520000000004</v>
      </c>
      <c r="Q59" s="123">
        <f>Recreation!Q47+Pool!R50+Kids!R49+SPA!R62+Telephone!R57+Transportation!R44+Garage!R41+Laundry!R42</f>
        <v>2526.1299999999997</v>
      </c>
      <c r="R59" s="123">
        <f>Recreation!R47+Pool!S50+Kids!S49+SPA!S62+Telephone!S57+Transportation!S44+Garage!S41+Laundry!S42</f>
        <v>2466.4599999999996</v>
      </c>
      <c r="S59" s="123">
        <f>Recreation!S47+Pool!T50+Kids!T49+SPA!T62+Telephone!T57+Transportation!T44+Garage!T41+Laundry!T42</f>
        <v>2466.4599999999996</v>
      </c>
      <c r="T59" s="123">
        <f>Recreation!T47+Pool!U50+Kids!U49+SPA!U62+Telephone!U57+Transportation!U44+Garage!U41+Laundry!U42</f>
        <v>2518.1200000000003</v>
      </c>
      <c r="U59" s="123">
        <f>Recreation!U47+Pool!V50+Kids!V49+SPA!V62+Telephone!V57+Transportation!V44+Garage!V41+Laundry!V42</f>
        <v>2252.6</v>
      </c>
      <c r="V59" s="123">
        <f>Recreation!V47+Pool!W50+Kids!W49+SPA!W62+Telephone!W57+Transportation!W44+Garage!W41+Laundry!W42</f>
        <v>2228.4499999999998</v>
      </c>
      <c r="W59" s="123">
        <f>Recreation!W47+Pool!X50+Kids!X49+SPA!X62+Telephone!X57+Transportation!X44+Garage!X41+Laundry!X42</f>
        <v>2236.8900000000003</v>
      </c>
      <c r="X59" s="123">
        <f>Recreation!X47+Pool!Y50+Kids!Y49+SPA!Y62+Telephone!Y57+Transportation!Y44+Garage!Y41+Laundry!Y42</f>
        <v>2259.0099999999998</v>
      </c>
      <c r="Y59" s="123">
        <f>Recreation!Y47+Pool!Z50+Kids!Z49+SPA!Z62+Telephone!Z57+Transportation!Z44+Garage!Z41+Laundry!Z42</f>
        <v>2594</v>
      </c>
      <c r="Z59" s="123">
        <f>Recreation!Z47+Pool!AA50+Kids!AA49+SPA!AA62+Telephone!AA57+Transportation!AA44+Garage!AA41+Laundry!AA42</f>
        <v>2594</v>
      </c>
      <c r="AA59" s="123">
        <f>Recreation!AA47+Pool!AB50+Kids!AB49+SPA!AB62+Telephone!AB57+Transportation!AB44+Garage!AB41+Laundry!AB42</f>
        <v>2594</v>
      </c>
      <c r="AB59" s="123">
        <f>Recreation!AB47+Pool!AC50+Kids!AC49+SPA!AC62+Telephone!AC57+Transportation!AC44+Garage!AC41+Laundry!AC42</f>
        <v>2594</v>
      </c>
      <c r="AC59" s="133">
        <f t="shared" si="30"/>
        <v>29330.12</v>
      </c>
      <c r="AD59" s="123">
        <f t="shared" si="31"/>
        <v>-3704.5999999999949</v>
      </c>
      <c r="AE59" s="196">
        <f t="shared" si="32"/>
        <v>-0.12630701817790022</v>
      </c>
      <c r="AF59" s="133">
        <v>20081.440000000002</v>
      </c>
      <c r="AG59" s="124">
        <f t="shared" si="22"/>
        <v>-5544.0800000000017</v>
      </c>
      <c r="AH59" s="123"/>
    </row>
    <row r="60" spans="1:34">
      <c r="A60" s="105" t="s">
        <v>127</v>
      </c>
      <c r="B60" s="105" t="s">
        <v>667</v>
      </c>
      <c r="C60" s="105" t="s">
        <v>269</v>
      </c>
      <c r="D60" s="123">
        <f>Recreation!D48+Pool!E51+Kids!E50+SPA!E63+Telephone!E58+Transportation!E45+Garage!E42+Laundry!E43</f>
        <v>500.71000000000009</v>
      </c>
      <c r="E60" s="123">
        <f>Recreation!E48+Pool!F51+Kids!F50+SPA!F63+Telephone!F58+Transportation!F45+Garage!F42+Laundry!F43</f>
        <v>500.71000000000009</v>
      </c>
      <c r="F60" s="123">
        <f>Recreation!F48+Pool!G51+Kids!G50+SPA!G63+Telephone!G58+Transportation!G45+Garage!G42+Laundry!G43</f>
        <v>500.71000000000009</v>
      </c>
      <c r="G60" s="123">
        <f>Recreation!G48+Pool!H51+Kids!H50+SPA!H63+Telephone!H58+Transportation!H45+Garage!H42+Laundry!H43</f>
        <v>506.85000000000008</v>
      </c>
      <c r="H60" s="123">
        <f>Recreation!H48+Pool!I51+Kids!I50+SPA!I63+Telephone!I58+Transportation!I45+Garage!I42+Laundry!I43</f>
        <v>506.85000000000008</v>
      </c>
      <c r="I60" s="123">
        <f>Recreation!I48+Pool!J51+Kids!J50+SPA!J63+Telephone!J58+Transportation!J45+Garage!J42+Laundry!J43</f>
        <v>505.56</v>
      </c>
      <c r="J60" s="123">
        <f>Recreation!J48+Pool!K51+Kids!K50+SPA!K63+Telephone!K58+Transportation!K45+Garage!K42+Laundry!K43</f>
        <v>521.01</v>
      </c>
      <c r="K60" s="123">
        <f>Recreation!K48+Pool!L51+Kids!L50+SPA!L63+Telephone!L58+Transportation!L45+Garage!L42+Laundry!L43</f>
        <v>521.01</v>
      </c>
      <c r="L60" s="123">
        <f>Recreation!L48+Pool!M51+Kids!M50+SPA!M63+Telephone!M58+Transportation!M45+Garage!M42+Laundry!M43</f>
        <v>521.01</v>
      </c>
      <c r="M60" s="123">
        <f>Recreation!M48+Pool!N51+Kids!N50+SPA!N63+Telephone!N58+Transportation!N45+Garage!N42+Laundry!N43</f>
        <v>521.01</v>
      </c>
      <c r="N60" s="123">
        <f>Recreation!N48+Pool!O51+Kids!O50+SPA!O63+Telephone!O58+Transportation!O45+Garage!O42+Laundry!O43</f>
        <v>521.01</v>
      </c>
      <c r="O60" s="123">
        <f>Recreation!O48+Pool!P51+Kids!P50+SPA!P63+Telephone!P58+Transportation!P45+Garage!P42+Laundry!P43</f>
        <v>521.01</v>
      </c>
      <c r="P60" s="133">
        <f t="shared" si="29"/>
        <v>6147.4500000000016</v>
      </c>
      <c r="Q60" s="123">
        <f>Recreation!Q48+Pool!R51+Kids!R50+SPA!R63+Telephone!R58+Transportation!R45+Garage!R42+Laundry!R43</f>
        <v>606.33000000000004</v>
      </c>
      <c r="R60" s="123">
        <f>Recreation!R48+Pool!S51+Kids!S50+SPA!S63+Telephone!S58+Transportation!S45+Garage!S42+Laundry!S43</f>
        <v>592.01</v>
      </c>
      <c r="S60" s="123">
        <f>Recreation!S48+Pool!T51+Kids!T50+SPA!T63+Telephone!T58+Transportation!T45+Garage!T42+Laundry!T43</f>
        <v>592.01</v>
      </c>
      <c r="T60" s="123">
        <f>Recreation!T48+Pool!U51+Kids!U50+SPA!U63+Telephone!U58+Transportation!U45+Garage!U42+Laundry!U43</f>
        <v>604.41</v>
      </c>
      <c r="U60" s="123">
        <f>Recreation!U48+Pool!V51+Kids!V50+SPA!V63+Telephone!V58+Transportation!V45+Garage!V42+Laundry!V43</f>
        <v>540.69000000000005</v>
      </c>
      <c r="V60" s="123">
        <f>Recreation!V48+Pool!W51+Kids!W50+SPA!W63+Telephone!W58+Transportation!W45+Garage!W42+Laundry!W43</f>
        <v>534.89</v>
      </c>
      <c r="W60" s="123">
        <f>Recreation!W48+Pool!X51+Kids!X50+SPA!X63+Telephone!X58+Transportation!X45+Garage!X42+Laundry!X43</f>
        <v>536.91</v>
      </c>
      <c r="X60" s="123">
        <f>Recreation!X48+Pool!Y51+Kids!Y50+SPA!Y63+Telephone!Y58+Transportation!Y45+Garage!Y42+Laundry!Y43</f>
        <v>542.2299999999999</v>
      </c>
      <c r="Y60" s="123">
        <f>Recreation!Y48+Pool!Z51+Kids!Z50+SPA!Z63+Telephone!Z58+Transportation!Z45+Garage!Z42+Laundry!Z43</f>
        <v>724</v>
      </c>
      <c r="Z60" s="123">
        <f>Recreation!Z48+Pool!AA51+Kids!AA50+SPA!AA63+Telephone!AA58+Transportation!AA45+Garage!AA42+Laundry!AA43</f>
        <v>724</v>
      </c>
      <c r="AA60" s="123">
        <f>Recreation!AA48+Pool!AB51+Kids!AB50+SPA!AB63+Telephone!AB58+Transportation!AB45+Garage!AB42+Laundry!AB43</f>
        <v>724</v>
      </c>
      <c r="AB60" s="123">
        <f>Recreation!AB48+Pool!AC51+Kids!AC50+SPA!AC63+Telephone!AC58+Transportation!AC45+Garage!AC42+Laundry!AC43</f>
        <v>724</v>
      </c>
      <c r="AC60" s="133">
        <f t="shared" si="30"/>
        <v>7445.48</v>
      </c>
      <c r="AD60" s="123">
        <f t="shared" si="31"/>
        <v>-1298.0299999999979</v>
      </c>
      <c r="AE60" s="196">
        <f t="shared" si="32"/>
        <v>-0.17433798761127531</v>
      </c>
      <c r="AF60" s="133">
        <v>6425.74</v>
      </c>
      <c r="AG60" s="124">
        <f t="shared" si="22"/>
        <v>278.28999999999814</v>
      </c>
      <c r="AH60" s="123"/>
    </row>
    <row r="61" spans="1:34">
      <c r="A61" s="105" t="s">
        <v>128</v>
      </c>
      <c r="B61" s="105" t="s">
        <v>667</v>
      </c>
      <c r="C61" s="105" t="s">
        <v>270</v>
      </c>
      <c r="D61" s="123">
        <f>Recreation!D49+Pool!E52+Kids!E51+SPA!E64+Telephone!E59+Transportation!E46+Garage!E43+Laundry!E44</f>
        <v>0</v>
      </c>
      <c r="E61" s="123">
        <f>Recreation!E49+Pool!F52+Kids!F51+SPA!F64+Telephone!F59+Transportation!F46+Garage!F43+Laundry!F44</f>
        <v>0</v>
      </c>
      <c r="F61" s="123">
        <f>Recreation!F49+Pool!G52+Kids!G51+SPA!G64+Telephone!G59+Transportation!G46+Garage!G43+Laundry!G44</f>
        <v>0</v>
      </c>
      <c r="G61" s="123">
        <f>Recreation!G49+Pool!H52+Kids!H51+SPA!H64+Telephone!H59+Transportation!H46+Garage!H43+Laundry!H44</f>
        <v>0</v>
      </c>
      <c r="H61" s="123">
        <f>Recreation!H49+Pool!I52+Kids!I51+SPA!I64+Telephone!I59+Transportation!I46+Garage!I43+Laundry!I44</f>
        <v>0</v>
      </c>
      <c r="I61" s="123">
        <f>Recreation!I49+Pool!J52+Kids!J51+SPA!J64+Telephone!J59+Transportation!J46+Garage!J43+Laundry!J44</f>
        <v>0</v>
      </c>
      <c r="J61" s="123">
        <f>Recreation!J49+Pool!K52+Kids!K51+SPA!K64+Telephone!K59+Transportation!K46+Garage!K43+Laundry!K44</f>
        <v>0</v>
      </c>
      <c r="K61" s="123">
        <f>Recreation!K49+Pool!L52+Kids!L51+SPA!L64+Telephone!L59+Transportation!L46+Garage!L43+Laundry!L44</f>
        <v>0</v>
      </c>
      <c r="L61" s="123">
        <f>Recreation!L49+Pool!M52+Kids!M51+SPA!M64+Telephone!M59+Transportation!M46+Garage!M43+Laundry!M44</f>
        <v>0</v>
      </c>
      <c r="M61" s="123">
        <f>Recreation!M49+Pool!N52+Kids!N51+SPA!N64+Telephone!N59+Transportation!N46+Garage!N43+Laundry!N44</f>
        <v>0</v>
      </c>
      <c r="N61" s="123">
        <f>Recreation!N49+Pool!O52+Kids!O51+SPA!O64+Telephone!O59+Transportation!O46+Garage!O43+Laundry!O44</f>
        <v>0</v>
      </c>
      <c r="O61" s="123">
        <f>Recreation!O49+Pool!P52+Kids!P51+SPA!P64+Telephone!P59+Transportation!P46+Garage!P43+Laundry!P44</f>
        <v>0</v>
      </c>
      <c r="P61" s="133">
        <f t="shared" si="29"/>
        <v>0</v>
      </c>
      <c r="Q61" s="123">
        <f>Recreation!Q49+Pool!R52+Kids!R51+SPA!R64+Telephone!R59+Transportation!R46+Garage!R43+Laundry!R44</f>
        <v>0</v>
      </c>
      <c r="R61" s="123">
        <f>Recreation!R49+Pool!S52+Kids!S51+SPA!S64+Telephone!S59+Transportation!S46+Garage!S43+Laundry!S44</f>
        <v>0</v>
      </c>
      <c r="S61" s="123">
        <f>Recreation!S49+Pool!T52+Kids!T51+SPA!T64+Telephone!T59+Transportation!T46+Garage!T43+Laundry!T44</f>
        <v>0</v>
      </c>
      <c r="T61" s="123">
        <f>Recreation!T49+Pool!U52+Kids!U51+SPA!U64+Telephone!U59+Transportation!U46+Garage!U43+Laundry!U44</f>
        <v>0</v>
      </c>
      <c r="U61" s="123">
        <f>Recreation!U49+Pool!V52+Kids!V51+SPA!V64+Telephone!V59+Transportation!V46+Garage!V43+Laundry!V44</f>
        <v>0</v>
      </c>
      <c r="V61" s="123">
        <f>Recreation!V49+Pool!W52+Kids!W51+SPA!W64+Telephone!W59+Transportation!W46+Garage!W43+Laundry!W44</f>
        <v>0</v>
      </c>
      <c r="W61" s="123">
        <f>Recreation!W49+Pool!X52+Kids!X51+SPA!X64+Telephone!X59+Transportation!X46+Garage!X43+Laundry!X44</f>
        <v>0</v>
      </c>
      <c r="X61" s="123">
        <f>Recreation!X49+Pool!Y52+Kids!Y51+SPA!Y64+Telephone!Y59+Transportation!Y46+Garage!Y43+Laundry!Y44</f>
        <v>0</v>
      </c>
      <c r="Y61" s="123">
        <f>Recreation!Y49+Pool!Z52+Kids!Z51+SPA!Z64+Telephone!Z59+Transportation!Z46+Garage!Z43+Laundry!Z44</f>
        <v>0</v>
      </c>
      <c r="Z61" s="123">
        <f>Recreation!Z49+Pool!AA52+Kids!AA51+SPA!AA64+Telephone!AA59+Transportation!AA46+Garage!AA43+Laundry!AA44</f>
        <v>0</v>
      </c>
      <c r="AA61" s="123">
        <f>Recreation!AA49+Pool!AB52+Kids!AB51+SPA!AB64+Telephone!AB59+Transportation!AB46+Garage!AB43+Laundry!AB44</f>
        <v>0</v>
      </c>
      <c r="AB61" s="123">
        <f>Recreation!AB49+Pool!AC52+Kids!AC51+SPA!AC64+Telephone!AC59+Transportation!AC46+Garage!AC43+Laundry!AC44</f>
        <v>0</v>
      </c>
      <c r="AC61" s="133">
        <f t="shared" si="30"/>
        <v>0</v>
      </c>
      <c r="AD61" s="123">
        <f t="shared" si="31"/>
        <v>0</v>
      </c>
      <c r="AE61" s="196" t="e">
        <f t="shared" si="32"/>
        <v>#DIV/0!</v>
      </c>
      <c r="AF61" s="133">
        <v>13770.810000000001</v>
      </c>
      <c r="AG61" s="124">
        <f t="shared" si="22"/>
        <v>13770.810000000001</v>
      </c>
      <c r="AH61" s="123"/>
    </row>
    <row r="62" spans="1:34">
      <c r="A62" s="105" t="s">
        <v>129</v>
      </c>
      <c r="B62" s="105" t="s">
        <v>667</v>
      </c>
      <c r="C62" s="105" t="s">
        <v>271</v>
      </c>
      <c r="D62" s="124">
        <f>Recreation!D50+Pool!E53+Kids!E52+SPA!E65+Telephone!E60+Transportation!E47+Garage!E44+Laundry!E45</f>
        <v>19590.160000000003</v>
      </c>
      <c r="E62" s="124">
        <f>Recreation!E50+Pool!F53+Kids!F52+SPA!F65+Telephone!F60+Transportation!F47+Garage!F44+Laundry!F45</f>
        <v>19590.160000000003</v>
      </c>
      <c r="F62" s="124">
        <f>Recreation!F50+Pool!G53+Kids!G52+SPA!G65+Telephone!G60+Transportation!G47+Garage!G44+Laundry!G45</f>
        <v>19590.160000000003</v>
      </c>
      <c r="G62" s="124">
        <f>Recreation!G50+Pool!H53+Kids!H52+SPA!H65+Telephone!H60+Transportation!H47+Garage!H44+Laundry!H45</f>
        <v>19725.160000000003</v>
      </c>
      <c r="H62" s="124">
        <f>Recreation!H50+Pool!I53+Kids!I52+SPA!I65+Telephone!I60+Transportation!I47+Garage!I44+Laundry!I45</f>
        <v>19725.160000000003</v>
      </c>
      <c r="I62" s="124">
        <f>Recreation!I50+Pool!J53+Kids!J52+SPA!J65+Telephone!J60+Transportation!J47+Garage!J44+Laundry!J45</f>
        <v>19671.490000000002</v>
      </c>
      <c r="J62" s="124">
        <f>Recreation!J50+Pool!K53+Kids!K52+SPA!K65+Telephone!K60+Transportation!K47+Garage!K44+Laundry!K45</f>
        <v>21704.510000000006</v>
      </c>
      <c r="K62" s="124">
        <f>Recreation!K50+Pool!L53+Kids!L52+SPA!L65+Telephone!L60+Transportation!L47+Garage!L44+Laundry!L45</f>
        <v>19806.490000000002</v>
      </c>
      <c r="L62" s="124">
        <f>Recreation!L50+Pool!M53+Kids!M52+SPA!M65+Telephone!M60+Transportation!M47+Garage!M44+Laundry!M45</f>
        <v>19806.490000000002</v>
      </c>
      <c r="M62" s="124">
        <f>Recreation!M50+Pool!N53+Kids!N52+SPA!N65+Telephone!N60+Transportation!N47+Garage!N44+Laundry!N45</f>
        <v>19806.490000000002</v>
      </c>
      <c r="N62" s="124">
        <f>Recreation!N50+Pool!O53+Kids!O52+SPA!O65+Telephone!O60+Transportation!O47+Garage!O44+Laundry!O45</f>
        <v>21704.510000000006</v>
      </c>
      <c r="O62" s="124">
        <f>Recreation!O50+Pool!P53+Kids!P52+SPA!P65+Telephone!P60+Transportation!P47+Garage!P44+Laundry!P45</f>
        <v>19806.490000000002</v>
      </c>
      <c r="P62" s="129">
        <f t="shared" si="29"/>
        <v>240527.27</v>
      </c>
      <c r="Q62" s="124">
        <f>Recreation!Q50+Pool!R53+Kids!R52+SPA!R65+Telephone!R60+Transportation!R47+Garage!R44+Laundry!R45</f>
        <v>24895</v>
      </c>
      <c r="R62" s="124">
        <f>Recreation!R50+Pool!S53+Kids!S52+SPA!S65+Telephone!S60+Transportation!S47+Garage!S44+Laundry!S45</f>
        <v>24298</v>
      </c>
      <c r="S62" s="124">
        <f>Recreation!S50+Pool!T53+Kids!T52+SPA!T65+Telephone!T60+Transportation!T47+Garage!T44+Laundry!T45</f>
        <v>24298</v>
      </c>
      <c r="T62" s="124">
        <f>Recreation!T50+Pool!U53+Kids!U52+SPA!U65+Telephone!U60+Transportation!U47+Garage!U44+Laundry!U45</f>
        <v>24814</v>
      </c>
      <c r="U62" s="124">
        <f>Recreation!U50+Pool!V53+Kids!V52+SPA!V65+Telephone!V60+Transportation!V47+Garage!V44+Laundry!V45</f>
        <v>22158</v>
      </c>
      <c r="V62" s="124">
        <f>Recreation!V50+Pool!W53+Kids!W52+SPA!W65+Telephone!W60+Transportation!W47+Garage!W44+Laundry!W45</f>
        <v>21922</v>
      </c>
      <c r="W62" s="124">
        <f>Recreation!W50+Pool!X53+Kids!X52+SPA!X65+Telephone!X60+Transportation!X47+Garage!X44+Laundry!X45</f>
        <v>21918</v>
      </c>
      <c r="X62" s="124">
        <f>Recreation!X50+Pool!Y53+Kids!Y52+SPA!Y65+Telephone!Y60+Transportation!Y47+Garage!Y44+Laundry!Y45</f>
        <v>21815</v>
      </c>
      <c r="Y62" s="124">
        <f>Recreation!Y50+Pool!Z53+Kids!Z52+SPA!Z65+Telephone!Z60+Transportation!Z47+Garage!Z44+Laundry!Z45</f>
        <v>24240</v>
      </c>
      <c r="Z62" s="124">
        <f>Recreation!Z50+Pool!AA53+Kids!AA52+SPA!AA65+Telephone!AA60+Transportation!AA47+Garage!AA44+Laundry!AA45</f>
        <v>24240</v>
      </c>
      <c r="AA62" s="124">
        <f>Recreation!AA50+Pool!AB53+Kids!AB52+SPA!AB65+Telephone!AB60+Transportation!AB47+Garage!AB44+Laundry!AB45</f>
        <v>24240</v>
      </c>
      <c r="AB62" s="124">
        <f>Recreation!AB50+Pool!AC53+Kids!AC52+SPA!AC65+Telephone!AC60+Transportation!AC47+Garage!AC44+Laundry!AC45</f>
        <v>24240</v>
      </c>
      <c r="AC62" s="129">
        <f t="shared" si="30"/>
        <v>283078</v>
      </c>
      <c r="AD62" s="124">
        <f t="shared" si="31"/>
        <v>-42550.73000000001</v>
      </c>
      <c r="AE62" s="192">
        <f t="shared" si="32"/>
        <v>-0.15031450695568011</v>
      </c>
      <c r="AF62" s="129">
        <v>186500</v>
      </c>
      <c r="AG62" s="124">
        <f t="shared" si="22"/>
        <v>-54027.26999999999</v>
      </c>
      <c r="AH62" s="123"/>
    </row>
    <row r="63" spans="1:34">
      <c r="A63" s="105" t="s">
        <v>130</v>
      </c>
      <c r="B63" s="105" t="s">
        <v>667</v>
      </c>
      <c r="C63" s="105" t="s">
        <v>272</v>
      </c>
      <c r="D63" s="124">
        <f>Recreation!D51+Pool!E54+Kids!E53+SPA!E66+Telephone!E61+Transportation!E48+Garage!E45+Laundry!E46</f>
        <v>9438</v>
      </c>
      <c r="E63" s="124">
        <f>Recreation!E51+Pool!F54+Kids!F53+SPA!F66+Telephone!F61+Transportation!F48+Garage!F45+Laundry!F46</f>
        <v>7175</v>
      </c>
      <c r="F63" s="124">
        <f>Recreation!F51+Pool!G54+Kids!G53+SPA!G66+Telephone!G61+Transportation!G48+Garage!G45+Laundry!G46</f>
        <v>7382</v>
      </c>
      <c r="G63" s="124">
        <f>Recreation!G51+Pool!H54+Kids!H53+SPA!H66+Telephone!H61+Transportation!H48+Garage!H45+Laundry!H46</f>
        <v>7912</v>
      </c>
      <c r="H63" s="124">
        <f>Recreation!H51+Pool!I54+Kids!I53+SPA!I66+Telephone!I61+Transportation!I48+Garage!I45+Laundry!I46</f>
        <v>8299</v>
      </c>
      <c r="I63" s="124">
        <f>Recreation!I51+Pool!J54+Kids!J53+SPA!J66+Telephone!J61+Transportation!J48+Garage!J45+Laundry!J46</f>
        <v>7476</v>
      </c>
      <c r="J63" s="124">
        <f>Recreation!J51+Pool!K54+Kids!K53+SPA!K66+Telephone!K61+Transportation!K48+Garage!K45+Laundry!K46</f>
        <v>7556</v>
      </c>
      <c r="K63" s="124">
        <f>Recreation!K51+Pool!L54+Kids!L53+SPA!L66+Telephone!L61+Transportation!L48+Garage!L45+Laundry!L46</f>
        <v>7556</v>
      </c>
      <c r="L63" s="124">
        <f>Recreation!L51+Pool!M54+Kids!M53+SPA!M66+Telephone!M61+Transportation!M48+Garage!M45+Laundry!M46</f>
        <v>7556</v>
      </c>
      <c r="M63" s="124">
        <f>Recreation!M51+Pool!N54+Kids!N53+SPA!N66+Telephone!N61+Transportation!N48+Garage!N45+Laundry!N46</f>
        <v>9906</v>
      </c>
      <c r="N63" s="124">
        <f>Recreation!N51+Pool!O54+Kids!O53+SPA!O66+Telephone!O61+Transportation!O48+Garage!O45+Laundry!O46</f>
        <v>7556</v>
      </c>
      <c r="O63" s="124">
        <f>Recreation!O51+Pool!P54+Kids!P53+SPA!P66+Telephone!P61+Transportation!P48+Garage!P45+Laundry!P46</f>
        <v>7556</v>
      </c>
      <c r="P63" s="129">
        <f t="shared" si="29"/>
        <v>95368</v>
      </c>
      <c r="Q63" s="124">
        <f>Recreation!Q51+Pool!R54+Kids!R53+SPA!R66+Telephone!R61+Transportation!R48+Garage!R45+Laundry!R46</f>
        <v>8608.14</v>
      </c>
      <c r="R63" s="124">
        <f>Recreation!R51+Pool!S54+Kids!S53+SPA!S66+Telephone!S61+Transportation!S48+Garage!S45+Laundry!S46</f>
        <v>9474.15</v>
      </c>
      <c r="S63" s="124">
        <f>Recreation!S51+Pool!T54+Kids!T53+SPA!T66+Telephone!T61+Transportation!T48+Garage!T45+Laundry!T46</f>
        <v>15796.78</v>
      </c>
      <c r="T63" s="124">
        <f>Recreation!T51+Pool!U54+Kids!U53+SPA!U66+Telephone!U61+Transportation!U48+Garage!U45+Laundry!U46</f>
        <v>12420.02</v>
      </c>
      <c r="U63" s="124">
        <f>Recreation!U51+Pool!V54+Kids!V53+SPA!V66+Telephone!V61+Transportation!V48+Garage!V45+Laundry!V46</f>
        <v>7734.7199999999993</v>
      </c>
      <c r="V63" s="124">
        <f>Recreation!V51+Pool!W54+Kids!W53+SPA!W66+Telephone!W61+Transportation!W48+Garage!W45+Laundry!W46</f>
        <v>7783.2600000000011</v>
      </c>
      <c r="W63" s="124">
        <f>Recreation!W51+Pool!X54+Kids!X53+SPA!X66+Telephone!X61+Transportation!X48+Garage!X45+Laundry!X46</f>
        <v>7049.91</v>
      </c>
      <c r="X63" s="124">
        <f>Recreation!X51+Pool!Y54+Kids!Y53+SPA!Y66+Telephone!Y61+Transportation!Y48+Garage!Y45+Laundry!Y46</f>
        <v>7449.55</v>
      </c>
      <c r="Y63" s="124">
        <f>Recreation!Y51+Pool!Z54+Kids!Z53+SPA!Z66+Telephone!Z61+Transportation!Z48+Garage!Z45+Laundry!Z46</f>
        <v>12134</v>
      </c>
      <c r="Z63" s="124">
        <f>Recreation!Z51+Pool!AA54+Kids!AA53+SPA!AA66+Telephone!AA61+Transportation!AA48+Garage!AA45+Laundry!AA46</f>
        <v>12134</v>
      </c>
      <c r="AA63" s="124">
        <f>Recreation!AA51+Pool!AB54+Kids!AB53+SPA!AB66+Telephone!AB61+Transportation!AB48+Garage!AB45+Laundry!AB46</f>
        <v>12134</v>
      </c>
      <c r="AB63" s="124">
        <f>Recreation!AB51+Pool!AC54+Kids!AC53+SPA!AC66+Telephone!AC61+Transportation!AC48+Garage!AC45+Laundry!AC46</f>
        <v>12134</v>
      </c>
      <c r="AC63" s="129">
        <f t="shared" si="30"/>
        <v>124852.53</v>
      </c>
      <c r="AD63" s="124">
        <f t="shared" si="31"/>
        <v>-29484.53</v>
      </c>
      <c r="AE63" s="192">
        <f t="shared" si="32"/>
        <v>-0.23615484604116552</v>
      </c>
      <c r="AF63" s="129">
        <v>106669.89000000001</v>
      </c>
      <c r="AG63" s="124">
        <f t="shared" si="22"/>
        <v>11301.890000000014</v>
      </c>
      <c r="AH63" s="123"/>
    </row>
    <row r="64" spans="1:34">
      <c r="A64" s="105" t="s">
        <v>670</v>
      </c>
      <c r="B64" s="105" t="s">
        <v>667</v>
      </c>
      <c r="C64" s="105" t="s">
        <v>274</v>
      </c>
      <c r="D64" s="124">
        <f>Recreation!D52+Pool!E55+Kids!E54+SPA!E67+Telephone!E62+Transportation!E49+Garage!E46+Laundry!E47</f>
        <v>0</v>
      </c>
      <c r="E64" s="124">
        <f>Recreation!E52+Pool!F55+Kids!F54+SPA!F67+Telephone!F62+Transportation!F49+Garage!F46+Laundry!F47</f>
        <v>0</v>
      </c>
      <c r="F64" s="124">
        <f>Recreation!F52+Pool!G55+Kids!G54+SPA!G67+Telephone!G62+Transportation!G49+Garage!G46+Laundry!G47</f>
        <v>0</v>
      </c>
      <c r="G64" s="124">
        <f>Recreation!G52+Pool!H55+Kids!H54+SPA!H67+Telephone!H62+Transportation!H49+Garage!H46+Laundry!H47</f>
        <v>0</v>
      </c>
      <c r="H64" s="124">
        <f>Recreation!H52+Pool!I55+Kids!I54+SPA!I67+Telephone!I62+Transportation!I49+Garage!I46+Laundry!I47</f>
        <v>0</v>
      </c>
      <c r="I64" s="124">
        <f>Recreation!I52+Pool!J55+Kids!J54+SPA!J67+Telephone!J62+Transportation!J49+Garage!J46+Laundry!J47</f>
        <v>0</v>
      </c>
      <c r="J64" s="124">
        <f>Recreation!J52+Pool!K55+Kids!K54+SPA!K67+Telephone!K62+Transportation!K49+Garage!K46+Laundry!K47</f>
        <v>0</v>
      </c>
      <c r="K64" s="124">
        <f>Recreation!K52+Pool!L55+Kids!L54+SPA!L67+Telephone!L62+Transportation!L49+Garage!L46+Laundry!L47</f>
        <v>0</v>
      </c>
      <c r="L64" s="124">
        <f>Recreation!L52+Pool!M55+Kids!M54+SPA!M67+Telephone!M62+Transportation!M49+Garage!M46+Laundry!M47</f>
        <v>0</v>
      </c>
      <c r="M64" s="124">
        <f>Recreation!M52+Pool!N55+Kids!N54+SPA!N67+Telephone!N62+Transportation!N49+Garage!N46+Laundry!N47</f>
        <v>0</v>
      </c>
      <c r="N64" s="124">
        <f>Recreation!N52+Pool!O55+Kids!O54+SPA!O67+Telephone!O62+Transportation!O49+Garage!O46+Laundry!O47</f>
        <v>0</v>
      </c>
      <c r="O64" s="124">
        <f>Recreation!O52+Pool!P55+Kids!P54+SPA!P67+Telephone!P62+Transportation!P49+Garage!P46+Laundry!P47</f>
        <v>0</v>
      </c>
      <c r="P64" s="129">
        <f t="shared" si="29"/>
        <v>0</v>
      </c>
      <c r="Q64" s="124">
        <f>Recreation!Q52+Pool!R55+Kids!R54+SPA!R67+Telephone!R62+Transportation!R49+Garage!R46+Laundry!R47</f>
        <v>0</v>
      </c>
      <c r="R64" s="124">
        <f>Recreation!R52+Pool!S55+Kids!S54+SPA!S67+Telephone!S62+Transportation!S49+Garage!S46+Laundry!S47</f>
        <v>0</v>
      </c>
      <c r="S64" s="124">
        <f>Recreation!S52+Pool!T55+Kids!T54+SPA!T67+Telephone!T62+Transportation!T49+Garage!T46+Laundry!T47</f>
        <v>0</v>
      </c>
      <c r="T64" s="124">
        <f>Recreation!T52+Pool!U55+Kids!U54+SPA!U67+Telephone!U62+Transportation!U49+Garage!U46+Laundry!U47</f>
        <v>0</v>
      </c>
      <c r="U64" s="124">
        <f>Recreation!U52+Pool!V55+Kids!V54+SPA!V67+Telephone!V62+Transportation!V49+Garage!V46+Laundry!V47</f>
        <v>0</v>
      </c>
      <c r="V64" s="124">
        <f>Recreation!V52+Pool!W55+Kids!W54+SPA!W67+Telephone!W62+Transportation!W49+Garage!W46+Laundry!W47</f>
        <v>0</v>
      </c>
      <c r="W64" s="124">
        <f>Recreation!W52+Pool!X55+Kids!X54+SPA!X67+Telephone!X62+Transportation!X49+Garage!X46+Laundry!X47</f>
        <v>0</v>
      </c>
      <c r="X64" s="124">
        <f>Recreation!X52+Pool!Y55+Kids!Y54+SPA!Y67+Telephone!Y62+Transportation!Y49+Garage!Y46+Laundry!Y47</f>
        <v>0</v>
      </c>
      <c r="Y64" s="124">
        <f>Recreation!Y52+Pool!Z55+Kids!Z54+SPA!Z67+Telephone!Z62+Transportation!Z49+Garage!Z46+Laundry!Z47</f>
        <v>0</v>
      </c>
      <c r="Z64" s="124">
        <f>Recreation!Z52+Pool!AA55+Kids!AA54+SPA!AA67+Telephone!AA62+Transportation!AA49+Garage!AA46+Laundry!AA47</f>
        <v>0</v>
      </c>
      <c r="AA64" s="124">
        <f>Recreation!AA52+Pool!AB55+Kids!AB54+SPA!AB67+Telephone!AB62+Transportation!AB49+Garage!AB46+Laundry!AB47</f>
        <v>0</v>
      </c>
      <c r="AB64" s="124">
        <f>Recreation!AB52+Pool!AC55+Kids!AC54+SPA!AC67+Telephone!AC62+Transportation!AC49+Garage!AC46+Laundry!AC47</f>
        <v>0</v>
      </c>
      <c r="AC64" s="129">
        <f t="shared" si="30"/>
        <v>0</v>
      </c>
      <c r="AD64" s="124">
        <f t="shared" si="31"/>
        <v>0</v>
      </c>
      <c r="AE64" s="192" t="e">
        <f t="shared" si="32"/>
        <v>#DIV/0!</v>
      </c>
      <c r="AF64" s="129">
        <v>0</v>
      </c>
      <c r="AG64" s="124">
        <f t="shared" si="22"/>
        <v>0</v>
      </c>
      <c r="AH64" s="123"/>
    </row>
    <row r="65" spans="1:34">
      <c r="C65" s="109" t="s">
        <v>275</v>
      </c>
      <c r="D65" s="129">
        <f>SUM(D57:D64)</f>
        <v>125692.91000000003</v>
      </c>
      <c r="E65" s="129">
        <f t="shared" ref="E65:AB65" si="33">SUM(E57:E64)</f>
        <v>123429.91000000003</v>
      </c>
      <c r="F65" s="129">
        <f t="shared" si="33"/>
        <v>123636.91000000003</v>
      </c>
      <c r="G65" s="129">
        <f t="shared" si="33"/>
        <v>125493.52000000003</v>
      </c>
      <c r="H65" s="129">
        <f t="shared" si="33"/>
        <v>125880.52000000003</v>
      </c>
      <c r="I65" s="129">
        <f t="shared" si="33"/>
        <v>124755.67000000003</v>
      </c>
      <c r="J65" s="129">
        <f t="shared" si="33"/>
        <v>130115.41000000002</v>
      </c>
      <c r="K65" s="129">
        <f t="shared" si="33"/>
        <v>128217.39000000001</v>
      </c>
      <c r="L65" s="129">
        <f t="shared" si="33"/>
        <v>128217.39000000001</v>
      </c>
      <c r="M65" s="129">
        <f t="shared" si="33"/>
        <v>130567.39000000001</v>
      </c>
      <c r="N65" s="129">
        <f t="shared" si="33"/>
        <v>130115.41000000002</v>
      </c>
      <c r="O65" s="129">
        <f t="shared" si="33"/>
        <v>128217.39000000001</v>
      </c>
      <c r="P65" s="129">
        <f t="shared" si="33"/>
        <v>1524339.8199999998</v>
      </c>
      <c r="Q65" s="129">
        <f t="shared" si="33"/>
        <v>160414.04000000004</v>
      </c>
      <c r="R65" s="129">
        <f t="shared" si="33"/>
        <v>157685.31</v>
      </c>
      <c r="S65" s="129">
        <f t="shared" si="33"/>
        <v>164007.94</v>
      </c>
      <c r="T65" s="129">
        <f t="shared" si="33"/>
        <v>163742.18</v>
      </c>
      <c r="U65" s="129">
        <f t="shared" si="33"/>
        <v>143061.18</v>
      </c>
      <c r="V65" s="129">
        <f t="shared" si="33"/>
        <v>141660.41999999998</v>
      </c>
      <c r="W65" s="129">
        <f t="shared" si="33"/>
        <v>132399.72999999998</v>
      </c>
      <c r="X65" s="129">
        <f t="shared" si="33"/>
        <v>133719.36999999997</v>
      </c>
      <c r="Y65" s="129">
        <f t="shared" si="33"/>
        <v>165067</v>
      </c>
      <c r="Z65" s="129">
        <f t="shared" si="33"/>
        <v>165067</v>
      </c>
      <c r="AA65" s="129">
        <f t="shared" si="33"/>
        <v>165067</v>
      </c>
      <c r="AB65" s="129">
        <f t="shared" si="33"/>
        <v>165067</v>
      </c>
      <c r="AC65" s="129">
        <f>SUM(AC57:AC64)</f>
        <v>1856958.1700000002</v>
      </c>
      <c r="AD65" s="129">
        <f t="shared" si="31"/>
        <v>-332618.35000000033</v>
      </c>
      <c r="AE65" s="192">
        <f t="shared" si="32"/>
        <v>-0.17912000139453885</v>
      </c>
      <c r="AF65" s="129">
        <v>1336007.8799999999</v>
      </c>
      <c r="AG65" s="124">
        <f t="shared" si="22"/>
        <v>-188331.93999999994</v>
      </c>
      <c r="AH65" s="123"/>
    </row>
    <row r="66" spans="1:34">
      <c r="C66" s="105" t="s">
        <v>154</v>
      </c>
      <c r="AF66" s="129"/>
      <c r="AG66" s="124">
        <f t="shared" si="22"/>
        <v>0</v>
      </c>
      <c r="AH66" s="123"/>
    </row>
    <row r="67" spans="1:34">
      <c r="A67" s="105" t="s">
        <v>131</v>
      </c>
      <c r="B67" s="105" t="s">
        <v>667</v>
      </c>
      <c r="C67" s="105" t="s">
        <v>276</v>
      </c>
      <c r="D67" s="124">
        <f>Recreation!D55+Pool!E58+Kids!E57+SPA!E70+Telephone!E65+Transportation!E52+Garage!E49+Laundry!E50</f>
        <v>0</v>
      </c>
      <c r="E67" s="124">
        <f>Recreation!E55+Pool!F58+Kids!F57+SPA!F70+Telephone!F65+Transportation!F52+Garage!F49+Laundry!F50</f>
        <v>0</v>
      </c>
      <c r="F67" s="124">
        <f>Recreation!F55+Pool!G58+Kids!G57+SPA!G70+Telephone!G65+Transportation!G52+Garage!G49+Laundry!G50</f>
        <v>0</v>
      </c>
      <c r="G67" s="124">
        <f>Recreation!G55+Pool!H58+Kids!H57+SPA!H70+Telephone!H65+Transportation!H52+Garage!H49+Laundry!H50</f>
        <v>0</v>
      </c>
      <c r="H67" s="124">
        <f>Recreation!H55+Pool!I58+Kids!I57+SPA!I70+Telephone!I65+Transportation!I52+Garage!I49+Laundry!I50</f>
        <v>0</v>
      </c>
      <c r="I67" s="124">
        <f>Recreation!I55+Pool!J58+Kids!J57+SPA!J70+Telephone!J65+Transportation!J52+Garage!J49+Laundry!J50</f>
        <v>0</v>
      </c>
      <c r="J67" s="124">
        <f>Recreation!J55+Pool!K58+Kids!K57+SPA!K70+Telephone!K65+Transportation!K52+Garage!K49+Laundry!K50</f>
        <v>0</v>
      </c>
      <c r="K67" s="124">
        <f>Recreation!K55+Pool!L58+Kids!L57+SPA!L70+Telephone!L65+Transportation!L52+Garage!L49+Laundry!L50</f>
        <v>0</v>
      </c>
      <c r="L67" s="124">
        <f>Recreation!L55+Pool!M58+Kids!M57+SPA!M70+Telephone!M65+Transportation!M52+Garage!M49+Laundry!M50</f>
        <v>0</v>
      </c>
      <c r="M67" s="124">
        <f>Recreation!M55+Pool!N58+Kids!N57+SPA!N70+Telephone!N65+Transportation!N52+Garage!N49+Laundry!N50</f>
        <v>0</v>
      </c>
      <c r="N67" s="124">
        <f>Recreation!N55+Pool!O58+Kids!O57+SPA!O70+Telephone!O65+Transportation!O52+Garage!O49+Laundry!O50</f>
        <v>0</v>
      </c>
      <c r="O67" s="124">
        <f>Recreation!O55+Pool!P58+Kids!P57+SPA!P70+Telephone!P65+Transportation!P52+Garage!P49+Laundry!P50</f>
        <v>0</v>
      </c>
      <c r="P67" s="129">
        <f t="shared" ref="P67:P75" si="34">SUM(D67:O67)</f>
        <v>0</v>
      </c>
      <c r="Q67" s="124">
        <f>Recreation!Q55+Pool!R58+Kids!R57+SPA!R70+Telephone!R65+Transportation!R52+Garage!R49+Laundry!R50</f>
        <v>0</v>
      </c>
      <c r="R67" s="124">
        <f>Recreation!R55+Pool!S58+Kids!S57+SPA!S70+Telephone!S65+Transportation!S52+Garage!S49+Laundry!S50</f>
        <v>0</v>
      </c>
      <c r="S67" s="124">
        <f>Recreation!S55+Pool!T58+Kids!T57+SPA!T70+Telephone!T65+Transportation!T52+Garage!T49+Laundry!T50</f>
        <v>0</v>
      </c>
      <c r="T67" s="124">
        <f>Recreation!T55+Pool!U58+Kids!U57+SPA!U70+Telephone!U65+Transportation!U52+Garage!U49+Laundry!U50</f>
        <v>0</v>
      </c>
      <c r="U67" s="124">
        <f>Recreation!U55+Pool!V58+Kids!V57+SPA!V70+Telephone!V65+Transportation!V52+Garage!V49+Laundry!V50</f>
        <v>0</v>
      </c>
      <c r="V67" s="124">
        <f>Recreation!V55+Pool!W58+Kids!W57+SPA!W70+Telephone!W65+Transportation!W52+Garage!W49+Laundry!W50</f>
        <v>0</v>
      </c>
      <c r="W67" s="124">
        <f>Recreation!W55+Pool!X58+Kids!X57+SPA!X70+Telephone!X65+Transportation!X52+Garage!X49+Laundry!X50</f>
        <v>0</v>
      </c>
      <c r="X67" s="124">
        <f>Recreation!X55+Pool!Y58+Kids!Y57+SPA!Y70+Telephone!Y65+Transportation!Y52+Garage!Y49+Laundry!Y50</f>
        <v>0</v>
      </c>
      <c r="Y67" s="124">
        <f>Recreation!Y55+Pool!Z58+Kids!Z57+SPA!Z70+Telephone!Z65+Transportation!Z52+Garage!Z49+Laundry!Z50</f>
        <v>0</v>
      </c>
      <c r="Z67" s="124">
        <f>Recreation!Z55+Pool!AA58+Kids!AA57+SPA!AA70+Telephone!AA65+Transportation!AA52+Garage!AA49+Laundry!AA50</f>
        <v>0</v>
      </c>
      <c r="AA67" s="124">
        <f>Recreation!AA55+Pool!AB58+Kids!AB57+SPA!AB70+Telephone!AB65+Transportation!AB52+Garage!AB49+Laundry!AB50</f>
        <v>0</v>
      </c>
      <c r="AB67" s="124">
        <f>Recreation!AB55+Pool!AC58+Kids!AC57+SPA!AC70+Telephone!AC65+Transportation!AC52+Garage!AC49+Laundry!AC50</f>
        <v>0</v>
      </c>
      <c r="AC67" s="129">
        <f t="shared" ref="AC67:AC75" si="35">SUM(Q67:AB67)</f>
        <v>0</v>
      </c>
      <c r="AD67" s="124">
        <f t="shared" ref="AD67:AD77" si="36">P67-AC67</f>
        <v>0</v>
      </c>
      <c r="AE67" s="192" t="e">
        <f t="shared" ref="AE67:AE77" si="37">AD67/AC67</f>
        <v>#DIV/0!</v>
      </c>
      <c r="AF67" s="129">
        <v>0</v>
      </c>
      <c r="AG67" s="124">
        <f t="shared" si="22"/>
        <v>0</v>
      </c>
      <c r="AH67" s="123"/>
    </row>
    <row r="68" spans="1:34">
      <c r="A68" s="105" t="s">
        <v>132</v>
      </c>
      <c r="B68" s="105" t="s">
        <v>667</v>
      </c>
      <c r="C68" s="105" t="s">
        <v>277</v>
      </c>
      <c r="D68" s="124">
        <f>Recreation!D56+Pool!E59+Kids!E58+SPA!E71+Telephone!E66+Transportation!E53+Garage!E50+Laundry!E51</f>
        <v>0</v>
      </c>
      <c r="E68" s="124">
        <f>Recreation!E56+Pool!F59+Kids!F58+SPA!F71+Telephone!F66+Transportation!F53+Garage!F50+Laundry!F51</f>
        <v>0</v>
      </c>
      <c r="F68" s="124">
        <f>Recreation!F56+Pool!G59+Kids!G58+SPA!G71+Telephone!G66+Transportation!G53+Garage!G50+Laundry!G51</f>
        <v>0</v>
      </c>
      <c r="G68" s="124">
        <f>Recreation!G56+Pool!H59+Kids!H58+SPA!H71+Telephone!H66+Transportation!H53+Garage!H50+Laundry!H51</f>
        <v>0</v>
      </c>
      <c r="H68" s="124">
        <f>Recreation!H56+Pool!I59+Kids!I58+SPA!I71+Telephone!I66+Transportation!I53+Garage!I50+Laundry!I51</f>
        <v>0</v>
      </c>
      <c r="I68" s="124">
        <f>Recreation!I56+Pool!J59+Kids!J58+SPA!J71+Telephone!J66+Transportation!J53+Garage!J50+Laundry!J51</f>
        <v>0</v>
      </c>
      <c r="J68" s="124">
        <f>Recreation!J56+Pool!K59+Kids!K58+SPA!K71+Telephone!K66+Transportation!K53+Garage!K50+Laundry!K51</f>
        <v>0</v>
      </c>
      <c r="K68" s="124">
        <f>Recreation!K56+Pool!L59+Kids!L58+SPA!L71+Telephone!L66+Transportation!L53+Garage!L50+Laundry!L51</f>
        <v>0</v>
      </c>
      <c r="L68" s="124">
        <f>Recreation!L56+Pool!M59+Kids!M58+SPA!M71+Telephone!M66+Transportation!M53+Garage!M50+Laundry!M51</f>
        <v>0</v>
      </c>
      <c r="M68" s="124">
        <f>Recreation!M56+Pool!N59+Kids!N58+SPA!N71+Telephone!N66+Transportation!N53+Garage!N50+Laundry!N51</f>
        <v>0</v>
      </c>
      <c r="N68" s="124">
        <f>Recreation!N56+Pool!O59+Kids!O58+SPA!O71+Telephone!O66+Transportation!O53+Garage!O50+Laundry!O51</f>
        <v>0</v>
      </c>
      <c r="O68" s="124">
        <f>Recreation!O56+Pool!P59+Kids!P58+SPA!P71+Telephone!P66+Transportation!P53+Garage!P50+Laundry!P51</f>
        <v>0</v>
      </c>
      <c r="P68" s="129">
        <f t="shared" si="34"/>
        <v>0</v>
      </c>
      <c r="Q68" s="124">
        <f>Recreation!Q56+Pool!R59+Kids!R58+SPA!R71+Telephone!R66+Transportation!R53+Garage!R50+Laundry!R51</f>
        <v>0</v>
      </c>
      <c r="R68" s="124">
        <f>Recreation!R56+Pool!S59+Kids!S58+SPA!S71+Telephone!S66+Transportation!S53+Garage!S50+Laundry!S51</f>
        <v>0</v>
      </c>
      <c r="S68" s="124">
        <f>Recreation!S56+Pool!T59+Kids!T58+SPA!T71+Telephone!T66+Transportation!T53+Garage!T50+Laundry!T51</f>
        <v>0</v>
      </c>
      <c r="T68" s="124">
        <f>Recreation!T56+Pool!U59+Kids!U58+SPA!U71+Telephone!U66+Transportation!U53+Garage!U50+Laundry!U51</f>
        <v>0</v>
      </c>
      <c r="U68" s="124">
        <f>Recreation!U56+Pool!V59+Kids!V58+SPA!V71+Telephone!V66+Transportation!V53+Garage!V50+Laundry!V51</f>
        <v>0</v>
      </c>
      <c r="V68" s="124">
        <f>Recreation!V56+Pool!W59+Kids!W58+SPA!W71+Telephone!W66+Transportation!W53+Garage!W50+Laundry!W51</f>
        <v>0</v>
      </c>
      <c r="W68" s="124">
        <f>Recreation!W56+Pool!X59+Kids!X58+SPA!X71+Telephone!X66+Transportation!X53+Garage!X50+Laundry!X51</f>
        <v>0</v>
      </c>
      <c r="X68" s="124">
        <f>Recreation!X56+Pool!Y59+Kids!Y58+SPA!Y71+Telephone!Y66+Transportation!Y53+Garage!Y50+Laundry!Y51</f>
        <v>0</v>
      </c>
      <c r="Y68" s="124">
        <f>Recreation!Y56+Pool!Z59+Kids!Z58+SPA!Z71+Telephone!Z66+Transportation!Z53+Garage!Z50+Laundry!Z51</f>
        <v>0</v>
      </c>
      <c r="Z68" s="124">
        <f>Recreation!Z56+Pool!AA59+Kids!AA58+SPA!AA71+Telephone!AA66+Transportation!AA53+Garage!AA50+Laundry!AA51</f>
        <v>0</v>
      </c>
      <c r="AA68" s="124">
        <f>Recreation!AA56+Pool!AB59+Kids!AB58+SPA!AB71+Telephone!AB66+Transportation!AB53+Garage!AB50+Laundry!AB51</f>
        <v>0</v>
      </c>
      <c r="AB68" s="124">
        <f>Recreation!AB56+Pool!AC59+Kids!AC58+SPA!AC71+Telephone!AC66+Transportation!AC53+Garage!AC50+Laundry!AC51</f>
        <v>0</v>
      </c>
      <c r="AC68" s="129">
        <f t="shared" si="35"/>
        <v>0</v>
      </c>
      <c r="AD68" s="124">
        <f t="shared" si="36"/>
        <v>0</v>
      </c>
      <c r="AE68" s="192" t="e">
        <f t="shared" si="37"/>
        <v>#DIV/0!</v>
      </c>
      <c r="AF68" s="129">
        <v>0</v>
      </c>
      <c r="AG68" s="124">
        <f t="shared" si="22"/>
        <v>0</v>
      </c>
      <c r="AH68" s="123"/>
    </row>
    <row r="69" spans="1:34">
      <c r="A69" s="105" t="s">
        <v>133</v>
      </c>
      <c r="B69" s="105" t="s">
        <v>667</v>
      </c>
      <c r="C69" s="105" t="s">
        <v>278</v>
      </c>
      <c r="D69" s="124">
        <f>Recreation!D57+Pool!E60+Kids!E59+SPA!E72+Telephone!E67+Transportation!E54+Garage!E51+Laundry!E52</f>
        <v>0</v>
      </c>
      <c r="E69" s="124">
        <f>Recreation!E57+Pool!F60+Kids!F59+SPA!F72+Telephone!F67+Transportation!F54+Garage!F51+Laundry!F52</f>
        <v>0</v>
      </c>
      <c r="F69" s="124">
        <f>Recreation!F57+Pool!G60+Kids!G59+SPA!G72+Telephone!G67+Transportation!G54+Garage!G51+Laundry!G52</f>
        <v>0</v>
      </c>
      <c r="G69" s="124">
        <f>Recreation!G57+Pool!H60+Kids!H59+SPA!H72+Telephone!H67+Transportation!H54+Garage!H51+Laundry!H52</f>
        <v>0</v>
      </c>
      <c r="H69" s="124">
        <f>Recreation!H57+Pool!I60+Kids!I59+SPA!I72+Telephone!I67+Transportation!I54+Garage!I51+Laundry!I52</f>
        <v>0</v>
      </c>
      <c r="I69" s="124">
        <f>Recreation!I57+Pool!J60+Kids!J59+SPA!J72+Telephone!J67+Transportation!J54+Garage!J51+Laundry!J52</f>
        <v>0</v>
      </c>
      <c r="J69" s="124">
        <f>Recreation!J57+Pool!K60+Kids!K59+SPA!K72+Telephone!K67+Transportation!K54+Garage!K51+Laundry!K52</f>
        <v>0</v>
      </c>
      <c r="K69" s="124">
        <f>Recreation!K57+Pool!L60+Kids!L59+SPA!L72+Telephone!L67+Transportation!L54+Garage!L51+Laundry!L52</f>
        <v>0</v>
      </c>
      <c r="L69" s="124">
        <f>Recreation!L57+Pool!M60+Kids!M59+SPA!M72+Telephone!M67+Transportation!M54+Garage!M51+Laundry!M52</f>
        <v>0</v>
      </c>
      <c r="M69" s="124">
        <f>Recreation!M57+Pool!N60+Kids!N59+SPA!N72+Telephone!N67+Transportation!N54+Garage!N51+Laundry!N52</f>
        <v>0</v>
      </c>
      <c r="N69" s="124">
        <f>Recreation!N57+Pool!O60+Kids!O59+SPA!O72+Telephone!O67+Transportation!O54+Garage!O51+Laundry!O52</f>
        <v>0</v>
      </c>
      <c r="O69" s="124">
        <f>Recreation!O57+Pool!P60+Kids!P59+SPA!P72+Telephone!P67+Transportation!P54+Garage!P51+Laundry!P52</f>
        <v>0</v>
      </c>
      <c r="P69" s="129">
        <f t="shared" si="34"/>
        <v>0</v>
      </c>
      <c r="Q69" s="124">
        <f>Recreation!Q57+Pool!R60+Kids!R59+SPA!R72+Telephone!R67+Transportation!R54+Garage!R51+Laundry!R52</f>
        <v>0</v>
      </c>
      <c r="R69" s="124">
        <f>Recreation!R57+Pool!S60+Kids!S59+SPA!S72+Telephone!S67+Transportation!S54+Garage!S51+Laundry!S52</f>
        <v>0</v>
      </c>
      <c r="S69" s="124">
        <f>Recreation!S57+Pool!T60+Kids!T59+SPA!T72+Telephone!T67+Transportation!T54+Garage!T51+Laundry!T52</f>
        <v>0</v>
      </c>
      <c r="T69" s="124">
        <f>Recreation!T57+Pool!U60+Kids!U59+SPA!U72+Telephone!U67+Transportation!U54+Garage!U51+Laundry!U52</f>
        <v>0</v>
      </c>
      <c r="U69" s="124">
        <f>Recreation!U57+Pool!V60+Kids!V59+SPA!V72+Telephone!V67+Transportation!V54+Garage!V51+Laundry!V52</f>
        <v>0</v>
      </c>
      <c r="V69" s="124">
        <f>Recreation!V57+Pool!W60+Kids!W59+SPA!W72+Telephone!W67+Transportation!W54+Garage!W51+Laundry!W52</f>
        <v>0</v>
      </c>
      <c r="W69" s="124">
        <f>Recreation!W57+Pool!X60+Kids!X59+SPA!X72+Telephone!X67+Transportation!X54+Garage!X51+Laundry!X52</f>
        <v>0</v>
      </c>
      <c r="X69" s="124">
        <f>Recreation!X57+Pool!Y60+Kids!Y59+SPA!Y72+Telephone!Y67+Transportation!Y54+Garage!Y51+Laundry!Y52</f>
        <v>0</v>
      </c>
      <c r="Y69" s="124">
        <f>Recreation!Y57+Pool!Z60+Kids!Z59+SPA!Z72+Telephone!Z67+Transportation!Z54+Garage!Z51+Laundry!Z52</f>
        <v>0</v>
      </c>
      <c r="Z69" s="124">
        <f>Recreation!Z57+Pool!AA60+Kids!AA59+SPA!AA72+Telephone!AA67+Transportation!AA54+Garage!AA51+Laundry!AA52</f>
        <v>0</v>
      </c>
      <c r="AA69" s="124">
        <f>Recreation!AA57+Pool!AB60+Kids!AB59+SPA!AB72+Telephone!AB67+Transportation!AB54+Garage!AB51+Laundry!AB52</f>
        <v>0</v>
      </c>
      <c r="AB69" s="124">
        <f>Recreation!AB57+Pool!AC60+Kids!AC59+SPA!AC72+Telephone!AC67+Transportation!AC54+Garage!AC51+Laundry!AC52</f>
        <v>0</v>
      </c>
      <c r="AC69" s="129">
        <f t="shared" si="35"/>
        <v>0</v>
      </c>
      <c r="AD69" s="124">
        <f t="shared" si="36"/>
        <v>0</v>
      </c>
      <c r="AE69" s="192" t="e">
        <f t="shared" si="37"/>
        <v>#DIV/0!</v>
      </c>
      <c r="AF69" s="129">
        <v>0</v>
      </c>
      <c r="AG69" s="124">
        <f t="shared" si="22"/>
        <v>0</v>
      </c>
      <c r="AH69" s="123"/>
    </row>
    <row r="70" spans="1:34">
      <c r="A70" s="105" t="s">
        <v>134</v>
      </c>
      <c r="B70" s="105" t="s">
        <v>667</v>
      </c>
      <c r="C70" s="105" t="s">
        <v>279</v>
      </c>
      <c r="D70" s="124">
        <f>Recreation!D58+Pool!E61+Kids!E60+SPA!E73+Telephone!E68+Transportation!E55+Garage!E52+Laundry!E53</f>
        <v>266.65999999999997</v>
      </c>
      <c r="E70" s="124">
        <f>Recreation!E58+Pool!F61+Kids!F60+SPA!F73+Telephone!F68+Transportation!F55+Garage!F52+Laundry!F53</f>
        <v>266.65999999999997</v>
      </c>
      <c r="F70" s="124">
        <f>Recreation!F58+Pool!G61+Kids!G60+SPA!G73+Telephone!G68+Transportation!G55+Garage!G52+Laundry!G53</f>
        <v>266.65999999999997</v>
      </c>
      <c r="G70" s="124">
        <f>Recreation!G58+Pool!H61+Kids!H60+SPA!H73+Telephone!H68+Transportation!H55+Garage!H52+Laundry!H53</f>
        <v>266.65999999999997</v>
      </c>
      <c r="H70" s="124">
        <f>Recreation!H58+Pool!I61+Kids!I60+SPA!I73+Telephone!I68+Transportation!I55+Garage!I52+Laundry!I53</f>
        <v>266.65999999999997</v>
      </c>
      <c r="I70" s="124">
        <f>Recreation!I58+Pool!J61+Kids!J60+SPA!J73+Telephone!J68+Transportation!J55+Garage!J52+Laundry!J53</f>
        <v>266.65999999999997</v>
      </c>
      <c r="J70" s="124">
        <f>Recreation!J58+Pool!K61+Kids!K60+SPA!K73+Telephone!K68+Transportation!K55+Garage!K52+Laundry!K53</f>
        <v>266.65999999999997</v>
      </c>
      <c r="K70" s="124">
        <f>Recreation!K58+Pool!L61+Kids!L60+SPA!L73+Telephone!L68+Transportation!L55+Garage!L52+Laundry!L53</f>
        <v>266.65999999999997</v>
      </c>
      <c r="L70" s="124">
        <f>Recreation!L58+Pool!M61+Kids!M60+SPA!M73+Telephone!M68+Transportation!M55+Garage!M52+Laundry!M53</f>
        <v>266.65999999999997</v>
      </c>
      <c r="M70" s="124">
        <f>Recreation!M58+Pool!N61+Kids!N60+SPA!N73+Telephone!N68+Transportation!N55+Garage!N52+Laundry!N53</f>
        <v>266.65999999999997</v>
      </c>
      <c r="N70" s="124">
        <f>Recreation!N58+Pool!O61+Kids!O60+SPA!O73+Telephone!O68+Transportation!O55+Garage!O52+Laundry!O53</f>
        <v>266.65999999999997</v>
      </c>
      <c r="O70" s="124">
        <f>Recreation!O58+Pool!P61+Kids!P60+SPA!P73+Telephone!P68+Transportation!P55+Garage!P52+Laundry!P53</f>
        <v>266.65999999999997</v>
      </c>
      <c r="P70" s="129">
        <f t="shared" si="34"/>
        <v>3199.9199999999987</v>
      </c>
      <c r="Q70" s="124">
        <f>Recreation!Q58+Pool!R61+Kids!R60+SPA!R73+Telephone!R68+Transportation!R55+Garage!R52+Laundry!R53</f>
        <v>340.37</v>
      </c>
      <c r="R70" s="124">
        <f>Recreation!R58+Pool!S61+Kids!S60+SPA!S73+Telephone!S68+Transportation!S55+Garage!S52+Laundry!S53</f>
        <v>254</v>
      </c>
      <c r="S70" s="124">
        <f>Recreation!S58+Pool!T61+Kids!T60+SPA!T73+Telephone!T68+Transportation!T55+Garage!T52+Laundry!T53</f>
        <v>350.9</v>
      </c>
      <c r="T70" s="124">
        <f>Recreation!T58+Pool!U61+Kids!U60+SPA!U73+Telephone!U68+Transportation!U55+Garage!U52+Laundry!U53</f>
        <v>307.84000000000003</v>
      </c>
      <c r="U70" s="124">
        <f>Recreation!U58+Pool!V61+Kids!V60+SPA!V73+Telephone!V68+Transportation!V55+Garage!V52+Laundry!V53</f>
        <v>272</v>
      </c>
      <c r="V70" s="124">
        <f>Recreation!V58+Pool!W61+Kids!W60+SPA!W73+Telephone!W68+Transportation!W55+Garage!W52+Laundry!W53</f>
        <v>500.72</v>
      </c>
      <c r="W70" s="124">
        <f>Recreation!W58+Pool!X61+Kids!X60+SPA!X73+Telephone!X68+Transportation!X55+Garage!X52+Laundry!X53</f>
        <v>544</v>
      </c>
      <c r="X70" s="124">
        <f>Recreation!X58+Pool!Y61+Kids!Y60+SPA!Y73+Telephone!Y68+Transportation!Y55+Garage!Y52+Laundry!Y53</f>
        <v>372.82</v>
      </c>
      <c r="Y70" s="124">
        <f>Recreation!Y58+Pool!Z61+Kids!Z60+SPA!Z73+Telephone!Z68+Transportation!Z55+Garage!Z52+Laundry!Z53</f>
        <v>533</v>
      </c>
      <c r="Z70" s="124">
        <f>Recreation!Z58+Pool!AA61+Kids!AA60+SPA!AA73+Telephone!AA68+Transportation!AA55+Garage!AA52+Laundry!AA53</f>
        <v>533</v>
      </c>
      <c r="AA70" s="124">
        <f>Recreation!AA58+Pool!AB61+Kids!AB60+SPA!AB73+Telephone!AB68+Transportation!AB55+Garage!AB52+Laundry!AB53</f>
        <v>533</v>
      </c>
      <c r="AB70" s="124">
        <f>Recreation!AB58+Pool!AC61+Kids!AC60+SPA!AC73+Telephone!AC68+Transportation!AC55+Garage!AC52+Laundry!AC53</f>
        <v>533</v>
      </c>
      <c r="AC70" s="129">
        <f t="shared" si="35"/>
        <v>5074.6499999999996</v>
      </c>
      <c r="AD70" s="124">
        <f t="shared" si="36"/>
        <v>-1874.7300000000009</v>
      </c>
      <c r="AE70" s="192">
        <f t="shared" si="37"/>
        <v>-0.36943040406727579</v>
      </c>
      <c r="AF70" s="129">
        <v>3001.45</v>
      </c>
      <c r="AG70" s="124">
        <f t="shared" si="22"/>
        <v>-198.46999999999889</v>
      </c>
      <c r="AH70" s="123"/>
    </row>
    <row r="71" spans="1:34">
      <c r="A71" s="105" t="s">
        <v>135</v>
      </c>
      <c r="B71" s="105" t="s">
        <v>667</v>
      </c>
      <c r="C71" s="105" t="s">
        <v>280</v>
      </c>
      <c r="D71" s="124">
        <f>Recreation!D59+Pool!E62+Kids!E61+SPA!E74+Telephone!E69+Transportation!E56+Garage!E53+Laundry!E54</f>
        <v>7355</v>
      </c>
      <c r="E71" s="124">
        <f>Recreation!E59+Pool!F62+Kids!F61+SPA!F74+Telephone!F69+Transportation!F56+Garage!F53+Laundry!F54</f>
        <v>7355</v>
      </c>
      <c r="F71" s="124">
        <f>Recreation!F59+Pool!G62+Kids!G61+SPA!G74+Telephone!G69+Transportation!G56+Garage!G53+Laundry!G54</f>
        <v>7355</v>
      </c>
      <c r="G71" s="124">
        <f>Recreation!G59+Pool!H62+Kids!H61+SPA!H74+Telephone!H69+Transportation!H56+Garage!H53+Laundry!H54</f>
        <v>7355</v>
      </c>
      <c r="H71" s="124">
        <f>Recreation!H59+Pool!I62+Kids!I61+SPA!I74+Telephone!I69+Transportation!I56+Garage!I53+Laundry!I54</f>
        <v>7355</v>
      </c>
      <c r="I71" s="124">
        <f>Recreation!I59+Pool!J62+Kids!J61+SPA!J74+Telephone!J69+Transportation!J56+Garage!J53+Laundry!J54</f>
        <v>7355</v>
      </c>
      <c r="J71" s="124">
        <f>Recreation!J59+Pool!K62+Kids!K61+SPA!K74+Telephone!K69+Transportation!K56+Garage!K53+Laundry!K54</f>
        <v>7355</v>
      </c>
      <c r="K71" s="124">
        <f>Recreation!K59+Pool!L62+Kids!L61+SPA!L74+Telephone!L69+Transportation!L56+Garage!L53+Laundry!L54</f>
        <v>7355</v>
      </c>
      <c r="L71" s="124">
        <f>Recreation!L59+Pool!M62+Kids!M61+SPA!M74+Telephone!M69+Transportation!M56+Garage!M53+Laundry!M54</f>
        <v>7355</v>
      </c>
      <c r="M71" s="124">
        <f>Recreation!M59+Pool!N62+Kids!N61+SPA!N74+Telephone!N69+Transportation!N56+Garage!N53+Laundry!N54</f>
        <v>7355</v>
      </c>
      <c r="N71" s="124">
        <f>Recreation!N59+Pool!O62+Kids!O61+SPA!O74+Telephone!O69+Transportation!O56+Garage!O53+Laundry!O54</f>
        <v>7355</v>
      </c>
      <c r="O71" s="124">
        <f>Recreation!O59+Pool!P62+Kids!P61+SPA!P74+Telephone!P69+Transportation!P56+Garage!P53+Laundry!P54</f>
        <v>7355</v>
      </c>
      <c r="P71" s="129">
        <f t="shared" si="34"/>
        <v>88260</v>
      </c>
      <c r="Q71" s="124">
        <f>Recreation!Q59+Pool!R62+Kids!R61+SPA!R74+Telephone!R69+Transportation!R56+Garage!R53+Laundry!R54</f>
        <v>1413.81</v>
      </c>
      <c r="R71" s="124">
        <f>Recreation!R59+Pool!S62+Kids!S61+SPA!S74+Telephone!S69+Transportation!S56+Garage!S53+Laundry!S54</f>
        <v>1406.7399999999998</v>
      </c>
      <c r="S71" s="124">
        <f>Recreation!S59+Pool!T62+Kids!T61+SPA!T74+Telephone!T69+Transportation!T56+Garage!T53+Laundry!T54</f>
        <v>1413.81</v>
      </c>
      <c r="T71" s="124">
        <f>Recreation!T59+Pool!U62+Kids!U61+SPA!U74+Telephone!U69+Transportation!U56+Garage!U53+Laundry!U54</f>
        <v>1413.81</v>
      </c>
      <c r="U71" s="124">
        <f>Recreation!U59+Pool!V62+Kids!V61+SPA!V74+Telephone!V69+Transportation!V56+Garage!V53+Laundry!V54</f>
        <v>1416.53</v>
      </c>
      <c r="V71" s="124">
        <f>Recreation!V59+Pool!W62+Kids!W61+SPA!W74+Telephone!W69+Transportation!W56+Garage!W53+Laundry!W54</f>
        <v>1363.4499999999998</v>
      </c>
      <c r="W71" s="124">
        <f>Recreation!W59+Pool!X62+Kids!X61+SPA!X74+Telephone!X69+Transportation!X56+Garage!X53+Laundry!X54</f>
        <v>1358.6</v>
      </c>
      <c r="X71" s="124">
        <f>Recreation!X59+Pool!Y62+Kids!Y61+SPA!Y74+Telephone!Y69+Transportation!Y56+Garage!Y53+Laundry!Y54</f>
        <v>1332.02</v>
      </c>
      <c r="Y71" s="124">
        <f>Recreation!Y59+Pool!Z62+Kids!Z61+SPA!Z74+Telephone!Z69+Transportation!Z56+Garage!Z53+Laundry!Z54</f>
        <v>1692</v>
      </c>
      <c r="Z71" s="124">
        <f>Recreation!Z59+Pool!AA62+Kids!AA61+SPA!AA74+Telephone!AA69+Transportation!AA56+Garage!AA53+Laundry!AA54</f>
        <v>1692</v>
      </c>
      <c r="AA71" s="124">
        <f>Recreation!AA59+Pool!AB62+Kids!AB61+SPA!AB74+Telephone!AB69+Transportation!AB56+Garage!AB53+Laundry!AB54</f>
        <v>1692</v>
      </c>
      <c r="AB71" s="124">
        <f>Recreation!AB59+Pool!AC62+Kids!AC61+SPA!AC74+Telephone!AC69+Transportation!AC56+Garage!AC53+Laundry!AC54</f>
        <v>1692</v>
      </c>
      <c r="AC71" s="129">
        <f t="shared" si="35"/>
        <v>17886.77</v>
      </c>
      <c r="AD71" s="124">
        <f t="shared" si="36"/>
        <v>70373.23</v>
      </c>
      <c r="AE71" s="192">
        <f t="shared" si="37"/>
        <v>3.9343732825993736</v>
      </c>
      <c r="AF71" s="129">
        <v>74817.429999999993</v>
      </c>
      <c r="AG71" s="124">
        <f t="shared" si="22"/>
        <v>-13442.570000000007</v>
      </c>
      <c r="AH71" s="123"/>
    </row>
    <row r="72" spans="1:34">
      <c r="A72" s="105" t="s">
        <v>281</v>
      </c>
      <c r="B72" s="105" t="s">
        <v>667</v>
      </c>
      <c r="C72" s="105" t="s">
        <v>282</v>
      </c>
      <c r="D72" s="124">
        <f>Recreation!D60+Pool!E63+Kids!E62+SPA!E75+Telephone!E70+Transportation!E57+Garage!E54+Laundry!E55</f>
        <v>14909</v>
      </c>
      <c r="E72" s="124">
        <f>Recreation!E60+Pool!F63+Kids!F62+SPA!F75+Telephone!F70+Transportation!F57+Garage!F54+Laundry!F55</f>
        <v>13708</v>
      </c>
      <c r="F72" s="124">
        <f>Recreation!F60+Pool!G63+Kids!G62+SPA!G75+Telephone!G70+Transportation!G57+Garage!G54+Laundry!G55</f>
        <v>13893</v>
      </c>
      <c r="G72" s="124">
        <f>Recreation!G60+Pool!H63+Kids!H62+SPA!H75+Telephone!H70+Transportation!H57+Garage!H54+Laundry!H55</f>
        <v>15665</v>
      </c>
      <c r="H72" s="124">
        <f>Recreation!H60+Pool!I63+Kids!I62+SPA!I75+Telephone!I70+Transportation!I57+Garage!I54+Laundry!I55</f>
        <v>16203</v>
      </c>
      <c r="I72" s="124">
        <f>Recreation!I60+Pool!J63+Kids!J62+SPA!J75+Telephone!J70+Transportation!J57+Garage!J54+Laundry!J55</f>
        <v>15361</v>
      </c>
      <c r="J72" s="124">
        <f>Recreation!J60+Pool!K63+Kids!K62+SPA!K75+Telephone!K70+Transportation!K57+Garage!K54+Laundry!K55</f>
        <v>15436</v>
      </c>
      <c r="K72" s="124">
        <f>Recreation!K60+Pool!L63+Kids!L62+SPA!L75+Telephone!L70+Transportation!L57+Garage!L54+Laundry!L55</f>
        <v>15761</v>
      </c>
      <c r="L72" s="124">
        <f>Recreation!L60+Pool!M63+Kids!M62+SPA!M75+Telephone!M70+Transportation!M57+Garage!M54+Laundry!M55</f>
        <v>15764</v>
      </c>
      <c r="M72" s="124">
        <f>Recreation!M60+Pool!N63+Kids!N62+SPA!N75+Telephone!N70+Transportation!N57+Garage!N54+Laundry!N55</f>
        <v>15835</v>
      </c>
      <c r="N72" s="124">
        <f>Recreation!N60+Pool!O63+Kids!O62+SPA!O75+Telephone!O70+Transportation!O57+Garage!O54+Laundry!O55</f>
        <v>14699</v>
      </c>
      <c r="O72" s="124">
        <f>Recreation!O60+Pool!P63+Kids!P62+SPA!P75+Telephone!P70+Transportation!P57+Garage!P54+Laundry!P55</f>
        <v>14665</v>
      </c>
      <c r="P72" s="129">
        <f t="shared" si="34"/>
        <v>181899</v>
      </c>
      <c r="Q72" s="124">
        <f>Recreation!Q60+Pool!R63+Kids!R62+SPA!R75+Telephone!R70+Transportation!R57+Garage!R54+Laundry!R55</f>
        <v>33510.670000000006</v>
      </c>
      <c r="R72" s="124">
        <f>Recreation!R60+Pool!S63+Kids!S62+SPA!S75+Telephone!S70+Transportation!S57+Garage!S54+Laundry!S55</f>
        <v>21560.390000000003</v>
      </c>
      <c r="S72" s="124">
        <f>Recreation!S60+Pool!T63+Kids!T62+SPA!T75+Telephone!T70+Transportation!T57+Garage!T54+Laundry!T55</f>
        <v>18121.879999999997</v>
      </c>
      <c r="T72" s="124">
        <f>Recreation!T60+Pool!U63+Kids!U62+SPA!U75+Telephone!U70+Transportation!U57+Garage!U54+Laundry!U55</f>
        <v>20070.059999999998</v>
      </c>
      <c r="U72" s="124">
        <f>Recreation!U60+Pool!V63+Kids!V62+SPA!V75+Telephone!V70+Transportation!V57+Garage!V54+Laundry!V55</f>
        <v>22743.33</v>
      </c>
      <c r="V72" s="124">
        <f>Recreation!V60+Pool!W63+Kids!W62+SPA!W75+Telephone!W70+Transportation!W57+Garage!W54+Laundry!W55</f>
        <v>20152.759999999998</v>
      </c>
      <c r="W72" s="124">
        <f>Recreation!W60+Pool!X63+Kids!X62+SPA!X75+Telephone!X70+Transportation!X57+Garage!X54+Laundry!X55</f>
        <v>16629</v>
      </c>
      <c r="X72" s="124">
        <f>Recreation!X60+Pool!Y63+Kids!Y62+SPA!Y75+Telephone!Y70+Transportation!Y57+Garage!Y54+Laundry!Y55</f>
        <v>21692.250000000004</v>
      </c>
      <c r="Y72" s="124">
        <f>Recreation!Y60+Pool!Z63+Kids!Z62+SPA!Z75+Telephone!Z70+Transportation!Z57+Garage!Z54+Laundry!Z55</f>
        <v>39198</v>
      </c>
      <c r="Z72" s="124">
        <f>Recreation!Z60+Pool!AA63+Kids!AA62+SPA!AA75+Telephone!AA70+Transportation!AA57+Garage!AA54+Laundry!AA55</f>
        <v>37273</v>
      </c>
      <c r="AA72" s="124">
        <f>Recreation!AA60+Pool!AB63+Kids!AB62+SPA!AB75+Telephone!AB70+Transportation!AB57+Garage!AB54+Laundry!AB55</f>
        <v>34861</v>
      </c>
      <c r="AB72" s="124">
        <f>Recreation!AB60+Pool!AC63+Kids!AC62+SPA!AC75+Telephone!AC70+Transportation!AC57+Garage!AC54+Laundry!AC55</f>
        <v>34869</v>
      </c>
      <c r="AC72" s="129">
        <f t="shared" si="35"/>
        <v>320681.33999999997</v>
      </c>
      <c r="AD72" s="124">
        <f t="shared" si="36"/>
        <v>-138782.33999999997</v>
      </c>
      <c r="AE72" s="192">
        <f t="shared" si="37"/>
        <v>-0.43277335687820184</v>
      </c>
      <c r="AF72" s="129">
        <v>388009.1</v>
      </c>
      <c r="AG72" s="124">
        <f t="shared" si="22"/>
        <v>206110.09999999998</v>
      </c>
      <c r="AH72" s="123"/>
    </row>
    <row r="73" spans="1:34">
      <c r="A73" s="105" t="s">
        <v>137</v>
      </c>
      <c r="B73" s="105" t="s">
        <v>667</v>
      </c>
      <c r="C73" s="105" t="s">
        <v>283</v>
      </c>
      <c r="D73" s="124">
        <f>Recreation!D61+Pool!E64+Kids!E63+SPA!E76+Telephone!E71+Transportation!E58+Garage!E55+Laundry!E56</f>
        <v>76840.52</v>
      </c>
      <c r="E73" s="124">
        <f>Recreation!E61+Pool!F64+Kids!F63+SPA!F76+Telephone!F71+Transportation!F58+Garage!F55+Laundry!F56</f>
        <v>65036.520000000004</v>
      </c>
      <c r="F73" s="124">
        <f>Recreation!F61+Pool!G64+Kids!G63+SPA!G76+Telephone!G71+Transportation!G58+Garage!G55+Laundry!G56</f>
        <v>65133.16</v>
      </c>
      <c r="G73" s="124">
        <f>Recreation!G61+Pool!H64+Kids!H63+SPA!H76+Telephone!H71+Transportation!H58+Garage!H55+Laundry!H56</f>
        <v>66065.16</v>
      </c>
      <c r="H73" s="124">
        <f>Recreation!H61+Pool!I64+Kids!I63+SPA!I76+Telephone!I71+Transportation!I58+Garage!I55+Laundry!I56</f>
        <v>70966.52</v>
      </c>
      <c r="I73" s="124">
        <f>Recreation!I61+Pool!J64+Kids!J63+SPA!J76+Telephone!J71+Transportation!J58+Garage!J55+Laundry!J56</f>
        <v>66152.34</v>
      </c>
      <c r="J73" s="124">
        <f>Recreation!J61+Pool!K64+Kids!K63+SPA!K76+Telephone!K71+Transportation!K58+Garage!K55+Laundry!K56</f>
        <v>65749.34</v>
      </c>
      <c r="K73" s="124">
        <f>Recreation!K61+Pool!L64+Kids!L63+SPA!L76+Telephone!L71+Transportation!L58+Garage!L55+Laundry!L56</f>
        <v>65693.34</v>
      </c>
      <c r="L73" s="124">
        <f>Recreation!L61+Pool!M64+Kids!M63+SPA!M76+Telephone!M71+Transportation!M58+Garage!M55+Laundry!M56</f>
        <v>66106.34</v>
      </c>
      <c r="M73" s="124">
        <f>Recreation!M61+Pool!N64+Kids!N63+SPA!N76+Telephone!N71+Transportation!N58+Garage!N55+Laundry!N56</f>
        <v>76420.55</v>
      </c>
      <c r="N73" s="124">
        <f>Recreation!N61+Pool!O64+Kids!O63+SPA!O76+Telephone!O71+Transportation!O58+Garage!O55+Laundry!O56</f>
        <v>65866.16</v>
      </c>
      <c r="O73" s="124">
        <f>Recreation!O61+Pool!P64+Kids!P63+SPA!P76+Telephone!P71+Transportation!P58+Garage!P55+Laundry!P56</f>
        <v>65810.16</v>
      </c>
      <c r="P73" s="129">
        <f t="shared" si="34"/>
        <v>815840.11</v>
      </c>
      <c r="Q73" s="124">
        <f>Recreation!Q61+Pool!R64+Kids!R63+SPA!R76+Telephone!R71+Transportation!R58+Garage!R55+Laundry!R56</f>
        <v>76725.47</v>
      </c>
      <c r="R73" s="124">
        <f>Recreation!R61+Pool!S64+Kids!S63+SPA!S76+Telephone!S71+Transportation!S58+Garage!S55+Laundry!S56</f>
        <v>85345.600000000006</v>
      </c>
      <c r="S73" s="124">
        <f>Recreation!S61+Pool!T64+Kids!T63+SPA!T76+Telephone!T71+Transportation!T58+Garage!T55+Laundry!T56</f>
        <v>82671.070000000007</v>
      </c>
      <c r="T73" s="124">
        <f>Recreation!T61+Pool!U64+Kids!U63+SPA!U76+Telephone!U71+Transportation!U58+Garage!U55+Laundry!U56</f>
        <v>79570.700000000012</v>
      </c>
      <c r="U73" s="124">
        <f>Recreation!U61+Pool!V64+Kids!V63+SPA!V76+Telephone!V71+Transportation!V58+Garage!V55+Laundry!V56</f>
        <v>56855.4</v>
      </c>
      <c r="V73" s="124">
        <f>Recreation!V61+Pool!W64+Kids!W63+SPA!W76+Telephone!W71+Transportation!W58+Garage!W55+Laundry!W56</f>
        <v>62280.87</v>
      </c>
      <c r="W73" s="124">
        <f>Recreation!W61+Pool!X64+Kids!X63+SPA!X76+Telephone!X71+Transportation!X58+Garage!X55+Laundry!X56</f>
        <v>61053.799999999996</v>
      </c>
      <c r="X73" s="124">
        <f>Recreation!X61+Pool!Y64+Kids!Y63+SPA!Y76+Telephone!Y71+Transportation!Y58+Garage!Y55+Laundry!Y56</f>
        <v>63678.819999999992</v>
      </c>
      <c r="Y73" s="124">
        <f>Recreation!Y61+Pool!Z64+Kids!Z63+SPA!Z76+Telephone!Z71+Transportation!Z58+Garage!Z55+Laundry!Z56</f>
        <v>102451</v>
      </c>
      <c r="Z73" s="124">
        <f>Recreation!Z61+Pool!AA64+Kids!AA63+SPA!AA76+Telephone!AA71+Transportation!AA58+Garage!AA55+Laundry!AA56</f>
        <v>113603</v>
      </c>
      <c r="AA73" s="124">
        <f>Recreation!AA61+Pool!AB64+Kids!AB63+SPA!AB76+Telephone!AB71+Transportation!AB58+Garage!AB55+Laundry!AB56</f>
        <v>103805</v>
      </c>
      <c r="AB73" s="124">
        <f>Recreation!AB61+Pool!AC64+Kids!AC63+SPA!AC76+Telephone!AC71+Transportation!AC58+Garage!AC55+Laundry!AC56</f>
        <v>103805</v>
      </c>
      <c r="AC73" s="129">
        <f t="shared" si="35"/>
        <v>991845.73</v>
      </c>
      <c r="AD73" s="124">
        <f t="shared" si="36"/>
        <v>-176005.62</v>
      </c>
      <c r="AE73" s="192">
        <f t="shared" si="37"/>
        <v>-0.17745261654753508</v>
      </c>
      <c r="AF73" s="129">
        <v>1608206.9300000002</v>
      </c>
      <c r="AG73" s="124">
        <f t="shared" si="22"/>
        <v>792366.82000000018</v>
      </c>
      <c r="AH73" s="123"/>
    </row>
    <row r="74" spans="1:34">
      <c r="A74" s="105" t="s">
        <v>138</v>
      </c>
      <c r="B74" s="105" t="s">
        <v>667</v>
      </c>
      <c r="C74" s="105" t="s">
        <v>472</v>
      </c>
      <c r="D74" s="124">
        <f>Recreation!D62+Pool!E65+Kids!E64+SPA!E77+Telephone!E72+Transportation!E59+Garage!E56+Laundry!E57</f>
        <v>0</v>
      </c>
      <c r="E74" s="124">
        <f>Recreation!E62+Pool!F65+Kids!F64+SPA!F77+Telephone!F72+Transportation!F59+Garage!F56+Laundry!F57</f>
        <v>0</v>
      </c>
      <c r="F74" s="124">
        <f>Recreation!F62+Pool!G65+Kids!G64+SPA!G77+Telephone!G72+Transportation!G59+Garage!G56+Laundry!G57</f>
        <v>0</v>
      </c>
      <c r="G74" s="124">
        <f>Recreation!G62+Pool!H65+Kids!H64+SPA!H77+Telephone!H72+Transportation!H59+Garage!H56+Laundry!H57</f>
        <v>0</v>
      </c>
      <c r="H74" s="124">
        <f>Recreation!H62+Pool!I65+Kids!I64+SPA!I77+Telephone!I72+Transportation!I59+Garage!I56+Laundry!I57</f>
        <v>0</v>
      </c>
      <c r="I74" s="124">
        <f>Recreation!I62+Pool!J65+Kids!J64+SPA!J77+Telephone!J72+Transportation!J59+Garage!J56+Laundry!J57</f>
        <v>0</v>
      </c>
      <c r="J74" s="124">
        <f>Recreation!J62+Pool!K65+Kids!K64+SPA!K77+Telephone!K72+Transportation!K59+Garage!K56+Laundry!K57</f>
        <v>0</v>
      </c>
      <c r="K74" s="124">
        <f>Recreation!K62+Pool!L65+Kids!L64+SPA!L77+Telephone!L72+Transportation!L59+Garage!L56+Laundry!L57</f>
        <v>0</v>
      </c>
      <c r="L74" s="124">
        <f>Recreation!L62+Pool!M65+Kids!M64+SPA!M77+Telephone!M72+Transportation!M59+Garage!M56+Laundry!M57</f>
        <v>0</v>
      </c>
      <c r="M74" s="124">
        <f>Recreation!M62+Pool!N65+Kids!N64+SPA!N77+Telephone!N72+Transportation!N59+Garage!N56+Laundry!N57</f>
        <v>0</v>
      </c>
      <c r="N74" s="124">
        <f>Recreation!N62+Pool!O65+Kids!O64+SPA!O77+Telephone!O72+Transportation!O59+Garage!O56+Laundry!O57</f>
        <v>0</v>
      </c>
      <c r="O74" s="124">
        <f>Recreation!O62+Pool!P65+Kids!P64+SPA!P77+Telephone!P72+Transportation!P59+Garage!P56+Laundry!P57</f>
        <v>0</v>
      </c>
      <c r="P74" s="129">
        <f t="shared" si="34"/>
        <v>0</v>
      </c>
      <c r="Q74" s="124">
        <f>Recreation!Q62+Pool!R65+Kids!R64+SPA!R77+Telephone!R72+Transportation!R59+Garage!R56+Laundry!R57</f>
        <v>0</v>
      </c>
      <c r="R74" s="124">
        <f>Recreation!R62+Pool!S65+Kids!S64+SPA!S77+Telephone!S72+Transportation!S59+Garage!S56+Laundry!S57</f>
        <v>0</v>
      </c>
      <c r="S74" s="124">
        <f>Recreation!S62+Pool!T65+Kids!T64+SPA!T77+Telephone!T72+Transportation!T59+Garage!T56+Laundry!T57</f>
        <v>0</v>
      </c>
      <c r="T74" s="124">
        <f>Recreation!T62+Pool!U65+Kids!U64+SPA!U77+Telephone!U72+Transportation!U59+Garage!U56+Laundry!U57</f>
        <v>0</v>
      </c>
      <c r="U74" s="124">
        <f>Recreation!U62+Pool!V65+Kids!V64+SPA!V77+Telephone!V72+Transportation!V59+Garage!V56+Laundry!V57</f>
        <v>0</v>
      </c>
      <c r="V74" s="124">
        <f>Recreation!V62+Pool!W65+Kids!W64+SPA!W77+Telephone!W72+Transportation!W59+Garage!W56+Laundry!W57</f>
        <v>0</v>
      </c>
      <c r="W74" s="124">
        <f>Recreation!W62+Pool!X65+Kids!X64+SPA!X77+Telephone!X72+Transportation!X59+Garage!X56+Laundry!X57</f>
        <v>0</v>
      </c>
      <c r="X74" s="124">
        <f>Recreation!X62+Pool!Y65+Kids!Y64+SPA!Y77+Telephone!Y72+Transportation!Y59+Garage!Y56+Laundry!Y57</f>
        <v>0</v>
      </c>
      <c r="Y74" s="124">
        <f>Recreation!Y62+Pool!Z65+Kids!Z64+SPA!Z77+Telephone!Z72+Transportation!Z59+Garage!Z56+Laundry!Z57</f>
        <v>0</v>
      </c>
      <c r="Z74" s="124">
        <f>Recreation!Z62+Pool!AA65+Kids!AA64+SPA!AA77+Telephone!AA72+Transportation!AA59+Garage!AA56+Laundry!AA57</f>
        <v>0</v>
      </c>
      <c r="AA74" s="124">
        <f>Recreation!AA62+Pool!AB65+Kids!AB64+SPA!AB77+Telephone!AB72+Transportation!AB59+Garage!AB56+Laundry!AB57</f>
        <v>0</v>
      </c>
      <c r="AB74" s="124">
        <f>Recreation!AB62+Pool!AC65+Kids!AC64+SPA!AC77+Telephone!AC72+Transportation!AC59+Garage!AC56+Laundry!AC57</f>
        <v>0</v>
      </c>
      <c r="AC74" s="129">
        <f t="shared" si="35"/>
        <v>0</v>
      </c>
      <c r="AD74" s="124">
        <f t="shared" si="36"/>
        <v>0</v>
      </c>
      <c r="AE74" s="192" t="e">
        <f t="shared" si="37"/>
        <v>#DIV/0!</v>
      </c>
      <c r="AF74" s="129">
        <v>0</v>
      </c>
      <c r="AG74" s="124">
        <f t="shared" si="22"/>
        <v>0</v>
      </c>
      <c r="AH74" s="123"/>
    </row>
    <row r="75" spans="1:34">
      <c r="A75" s="105" t="s">
        <v>140</v>
      </c>
      <c r="B75" s="105" t="s">
        <v>667</v>
      </c>
      <c r="C75" s="105" t="s">
        <v>473</v>
      </c>
      <c r="D75" s="124">
        <f>Recreation!D63+Pool!E66+Kids!E65+SPA!E78+Telephone!E73+Transportation!E60+Garage!E57+Laundry!E58</f>
        <v>0</v>
      </c>
      <c r="E75" s="124">
        <f>Recreation!E63+Pool!F66+Kids!F65+SPA!F78+Telephone!F73+Transportation!F60+Garage!F57+Laundry!F58</f>
        <v>0</v>
      </c>
      <c r="F75" s="124">
        <f>Recreation!F63+Pool!G66+Kids!G65+SPA!G78+Telephone!G73+Transportation!G60+Garage!G57+Laundry!G58</f>
        <v>0</v>
      </c>
      <c r="G75" s="124">
        <f>Recreation!G63+Pool!H66+Kids!H65+SPA!H78+Telephone!H73+Transportation!H60+Garage!H57+Laundry!H58</f>
        <v>0</v>
      </c>
      <c r="H75" s="124">
        <f>Recreation!H63+Pool!I66+Kids!I65+SPA!I78+Telephone!I73+Transportation!I60+Garage!I57+Laundry!I58</f>
        <v>0</v>
      </c>
      <c r="I75" s="124">
        <f>Recreation!I63+Pool!J66+Kids!J65+SPA!J78+Telephone!J73+Transportation!J60+Garage!J57+Laundry!J58</f>
        <v>0</v>
      </c>
      <c r="J75" s="124">
        <f>Recreation!J63+Pool!K66+Kids!K65+SPA!K78+Telephone!K73+Transportation!K60+Garage!K57+Laundry!K58</f>
        <v>0</v>
      </c>
      <c r="K75" s="124">
        <f>Recreation!K63+Pool!L66+Kids!L65+SPA!L78+Telephone!L73+Transportation!L60+Garage!L57+Laundry!L58</f>
        <v>0</v>
      </c>
      <c r="L75" s="124">
        <f>Recreation!L63+Pool!M66+Kids!M65+SPA!M78+Telephone!M73+Transportation!M60+Garage!M57+Laundry!M58</f>
        <v>0</v>
      </c>
      <c r="M75" s="124">
        <f>Recreation!M63+Pool!N66+Kids!N65+SPA!N78+Telephone!N73+Transportation!N60+Garage!N57+Laundry!N58</f>
        <v>0</v>
      </c>
      <c r="N75" s="124">
        <f>Recreation!N63+Pool!O66+Kids!O65+SPA!O78+Telephone!O73+Transportation!O60+Garage!O57+Laundry!O58</f>
        <v>0</v>
      </c>
      <c r="O75" s="124">
        <f>Recreation!O63+Pool!P66+Kids!P65+SPA!P78+Telephone!P73+Transportation!P60+Garage!P57+Laundry!P58</f>
        <v>0</v>
      </c>
      <c r="P75" s="129">
        <f t="shared" si="34"/>
        <v>0</v>
      </c>
      <c r="Q75" s="124">
        <f>Recreation!Q63+Pool!R66+Kids!R65+SPA!R78+Telephone!R73+Transportation!R60+Garage!R57+Laundry!R58</f>
        <v>0</v>
      </c>
      <c r="R75" s="124">
        <f>Recreation!R63+Pool!S66+Kids!S65+SPA!S78+Telephone!S73+Transportation!S60+Garage!S57+Laundry!S58</f>
        <v>0</v>
      </c>
      <c r="S75" s="124">
        <f>Recreation!S63+Pool!T66+Kids!T65+SPA!T78+Telephone!T73+Transportation!T60+Garage!T57+Laundry!T58</f>
        <v>0</v>
      </c>
      <c r="T75" s="124">
        <f>Recreation!T63+Pool!U66+Kids!U65+SPA!U78+Telephone!U73+Transportation!U60+Garage!U57+Laundry!U58</f>
        <v>0</v>
      </c>
      <c r="U75" s="124">
        <f>Recreation!U63+Pool!V66+Kids!V65+SPA!V78+Telephone!V73+Transportation!V60+Garage!V57+Laundry!V58</f>
        <v>0</v>
      </c>
      <c r="V75" s="124">
        <f>Recreation!V63+Pool!W66+Kids!W65+SPA!W78+Telephone!W73+Transportation!W60+Garage!W57+Laundry!W58</f>
        <v>0</v>
      </c>
      <c r="W75" s="124">
        <f>Recreation!W63+Pool!X66+Kids!X65+SPA!X78+Telephone!X73+Transportation!X60+Garage!X57+Laundry!X58</f>
        <v>0</v>
      </c>
      <c r="X75" s="124">
        <f>Recreation!X63+Pool!Y66+Kids!Y65+SPA!Y78+Telephone!Y73+Transportation!Y60+Garage!Y57+Laundry!Y58</f>
        <v>0</v>
      </c>
      <c r="Y75" s="124">
        <f>Recreation!Y63+Pool!Z66+Kids!Z65+SPA!Z78+Telephone!Z73+Transportation!Z60+Garage!Z57+Laundry!Z58</f>
        <v>0</v>
      </c>
      <c r="Z75" s="124">
        <f>Recreation!Z63+Pool!AA66+Kids!AA65+SPA!AA78+Telephone!AA73+Transportation!AA60+Garage!AA57+Laundry!AA58</f>
        <v>0</v>
      </c>
      <c r="AA75" s="124">
        <f>Recreation!AA63+Pool!AB66+Kids!AB65+SPA!AB78+Telephone!AB73+Transportation!AB60+Garage!AB57+Laundry!AB58</f>
        <v>0</v>
      </c>
      <c r="AB75" s="124">
        <f>Recreation!AB63+Pool!AC66+Kids!AC65+SPA!AC78+Telephone!AC73+Transportation!AC60+Garage!AC57+Laundry!AC58</f>
        <v>0</v>
      </c>
      <c r="AC75" s="129">
        <f t="shared" si="35"/>
        <v>0</v>
      </c>
      <c r="AD75" s="124">
        <f t="shared" si="36"/>
        <v>0</v>
      </c>
      <c r="AE75" s="192" t="e">
        <f t="shared" si="37"/>
        <v>#DIV/0!</v>
      </c>
      <c r="AF75" s="129">
        <v>0</v>
      </c>
      <c r="AG75" s="124">
        <f t="shared" si="22"/>
        <v>0</v>
      </c>
      <c r="AH75" s="123"/>
    </row>
    <row r="76" spans="1:34">
      <c r="C76" s="109" t="s">
        <v>286</v>
      </c>
      <c r="D76" s="129">
        <f>SUM(D70:D73)</f>
        <v>99371.180000000008</v>
      </c>
      <c r="E76" s="129">
        <f t="shared" ref="E76:AB76" si="38">SUM(E70:E73)</f>
        <v>86366.180000000008</v>
      </c>
      <c r="F76" s="129">
        <f t="shared" si="38"/>
        <v>86647.82</v>
      </c>
      <c r="G76" s="129">
        <f t="shared" si="38"/>
        <v>89351.82</v>
      </c>
      <c r="H76" s="129">
        <f t="shared" si="38"/>
        <v>94791.180000000008</v>
      </c>
      <c r="I76" s="129">
        <f t="shared" si="38"/>
        <v>89135</v>
      </c>
      <c r="J76" s="129">
        <f t="shared" si="38"/>
        <v>88807</v>
      </c>
      <c r="K76" s="129">
        <f t="shared" si="38"/>
        <v>89076</v>
      </c>
      <c r="L76" s="129">
        <f t="shared" si="38"/>
        <v>89492</v>
      </c>
      <c r="M76" s="129">
        <f t="shared" si="38"/>
        <v>99877.21</v>
      </c>
      <c r="N76" s="129">
        <f t="shared" si="38"/>
        <v>88186.82</v>
      </c>
      <c r="O76" s="129">
        <f t="shared" si="38"/>
        <v>88096.82</v>
      </c>
      <c r="P76" s="129">
        <f t="shared" si="38"/>
        <v>1089199.03</v>
      </c>
      <c r="Q76" s="129">
        <f t="shared" si="38"/>
        <v>111990.32</v>
      </c>
      <c r="R76" s="129">
        <f t="shared" si="38"/>
        <v>108566.73000000001</v>
      </c>
      <c r="S76" s="129">
        <f t="shared" si="38"/>
        <v>102557.66</v>
      </c>
      <c r="T76" s="129">
        <f t="shared" si="38"/>
        <v>101362.41</v>
      </c>
      <c r="U76" s="129">
        <f t="shared" si="38"/>
        <v>81287.260000000009</v>
      </c>
      <c r="V76" s="129">
        <f t="shared" si="38"/>
        <v>84297.8</v>
      </c>
      <c r="W76" s="129">
        <f t="shared" si="38"/>
        <v>79585.399999999994</v>
      </c>
      <c r="X76" s="129">
        <f t="shared" si="38"/>
        <v>87075.91</v>
      </c>
      <c r="Y76" s="129">
        <f t="shared" si="38"/>
        <v>143874</v>
      </c>
      <c r="Z76" s="129">
        <f t="shared" si="38"/>
        <v>153101</v>
      </c>
      <c r="AA76" s="129">
        <f t="shared" si="38"/>
        <v>140891</v>
      </c>
      <c r="AB76" s="129">
        <f t="shared" si="38"/>
        <v>140899</v>
      </c>
      <c r="AC76" s="129">
        <f>SUM(AC70:AC73)</f>
        <v>1335488.49</v>
      </c>
      <c r="AD76" s="124">
        <f t="shared" si="36"/>
        <v>-246289.45999999996</v>
      </c>
      <c r="AE76" s="192">
        <f t="shared" si="37"/>
        <v>-0.18441900611213802</v>
      </c>
      <c r="AF76" s="129">
        <v>2074034.9100000001</v>
      </c>
      <c r="AG76" s="124">
        <f t="shared" si="22"/>
        <v>984835.88000000012</v>
      </c>
      <c r="AH76" s="123"/>
    </row>
    <row r="77" spans="1:34">
      <c r="C77" s="109" t="s">
        <v>287</v>
      </c>
      <c r="D77" s="129">
        <f>D48+D55+D65+D76</f>
        <v>707389.07000000007</v>
      </c>
      <c r="E77" s="129">
        <f t="shared" ref="E77:AB77" si="39">E48+E55+E65+E76</f>
        <v>578987.4</v>
      </c>
      <c r="F77" s="129">
        <f t="shared" si="39"/>
        <v>589834.94000000006</v>
      </c>
      <c r="G77" s="129">
        <f t="shared" si="39"/>
        <v>620846.35000000009</v>
      </c>
      <c r="H77" s="129">
        <f t="shared" si="39"/>
        <v>646116.90000000014</v>
      </c>
      <c r="I77" s="129">
        <f t="shared" si="39"/>
        <v>598103.76</v>
      </c>
      <c r="J77" s="129">
        <f t="shared" si="39"/>
        <v>607148.95000000007</v>
      </c>
      <c r="K77" s="129">
        <f t="shared" si="39"/>
        <v>605519.93000000005</v>
      </c>
      <c r="L77" s="129">
        <f t="shared" si="39"/>
        <v>605935.93000000005</v>
      </c>
      <c r="M77" s="129">
        <f t="shared" si="39"/>
        <v>736209.25</v>
      </c>
      <c r="N77" s="129">
        <f t="shared" si="39"/>
        <v>606528.77</v>
      </c>
      <c r="O77" s="129">
        <f t="shared" si="39"/>
        <v>604540.75</v>
      </c>
      <c r="P77" s="129">
        <f t="shared" si="39"/>
        <v>7507162.0000000009</v>
      </c>
      <c r="Q77" s="129">
        <f t="shared" si="39"/>
        <v>781062.46</v>
      </c>
      <c r="R77" s="129">
        <f t="shared" si="39"/>
        <v>814110.03</v>
      </c>
      <c r="S77" s="129">
        <f t="shared" si="39"/>
        <v>700211.74000000011</v>
      </c>
      <c r="T77" s="129">
        <f t="shared" si="39"/>
        <v>714440.38</v>
      </c>
      <c r="U77" s="129">
        <f t="shared" si="39"/>
        <v>649219.90999999992</v>
      </c>
      <c r="V77" s="129">
        <f t="shared" si="39"/>
        <v>631969.55000000005</v>
      </c>
      <c r="W77" s="129">
        <f t="shared" si="39"/>
        <v>610795.43999999994</v>
      </c>
      <c r="X77" s="129">
        <f t="shared" si="39"/>
        <v>700112.45000000007</v>
      </c>
      <c r="Y77" s="129">
        <f t="shared" si="39"/>
        <v>819903.99</v>
      </c>
      <c r="Z77" s="129">
        <f t="shared" si="39"/>
        <v>973523.99</v>
      </c>
      <c r="AA77" s="129">
        <f t="shared" si="39"/>
        <v>797427.99</v>
      </c>
      <c r="AB77" s="129">
        <f t="shared" si="39"/>
        <v>785253.99</v>
      </c>
      <c r="AC77" s="129">
        <f>AC48+AC55+AC65+AC76</f>
        <v>8978031.9199999999</v>
      </c>
      <c r="AD77" s="129">
        <f t="shared" si="36"/>
        <v>-1470869.919999999</v>
      </c>
      <c r="AE77" s="192">
        <f t="shared" si="37"/>
        <v>-0.16382988310872468</v>
      </c>
      <c r="AF77" s="129">
        <v>8218260.2700000005</v>
      </c>
      <c r="AG77" s="124">
        <f t="shared" si="22"/>
        <v>711098.26999999955</v>
      </c>
      <c r="AH77" s="123"/>
    </row>
    <row r="78" spans="1:34">
      <c r="C78" s="105" t="s">
        <v>154</v>
      </c>
      <c r="AF78" s="129"/>
      <c r="AG78" s="124">
        <f t="shared" si="22"/>
        <v>0</v>
      </c>
      <c r="AH78" s="123"/>
    </row>
    <row r="79" spans="1:34" s="109" customFormat="1">
      <c r="A79" s="109" t="s">
        <v>141</v>
      </c>
      <c r="B79" s="109" t="s">
        <v>667</v>
      </c>
      <c r="C79" s="109" t="s">
        <v>288</v>
      </c>
      <c r="D79" s="142">
        <f>Recreation!D67+Pool!E70+Kids!E69+SPA!E82+Telephone!E77+Transportation!E64+Garage!E61+Laundry!E62</f>
        <v>66</v>
      </c>
      <c r="E79" s="142">
        <f>Recreation!E67+Pool!F70+Kids!F69+SPA!F82+Telephone!F77+Transportation!F64+Garage!F61+Laundry!F62</f>
        <v>66</v>
      </c>
      <c r="F79" s="142">
        <f>Recreation!F67+Pool!G70+Kids!G69+SPA!G82+Telephone!G77+Transportation!G64+Garage!G61+Laundry!G62</f>
        <v>66</v>
      </c>
      <c r="G79" s="142">
        <f>Recreation!G67+Pool!H70+Kids!H69+SPA!H82+Telephone!H77+Transportation!H64+Garage!H61+Laundry!H62</f>
        <v>66</v>
      </c>
      <c r="H79" s="142">
        <f>Recreation!H67+Pool!I70+Kids!I69+SPA!I82+Telephone!I77+Transportation!I64+Garage!I61+Laundry!I62</f>
        <v>66</v>
      </c>
      <c r="I79" s="142">
        <f>Recreation!I67+Pool!J70+Kids!J69+SPA!J82+Telephone!J77+Transportation!J64+Garage!J61+Laundry!J62</f>
        <v>66</v>
      </c>
      <c r="J79" s="142">
        <f>Recreation!J67+Pool!K70+Kids!K69+SPA!K82+Telephone!K77+Transportation!K64+Garage!K61+Laundry!K62</f>
        <v>66</v>
      </c>
      <c r="K79" s="142">
        <f>Recreation!K67+Pool!L70+Kids!L69+SPA!L82+Telephone!L77+Transportation!L64+Garage!L61+Laundry!L62</f>
        <v>66</v>
      </c>
      <c r="L79" s="142">
        <f>Recreation!L67+Pool!M70+Kids!M69+SPA!M82+Telephone!M77+Transportation!M64+Garage!M61+Laundry!M62</f>
        <v>66</v>
      </c>
      <c r="M79" s="142">
        <f>Recreation!M67+Pool!N70+Kids!N69+SPA!N82+Telephone!N77+Transportation!N64+Garage!N61+Laundry!N62</f>
        <v>66</v>
      </c>
      <c r="N79" s="142">
        <f>Recreation!N67+Pool!O70+Kids!O69+SPA!O82+Telephone!O77+Transportation!O64+Garage!O61+Laundry!O62</f>
        <v>66</v>
      </c>
      <c r="O79" s="142">
        <f>Recreation!O67+Pool!P70+Kids!P69+SPA!P82+Telephone!P77+Transportation!P64+Garage!P61+Laundry!P62</f>
        <v>66</v>
      </c>
      <c r="P79" s="142">
        <f>Recreation!P67+Pool!Q70+Kids!Q69+SPA!Q82+Telephone!Q77+Transportation!Q64+Garage!Q61+Laundry!Q62</f>
        <v>66</v>
      </c>
      <c r="Q79" s="142">
        <f>Recreation!Q67+Pool!R70+Kids!R69+SPA!R82+Telephone!R77+Transportation!R64+Garage!R61+Laundry!R62</f>
        <v>75</v>
      </c>
      <c r="R79" s="142">
        <f>Recreation!R67+Pool!S70+Kids!S69+SPA!S82+Telephone!S77+Transportation!S64+Garage!S61+Laundry!S62</f>
        <v>74</v>
      </c>
      <c r="S79" s="142">
        <f>Recreation!S67+Pool!T70+Kids!T69+SPA!T82+Telephone!T77+Transportation!T64+Garage!T61+Laundry!T62</f>
        <v>75</v>
      </c>
      <c r="T79" s="142">
        <f>Recreation!T67+Pool!U70+Kids!U69+SPA!U82+Telephone!U77+Transportation!U64+Garage!U61+Laundry!U62</f>
        <v>75</v>
      </c>
      <c r="U79" s="142">
        <f>Recreation!U67+Pool!V70+Kids!V69+SPA!V82+Telephone!V77+Transportation!V64+Garage!V61+Laundry!V62</f>
        <v>72</v>
      </c>
      <c r="V79" s="142">
        <f>Recreation!V67+Pool!W70+Kids!W69+SPA!W82+Telephone!W77+Transportation!W64+Garage!W61+Laundry!W62</f>
        <v>69</v>
      </c>
      <c r="W79" s="142">
        <f>Recreation!W67+Pool!X70+Kids!X69+SPA!X82+Telephone!X77+Transportation!X64+Garage!X61+Laundry!X62</f>
        <v>68</v>
      </c>
      <c r="X79" s="142">
        <f>Recreation!X67+Pool!Y70+Kids!Y69+SPA!Y82+Telephone!Y77+Transportation!Y64+Garage!Y61+Laundry!Y62</f>
        <v>68</v>
      </c>
      <c r="Y79" s="142">
        <f>Recreation!Y67+Pool!Z70+Kids!Z69+SPA!Z82+Telephone!Z77+Transportation!Z64+Garage!Z61+Laundry!Z62</f>
        <v>84</v>
      </c>
      <c r="Z79" s="142">
        <f>Recreation!Z67+Pool!AA70+Kids!AA69+SPA!AA82+Telephone!AA77+Transportation!AA64+Garage!AA61+Laundry!AA62</f>
        <v>84</v>
      </c>
      <c r="AA79" s="142">
        <f>Recreation!AA67+Pool!AB70+Kids!AB69+SPA!AB82+Telephone!AB77+Transportation!AB64+Garage!AB61+Laundry!AB62</f>
        <v>84</v>
      </c>
      <c r="AB79" s="142">
        <f>Recreation!AB67+Pool!AC70+Kids!AC69+SPA!AC82+Telephone!AC77+Transportation!AC64+Garage!AC61+Laundry!AC62</f>
        <v>84</v>
      </c>
      <c r="AC79" s="202">
        <f>SUM(R79:AB79)/12</f>
        <v>69.75</v>
      </c>
      <c r="AD79" s="142">
        <f>P79-AC79</f>
        <v>-3.75</v>
      </c>
      <c r="AE79" s="132">
        <f>AD79/AC79</f>
        <v>-5.3763440860215055E-2</v>
      </c>
      <c r="AF79" s="129">
        <v>124.91666666666667</v>
      </c>
      <c r="AG79" s="129">
        <f t="shared" si="22"/>
        <v>58.916666666666671</v>
      </c>
      <c r="AH79" s="123"/>
    </row>
    <row r="80" spans="1:34">
      <c r="AG80" s="124">
        <f t="shared" si="22"/>
        <v>0</v>
      </c>
      <c r="AH80" s="123"/>
    </row>
    <row r="81" spans="3:34">
      <c r="C81" s="149" t="s">
        <v>474</v>
      </c>
      <c r="D81" s="124">
        <f>Recreation!D15+Recreation!D17+Recreation!D19+Recreation!D20+Recreation!D23+Recreation!D27+Pool!E17+Pool!E19+Pool!E20+Pool!E21+Pool!E22+Pool!E24+Pool!E25+Pool!E28+Pool!E31+Kids!E17+Kids!E18+Kids!E19+Kids!E20+Kids!E21+Kids!E22+Kids!E27+Kids!E30+SPA!E20+SPA!E25+SPA!E26+SPA!E28+SPA!E29+SPA!E30+SPA!E31+SPA!E32+SPA!E33+SPA!E35+SPA!E36+SPA!E39+SPA!E43+Telephone!E16+Telephone!E21+Telephone!E22+Telephone!E24+Telephone!E25+Telephone!E26+Telephone!E27+Telephone!E28+Telephone!E29+Telephone!E35+Transportation!E15+Transportation!E16+Transportation!E17+Transportation!E18+Transportation!E19+Transportation!E22+Garage!E19+'Guest Laundry'!E16-Laundry!E60</f>
        <v>876098.42</v>
      </c>
      <c r="E81" s="124">
        <f>Recreation!E15+Recreation!E17+Recreation!E19+Recreation!E20+Recreation!E23+Recreation!E27+Pool!F17+Pool!F19+Pool!F20+Pool!F21+Pool!F22+Pool!F24+Pool!F25+Pool!F28+Pool!F31+Kids!F17+Kids!F18+Kids!F19+Kids!F20+Kids!F21+Kids!F22+Kids!F27+Kids!F30+SPA!F20+SPA!F25+SPA!F26+SPA!F28+SPA!F29+SPA!F30+SPA!F31+SPA!F32+SPA!F33+SPA!F35+SPA!F36+SPA!F39+SPA!F43+Telephone!F16+Telephone!F21+Telephone!F22+Telephone!F24+Telephone!F25+Telephone!F26+Telephone!F27+Telephone!F28+Telephone!F29+Telephone!F35+Transportation!F15+Transportation!F16+Transportation!F17+Transportation!F18+Transportation!F19+Transportation!F22+Garage!F19+'Guest Laundry'!F16-Laundry!F60</f>
        <v>771048.34</v>
      </c>
      <c r="F81" s="124">
        <f>Recreation!F15+Recreation!F17+Recreation!F19+Recreation!F20+Recreation!F23+Recreation!F27+Pool!G17+Pool!G19+Pool!G20+Pool!G21+Pool!G22+Pool!G24+Pool!G25+Pool!G28+Pool!G31+Kids!G17+Kids!G18+Kids!G19+Kids!G20+Kids!G21+Kids!G22+Kids!G27+Kids!G30+SPA!G20+SPA!G25+SPA!G26+SPA!G28+SPA!G29+SPA!G30+SPA!G31+SPA!G32+SPA!G33+SPA!G35+SPA!G36+SPA!G39+SPA!G43+Telephone!G16+Telephone!G21+Telephone!G22+Telephone!G24+Telephone!G25+Telephone!G26+Telephone!G27+Telephone!G28+Telephone!G29+Telephone!G35+Transportation!G15+Transportation!G16+Transportation!G17+Transportation!G18+Transportation!G19+Transportation!G22+Garage!G19+'Guest Laundry'!G16-Laundry!G60</f>
        <v>774096.34</v>
      </c>
      <c r="G81" s="124">
        <f>Recreation!G15+Recreation!G17+Recreation!G19+Recreation!G20+Recreation!G23+Recreation!G27+Pool!H17+Pool!H19+Pool!H20+Pool!H21+Pool!H22+Pool!H24+Pool!H25+Pool!H28+Pool!H31+Kids!H17+Kids!H18+Kids!H19+Kids!H20+Kids!H21+Kids!H22+Kids!H27+Kids!H30+SPA!H20+SPA!H25+SPA!H26+SPA!H28+SPA!H29+SPA!H30+SPA!H31+SPA!H32+SPA!H33+SPA!H35+SPA!H36+SPA!H39+SPA!H43+Telephone!H16+Telephone!H21+Telephone!H22+Telephone!H24+Telephone!H25+Telephone!H26+Telephone!H27+Telephone!H28+Telephone!H29+Telephone!H35+Transportation!H15+Transportation!H16+Transportation!H17+Transportation!H18+Transportation!H19+Transportation!H22+Garage!H19+'Guest Laundry'!H16-Laundry!H60</f>
        <v>730453.12000000011</v>
      </c>
      <c r="H81" s="124">
        <f>Recreation!H15+Recreation!H17+Recreation!H19+Recreation!H20+Recreation!H23+Recreation!H27+Pool!I17+Pool!I19+Pool!I20+Pool!I21+Pool!I22+Pool!I24+Pool!I25+Pool!I28+Pool!I31+Kids!I17+Kids!I18+Kids!I19+Kids!I20+Kids!I21+Kids!I22+Kids!I27+Kids!I30+SPA!I20+SPA!I25+SPA!I26+SPA!I28+SPA!I29+SPA!I30+SPA!I31+SPA!I32+SPA!I33+SPA!I35+SPA!I36+SPA!I39+SPA!I43+Telephone!I16+Telephone!I21+Telephone!I22+Telephone!I24+Telephone!I25+Telephone!I26+Telephone!I27+Telephone!I28+Telephone!I29+Telephone!I35+Transportation!I15+Transportation!I16+Transportation!I17+Transportation!I18+Transportation!I19+Transportation!I22+Garage!I19+'Guest Laundry'!I16-Laundry!I60</f>
        <v>788139.16999999993</v>
      </c>
      <c r="I81" s="124">
        <f>Recreation!I15+Recreation!I17+Recreation!I19+Recreation!I20+Recreation!I23+Recreation!I27+Pool!J17+Pool!J19+Pool!J20+Pool!J21+Pool!J22+Pool!J24+Pool!J25+Pool!J28+Pool!J31+Kids!J17+Kids!J18+Kids!J19+Kids!J20+Kids!J21+Kids!J22+Kids!J27+Kids!J30+SPA!J20+SPA!J25+SPA!J26+SPA!J28+SPA!J29+SPA!J30+SPA!J31+SPA!J32+SPA!J33+SPA!J35+SPA!J36+SPA!J39+SPA!J43+Telephone!J16+Telephone!J21+Telephone!J22+Telephone!J24+Telephone!J25+Telephone!J26+Telephone!J27+Telephone!J28+Telephone!J29+Telephone!J35+Transportation!J15+Transportation!J16+Transportation!J17+Transportation!J18+Transportation!J19+Transportation!J22+Garage!J19+'Guest Laundry'!J16-Laundry!J60</f>
        <v>756462.34</v>
      </c>
      <c r="J81" s="124">
        <f>Recreation!J15+Recreation!J17+Recreation!J19+Recreation!J20+Recreation!J23+Recreation!J27+Pool!K17+Pool!K19+Pool!K20+Pool!K21+Pool!K22+Pool!K24+Pool!K25+Pool!K28+Pool!K31+Kids!K17+Kids!K18+Kids!K19+Kids!K20+Kids!K21+Kids!K22+Kids!K27+Kids!K30+SPA!K20+SPA!K25+SPA!K26+SPA!K28+SPA!K29+SPA!K30+SPA!K31+SPA!K32+SPA!K33+SPA!K35+SPA!K36+SPA!K39+SPA!K43+Telephone!K16+Telephone!K21+Telephone!K22+Telephone!K24+Telephone!K25+Telephone!K26+Telephone!K27+Telephone!K28+Telephone!K29+Telephone!K35+Transportation!K15+Transportation!K16+Transportation!K17+Transportation!K18+Transportation!K19+Transportation!K22+Garage!K19+'Guest Laundry'!K16-Laundry!K60</f>
        <v>767179.36999999988</v>
      </c>
      <c r="K81" s="124">
        <f>Recreation!K15+Recreation!K17+Recreation!K19+Recreation!K20+Recreation!K23+Recreation!K27+Pool!L17+Pool!L19+Pool!L20+Pool!L21+Pool!L22+Pool!L24+Pool!L25+Pool!L28+Pool!L31+Kids!L17+Kids!L18+Kids!L19+Kids!L20+Kids!L21+Kids!L22+Kids!L27+Kids!L30+SPA!L20+SPA!L25+SPA!L26+SPA!L28+SPA!L29+SPA!L30+SPA!L31+SPA!L32+SPA!L33+SPA!L35+SPA!L36+SPA!L39+SPA!L43+Telephone!L16+Telephone!L21+Telephone!L22+Telephone!L24+Telephone!L25+Telephone!L26+Telephone!L27+Telephone!L28+Telephone!L29+Telephone!L35+Transportation!L15+Transportation!L16+Transportation!L17+Transportation!L18+Transportation!L19+Transportation!L22+Garage!L19+'Guest Laundry'!L16-Laundry!L60</f>
        <v>759309.04</v>
      </c>
      <c r="L81" s="124">
        <f>Recreation!L15+Recreation!L17+Recreation!L19+Recreation!L20+Recreation!L23+Recreation!L27+Pool!M17+Pool!M19+Pool!M20+Pool!M21+Pool!M22+Pool!M24+Pool!M25+Pool!M28+Pool!M31+Kids!M17+Kids!M18+Kids!M19+Kids!M20+Kids!M21+Kids!M22+Kids!M27+Kids!M30+SPA!M20+SPA!M25+SPA!M26+SPA!M28+SPA!M29+SPA!M30+SPA!M31+SPA!M32+SPA!M33+SPA!M35+SPA!M36+SPA!M39+SPA!M43+Telephone!M16+Telephone!M21+Telephone!M22+Telephone!M24+Telephone!M25+Telephone!M26+Telephone!M27+Telephone!M28+Telephone!M29+Telephone!M35+Transportation!M15+Transportation!M16+Transportation!M17+Transportation!M18+Transportation!M19+Transportation!M22+Garage!M19+'Guest Laundry'!M16-Laundry!M60</f>
        <v>731080.04</v>
      </c>
      <c r="M81" s="124">
        <f>Recreation!M15+Recreation!M17+Recreation!M19+Recreation!M20+Recreation!M23+Recreation!M27+Pool!N17+Pool!N19+Pool!N20+Pool!N21+Pool!N22+Pool!N24+Pool!N25+Pool!N28+Pool!N31+Kids!N17+Kids!N18+Kids!N19+Kids!N20+Kids!N21+Kids!N22+Kids!N27+Kids!N30+SPA!N20+SPA!N25+SPA!N26+SPA!N28+SPA!N29+SPA!N30+SPA!N31+SPA!N32+SPA!N33+SPA!N35+SPA!N36+SPA!N39+SPA!N43+Telephone!N16+Telephone!N21+Telephone!N22+Telephone!N24+Telephone!N25+Telephone!N26+Telephone!N27+Telephone!N28+Telephone!N29+Telephone!N35+Transportation!N15+Transportation!N16+Transportation!N17+Transportation!N18+Transportation!N19+Transportation!N22+Garage!N19+'Guest Laundry'!N16-Laundry!N60</f>
        <v>838398.92999999993</v>
      </c>
      <c r="N81" s="124">
        <f>Recreation!N15+Recreation!N17+Recreation!N19+Recreation!N20+Recreation!N23+Recreation!N27+Pool!O17+Pool!O19+Pool!O20+Pool!O21+Pool!O22+Pool!O24+Pool!O25+Pool!O28+Pool!O31+Kids!O17+Kids!O18+Kids!O19+Kids!O20+Kids!O21+Kids!O22+Kids!O27+Kids!O30+SPA!O20+SPA!O25+SPA!O26+SPA!O28+SPA!O29+SPA!O30+SPA!O31+SPA!O32+SPA!O33+SPA!O35+SPA!O36+SPA!O39+SPA!O43+Telephone!O16+Telephone!O21+Telephone!O22+Telephone!O24+Telephone!O25+Telephone!O26+Telephone!O27+Telephone!O28+Telephone!O29+Telephone!O35+Transportation!O15+Transportation!O16+Transportation!O17+Transportation!O18+Transportation!O19+Transportation!O22+Garage!O19+'Guest Laundry'!O16-Laundry!O60</f>
        <v>718781.36999999988</v>
      </c>
      <c r="O81" s="124">
        <f>Recreation!O15+Recreation!O17+Recreation!O19+Recreation!O20+Recreation!O23+Recreation!O27+Pool!P17+Pool!P19+Pool!P20+Pool!P21+Pool!P22+Pool!P24+Pool!P25+Pool!P28+Pool!P31+Kids!P17+Kids!P18+Kids!P19+Kids!P20+Kids!P21+Kids!P22+Kids!P27+Kids!P30+SPA!P20+SPA!P25+SPA!P26+SPA!P28+SPA!P29+SPA!P30+SPA!P31+SPA!P32+SPA!P33+SPA!P35+SPA!P36+SPA!P39+SPA!P43+Telephone!P16+Telephone!P21+Telephone!P22+Telephone!P24+Telephone!P25+Telephone!P26+Telephone!P27+Telephone!P28+Telephone!P29+Telephone!P35+Transportation!P15+Transportation!P16+Transportation!P17+Transportation!P18+Transportation!P19+Transportation!P22+Garage!P19+'Guest Laundry'!P16-Laundry!P60</f>
        <v>781637.04</v>
      </c>
      <c r="P81" s="129">
        <f>SUM(D81:O81)</f>
        <v>9292683.5199999996</v>
      </c>
      <c r="Q81" s="124">
        <f>Recreation!Q15+Recreation!Q17+Recreation!Q19+Recreation!Q20+Recreation!Q23+Recreation!Q27+Pool!R17+Pool!R19+Pool!R20+Pool!R21+Pool!R22+Pool!R24+Pool!R25+Pool!R28+Pool!R31+Kids!R17+Kids!R18+Kids!R19+Kids!R20+Kids!R21+Kids!R22+Kids!R27+Kids!R30+SPA!R20+SPA!R25+SPA!R26+SPA!R28+SPA!R29+SPA!R30+SPA!R31+SPA!R32+SPA!R33+SPA!R35+SPA!R36+SPA!R39+SPA!R43+Telephone!R16+Telephone!R21+Telephone!R22+Telephone!R24+Telephone!R25+Telephone!R26+Telephone!R27+Telephone!R28+Telephone!R29+Telephone!R35+Transportation!R15+Transportation!R16+Transportation!R17+Transportation!R18+Transportation!R19+Transportation!R22+Garage!R19+'Guest Laundry'!R16-Laundry!R60</f>
        <v>1144274.5499999998</v>
      </c>
      <c r="R81" s="124">
        <f>Recreation!R15+Recreation!R17+Recreation!R19+Recreation!R20+Recreation!R23+Recreation!R27+Pool!S17+Pool!S19+Pool!S20+Pool!S21+Pool!S22+Pool!S24+Pool!S25+Pool!S28+Pool!S31+Kids!S17+Kids!S18+Kids!S19+Kids!S20+Kids!S21+Kids!S22+Kids!S27+Kids!S30+SPA!S20+SPA!S25+SPA!S26+SPA!S28+SPA!S29+SPA!S30+SPA!S31+SPA!S32+SPA!S33+SPA!S35+SPA!S36+SPA!S39+SPA!S43+Telephone!S16+Telephone!S21+Telephone!S22+Telephone!S24+Telephone!S25+Telephone!S26+Telephone!S27+Telephone!S28+Telephone!S29+Telephone!S35+Transportation!S15+Transportation!S16+Transportation!S17+Transportation!S18+Transportation!S19+Transportation!S22+Garage!S19+'Guest Laundry'!S16-Laundry!S60</f>
        <v>2008493.0600000003</v>
      </c>
      <c r="S81" s="124">
        <f>Recreation!S15+Recreation!S17+Recreation!S19+Recreation!S20+Recreation!S23+Recreation!S27+Pool!T17+Pool!T19+Pool!T20+Pool!T21+Pool!T22+Pool!T24+Pool!T25+Pool!T28+Pool!T31+Kids!T17+Kids!T18+Kids!T19+Kids!T20+Kids!T21+Kids!T22+Kids!T27+Kids!T30+SPA!T20+SPA!T25+SPA!T26+SPA!T28+SPA!T29+SPA!T30+SPA!T31+SPA!T32+SPA!T33+SPA!T35+SPA!T36+SPA!T39+SPA!T43+Telephone!T16+Telephone!T21+Telephone!T22+Telephone!T24+Telephone!T25+Telephone!T26+Telephone!T27+Telephone!T28+Telephone!T29+Telephone!T35+Transportation!T15+Transportation!T16+Transportation!T17+Transportation!T18+Transportation!T19+Transportation!T22+Garage!T19+'Guest Laundry'!T16-Laundry!T60</f>
        <v>891976.02</v>
      </c>
      <c r="T81" s="124">
        <f>Recreation!T15+Recreation!T17+Recreation!T19+Recreation!T20+Recreation!T23+Recreation!T27+Pool!U17+Pool!U19+Pool!U20+Pool!U21+Pool!U22+Pool!U24+Pool!U25+Pool!U28+Pool!U31+Kids!U17+Kids!U18+Kids!U19+Kids!U20+Kids!U21+Kids!U22+Kids!U27+Kids!U30+SPA!U20+SPA!U25+SPA!U26+SPA!U28+SPA!U29+SPA!U30+SPA!U31+SPA!U32+SPA!U33+SPA!U35+SPA!U36+SPA!U39+SPA!U43+Telephone!U16+Telephone!U21+Telephone!U22+Telephone!U24+Telephone!U25+Telephone!U26+Telephone!U27+Telephone!U28+Telephone!U29+Telephone!U35+Transportation!U15+Transportation!U16+Transportation!U17+Transportation!U18+Transportation!U19+Transportation!U22+Garage!U19+'Guest Laundry'!U16-Laundry!U60</f>
        <v>793943</v>
      </c>
      <c r="U81" s="124">
        <f>Recreation!U15+Recreation!U17+Recreation!U19+Recreation!U20+Recreation!U23+Recreation!U27+Pool!V17+Pool!V19+Pool!V20+Pool!V21+Pool!V22+Pool!V24+Pool!V25+Pool!V28+Pool!V31+Kids!V17+Kids!V18+Kids!V19+Kids!V20+Kids!V21+Kids!V22+Kids!V27+Kids!V30+SPA!V20+SPA!V25+SPA!V26+SPA!V28+SPA!V29+SPA!V30+SPA!V31+SPA!V32+SPA!V33+SPA!V35+SPA!V36+SPA!V39+SPA!V43+Telephone!V16+Telephone!V21+Telephone!V22+Telephone!V24+Telephone!V25+Telephone!V26+Telephone!V27+Telephone!V28+Telephone!V29+Telephone!V35+Transportation!V15+Transportation!V16+Transportation!V17+Transportation!V18+Transportation!V19+Transportation!V22+Garage!V19+'Guest Laundry'!V16-Laundry!V60</f>
        <v>-45925.269999999946</v>
      </c>
      <c r="V81" s="124">
        <f>Recreation!V15+Recreation!V17+Recreation!V19+Recreation!V20+Recreation!V23+Recreation!V27+Pool!W17+Pool!W19+Pool!W20+Pool!W21+Pool!W22+Pool!W24+Pool!W25+Pool!W28+Pool!W31+Kids!W17+Kids!W18+Kids!W19+Kids!W20+Kids!W21+Kids!W22+Kids!W27+Kids!W30+SPA!W20+SPA!W25+SPA!W26+SPA!W28+SPA!W29+SPA!W30+SPA!W31+SPA!W32+SPA!W33+SPA!W35+SPA!W36+SPA!W39+SPA!W43+Telephone!W16+Telephone!W21+Telephone!W22+Telephone!W24+Telephone!W25+Telephone!W26+Telephone!W27+Telephone!W28+Telephone!W29+Telephone!W35+Transportation!W15+Transportation!W16+Transportation!W17+Transportation!W18+Transportation!W19+Transportation!W22+Garage!W19+'Guest Laundry'!W16-Laundry!W60</f>
        <v>729096.2300000001</v>
      </c>
      <c r="W81" s="124">
        <f>Recreation!W15+Recreation!W17+Recreation!W19+Recreation!W20+Recreation!W23+Recreation!W27+Pool!X17+Pool!X19+Pool!X20+Pool!X21+Pool!X22+Pool!X24+Pool!X25+Pool!X28+Pool!X31+Kids!X17+Kids!X18+Kids!X19+Kids!X20+Kids!X21+Kids!X22+Kids!X27+Kids!X30+SPA!X20+SPA!X25+SPA!X26+SPA!X28+SPA!X29+SPA!X30+SPA!X31+SPA!X32+SPA!X33+SPA!X35+SPA!X36+SPA!X39+SPA!X43+Telephone!X16+Telephone!X21+Telephone!X22+Telephone!X24+Telephone!X25+Telephone!X26+Telephone!X27+Telephone!X28+Telephone!X29+Telephone!X35+Transportation!X15+Transportation!X16+Transportation!X17+Transportation!X18+Transportation!X19+Transportation!X22+Garage!X19+'Guest Laundry'!X16-Laundry!X60</f>
        <v>1012276.2599999998</v>
      </c>
      <c r="X81" s="124">
        <f>Recreation!X15+Recreation!X17+Recreation!X19+Recreation!X20+Recreation!X23+Recreation!X27+Pool!Y17+Pool!Y19+Pool!Y20+Pool!Y21+Pool!Y22+Pool!Y24+Pool!Y25+Pool!Y28+Pool!Y31+Kids!Y17+Kids!Y18+Kids!Y19+Kids!Y20+Kids!Y21+Kids!Y22+Kids!Y27+Kids!Y30+SPA!Y20+SPA!Y25+SPA!Y26+SPA!Y28+SPA!Y29+SPA!Y30+SPA!Y31+SPA!Y32+SPA!Y33+SPA!Y35+SPA!Y36+SPA!Y39+SPA!Y43+Telephone!Y16+Telephone!Y21+Telephone!Y22+Telephone!Y24+Telephone!Y25+Telephone!Y26+Telephone!Y27+Telephone!Y28+Telephone!Y29+Telephone!Y35+Transportation!Y15+Transportation!Y16+Transportation!Y17+Transportation!Y18+Transportation!Y19+Transportation!Y22+Garage!Y19+'Guest Laundry'!Y16-Laundry!Y60</f>
        <v>1032215.6399999999</v>
      </c>
      <c r="Y81" s="124">
        <f>Recreation!Y15+Recreation!Y17+Recreation!Y19+Recreation!Y20+Recreation!Y23+Recreation!Y27+Pool!Z17+Pool!Z19+Pool!Z20+Pool!Z21+Pool!Z22+Pool!Z24+Pool!Z25+Pool!Z28+Pool!Z31+Kids!Z17+Kids!Z18+Kids!Z19+Kids!Z20+Kids!Z21+Kids!Z22+Kids!Z27+Kids!Z30+SPA!Z20+SPA!Z25+SPA!Z26+SPA!Z28+SPA!Z29+SPA!Z30+SPA!Z31+SPA!Z32+SPA!Z33+SPA!Z35+SPA!Z36+SPA!Z39+SPA!Z43+Telephone!Z16+Telephone!Z21+Telephone!Z22+Telephone!Z24+Telephone!Z25+Telephone!Z26+Telephone!Z27+Telephone!Z28+Telephone!Z29+Telephone!Z35+Transportation!Z15+Transportation!Z16+Transportation!Z17+Transportation!Z18+Transportation!Z19+Transportation!Z22+Garage!Z19+'Guest Laundry'!Z16-Laundry!Z60</f>
        <v>404293.68</v>
      </c>
      <c r="Z81" s="124">
        <f>Recreation!Z15+Recreation!Z17+Recreation!Z19+Recreation!Z20+Recreation!Z23+Recreation!Z27+Pool!AA17+Pool!AA19+Pool!AA20+Pool!AA21+Pool!AA22+Pool!AA24+Pool!AA25+Pool!AA28+Pool!AA31+Kids!AA17+Kids!AA18+Kids!AA19+Kids!AA20+Kids!AA21+Kids!AA22+Kids!AA27+Kids!AA30+SPA!AA20+SPA!AA25+SPA!AA26+SPA!AA28+SPA!AA29+SPA!AA30+SPA!AA31+SPA!AA32+SPA!AA33+SPA!AA35+SPA!AA36+SPA!AA39+SPA!AA43+Telephone!AA16+Telephone!AA21+Telephone!AA22+Telephone!AA24+Telephone!AA25+Telephone!AA26+Telephone!AA27+Telephone!AA28+Telephone!AA29+Telephone!AA35+Transportation!AA15+Transportation!AA16+Transportation!AA17+Transportation!AA18+Transportation!AA19+Transportation!AA22+Garage!AA19+'Guest Laundry'!AA16-Laundry!AA60</f>
        <v>654373.68000000005</v>
      </c>
      <c r="AA81" s="124">
        <f>Recreation!AA15+Recreation!AA17+Recreation!AA19+Recreation!AA20+Recreation!AA23+Recreation!AA27+Pool!AB17+Pool!AB19+Pool!AB20+Pool!AB21+Pool!AB22+Pool!AB24+Pool!AB25+Pool!AB28+Pool!AB31+Kids!AB17+Kids!AB18+Kids!AB19+Kids!AB20+Kids!AB21+Kids!AB22+Kids!AB27+Kids!AB30+SPA!AB20+SPA!AB25+SPA!AB26+SPA!AB28+SPA!AB29+SPA!AB30+SPA!AB31+SPA!AB32+SPA!AB33+SPA!AB35+SPA!AB36+SPA!AB39+SPA!AB43+Telephone!AB16+Telephone!AB21+Telephone!AB22+Telephone!AB24+Telephone!AB25+Telephone!AB26+Telephone!AB27+Telephone!AB28+Telephone!AB29+Telephone!AB35+Transportation!AB15+Transportation!AB16+Transportation!AB17+Transportation!AB18+Transportation!AB19+Transportation!AB22+Garage!AB19+'Guest Laundry'!AB16-Laundry!AB60</f>
        <v>381726.68</v>
      </c>
      <c r="AB81" s="124">
        <f>Recreation!AB15+Recreation!AB17+Recreation!AB19+Recreation!AB20+Recreation!AB23+Recreation!AB27+Pool!AC17+Pool!AC19+Pool!AC20+Pool!AC21+Pool!AC22+Pool!AC24+Pool!AC25+Pool!AC28+Pool!AC31+Kids!AC17+Kids!AC18+Kids!AC19+Kids!AC20+Kids!AC21+Kids!AC22+Kids!AC27+Kids!AC30+SPA!AC20+SPA!AC25+SPA!AC26+SPA!AC28+SPA!AC29+SPA!AC30+SPA!AC31+SPA!AC32+SPA!AC33+SPA!AC35+SPA!AC36+SPA!AC39+SPA!AC43+Telephone!AC16+Telephone!AC21+Telephone!AC22+Telephone!AC24+Telephone!AC25+Telephone!AC26+Telephone!AC27+Telephone!AC28+Telephone!AC29+Telephone!AC35+Transportation!AC15+Transportation!AC16+Transportation!AC17+Transportation!AC18+Transportation!AC19+Transportation!AC22+Garage!AC19+'Guest Laundry'!AC16-Laundry!AC60</f>
        <v>783119.5</v>
      </c>
      <c r="AH81" s="123"/>
    </row>
    <row r="82" spans="3:34">
      <c r="AH82" s="123"/>
    </row>
    <row r="83" spans="3:34">
      <c r="Z83" s="124">
        <v>122382.48999999999</v>
      </c>
      <c r="AC83" s="129">
        <v>308941.80000000075</v>
      </c>
      <c r="AH83" s="123"/>
    </row>
    <row r="84" spans="3:34">
      <c r="AH84" s="123"/>
    </row>
  </sheetData>
  <phoneticPr fontId="7" type="noConversion"/>
  <dataValidations count="58"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941_x000d__x000a_" sqref="AB28">
      <formula1>0</formula1>
      <formula2>300</formula2>
    </dataValidation>
    <dataValidation type="textLength" errorStyle="information" allowBlank="1" showInputMessage="1" showErrorMessage="1" error="XLBVal:6=898_x000d__x000a_" sqref="AA28">
      <formula1>0</formula1>
      <formula2>300</formula2>
    </dataValidation>
    <dataValidation type="textLength" errorStyle="information" allowBlank="1" showInputMessage="1" showErrorMessage="1" error="XLBVal:6=949_x000d__x000a_" sqref="Z28">
      <formula1>0</formula1>
      <formula2>300</formula2>
    </dataValidation>
    <dataValidation type="textLength" errorStyle="information" allowBlank="1" showInputMessage="1" showErrorMessage="1" error="XLBVal:6=899_x000d__x000a_" sqref="Q28:Y28">
      <formula1>0</formula1>
      <formula2>300</formula2>
    </dataValidation>
    <dataValidation type="textLength" errorStyle="information" allowBlank="1" showInputMessage="1" showErrorMessage="1" error="XLBVal:6=42_x000d__x000a_" sqref="AB27">
      <formula1>0</formula1>
      <formula2>300</formula2>
    </dataValidation>
    <dataValidation type="textLength" errorStyle="information" allowBlank="1" showInputMessage="1" showErrorMessage="1" error="XLBVal:6=43_x000d__x000a_" sqref="Z27">
      <formula1>0</formula1>
      <formula2>300</formula2>
    </dataValidation>
    <dataValidation type="textLength" errorStyle="information" allowBlank="1" showInputMessage="1" showErrorMessage="1" error="XLBVal:6=40_x000d__x000a_" sqref="AA27 Q27:Y27">
      <formula1>0</formula1>
      <formula2>300</formula2>
    </dataValidation>
    <dataValidation type="textLength" errorStyle="information" allowBlank="1" showInputMessage="1" showErrorMessage="1" error="XLBVal:6=40315_x000d__x000a_" sqref="AB26">
      <formula1>0</formula1>
      <formula2>300</formula2>
    </dataValidation>
    <dataValidation type="textLength" errorStyle="information" allowBlank="1" showInputMessage="1" showErrorMessage="1" error="XLBVal:6=33312_x000d__x000a_" sqref="AA26">
      <formula1>0</formula1>
      <formula2>300</formula2>
    </dataValidation>
    <dataValidation type="textLength" errorStyle="information" allowBlank="1" showInputMessage="1" showErrorMessage="1" error="XLBVal:6=31232_x000d__x000a_" sqref="Z26">
      <formula1>0</formula1>
      <formula2>300</formula2>
    </dataValidation>
    <dataValidation type="textLength" errorStyle="information" allowBlank="1" showInputMessage="1" showErrorMessage="1" error="XLBVal:6=23486_x000d__x000a_" sqref="Q26:Y26">
      <formula1>0</formula1>
      <formula2>300</formula2>
    </dataValidation>
    <dataValidation type="textLength" errorStyle="information" allowBlank="1" showInputMessage="1" showErrorMessage="1" error="XLBVal:6=2412_x000d__x000a_" sqref="AB25">
      <formula1>0</formula1>
      <formula2>300</formula2>
    </dataValidation>
    <dataValidation type="textLength" errorStyle="information" allowBlank="1" showInputMessage="1" showErrorMessage="1" error="XLBVal:6=2193_x000d__x000a_" sqref="AA25">
      <formula1>0</formula1>
      <formula2>300</formula2>
    </dataValidation>
    <dataValidation type="textLength" errorStyle="information" allowBlank="1" showInputMessage="1" showErrorMessage="1" error="XLBVal:6=3311_x000d__x000a_" sqref="Z25">
      <formula1>0</formula1>
      <formula2>300</formula2>
    </dataValidation>
    <dataValidation type="textLength" errorStyle="information" allowBlank="1" showInputMessage="1" showErrorMessage="1" error="XLBVal:6=3124_x000d__x000a_" sqref="Q25:Y25">
      <formula1>0</formula1>
      <formula2>300</formula2>
    </dataValidation>
    <dataValidation type="textLength" errorStyle="information" allowBlank="1" showInputMessage="1" showErrorMessage="1" error="XLBVal:6=18076_x000d__x000a_" sqref="AB24">
      <formula1>0</formula1>
      <formula2>300</formula2>
    </dataValidation>
    <dataValidation type="textLength" errorStyle="information" allowBlank="1" showInputMessage="1" showErrorMessage="1" error="XLBVal:6=17602_x000d__x000a_" sqref="AA24">
      <formula1>0</formula1>
      <formula2>300</formula2>
    </dataValidation>
    <dataValidation type="textLength" errorStyle="information" allowBlank="1" showInputMessage="1" showErrorMessage="1" error="XLBVal:6=17625_x000d__x000a_" sqref="Z24">
      <formula1>0</formula1>
      <formula2>300</formula2>
    </dataValidation>
    <dataValidation type="textLength" errorStyle="information" allowBlank="1" showInputMessage="1" showErrorMessage="1" error="XLBVal:6=17356_x000d__x000a_" sqref="Q24:Y24">
      <formula1>0</formula1>
      <formula2>300</formula2>
    </dataValidation>
    <dataValidation type="textLength" errorStyle="information" allowBlank="1" showInputMessage="1" showErrorMessage="1" error="XLBVal:6=94916_x000d__x000a_" sqref="AB23">
      <formula1>0</formula1>
      <formula2>300</formula2>
    </dataValidation>
    <dataValidation type="textLength" errorStyle="information" allowBlank="1" showInputMessage="1" showErrorMessage="1" error="XLBVal:6=36701_x000d__x000a_" sqref="AA23">
      <formula1>0</formula1>
      <formula2>300</formula2>
    </dataValidation>
    <dataValidation type="textLength" errorStyle="information" allowBlank="1" showInputMessage="1" showErrorMessage="1" error="XLBVal:6=22922_x000d__x000a_" sqref="Z23">
      <formula1>0</formula1>
      <formula2>300</formula2>
    </dataValidation>
    <dataValidation type="textLength" errorStyle="information" allowBlank="1" showInputMessage="1" showErrorMessage="1" error="XLBVal:6=23902_x000d__x000a_" sqref="Q23:Y23">
      <formula1>0</formula1>
      <formula2>300</formula2>
    </dataValidation>
    <dataValidation type="textLength" errorStyle="information" allowBlank="1" showInputMessage="1" showErrorMessage="1" error="XLBVal:6=231449_x000d__x000a_" sqref="AB22">
      <formula1>0</formula1>
      <formula2>300</formula2>
    </dataValidation>
    <dataValidation type="textLength" errorStyle="information" allowBlank="1" showInputMessage="1" showErrorMessage="1" error="XLBVal:6=226763_x000d__x000a_" sqref="AA22">
      <formula1>0</formula1>
      <formula2>300</formula2>
    </dataValidation>
    <dataValidation type="textLength" errorStyle="information" allowBlank="1" showInputMessage="1" showErrorMessage="1" error="XLBVal:6=245605_x000d__x000a_" sqref="Z22">
      <formula1>0</formula1>
      <formula2>300</formula2>
    </dataValidation>
    <dataValidation type="textLength" errorStyle="information" allowBlank="1" showInputMessage="1" showErrorMessage="1" error="XLBVal:6=213793_x000d__x000a_" sqref="Q22:Y22">
      <formula1>0</formula1>
      <formula2>300</formula2>
    </dataValidation>
    <dataValidation type="textLength" errorStyle="information" allowBlank="1" showInputMessage="1" showErrorMessage="1" error="XLBVal:6=159293_x000d__x000a_" sqref="Q21:AB21">
      <formula1>0</formula1>
      <formula2>300</formula2>
    </dataValidation>
    <dataValidation type="textLength" errorStyle="information" allowBlank="1" showInputMessage="1" showErrorMessage="1" error="XLBVal:6=292491_x000d__x000a_" sqref="AB17">
      <formula1>0</formula1>
      <formula2>300</formula2>
    </dataValidation>
    <dataValidation type="textLength" errorStyle="information" allowBlank="1" showInputMessage="1" showErrorMessage="1" error="XLBVal:6=293237_x000d__x000a_" sqref="AA17">
      <formula1>0</formula1>
      <formula2>300</formula2>
    </dataValidation>
    <dataValidation type="textLength" errorStyle="information" allowBlank="1" showInputMessage="1" showErrorMessage="1" error="XLBVal:6=294142_x000d__x000a_" sqref="Z17">
      <formula1>0</formula1>
      <formula2>300</formula2>
    </dataValidation>
    <dataValidation type="textLength" errorStyle="information" allowBlank="1" showInputMessage="1" showErrorMessage="1" error="XLBVal:6=294672_x000d__x000a_" sqref="Q17:Y17">
      <formula1>0</formula1>
      <formula2>300</formula2>
    </dataValidation>
    <dataValidation type="textLength" errorStyle="information" allowBlank="1" showInputMessage="1" showErrorMessage="1" error="XLBVal:6=18718_x000d__x000a_" sqref="AB16">
      <formula1>0</formula1>
      <formula2>300</formula2>
    </dataValidation>
    <dataValidation type="textLength" errorStyle="information" allowBlank="1" showInputMessage="1" showErrorMessage="1" error="XLBVal:6=17756_x000d__x000a_" sqref="AA16">
      <formula1>0</formula1>
      <formula2>300</formula2>
    </dataValidation>
    <dataValidation type="textLength" errorStyle="information" allowBlank="1" showInputMessage="1" showErrorMessage="1" error="XLBVal:6=16726_x000d__x000a_" sqref="Z16">
      <formula1>0</formula1>
      <formula2>300</formula2>
    </dataValidation>
    <dataValidation type="textLength" errorStyle="information" allowBlank="1" showInputMessage="1" showErrorMessage="1" error="XLBVal:6=16011_x000d__x000a_" sqref="Q16:Y16">
      <formula1>0</formula1>
      <formula2>300</formula2>
    </dataValidation>
    <dataValidation type="textLength" errorStyle="information" allowBlank="1" showInputMessage="1" showErrorMessage="1" error="XLBVal:6=13000_x000d__x000a_" sqref="AB15">
      <formula1>0</formula1>
      <formula2>300</formula2>
    </dataValidation>
    <dataValidation type="textLength" errorStyle="information" allowBlank="1" showInputMessage="1" showErrorMessage="1" error="XLBVal:6=12000_x000d__x000a_" sqref="AA15">
      <formula1>0</formula1>
      <formula2>300</formula2>
    </dataValidation>
    <dataValidation type="textLength" errorStyle="information" allowBlank="1" showInputMessage="1" showErrorMessage="1" error="XLBVal:6=11000_x000d__x000a_" sqref="Z15">
      <formula1>0</formula1>
      <formula2>300</formula2>
    </dataValidation>
    <dataValidation type="textLength" errorStyle="information" allowBlank="1" showInputMessage="1" showErrorMessage="1" error="XLBVal:6=7000_x000d__x000a_" sqref="Q15:Y15">
      <formula1>0</formula1>
      <formula2>300</formula2>
    </dataValidation>
    <dataValidation type="textLength" errorStyle="information" allowBlank="1" showInputMessage="1" showErrorMessage="1" error="XLBVal:6=12668_x000d__x000a_" sqref="AB14">
      <formula1>0</formula1>
      <formula2>300</formula2>
    </dataValidation>
    <dataValidation type="textLength" errorStyle="information" allowBlank="1" showInputMessage="1" showErrorMessage="1" error="XLBVal:6=8968_x000d__x000a_" sqref="AA14">
      <formula1>0</formula1>
      <formula2>300</formula2>
    </dataValidation>
    <dataValidation type="textLength" errorStyle="information" allowBlank="1" showInputMessage="1" showErrorMessage="1" error="XLBVal:6=9292_x000d__x000a_" sqref="Z14">
      <formula1>0</formula1>
      <formula2>300</formula2>
    </dataValidation>
    <dataValidation type="textLength" errorStyle="information" allowBlank="1" showInputMessage="1" showErrorMessage="1" error="XLBVal:6=6469_x000d__x000a_" sqref="Q14:Y14">
      <formula1>0</formula1>
      <formula2>300</formula2>
    </dataValidation>
    <dataValidation type="textLength" errorStyle="information" allowBlank="1" showInputMessage="1" showErrorMessage="1" error="XLBVal:6=301904_x000d__x000a_" sqref="AB12">
      <formula1>0</formula1>
      <formula2>300</formula2>
    </dataValidation>
    <dataValidation type="textLength" errorStyle="information" allowBlank="1" showInputMessage="1" showErrorMessage="1" error="XLBVal:6=255562_x000d__x000a_" sqref="AA12">
      <formula1>0</formula1>
      <formula2>300</formula2>
    </dataValidation>
    <dataValidation type="textLength" errorStyle="information" allowBlank="1" showInputMessage="1" showErrorMessage="1" error="XLBVal:6=208892_x000d__x000a_" sqref="Z12">
      <formula1>0</formula1>
      <formula2>300</formula2>
    </dataValidation>
    <dataValidation type="textLength" errorStyle="information" allowBlank="1" showInputMessage="1" showErrorMessage="1" error="XLBVal:6=140490_x000d__x000a_" sqref="Q12:Y12">
      <formula1>0</formula1>
      <formula2>300</formula2>
    </dataValidation>
    <dataValidation type="textLength" errorStyle="information" allowBlank="1" showInputMessage="1" showErrorMessage="1" error="XLBVal:6=42142_x000d__x000a_" sqref="AB11">
      <formula1>0</formula1>
      <formula2>300</formula2>
    </dataValidation>
    <dataValidation type="textLength" errorStyle="information" allowBlank="1" showInputMessage="1" showErrorMessage="1" error="XLBVal:6=33495_x000d__x000a_" sqref="AA11">
      <formula1>0</formula1>
      <formula2>300</formula2>
    </dataValidation>
    <dataValidation type="textLength" errorStyle="information" allowBlank="1" showInputMessage="1" showErrorMessage="1" error="XLBVal:6=43653_x000d__x000a_" sqref="Z11">
      <formula1>0</formula1>
      <formula2>300</formula2>
    </dataValidation>
    <dataValidation type="textLength" errorStyle="information" allowBlank="1" showInputMessage="1" showErrorMessage="1" error="XLBVal:6=33613_x000d__x000a_" sqref="Q11:Y11">
      <formula1>0</formula1>
      <formula2>300</formula2>
    </dataValidation>
    <dataValidation type="textLength" errorStyle="information" allowBlank="1" showInputMessage="1" showErrorMessage="1" error="XLBVal:6=98338_x000d__x000a_" sqref="AB10">
      <formula1>0</formula1>
      <formula2>300</formula2>
    </dataValidation>
    <dataValidation type="textLength" errorStyle="information" allowBlank="1" showInputMessage="1" showErrorMessage="1" error="XLBVal:6=90078_x000d__x000a_" sqref="AA10">
      <formula1>0</formula1>
      <formula2>300</formula2>
    </dataValidation>
    <dataValidation type="textLength" errorStyle="information" allowBlank="1" showInputMessage="1" showErrorMessage="1" error="XLBVal:6=115361_x000d__x000a_" sqref="Z10">
      <formula1>0</formula1>
      <formula2>300</formula2>
    </dataValidation>
    <dataValidation type="textLength" errorStyle="information" allowBlank="1" showInputMessage="1" showErrorMessage="1" error="XLBVal:6=40460_x000d__x000a_" sqref="Q10:Y10">
      <formula1>0</formula1>
      <formula2>300</formula2>
    </dataValidation>
    <dataValidation type="textLength" errorStyle="information" allowBlank="1" showInputMessage="1" showErrorMessage="1" error="XLBVal:2=0_x000d__x000a_" sqref="Q13:AB13 Q9:AB9 Q29:AB29">
      <formula1>0</formula1>
      <formula2>300</formula2>
    </dataValidation>
  </dataValidations>
  <printOptions horizontalCentered="1"/>
  <pageMargins left="0.11811023622047245" right="0.11811023622047245" top="0.59055118110236227" bottom="0.39370078740157483" header="0.31496062992125984" footer="0.31496062992125984"/>
  <pageSetup paperSize="9" scale="40" orientation="landscape" r:id="rId1"/>
  <headerFooter>
    <oddFooter>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AH74"/>
  <sheetViews>
    <sheetView view="pageBreakPreview" zoomScaleNormal="100" zoomScaleSheetLayoutView="100" workbookViewId="0">
      <pane xSplit="4" ySplit="7" topLeftCell="J8" activePane="bottomRight" state="frozen"/>
      <selection activeCell="AP43" sqref="AP43"/>
      <selection pane="topRight" activeCell="AP43" sqref="AP43"/>
      <selection pane="bottomLeft" activeCell="AP43" sqref="AP43"/>
      <selection pane="bottomRight" activeCell="N26" sqref="N26"/>
    </sheetView>
  </sheetViews>
  <sheetFormatPr defaultColWidth="9" defaultRowHeight="14.25" outlineLevelCol="2"/>
  <cols>
    <col min="1" max="2" width="9" style="105" hidden="1" customWidth="1" outlineLevel="1"/>
    <col min="3" max="3" width="43" style="105" customWidth="1" collapsed="1"/>
    <col min="4" max="4" width="17" style="116" bestFit="1" customWidth="1"/>
    <col min="5" max="15" width="15.75" style="116" bestFit="1" customWidth="1"/>
    <col min="16" max="16" width="19.5" style="135" bestFit="1" customWidth="1"/>
    <col min="17" max="23" width="18.25" style="140" hidden="1" customWidth="1" outlineLevel="1"/>
    <col min="24" max="28" width="15.75" style="116" hidden="1" customWidth="1" outlineLevel="2"/>
    <col min="29" max="29" width="20.5" style="117" customWidth="1" collapsed="1"/>
    <col min="30" max="30" width="17" style="116" customWidth="1"/>
    <col min="31" max="31" width="9" style="105" customWidth="1"/>
    <col min="32" max="32" width="19.5" style="109" hidden="1" customWidth="1"/>
    <col min="33" max="33" width="19.5" style="105" hidden="1" customWidth="1"/>
    <col min="34" max="34" width="19.25" style="105" bestFit="1" customWidth="1"/>
    <col min="35" max="16384" width="9" style="105"/>
  </cols>
  <sheetData>
    <row r="1" spans="1:34" s="100" customFormat="1">
      <c r="A1" s="100" t="s">
        <v>684</v>
      </c>
      <c r="C1" s="100" t="s">
        <v>680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1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01"/>
      <c r="AF1" s="103"/>
    </row>
    <row r="2" spans="1:34" s="100" customFormat="1">
      <c r="C2" s="100" t="s">
        <v>681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1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01"/>
      <c r="AF2" s="103"/>
    </row>
    <row r="3" spans="1:34">
      <c r="C3" s="105" t="s">
        <v>636</v>
      </c>
      <c r="D3" s="2" t="s">
        <v>0</v>
      </c>
      <c r="E3" s="2" t="s">
        <v>685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686</v>
      </c>
      <c r="O3" s="2" t="s">
        <v>686</v>
      </c>
      <c r="P3" s="252"/>
      <c r="Q3" s="108" t="s">
        <v>685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685</v>
      </c>
      <c r="AA3" s="108" t="s">
        <v>0</v>
      </c>
      <c r="AB3" s="108" t="s">
        <v>0</v>
      </c>
      <c r="AC3" s="209"/>
      <c r="AD3" s="2"/>
    </row>
    <row r="4" spans="1:34" s="100" customFormat="1" ht="18">
      <c r="C4" s="18">
        <f>+'2025 Summay'!$D$7</f>
        <v>2025</v>
      </c>
      <c r="D4" s="155">
        <v>150000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238"/>
      <c r="Q4" s="101"/>
      <c r="R4" s="101"/>
      <c r="S4" s="101"/>
      <c r="T4" s="101"/>
      <c r="U4" s="101"/>
      <c r="V4" s="101"/>
      <c r="W4" s="101"/>
      <c r="X4" s="183"/>
      <c r="Y4" s="183"/>
      <c r="Z4" s="183"/>
      <c r="AA4" s="183"/>
      <c r="AB4" s="183"/>
      <c r="AC4" s="172"/>
      <c r="AD4" s="101"/>
      <c r="AF4" s="103"/>
    </row>
    <row r="5" spans="1:34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238"/>
      <c r="Q5" s="101"/>
      <c r="R5" s="101"/>
      <c r="S5" s="101"/>
      <c r="T5" s="101"/>
      <c r="U5" s="101"/>
      <c r="V5" s="101"/>
      <c r="W5" s="101"/>
      <c r="X5" s="183"/>
      <c r="Y5" s="183"/>
      <c r="Z5" s="183"/>
      <c r="AA5" s="183"/>
      <c r="AB5" s="183"/>
      <c r="AC5" s="172"/>
      <c r="AD5" s="101"/>
      <c r="AF5" s="103"/>
    </row>
    <row r="6" spans="1:34" s="100" customFormat="1">
      <c r="C6" s="100" t="s">
        <v>154</v>
      </c>
      <c r="D6" s="101">
        <f>'OOD '!D6</f>
        <v>1</v>
      </c>
      <c r="E6" s="101">
        <f>'OOD '!E6</f>
        <v>2</v>
      </c>
      <c r="F6" s="101">
        <f>'OOD '!F6</f>
        <v>3</v>
      </c>
      <c r="G6" s="101">
        <f>'OOD '!G6</f>
        <v>4</v>
      </c>
      <c r="H6" s="101">
        <f>'OOD '!H6</f>
        <v>5</v>
      </c>
      <c r="I6" s="101">
        <f>'OOD '!I6</f>
        <v>6</v>
      </c>
      <c r="J6" s="101">
        <f>'OOD '!J6</f>
        <v>7</v>
      </c>
      <c r="K6" s="101">
        <f>'OOD '!K6</f>
        <v>8</v>
      </c>
      <c r="L6" s="101">
        <f>'OOD '!L6</f>
        <v>9</v>
      </c>
      <c r="M6" s="101">
        <f>'OOD '!M6</f>
        <v>10</v>
      </c>
      <c r="N6" s="101">
        <f>'OOD '!N6</f>
        <v>11</v>
      </c>
      <c r="O6" s="101">
        <f>'OOD '!O6</f>
        <v>12</v>
      </c>
      <c r="P6" s="239">
        <f>'OOD '!P6</f>
        <v>2025</v>
      </c>
      <c r="Q6" s="114">
        <f>'OOD '!Q6</f>
        <v>202401</v>
      </c>
      <c r="R6" s="114">
        <f>'OOD '!R6</f>
        <v>202402</v>
      </c>
      <c r="S6" s="114">
        <f>'OOD '!S6</f>
        <v>202403</v>
      </c>
      <c r="T6" s="114">
        <f>'OOD '!T6</f>
        <v>202404</v>
      </c>
      <c r="U6" s="114">
        <f>'OOD '!U6</f>
        <v>202405</v>
      </c>
      <c r="V6" s="114">
        <f>'OOD '!V6</f>
        <v>202406</v>
      </c>
      <c r="W6" s="114">
        <f>'OOD '!W6</f>
        <v>202407</v>
      </c>
      <c r="X6" s="114">
        <f>'OOD '!X6</f>
        <v>202408</v>
      </c>
      <c r="Y6" s="114">
        <f>'OOD '!Y6</f>
        <v>202409</v>
      </c>
      <c r="Z6" s="114">
        <f>'OOD '!Z6</f>
        <v>202410</v>
      </c>
      <c r="AA6" s="114">
        <f>'OOD '!AA6</f>
        <v>202411</v>
      </c>
      <c r="AB6" s="114">
        <f>'OOD '!AB6</f>
        <v>202412</v>
      </c>
      <c r="AC6" s="115">
        <f>'OOD '!AC6</f>
        <v>2024</v>
      </c>
      <c r="AD6" s="188" t="s">
        <v>6</v>
      </c>
      <c r="AE6" s="243" t="s">
        <v>156</v>
      </c>
      <c r="AF6" s="172">
        <v>2019</v>
      </c>
    </row>
    <row r="7" spans="1:34">
      <c r="C7" s="105" t="s">
        <v>154</v>
      </c>
      <c r="D7" s="116" t="str">
        <f>'OOD '!D7</f>
        <v>Budget</v>
      </c>
      <c r="E7" s="116" t="str">
        <f>'OOD '!E7</f>
        <v>Budget</v>
      </c>
      <c r="F7" s="116" t="str">
        <f>'OOD '!F7</f>
        <v>Budget</v>
      </c>
      <c r="G7" s="116" t="str">
        <f>'OOD '!G7</f>
        <v>Budget</v>
      </c>
      <c r="H7" s="116" t="str">
        <f>'OOD '!H7</f>
        <v>Budget</v>
      </c>
      <c r="I7" s="116" t="str">
        <f>'OOD '!I7</f>
        <v>Budget</v>
      </c>
      <c r="J7" s="116" t="str">
        <f>'OOD '!J7</f>
        <v>Budget</v>
      </c>
      <c r="K7" s="116" t="str">
        <f>'OOD '!K7</f>
        <v>Budget</v>
      </c>
      <c r="L7" s="116" t="str">
        <f>'OOD '!L7</f>
        <v>Budget</v>
      </c>
      <c r="M7" s="116" t="str">
        <f>'OOD '!M7</f>
        <v>Budget</v>
      </c>
      <c r="N7" s="116" t="str">
        <f>'OOD '!N7</f>
        <v>Budget</v>
      </c>
      <c r="O7" s="116" t="str">
        <f>'OOD '!O7</f>
        <v>Budget</v>
      </c>
      <c r="P7" s="253" t="str">
        <f>'OOD '!P7</f>
        <v>Budget</v>
      </c>
      <c r="Q7" s="244" t="str">
        <f>'OOD '!Q7</f>
        <v>Actual</v>
      </c>
      <c r="R7" s="244" t="str">
        <f>'OOD '!R7</f>
        <v>Actual</v>
      </c>
      <c r="S7" s="244" t="str">
        <f>'OOD '!S7</f>
        <v>Actual</v>
      </c>
      <c r="T7" s="244" t="str">
        <f>'OOD '!T7</f>
        <v>Actual</v>
      </c>
      <c r="U7" s="244" t="str">
        <f>'OOD '!U7</f>
        <v>Actual</v>
      </c>
      <c r="V7" s="244" t="str">
        <f>'OOD '!V7</f>
        <v>Actual</v>
      </c>
      <c r="W7" s="244" t="str">
        <f>'OOD '!W7</f>
        <v>Actual</v>
      </c>
      <c r="X7" s="244" t="str">
        <f>'OOD '!X7</f>
        <v>Actual</v>
      </c>
      <c r="Y7" s="244" t="str">
        <f>'OOD '!Y7</f>
        <v>Forecast</v>
      </c>
      <c r="Z7" s="244" t="str">
        <f>'OOD '!Z7</f>
        <v>Forecast</v>
      </c>
      <c r="AA7" s="244" t="str">
        <f>'OOD '!AA7</f>
        <v>Forecast</v>
      </c>
      <c r="AB7" s="244" t="str">
        <f>'OOD '!AB7</f>
        <v>Forecast</v>
      </c>
      <c r="AC7" s="245" t="str">
        <f>'OOD '!AC7</f>
        <v>Forecast</v>
      </c>
      <c r="AD7" s="189"/>
      <c r="AE7" s="246"/>
      <c r="AF7" s="129" t="s">
        <v>12</v>
      </c>
    </row>
    <row r="8" spans="1:34">
      <c r="C8" s="105" t="s">
        <v>682</v>
      </c>
      <c r="Q8" s="116"/>
      <c r="R8" s="116"/>
      <c r="S8" s="116"/>
      <c r="T8" s="116"/>
      <c r="U8" s="116"/>
      <c r="V8" s="116"/>
      <c r="W8" s="116"/>
      <c r="AF8" s="129"/>
    </row>
    <row r="9" spans="1:34">
      <c r="C9" s="105" t="s">
        <v>500</v>
      </c>
      <c r="Q9" s="116"/>
      <c r="R9" s="116"/>
      <c r="S9" s="116"/>
      <c r="T9" s="116"/>
      <c r="U9" s="116"/>
      <c r="V9" s="116"/>
      <c r="W9" s="116"/>
      <c r="AF9" s="129"/>
    </row>
    <row r="10" spans="1:34">
      <c r="C10" s="105" t="s">
        <v>154</v>
      </c>
      <c r="Q10" s="116"/>
      <c r="R10" s="116"/>
      <c r="S10" s="116"/>
      <c r="T10" s="116"/>
      <c r="U10" s="116"/>
      <c r="V10" s="116"/>
      <c r="W10" s="116"/>
      <c r="AF10" s="129"/>
    </row>
    <row r="11" spans="1:34">
      <c r="C11" s="105" t="s">
        <v>154</v>
      </c>
      <c r="Q11" s="116"/>
      <c r="R11" s="116"/>
      <c r="S11" s="116"/>
      <c r="T11" s="116"/>
      <c r="U11" s="116"/>
      <c r="V11" s="116"/>
      <c r="W11" s="116"/>
      <c r="AF11" s="129"/>
    </row>
    <row r="12" spans="1:34" s="109" customFormat="1">
      <c r="C12" s="109" t="s">
        <v>289</v>
      </c>
      <c r="D12" s="117">
        <f t="shared" ref="D12:O12" si="0">D65</f>
        <v>82139.069999999992</v>
      </c>
      <c r="E12" s="117">
        <f t="shared" si="0"/>
        <v>75727.38</v>
      </c>
      <c r="F12" s="117">
        <f t="shared" si="0"/>
        <v>76724.070000000007</v>
      </c>
      <c r="G12" s="117">
        <f t="shared" si="0"/>
        <v>77687.240000000005</v>
      </c>
      <c r="H12" s="117">
        <f t="shared" si="0"/>
        <v>78082.05</v>
      </c>
      <c r="I12" s="117">
        <f t="shared" si="0"/>
        <v>76812.58</v>
      </c>
      <c r="J12" s="117">
        <f t="shared" si="0"/>
        <v>76928.760000000009</v>
      </c>
      <c r="K12" s="117">
        <f t="shared" si="0"/>
        <v>76843.5</v>
      </c>
      <c r="L12" s="117">
        <f t="shared" si="0"/>
        <v>76883.5</v>
      </c>
      <c r="M12" s="117">
        <f t="shared" si="0"/>
        <v>84964.91</v>
      </c>
      <c r="N12" s="117">
        <f t="shared" si="0"/>
        <v>76950.25</v>
      </c>
      <c r="O12" s="117">
        <f t="shared" si="0"/>
        <v>76864.990000000005</v>
      </c>
      <c r="P12" s="137">
        <f>SUM(D12:O12)</f>
        <v>936608.3</v>
      </c>
      <c r="Q12" s="117">
        <f t="shared" ref="Q12:AB12" si="1">Q65</f>
        <v>64690.34</v>
      </c>
      <c r="R12" s="117">
        <f t="shared" si="1"/>
        <v>46846.26</v>
      </c>
      <c r="S12" s="117">
        <f t="shared" si="1"/>
        <v>53912.140000000007</v>
      </c>
      <c r="T12" s="117">
        <f t="shared" si="1"/>
        <v>70263.75</v>
      </c>
      <c r="U12" s="117">
        <f t="shared" si="1"/>
        <v>39230.989999999991</v>
      </c>
      <c r="V12" s="117">
        <f t="shared" si="1"/>
        <v>56687.27</v>
      </c>
      <c r="W12" s="117">
        <f t="shared" si="1"/>
        <v>79067.049999999988</v>
      </c>
      <c r="X12" s="117">
        <f t="shared" si="1"/>
        <v>81767.520000000004</v>
      </c>
      <c r="Y12" s="117">
        <f t="shared" si="1"/>
        <v>75043.33</v>
      </c>
      <c r="Z12" s="117">
        <f t="shared" si="1"/>
        <v>78875.33</v>
      </c>
      <c r="AA12" s="117">
        <f t="shared" si="1"/>
        <v>73258.33</v>
      </c>
      <c r="AB12" s="117">
        <f t="shared" si="1"/>
        <v>73258.33</v>
      </c>
      <c r="AC12" s="127">
        <f>SUM(Q12:AB12)</f>
        <v>792900.6399999999</v>
      </c>
      <c r="AD12" s="127">
        <f>P12-AC12</f>
        <v>143707.66000000015</v>
      </c>
      <c r="AE12" s="132">
        <f>AD12/AC12</f>
        <v>0.18124296128705378</v>
      </c>
      <c r="AF12" s="129">
        <v>449783.00999999995</v>
      </c>
      <c r="AG12" s="129">
        <f t="shared" ref="AG12:AG67" si="2">AF12-P12</f>
        <v>-486825.2900000001</v>
      </c>
      <c r="AH12" s="129"/>
    </row>
    <row r="13" spans="1:34">
      <c r="C13" s="105" t="s">
        <v>154</v>
      </c>
      <c r="Q13" s="116"/>
      <c r="R13" s="116"/>
      <c r="S13" s="116"/>
      <c r="T13" s="116"/>
      <c r="U13" s="116"/>
      <c r="V13" s="116"/>
      <c r="W13" s="116"/>
      <c r="AC13" s="127"/>
      <c r="AD13" s="72"/>
      <c r="AE13" s="192"/>
      <c r="AF13" s="129"/>
      <c r="AG13" s="129">
        <f t="shared" si="2"/>
        <v>0</v>
      </c>
      <c r="AH13" s="129"/>
    </row>
    <row r="14" spans="1:34">
      <c r="C14" s="105" t="s">
        <v>502</v>
      </c>
      <c r="Q14" s="116"/>
      <c r="R14" s="116"/>
      <c r="S14" s="116"/>
      <c r="T14" s="116"/>
      <c r="U14" s="116"/>
      <c r="V14" s="116"/>
      <c r="W14" s="116"/>
      <c r="AC14" s="127"/>
      <c r="AD14" s="72"/>
      <c r="AE14" s="192"/>
      <c r="AF14" s="129"/>
      <c r="AG14" s="129">
        <f t="shared" si="2"/>
        <v>0</v>
      </c>
      <c r="AH14" s="129"/>
    </row>
    <row r="15" spans="1:34">
      <c r="A15" s="105" t="s">
        <v>687</v>
      </c>
      <c r="B15" s="105" t="s">
        <v>635</v>
      </c>
      <c r="C15" s="105" t="s">
        <v>144</v>
      </c>
      <c r="D15" s="176">
        <f>+D71+D72+D73</f>
        <v>0</v>
      </c>
      <c r="E15" s="176">
        <f t="shared" ref="E15:O15" si="3">+E71+E72+E73</f>
        <v>0</v>
      </c>
      <c r="F15" s="176">
        <f t="shared" si="3"/>
        <v>0</v>
      </c>
      <c r="G15" s="176">
        <f t="shared" si="3"/>
        <v>0</v>
      </c>
      <c r="H15" s="176">
        <f t="shared" si="3"/>
        <v>0</v>
      </c>
      <c r="I15" s="176">
        <f t="shared" si="3"/>
        <v>0</v>
      </c>
      <c r="J15" s="176">
        <f t="shared" si="3"/>
        <v>0</v>
      </c>
      <c r="K15" s="176">
        <f t="shared" si="3"/>
        <v>0</v>
      </c>
      <c r="L15" s="176">
        <f t="shared" si="3"/>
        <v>0</v>
      </c>
      <c r="M15" s="176">
        <f t="shared" si="3"/>
        <v>0</v>
      </c>
      <c r="N15" s="176">
        <f t="shared" si="3"/>
        <v>0</v>
      </c>
      <c r="O15" s="176">
        <f t="shared" si="3"/>
        <v>0</v>
      </c>
      <c r="P15" s="133">
        <f>SUM(D15:O15)</f>
        <v>0</v>
      </c>
      <c r="Q15" s="116">
        <v>0</v>
      </c>
      <c r="R15" s="116">
        <v>0</v>
      </c>
      <c r="S15" s="116">
        <v>0</v>
      </c>
      <c r="T15" s="116">
        <v>0</v>
      </c>
      <c r="U15" s="116">
        <v>0.02</v>
      </c>
      <c r="V15" s="116">
        <v>-50</v>
      </c>
      <c r="W15" s="116">
        <v>0</v>
      </c>
      <c r="X15" s="116">
        <v>869.02</v>
      </c>
      <c r="Y15" s="116">
        <v>0</v>
      </c>
      <c r="Z15" s="116">
        <v>0</v>
      </c>
      <c r="AA15" s="116">
        <v>0</v>
      </c>
      <c r="AB15" s="116">
        <v>0</v>
      </c>
      <c r="AC15" s="127">
        <f t="shared" ref="AC15:AC27" si="4">SUM(Q15:AB15)</f>
        <v>819.04</v>
      </c>
      <c r="AD15" s="72">
        <f t="shared" ref="AD15:AD29" si="5">P15-AC15</f>
        <v>-819.04</v>
      </c>
      <c r="AE15" s="192">
        <f t="shared" ref="AE15:AE29" si="6">AD15/AC15</f>
        <v>-1</v>
      </c>
      <c r="AF15" s="129">
        <v>466.67</v>
      </c>
      <c r="AG15" s="129">
        <f t="shared" si="2"/>
        <v>466.67</v>
      </c>
      <c r="AH15" s="129"/>
    </row>
    <row r="16" spans="1:34">
      <c r="A16" s="105" t="s">
        <v>688</v>
      </c>
      <c r="B16" s="105" t="s">
        <v>635</v>
      </c>
      <c r="C16" s="105" t="s">
        <v>184</v>
      </c>
      <c r="D16" s="140">
        <v>1115</v>
      </c>
      <c r="E16" s="140">
        <v>1115</v>
      </c>
      <c r="F16" s="140">
        <v>1115</v>
      </c>
      <c r="G16" s="140">
        <v>1115</v>
      </c>
      <c r="H16" s="140">
        <v>1115</v>
      </c>
      <c r="I16" s="140">
        <v>1115</v>
      </c>
      <c r="J16" s="140">
        <v>1115</v>
      </c>
      <c r="K16" s="140">
        <v>1115</v>
      </c>
      <c r="L16" s="140">
        <v>1115</v>
      </c>
      <c r="M16" s="140">
        <v>1115</v>
      </c>
      <c r="N16" s="140">
        <v>1115</v>
      </c>
      <c r="O16" s="140">
        <v>1115</v>
      </c>
      <c r="P16" s="133">
        <f>SUM(D16:O16)</f>
        <v>13380</v>
      </c>
      <c r="Q16" s="116">
        <v>2187.92</v>
      </c>
      <c r="R16" s="116">
        <v>905.71</v>
      </c>
      <c r="S16" s="116">
        <v>337.1</v>
      </c>
      <c r="T16" s="116">
        <v>664.46</v>
      </c>
      <c r="U16" s="116">
        <v>1184.3900000000001</v>
      </c>
      <c r="V16" s="116">
        <v>1277.71</v>
      </c>
      <c r="W16" s="116">
        <v>0</v>
      </c>
      <c r="X16" s="116">
        <v>925.83</v>
      </c>
      <c r="Y16" s="116">
        <v>3000</v>
      </c>
      <c r="Z16" s="116">
        <v>1200</v>
      </c>
      <c r="AA16" s="116">
        <v>1500</v>
      </c>
      <c r="AB16" s="116">
        <v>5000</v>
      </c>
      <c r="AC16" s="127">
        <f t="shared" si="4"/>
        <v>18183.12</v>
      </c>
      <c r="AD16" s="72">
        <f t="shared" si="5"/>
        <v>-4803.119999999999</v>
      </c>
      <c r="AE16" s="192">
        <f t="shared" si="6"/>
        <v>-0.26415268666763453</v>
      </c>
      <c r="AF16" s="129">
        <v>9561.369999999999</v>
      </c>
      <c r="AG16" s="129">
        <f t="shared" si="2"/>
        <v>-3818.630000000001</v>
      </c>
      <c r="AH16" s="129"/>
    </row>
    <row r="17" spans="1:34">
      <c r="A17" s="105" t="s">
        <v>689</v>
      </c>
      <c r="B17" s="105" t="s">
        <v>635</v>
      </c>
      <c r="C17" s="105" t="s">
        <v>202</v>
      </c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33">
        <f t="shared" ref="P17:P27" si="7">SUM(D17:O17)</f>
        <v>0</v>
      </c>
      <c r="Q17" s="116">
        <v>0</v>
      </c>
      <c r="R17" s="116">
        <v>0</v>
      </c>
      <c r="S17" s="116">
        <v>0</v>
      </c>
      <c r="T17" s="116">
        <v>0</v>
      </c>
      <c r="U17" s="116">
        <v>0</v>
      </c>
      <c r="V17" s="116">
        <v>0</v>
      </c>
      <c r="W17" s="116">
        <v>0</v>
      </c>
      <c r="X17" s="116">
        <v>0</v>
      </c>
      <c r="Y17" s="116">
        <v>0</v>
      </c>
      <c r="Z17" s="116">
        <v>0</v>
      </c>
      <c r="AA17" s="116">
        <v>0</v>
      </c>
      <c r="AB17" s="116">
        <v>0</v>
      </c>
      <c r="AC17" s="127">
        <f t="shared" si="4"/>
        <v>0</v>
      </c>
      <c r="AD17" s="72">
        <f t="shared" si="5"/>
        <v>0</v>
      </c>
      <c r="AE17" s="192" t="e">
        <f t="shared" si="6"/>
        <v>#DIV/0!</v>
      </c>
      <c r="AF17" s="129">
        <v>0</v>
      </c>
      <c r="AG17" s="129">
        <f t="shared" si="2"/>
        <v>0</v>
      </c>
      <c r="AH17" s="129"/>
    </row>
    <row r="18" spans="1:34">
      <c r="A18" s="105" t="s">
        <v>690</v>
      </c>
      <c r="B18" s="105" t="s">
        <v>635</v>
      </c>
      <c r="C18" s="106" t="s">
        <v>691</v>
      </c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33">
        <f>SUM(D18:O18)</f>
        <v>0</v>
      </c>
      <c r="Q18" s="116">
        <v>0</v>
      </c>
      <c r="R18" s="116">
        <v>0</v>
      </c>
      <c r="S18" s="116">
        <v>0</v>
      </c>
      <c r="T18" s="116">
        <v>0</v>
      </c>
      <c r="U18" s="116">
        <v>0</v>
      </c>
      <c r="V18" s="116">
        <v>0</v>
      </c>
      <c r="W18" s="116">
        <v>0</v>
      </c>
      <c r="X18" s="116">
        <v>0</v>
      </c>
      <c r="Y18" s="116">
        <v>0</v>
      </c>
      <c r="Z18" s="116">
        <v>0</v>
      </c>
      <c r="AA18" s="116">
        <v>0</v>
      </c>
      <c r="AB18" s="116">
        <v>0</v>
      </c>
      <c r="AC18" s="127">
        <f>SUM(Q18:AB18)</f>
        <v>0</v>
      </c>
      <c r="AD18" s="72">
        <f t="shared" si="5"/>
        <v>0</v>
      </c>
      <c r="AE18" s="192" t="e">
        <f t="shared" si="6"/>
        <v>#DIV/0!</v>
      </c>
      <c r="AF18" s="129">
        <v>7991.27</v>
      </c>
      <c r="AG18" s="129">
        <f t="shared" si="2"/>
        <v>7991.27</v>
      </c>
      <c r="AH18" s="129"/>
    </row>
    <row r="19" spans="1:34">
      <c r="A19" s="105" t="s">
        <v>692</v>
      </c>
      <c r="B19" s="105" t="s">
        <v>635</v>
      </c>
      <c r="C19" s="105" t="s">
        <v>204</v>
      </c>
      <c r="D19" s="140">
        <v>432</v>
      </c>
      <c r="E19" s="140">
        <v>432</v>
      </c>
      <c r="F19" s="140">
        <v>432</v>
      </c>
      <c r="G19" s="140">
        <v>432</v>
      </c>
      <c r="H19" s="140">
        <v>432</v>
      </c>
      <c r="I19" s="140">
        <v>432</v>
      </c>
      <c r="J19" s="140">
        <v>432</v>
      </c>
      <c r="K19" s="140">
        <v>432</v>
      </c>
      <c r="L19" s="140">
        <v>432</v>
      </c>
      <c r="M19" s="140">
        <v>432</v>
      </c>
      <c r="N19" s="140">
        <v>432</v>
      </c>
      <c r="O19" s="140">
        <v>432</v>
      </c>
      <c r="P19" s="133">
        <f t="shared" si="7"/>
        <v>5184</v>
      </c>
      <c r="Q19" s="116">
        <v>0</v>
      </c>
      <c r="R19" s="116">
        <v>0</v>
      </c>
      <c r="S19" s="116">
        <v>0</v>
      </c>
      <c r="T19" s="116">
        <v>0</v>
      </c>
      <c r="U19" s="116">
        <v>0</v>
      </c>
      <c r="V19" s="116">
        <v>0</v>
      </c>
      <c r="W19" s="116">
        <v>0</v>
      </c>
      <c r="X19" s="116">
        <v>0</v>
      </c>
      <c r="Y19" s="116">
        <v>0</v>
      </c>
      <c r="Z19" s="116">
        <v>0</v>
      </c>
      <c r="AA19" s="116">
        <v>0</v>
      </c>
      <c r="AB19" s="116">
        <v>0</v>
      </c>
      <c r="AC19" s="127">
        <f t="shared" si="4"/>
        <v>0</v>
      </c>
      <c r="AD19" s="72">
        <f t="shared" si="5"/>
        <v>5184</v>
      </c>
      <c r="AE19" s="192" t="e">
        <f t="shared" si="6"/>
        <v>#DIV/0!</v>
      </c>
      <c r="AF19" s="129">
        <v>7991.27</v>
      </c>
      <c r="AG19" s="129">
        <f t="shared" si="2"/>
        <v>2807.2700000000004</v>
      </c>
      <c r="AH19" s="129"/>
    </row>
    <row r="20" spans="1:34">
      <c r="A20" s="105" t="s">
        <v>693</v>
      </c>
      <c r="B20" s="105" t="s">
        <v>635</v>
      </c>
      <c r="C20" s="105" t="s">
        <v>450</v>
      </c>
      <c r="D20" s="134">
        <v>140168</v>
      </c>
      <c r="E20" s="134">
        <v>140168</v>
      </c>
      <c r="F20" s="134">
        <v>120168</v>
      </c>
      <c r="G20" s="134">
        <v>120168</v>
      </c>
      <c r="H20" s="134">
        <v>140168</v>
      </c>
      <c r="I20" s="134">
        <v>120168</v>
      </c>
      <c r="J20" s="134">
        <v>120168</v>
      </c>
      <c r="K20" s="134">
        <v>120168</v>
      </c>
      <c r="L20" s="134">
        <v>120168</v>
      </c>
      <c r="M20" s="134">
        <v>140168</v>
      </c>
      <c r="N20" s="134">
        <v>120168</v>
      </c>
      <c r="O20" s="134">
        <v>120168</v>
      </c>
      <c r="P20" s="133">
        <f t="shared" si="7"/>
        <v>1522016</v>
      </c>
      <c r="Q20" s="116">
        <v>271925.96000000002</v>
      </c>
      <c r="R20" s="116">
        <v>893990.54</v>
      </c>
      <c r="S20" s="116">
        <v>229480.59</v>
      </c>
      <c r="T20" s="116">
        <v>234800.9</v>
      </c>
      <c r="U20" s="116">
        <v>-600923.96</v>
      </c>
      <c r="V20" s="116">
        <v>117457.96</v>
      </c>
      <c r="W20" s="116">
        <v>85575.039999999994</v>
      </c>
      <c r="X20" s="116">
        <v>92931.86</v>
      </c>
      <c r="Y20" s="116">
        <v>64300</v>
      </c>
      <c r="Z20" s="116">
        <v>172296</v>
      </c>
      <c r="AA20" s="116">
        <v>37300</v>
      </c>
      <c r="AB20" s="116">
        <v>217180</v>
      </c>
      <c r="AC20" s="127">
        <f t="shared" si="4"/>
        <v>1816314.8900000001</v>
      </c>
      <c r="AD20" s="72">
        <f t="shared" si="5"/>
        <v>-294298.89000000013</v>
      </c>
      <c r="AE20" s="192">
        <f t="shared" si="6"/>
        <v>-0.16203076439019895</v>
      </c>
      <c r="AF20" s="129">
        <v>668950.6399999999</v>
      </c>
      <c r="AG20" s="129">
        <f t="shared" si="2"/>
        <v>-853065.3600000001</v>
      </c>
      <c r="AH20" s="129"/>
    </row>
    <row r="21" spans="1:34">
      <c r="A21" s="105" t="s">
        <v>207</v>
      </c>
      <c r="B21" s="105" t="s">
        <v>635</v>
      </c>
      <c r="C21" s="105" t="s">
        <v>208</v>
      </c>
      <c r="D21" s="140">
        <v>350</v>
      </c>
      <c r="E21" s="140">
        <v>1350</v>
      </c>
      <c r="F21" s="140">
        <v>1350</v>
      </c>
      <c r="G21" s="140">
        <v>350</v>
      </c>
      <c r="H21" s="140">
        <v>2350</v>
      </c>
      <c r="I21" s="140">
        <v>350</v>
      </c>
      <c r="J21" s="140">
        <v>1350</v>
      </c>
      <c r="K21" s="140">
        <v>1350</v>
      </c>
      <c r="L21" s="140">
        <v>350</v>
      </c>
      <c r="M21" s="140">
        <v>350</v>
      </c>
      <c r="N21" s="140">
        <v>350</v>
      </c>
      <c r="O21" s="140">
        <v>350</v>
      </c>
      <c r="P21" s="133">
        <f t="shared" si="7"/>
        <v>10200</v>
      </c>
      <c r="Q21" s="116">
        <v>331.86</v>
      </c>
      <c r="R21" s="116">
        <v>1938.36</v>
      </c>
      <c r="S21" s="116">
        <v>331.86</v>
      </c>
      <c r="T21" s="116">
        <v>331.86</v>
      </c>
      <c r="U21" s="116">
        <v>331.86</v>
      </c>
      <c r="V21" s="116">
        <v>698.86</v>
      </c>
      <c r="W21" s="116">
        <v>331.86</v>
      </c>
      <c r="X21" s="116">
        <v>881.86</v>
      </c>
      <c r="Y21" s="116">
        <v>50</v>
      </c>
      <c r="Z21" s="116">
        <v>50</v>
      </c>
      <c r="AA21" s="116">
        <v>50</v>
      </c>
      <c r="AB21" s="116">
        <v>50</v>
      </c>
      <c r="AC21" s="127">
        <f t="shared" si="4"/>
        <v>5378.38</v>
      </c>
      <c r="AD21" s="72">
        <f t="shared" si="5"/>
        <v>4821.62</v>
      </c>
      <c r="AE21" s="192">
        <f t="shared" si="6"/>
        <v>0.8964818402567315</v>
      </c>
      <c r="AF21" s="129">
        <v>39.82</v>
      </c>
      <c r="AG21" s="129">
        <f t="shared" si="2"/>
        <v>-10160.18</v>
      </c>
      <c r="AH21" s="129"/>
    </row>
    <row r="22" spans="1:34">
      <c r="A22" s="105" t="s">
        <v>694</v>
      </c>
      <c r="B22" s="105" t="s">
        <v>635</v>
      </c>
      <c r="C22" s="105" t="s">
        <v>212</v>
      </c>
      <c r="D22" s="140">
        <v>10665</v>
      </c>
      <c r="E22" s="140">
        <v>1665</v>
      </c>
      <c r="F22" s="140">
        <v>2665</v>
      </c>
      <c r="G22" s="140">
        <v>665</v>
      </c>
      <c r="H22" s="140">
        <v>4665</v>
      </c>
      <c r="I22" s="140">
        <v>1665</v>
      </c>
      <c r="J22" s="140">
        <v>665</v>
      </c>
      <c r="K22" s="140">
        <v>665</v>
      </c>
      <c r="L22" s="140">
        <v>665</v>
      </c>
      <c r="M22" s="140">
        <v>12665</v>
      </c>
      <c r="N22" s="140">
        <v>2665</v>
      </c>
      <c r="O22" s="140">
        <v>2665</v>
      </c>
      <c r="P22" s="133">
        <f t="shared" si="7"/>
        <v>41980</v>
      </c>
      <c r="Q22" s="116">
        <v>660.38</v>
      </c>
      <c r="R22" s="116">
        <v>660.39</v>
      </c>
      <c r="S22" s="116">
        <v>660.38</v>
      </c>
      <c r="T22" s="116">
        <v>660.38</v>
      </c>
      <c r="U22" s="116">
        <v>2505.04</v>
      </c>
      <c r="V22" s="116">
        <v>714.38</v>
      </c>
      <c r="W22" s="116">
        <v>991.26</v>
      </c>
      <c r="X22" s="116">
        <v>517.41999999999996</v>
      </c>
      <c r="Y22" s="116">
        <v>1100</v>
      </c>
      <c r="Z22" s="116">
        <v>2800</v>
      </c>
      <c r="AA22" s="116">
        <v>1100</v>
      </c>
      <c r="AB22" s="116">
        <v>2100</v>
      </c>
      <c r="AC22" s="127">
        <f t="shared" si="4"/>
        <v>14469.630000000001</v>
      </c>
      <c r="AD22" s="72">
        <f t="shared" si="5"/>
        <v>27510.37</v>
      </c>
      <c r="AE22" s="192">
        <f t="shared" si="6"/>
        <v>1.9012490298646196</v>
      </c>
      <c r="AF22" s="129">
        <v>5722.6399999999994</v>
      </c>
      <c r="AG22" s="129">
        <f t="shared" si="2"/>
        <v>-36257.360000000001</v>
      </c>
      <c r="AH22" s="129"/>
    </row>
    <row r="23" spans="1:34">
      <c r="A23" s="254" t="s">
        <v>695</v>
      </c>
      <c r="B23" s="105" t="s">
        <v>635</v>
      </c>
      <c r="C23" s="105" t="s">
        <v>214</v>
      </c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33">
        <f>SUM(D23:O23)</f>
        <v>0</v>
      </c>
      <c r="Q23" s="116">
        <v>0</v>
      </c>
      <c r="R23" s="116">
        <v>0</v>
      </c>
      <c r="S23" s="116">
        <v>0</v>
      </c>
      <c r="T23" s="116">
        <v>0</v>
      </c>
      <c r="U23" s="116">
        <v>0</v>
      </c>
      <c r="V23" s="116">
        <v>0</v>
      </c>
      <c r="W23" s="116">
        <v>0</v>
      </c>
      <c r="X23" s="116">
        <v>0</v>
      </c>
      <c r="Y23" s="116">
        <v>0</v>
      </c>
      <c r="Z23" s="116">
        <v>0</v>
      </c>
      <c r="AA23" s="116">
        <v>0</v>
      </c>
      <c r="AB23" s="116">
        <v>0</v>
      </c>
      <c r="AC23" s="127">
        <f t="shared" si="4"/>
        <v>0</v>
      </c>
      <c r="AD23" s="72">
        <f t="shared" si="5"/>
        <v>0</v>
      </c>
      <c r="AE23" s="192" t="e">
        <f t="shared" si="6"/>
        <v>#DIV/0!</v>
      </c>
      <c r="AF23" s="129">
        <v>0</v>
      </c>
      <c r="AG23" s="129">
        <f t="shared" si="2"/>
        <v>0</v>
      </c>
      <c r="AH23" s="129"/>
    </row>
    <row r="24" spans="1:34">
      <c r="A24" s="105" t="s">
        <v>696</v>
      </c>
      <c r="B24" s="105" t="s">
        <v>635</v>
      </c>
      <c r="C24" s="105" t="s">
        <v>216</v>
      </c>
      <c r="D24" s="140">
        <f>900-515</f>
        <v>385</v>
      </c>
      <c r="E24" s="140">
        <f t="shared" ref="E24:O24" si="8">900-515</f>
        <v>385</v>
      </c>
      <c r="F24" s="140">
        <f t="shared" si="8"/>
        <v>385</v>
      </c>
      <c r="G24" s="140">
        <f t="shared" si="8"/>
        <v>385</v>
      </c>
      <c r="H24" s="140">
        <f t="shared" si="8"/>
        <v>385</v>
      </c>
      <c r="I24" s="140">
        <f t="shared" si="8"/>
        <v>385</v>
      </c>
      <c r="J24" s="140">
        <f t="shared" si="8"/>
        <v>385</v>
      </c>
      <c r="K24" s="140">
        <f t="shared" si="8"/>
        <v>385</v>
      </c>
      <c r="L24" s="140">
        <f t="shared" si="8"/>
        <v>385</v>
      </c>
      <c r="M24" s="140">
        <f t="shared" si="8"/>
        <v>385</v>
      </c>
      <c r="N24" s="140">
        <f t="shared" si="8"/>
        <v>385</v>
      </c>
      <c r="O24" s="140">
        <f t="shared" si="8"/>
        <v>385</v>
      </c>
      <c r="P24" s="133">
        <f t="shared" si="7"/>
        <v>4620</v>
      </c>
      <c r="Q24" s="116">
        <v>363.63</v>
      </c>
      <c r="R24" s="116">
        <v>104.9</v>
      </c>
      <c r="S24" s="116">
        <v>367.92</v>
      </c>
      <c r="T24" s="116">
        <v>372.1</v>
      </c>
      <c r="U24" s="116">
        <v>131.80000000000001</v>
      </c>
      <c r="V24" s="116">
        <v>376.3</v>
      </c>
      <c r="W24" s="116">
        <v>131</v>
      </c>
      <c r="X24" s="116">
        <v>375.2</v>
      </c>
      <c r="Y24" s="116">
        <v>660</v>
      </c>
      <c r="Z24" s="116">
        <v>660</v>
      </c>
      <c r="AA24" s="116">
        <v>660</v>
      </c>
      <c r="AB24" s="116">
        <v>660</v>
      </c>
      <c r="AC24" s="127">
        <f t="shared" si="4"/>
        <v>4862.8500000000004</v>
      </c>
      <c r="AD24" s="72">
        <f t="shared" si="5"/>
        <v>-242.85000000000036</v>
      </c>
      <c r="AE24" s="192">
        <f t="shared" si="6"/>
        <v>-4.9939850087911478E-2</v>
      </c>
      <c r="AF24" s="129">
        <v>5066.4699999999993</v>
      </c>
      <c r="AG24" s="129">
        <f t="shared" si="2"/>
        <v>446.46999999999935</v>
      </c>
      <c r="AH24" s="129"/>
    </row>
    <row r="25" spans="1:34">
      <c r="A25" s="105" t="s">
        <v>697</v>
      </c>
      <c r="B25" s="105" t="s">
        <v>635</v>
      </c>
      <c r="C25" s="105" t="s">
        <v>218</v>
      </c>
      <c r="D25" s="140">
        <v>883</v>
      </c>
      <c r="E25" s="140">
        <v>883</v>
      </c>
      <c r="F25" s="140">
        <v>883</v>
      </c>
      <c r="G25" s="140">
        <v>883</v>
      </c>
      <c r="H25" s="140">
        <v>883</v>
      </c>
      <c r="I25" s="140">
        <v>883</v>
      </c>
      <c r="J25" s="140">
        <v>883</v>
      </c>
      <c r="K25" s="140">
        <v>883</v>
      </c>
      <c r="L25" s="140">
        <v>883</v>
      </c>
      <c r="M25" s="140">
        <v>883</v>
      </c>
      <c r="N25" s="140">
        <v>883</v>
      </c>
      <c r="O25" s="140">
        <v>883</v>
      </c>
      <c r="P25" s="133">
        <f t="shared" si="7"/>
        <v>10596</v>
      </c>
      <c r="Q25" s="116">
        <v>229</v>
      </c>
      <c r="R25" s="116">
        <v>229</v>
      </c>
      <c r="S25" s="116">
        <v>668.02</v>
      </c>
      <c r="T25" s="116">
        <v>24</v>
      </c>
      <c r="U25" s="116">
        <v>229</v>
      </c>
      <c r="V25" s="116">
        <v>414</v>
      </c>
      <c r="W25" s="116">
        <v>580.61</v>
      </c>
      <c r="X25" s="116">
        <v>1448.49</v>
      </c>
      <c r="Y25" s="116">
        <v>900</v>
      </c>
      <c r="Z25" s="116">
        <v>900</v>
      </c>
      <c r="AA25" s="116">
        <v>900</v>
      </c>
      <c r="AB25" s="116">
        <v>900</v>
      </c>
      <c r="AC25" s="127">
        <f t="shared" si="4"/>
        <v>7422.12</v>
      </c>
      <c r="AD25" s="72">
        <f t="shared" si="5"/>
        <v>3173.88</v>
      </c>
      <c r="AE25" s="192">
        <f t="shared" si="6"/>
        <v>0.42762445231281632</v>
      </c>
      <c r="AF25" s="129">
        <v>3702.06</v>
      </c>
      <c r="AG25" s="129">
        <f t="shared" si="2"/>
        <v>-6893.9400000000005</v>
      </c>
      <c r="AH25" s="129"/>
    </row>
    <row r="26" spans="1:34">
      <c r="A26" s="105" t="s">
        <v>219</v>
      </c>
      <c r="B26" s="105" t="s">
        <v>635</v>
      </c>
      <c r="C26" s="105" t="s">
        <v>220</v>
      </c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33">
        <f>SUM(D26:O26)</f>
        <v>0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0</v>
      </c>
      <c r="X26" s="116">
        <v>0</v>
      </c>
      <c r="Y26" s="116">
        <v>0</v>
      </c>
      <c r="Z26" s="116">
        <v>0</v>
      </c>
      <c r="AA26" s="116">
        <v>0</v>
      </c>
      <c r="AB26" s="116">
        <v>0</v>
      </c>
      <c r="AC26" s="127">
        <f t="shared" si="4"/>
        <v>0</v>
      </c>
      <c r="AD26" s="72">
        <f t="shared" si="5"/>
        <v>0</v>
      </c>
      <c r="AE26" s="192" t="e">
        <f t="shared" si="6"/>
        <v>#DIV/0!</v>
      </c>
      <c r="AF26" s="129">
        <v>5158.3999999999996</v>
      </c>
      <c r="AG26" s="129">
        <f t="shared" si="2"/>
        <v>5158.3999999999996</v>
      </c>
      <c r="AH26" s="129"/>
    </row>
    <row r="27" spans="1:34">
      <c r="A27" s="105" t="s">
        <v>698</v>
      </c>
      <c r="B27" s="105" t="s">
        <v>635</v>
      </c>
      <c r="C27" s="105" t="s">
        <v>222</v>
      </c>
      <c r="D27" s="134">
        <v>11080</v>
      </c>
      <c r="E27" s="134">
        <v>2280</v>
      </c>
      <c r="F27" s="134">
        <v>2280</v>
      </c>
      <c r="G27" s="134">
        <v>4080</v>
      </c>
      <c r="H27" s="134">
        <v>10080</v>
      </c>
      <c r="I27" s="134">
        <v>6080</v>
      </c>
      <c r="J27" s="134">
        <v>1080</v>
      </c>
      <c r="K27" s="134">
        <v>1080</v>
      </c>
      <c r="L27" s="134">
        <v>1080</v>
      </c>
      <c r="M27" s="134">
        <v>9080</v>
      </c>
      <c r="N27" s="134">
        <v>4080</v>
      </c>
      <c r="O27" s="134">
        <v>4080</v>
      </c>
      <c r="P27" s="133">
        <f t="shared" si="7"/>
        <v>56360</v>
      </c>
      <c r="Q27" s="116">
        <v>978.06</v>
      </c>
      <c r="R27" s="116">
        <v>12843.59</v>
      </c>
      <c r="S27" s="116">
        <v>4298.6899999999996</v>
      </c>
      <c r="T27" s="116">
        <v>2239</v>
      </c>
      <c r="U27" s="116">
        <v>831</v>
      </c>
      <c r="V27" s="116">
        <v>420.4</v>
      </c>
      <c r="W27" s="116">
        <v>1683.4</v>
      </c>
      <c r="X27" s="116">
        <v>400.1</v>
      </c>
      <c r="Y27" s="116">
        <v>500</v>
      </c>
      <c r="Z27" s="116">
        <v>2000</v>
      </c>
      <c r="AA27" s="116">
        <v>500</v>
      </c>
      <c r="AB27" s="116">
        <v>4000</v>
      </c>
      <c r="AC27" s="127">
        <f t="shared" si="4"/>
        <v>30694.240000000002</v>
      </c>
      <c r="AD27" s="72">
        <f t="shared" si="5"/>
        <v>25665.759999999998</v>
      </c>
      <c r="AE27" s="192">
        <f t="shared" si="6"/>
        <v>0.83617512601712884</v>
      </c>
      <c r="AF27" s="129">
        <v>56748.75</v>
      </c>
      <c r="AG27" s="129">
        <f t="shared" si="2"/>
        <v>388.75</v>
      </c>
      <c r="AH27" s="129"/>
    </row>
    <row r="28" spans="1:34">
      <c r="C28" s="105" t="s">
        <v>507</v>
      </c>
      <c r="D28" s="117">
        <f t="shared" ref="D28:AC28" si="9">SUM(D15:D27)</f>
        <v>165078</v>
      </c>
      <c r="E28" s="117">
        <f t="shared" si="9"/>
        <v>148278</v>
      </c>
      <c r="F28" s="117">
        <f t="shared" si="9"/>
        <v>129278</v>
      </c>
      <c r="G28" s="117">
        <f t="shared" si="9"/>
        <v>128078</v>
      </c>
      <c r="H28" s="117">
        <f t="shared" si="9"/>
        <v>160078</v>
      </c>
      <c r="I28" s="117">
        <f t="shared" si="9"/>
        <v>131078</v>
      </c>
      <c r="J28" s="117">
        <f t="shared" si="9"/>
        <v>126078</v>
      </c>
      <c r="K28" s="117">
        <f t="shared" si="9"/>
        <v>126078</v>
      </c>
      <c r="L28" s="117">
        <f t="shared" si="9"/>
        <v>125078</v>
      </c>
      <c r="M28" s="117">
        <f t="shared" si="9"/>
        <v>165078</v>
      </c>
      <c r="N28" s="117">
        <f t="shared" si="9"/>
        <v>130078</v>
      </c>
      <c r="O28" s="117">
        <f t="shared" si="9"/>
        <v>130078</v>
      </c>
      <c r="P28" s="133">
        <f t="shared" si="9"/>
        <v>1664336</v>
      </c>
      <c r="Q28" s="117">
        <f t="shared" si="9"/>
        <v>276676.81</v>
      </c>
      <c r="R28" s="117">
        <f t="shared" si="9"/>
        <v>910672.49</v>
      </c>
      <c r="S28" s="117">
        <f t="shared" si="9"/>
        <v>236144.56</v>
      </c>
      <c r="T28" s="117">
        <f t="shared" si="9"/>
        <v>239092.69999999998</v>
      </c>
      <c r="U28" s="117">
        <f t="shared" si="9"/>
        <v>-595710.84999999986</v>
      </c>
      <c r="V28" s="117">
        <f t="shared" si="9"/>
        <v>121309.61000000002</v>
      </c>
      <c r="W28" s="117">
        <f t="shared" si="9"/>
        <v>89293.169999999984</v>
      </c>
      <c r="X28" s="117">
        <f t="shared" si="9"/>
        <v>98349.780000000013</v>
      </c>
      <c r="Y28" s="117">
        <f t="shared" si="9"/>
        <v>70510</v>
      </c>
      <c r="Z28" s="117">
        <f t="shared" si="9"/>
        <v>179906</v>
      </c>
      <c r="AA28" s="117">
        <f t="shared" si="9"/>
        <v>42010</v>
      </c>
      <c r="AB28" s="117">
        <f t="shared" si="9"/>
        <v>229890</v>
      </c>
      <c r="AC28" s="127">
        <f t="shared" si="9"/>
        <v>1898144.27</v>
      </c>
      <c r="AD28" s="72">
        <f t="shared" si="5"/>
        <v>-233808.27000000002</v>
      </c>
      <c r="AE28" s="192">
        <f t="shared" si="6"/>
        <v>-0.12317729147110615</v>
      </c>
      <c r="AF28" s="129">
        <v>763408.09</v>
      </c>
      <c r="AG28" s="129">
        <f t="shared" si="2"/>
        <v>-900927.91</v>
      </c>
      <c r="AH28" s="129"/>
    </row>
    <row r="29" spans="1:34" s="109" customFormat="1">
      <c r="C29" s="109" t="s">
        <v>508</v>
      </c>
      <c r="D29" s="117">
        <f t="shared" ref="D29:AC29" si="10">D9-D12-D28</f>
        <v>-247217.07</v>
      </c>
      <c r="E29" s="117">
        <f t="shared" si="10"/>
        <v>-224005.38</v>
      </c>
      <c r="F29" s="117">
        <f t="shared" si="10"/>
        <v>-206002.07</v>
      </c>
      <c r="G29" s="117">
        <f t="shared" si="10"/>
        <v>-205765.24</v>
      </c>
      <c r="H29" s="117">
        <f t="shared" si="10"/>
        <v>-238160.05</v>
      </c>
      <c r="I29" s="117">
        <f t="shared" si="10"/>
        <v>-207890.58000000002</v>
      </c>
      <c r="J29" s="117">
        <f t="shared" si="10"/>
        <v>-203006.76</v>
      </c>
      <c r="K29" s="117">
        <f t="shared" si="10"/>
        <v>-202921.5</v>
      </c>
      <c r="L29" s="117">
        <f t="shared" si="10"/>
        <v>-201961.5</v>
      </c>
      <c r="M29" s="117">
        <f t="shared" si="10"/>
        <v>-250042.91</v>
      </c>
      <c r="N29" s="117">
        <f t="shared" si="10"/>
        <v>-207028.25</v>
      </c>
      <c r="O29" s="117">
        <f t="shared" si="10"/>
        <v>-206942.99</v>
      </c>
      <c r="P29" s="129">
        <f t="shared" si="10"/>
        <v>-2600944.2999999998</v>
      </c>
      <c r="Q29" s="117">
        <f t="shared" si="10"/>
        <v>-341367.15</v>
      </c>
      <c r="R29" s="117">
        <f t="shared" si="10"/>
        <v>-957518.75</v>
      </c>
      <c r="S29" s="117">
        <f t="shared" si="10"/>
        <v>-290056.7</v>
      </c>
      <c r="T29" s="117">
        <f t="shared" si="10"/>
        <v>-309356.44999999995</v>
      </c>
      <c r="U29" s="117">
        <f t="shared" si="10"/>
        <v>556479.85999999987</v>
      </c>
      <c r="V29" s="117">
        <f t="shared" si="10"/>
        <v>-177996.88</v>
      </c>
      <c r="W29" s="117">
        <f t="shared" si="10"/>
        <v>-168360.21999999997</v>
      </c>
      <c r="X29" s="117">
        <f t="shared" si="10"/>
        <v>-180117.30000000002</v>
      </c>
      <c r="Y29" s="117">
        <f t="shared" si="10"/>
        <v>-145553.33000000002</v>
      </c>
      <c r="Z29" s="117">
        <f t="shared" si="10"/>
        <v>-258781.33000000002</v>
      </c>
      <c r="AA29" s="117">
        <f t="shared" si="10"/>
        <v>-115268.33</v>
      </c>
      <c r="AB29" s="117">
        <f t="shared" si="10"/>
        <v>-303148.33</v>
      </c>
      <c r="AC29" s="127">
        <f t="shared" si="10"/>
        <v>-2691044.91</v>
      </c>
      <c r="AD29" s="72">
        <f t="shared" si="5"/>
        <v>90100.610000000335</v>
      </c>
      <c r="AE29" s="132">
        <f t="shared" si="6"/>
        <v>-3.3481644867829549E-2</v>
      </c>
      <c r="AF29" s="129">
        <v>-1213191.0999999999</v>
      </c>
      <c r="AG29" s="129">
        <f t="shared" si="2"/>
        <v>1387753.2</v>
      </c>
      <c r="AH29" s="129"/>
    </row>
    <row r="30" spans="1:34">
      <c r="C30" s="105" t="s">
        <v>154</v>
      </c>
      <c r="P30" s="137"/>
      <c r="Q30" s="116"/>
      <c r="R30" s="116"/>
      <c r="S30" s="116"/>
      <c r="T30" s="116"/>
      <c r="U30" s="116"/>
      <c r="V30" s="116"/>
      <c r="W30" s="116"/>
      <c r="AC30" s="127"/>
      <c r="AD30" s="72"/>
      <c r="AE30" s="192"/>
      <c r="AF30" s="129"/>
      <c r="AG30" s="129">
        <f t="shared" si="2"/>
        <v>0</v>
      </c>
      <c r="AH30" s="129"/>
    </row>
    <row r="31" spans="1:34">
      <c r="C31" s="105" t="s">
        <v>154</v>
      </c>
      <c r="P31" s="137"/>
      <c r="Q31" s="116"/>
      <c r="R31" s="116"/>
      <c r="S31" s="116"/>
      <c r="T31" s="116"/>
      <c r="U31" s="116"/>
      <c r="V31" s="116"/>
      <c r="W31" s="116"/>
      <c r="AC31" s="127"/>
      <c r="AD31" s="72"/>
      <c r="AE31" s="192"/>
      <c r="AF31" s="129"/>
      <c r="AG31" s="129">
        <f t="shared" si="2"/>
        <v>0</v>
      </c>
      <c r="AH31" s="129"/>
    </row>
    <row r="32" spans="1:34">
      <c r="C32" s="105" t="s">
        <v>516</v>
      </c>
      <c r="P32" s="137"/>
      <c r="Q32" s="116"/>
      <c r="R32" s="116"/>
      <c r="S32" s="116"/>
      <c r="T32" s="116"/>
      <c r="U32" s="116"/>
      <c r="V32" s="116"/>
      <c r="W32" s="116"/>
      <c r="AC32" s="127"/>
      <c r="AD32" s="72"/>
      <c r="AE32" s="192"/>
      <c r="AF32" s="129"/>
      <c r="AG32" s="129">
        <f t="shared" si="2"/>
        <v>0</v>
      </c>
      <c r="AH32" s="129"/>
    </row>
    <row r="33" spans="1:33">
      <c r="C33" s="105" t="s">
        <v>517</v>
      </c>
      <c r="P33" s="137"/>
      <c r="Q33" s="116"/>
      <c r="R33" s="116"/>
      <c r="S33" s="116"/>
      <c r="T33" s="116"/>
      <c r="U33" s="116"/>
      <c r="V33" s="116"/>
      <c r="W33" s="116"/>
      <c r="AC33" s="127"/>
      <c r="AD33" s="72"/>
      <c r="AE33" s="192"/>
      <c r="AF33" s="129"/>
      <c r="AG33" s="129">
        <f t="shared" si="2"/>
        <v>0</v>
      </c>
    </row>
    <row r="34" spans="1:33">
      <c r="A34" s="105" t="s">
        <v>248</v>
      </c>
      <c r="B34" s="105" t="s">
        <v>635</v>
      </c>
      <c r="C34" s="105" t="s">
        <v>250</v>
      </c>
      <c r="D34" s="215">
        <v>28663.33</v>
      </c>
      <c r="E34" s="116">
        <v>28663.33</v>
      </c>
      <c r="F34" s="116">
        <v>29471.83</v>
      </c>
      <c r="G34" s="116">
        <v>29471.83</v>
      </c>
      <c r="H34" s="116">
        <v>29471.83</v>
      </c>
      <c r="I34" s="116">
        <v>29471.83</v>
      </c>
      <c r="J34" s="116">
        <v>29471.83</v>
      </c>
      <c r="K34" s="116">
        <v>29471.83</v>
      </c>
      <c r="L34" s="116">
        <v>29471.83</v>
      </c>
      <c r="M34" s="116">
        <v>29471.83</v>
      </c>
      <c r="N34" s="116">
        <v>29471.83</v>
      </c>
      <c r="O34" s="116">
        <v>29471.83</v>
      </c>
      <c r="P34" s="137">
        <f>SUM(D34:O34)</f>
        <v>352044.96000000014</v>
      </c>
      <c r="Q34" s="116">
        <v>30448.28</v>
      </c>
      <c r="R34" s="116">
        <v>15000</v>
      </c>
      <c r="S34" s="116">
        <v>20057.47</v>
      </c>
      <c r="T34" s="116">
        <v>32195.4</v>
      </c>
      <c r="U34" s="116">
        <v>15000</v>
      </c>
      <c r="V34" s="116">
        <v>25672.41</v>
      </c>
      <c r="W34" s="116">
        <v>45500</v>
      </c>
      <c r="X34" s="116">
        <v>46918.97</v>
      </c>
      <c r="Y34" s="116">
        <v>38676</v>
      </c>
      <c r="Z34" s="116">
        <v>38676</v>
      </c>
      <c r="AA34" s="116">
        <v>38676</v>
      </c>
      <c r="AB34" s="116">
        <v>38676</v>
      </c>
      <c r="AC34" s="127">
        <f>SUM(Q34:AB34)</f>
        <v>385496.53</v>
      </c>
      <c r="AD34" s="72">
        <f t="shared" ref="AD34:AD36" si="11">P34-AC34</f>
        <v>-33451.569999999891</v>
      </c>
      <c r="AE34" s="192">
        <f t="shared" ref="AE34:AE36" si="12">AD34/AC34</f>
        <v>-8.6775281738592794E-2</v>
      </c>
      <c r="AF34" s="129">
        <v>176397.8</v>
      </c>
      <c r="AG34" s="129">
        <f t="shared" si="2"/>
        <v>-175647.16000000015</v>
      </c>
    </row>
    <row r="35" spans="1:33">
      <c r="A35" s="105" t="s">
        <v>251</v>
      </c>
      <c r="B35" s="105" t="s">
        <v>635</v>
      </c>
      <c r="C35" s="105" t="s">
        <v>468</v>
      </c>
      <c r="D35" s="215">
        <v>3040</v>
      </c>
      <c r="E35" s="116">
        <v>3040</v>
      </c>
      <c r="F35" s="116">
        <v>3192</v>
      </c>
      <c r="G35" s="116">
        <v>3192</v>
      </c>
      <c r="H35" s="116">
        <v>3192</v>
      </c>
      <c r="I35" s="116">
        <v>3192</v>
      </c>
      <c r="J35" s="116">
        <v>3192</v>
      </c>
      <c r="K35" s="116">
        <v>3192</v>
      </c>
      <c r="L35" s="116">
        <v>3192</v>
      </c>
      <c r="M35" s="116">
        <v>3192</v>
      </c>
      <c r="N35" s="116">
        <v>3192</v>
      </c>
      <c r="O35" s="116">
        <v>3192</v>
      </c>
      <c r="P35" s="137">
        <f>SUM(D35:O35)</f>
        <v>38000</v>
      </c>
      <c r="Q35" s="140">
        <v>3800</v>
      </c>
      <c r="R35" s="140">
        <v>3800</v>
      </c>
      <c r="S35" s="140">
        <v>3800</v>
      </c>
      <c r="T35" s="140">
        <v>3800</v>
      </c>
      <c r="U35" s="140">
        <v>4225.66</v>
      </c>
      <c r="V35" s="140">
        <v>1287.3599999999999</v>
      </c>
      <c r="W35" s="116">
        <v>0</v>
      </c>
      <c r="X35" s="116">
        <v>1126.44</v>
      </c>
      <c r="Y35" s="116">
        <v>3800</v>
      </c>
      <c r="Z35" s="116">
        <v>3800</v>
      </c>
      <c r="AA35" s="116">
        <v>3800</v>
      </c>
      <c r="AB35" s="116">
        <v>3800</v>
      </c>
      <c r="AC35" s="137">
        <f>SUM(Q35:AB35)</f>
        <v>37039.46</v>
      </c>
      <c r="AD35" s="136">
        <f t="shared" si="11"/>
        <v>960.54000000000087</v>
      </c>
      <c r="AE35" s="196">
        <f t="shared" si="12"/>
        <v>2.5932883470763366E-2</v>
      </c>
      <c r="AF35" s="129">
        <v>42000</v>
      </c>
      <c r="AG35" s="129">
        <f t="shared" si="2"/>
        <v>4000</v>
      </c>
    </row>
    <row r="36" spans="1:33">
      <c r="C36" s="105" t="s">
        <v>520</v>
      </c>
      <c r="D36" s="117">
        <f t="shared" ref="D36:AC36" si="13">SUM(D34:D35)</f>
        <v>31703.33</v>
      </c>
      <c r="E36" s="117">
        <f t="shared" si="13"/>
        <v>31703.33</v>
      </c>
      <c r="F36" s="117">
        <f t="shared" si="13"/>
        <v>32663.83</v>
      </c>
      <c r="G36" s="117">
        <f t="shared" si="13"/>
        <v>32663.83</v>
      </c>
      <c r="H36" s="117">
        <f t="shared" si="13"/>
        <v>32663.83</v>
      </c>
      <c r="I36" s="117">
        <f t="shared" si="13"/>
        <v>32663.83</v>
      </c>
      <c r="J36" s="117">
        <f t="shared" si="13"/>
        <v>32663.83</v>
      </c>
      <c r="K36" s="117">
        <f t="shared" si="13"/>
        <v>32663.83</v>
      </c>
      <c r="L36" s="117">
        <f t="shared" si="13"/>
        <v>32663.83</v>
      </c>
      <c r="M36" s="117">
        <f t="shared" si="13"/>
        <v>32663.83</v>
      </c>
      <c r="N36" s="117">
        <f t="shared" si="13"/>
        <v>32663.83</v>
      </c>
      <c r="O36" s="117">
        <f t="shared" si="13"/>
        <v>32663.83</v>
      </c>
      <c r="P36" s="137">
        <f t="shared" si="13"/>
        <v>390044.96000000014</v>
      </c>
      <c r="Q36" s="117">
        <f t="shared" si="13"/>
        <v>34248.28</v>
      </c>
      <c r="R36" s="117">
        <f t="shared" si="13"/>
        <v>18800</v>
      </c>
      <c r="S36" s="117">
        <f t="shared" si="13"/>
        <v>23857.47</v>
      </c>
      <c r="T36" s="117">
        <f t="shared" si="13"/>
        <v>35995.4</v>
      </c>
      <c r="U36" s="117">
        <f t="shared" si="13"/>
        <v>19225.66</v>
      </c>
      <c r="V36" s="117">
        <f t="shared" si="13"/>
        <v>26959.77</v>
      </c>
      <c r="W36" s="117">
        <f t="shared" si="13"/>
        <v>45500</v>
      </c>
      <c r="X36" s="117">
        <f t="shared" si="13"/>
        <v>48045.41</v>
      </c>
      <c r="Y36" s="117">
        <f t="shared" si="13"/>
        <v>42476</v>
      </c>
      <c r="Z36" s="117">
        <f t="shared" si="13"/>
        <v>42476</v>
      </c>
      <c r="AA36" s="117">
        <f t="shared" si="13"/>
        <v>42476</v>
      </c>
      <c r="AB36" s="117">
        <f t="shared" si="13"/>
        <v>42476</v>
      </c>
      <c r="AC36" s="127">
        <f t="shared" si="13"/>
        <v>422535.99000000005</v>
      </c>
      <c r="AD36" s="72">
        <f t="shared" si="11"/>
        <v>-32491.029999999912</v>
      </c>
      <c r="AE36" s="192">
        <f t="shared" si="12"/>
        <v>-7.6895295948636019E-2</v>
      </c>
      <c r="AF36" s="129">
        <v>218397.8</v>
      </c>
      <c r="AG36" s="129">
        <f t="shared" si="2"/>
        <v>-171647.16000000015</v>
      </c>
    </row>
    <row r="37" spans="1:33">
      <c r="C37" s="105" t="s">
        <v>154</v>
      </c>
      <c r="P37" s="137"/>
      <c r="Q37" s="116"/>
      <c r="R37" s="116"/>
      <c r="S37" s="116"/>
      <c r="T37" s="116"/>
      <c r="U37" s="116"/>
      <c r="V37" s="116"/>
      <c r="W37" s="116"/>
      <c r="AC37" s="127"/>
      <c r="AD37" s="72"/>
      <c r="AE37" s="192"/>
      <c r="AF37" s="129"/>
      <c r="AG37" s="129">
        <f t="shared" si="2"/>
        <v>0</v>
      </c>
    </row>
    <row r="38" spans="1:33">
      <c r="A38" s="105" t="s">
        <v>119</v>
      </c>
      <c r="B38" s="105" t="s">
        <v>635</v>
      </c>
      <c r="C38" s="105" t="s">
        <v>260</v>
      </c>
      <c r="D38" s="215">
        <v>5340.69</v>
      </c>
      <c r="E38" s="215">
        <v>0</v>
      </c>
      <c r="F38" s="215">
        <v>0</v>
      </c>
      <c r="G38" s="215">
        <v>855.17</v>
      </c>
      <c r="H38" s="215">
        <v>855.17</v>
      </c>
      <c r="I38" s="215">
        <v>0</v>
      </c>
      <c r="J38" s="215">
        <v>0</v>
      </c>
      <c r="K38" s="215">
        <v>0</v>
      </c>
      <c r="L38" s="215">
        <v>0</v>
      </c>
      <c r="M38" s="215">
        <v>7058.89</v>
      </c>
      <c r="N38" s="215">
        <v>0</v>
      </c>
      <c r="O38" s="215">
        <v>0</v>
      </c>
      <c r="P38" s="137">
        <f>SUM(D38:O38)</f>
        <v>14109.92</v>
      </c>
      <c r="Q38" s="116">
        <v>1575.86</v>
      </c>
      <c r="R38" s="116">
        <v>4744.83</v>
      </c>
      <c r="S38" s="116">
        <v>0</v>
      </c>
      <c r="T38" s="116">
        <v>1379.31</v>
      </c>
      <c r="U38" s="116">
        <v>855.18</v>
      </c>
      <c r="V38" s="116">
        <v>855.18</v>
      </c>
      <c r="W38" s="116">
        <v>0</v>
      </c>
      <c r="X38" s="116">
        <v>0</v>
      </c>
      <c r="Y38" s="116">
        <v>1738</v>
      </c>
      <c r="Z38" s="116">
        <v>5214</v>
      </c>
      <c r="AA38" s="116">
        <v>0</v>
      </c>
      <c r="AB38" s="116">
        <v>0</v>
      </c>
      <c r="AC38" s="127">
        <f>SUM(Q38:AB38)</f>
        <v>16362.36</v>
      </c>
      <c r="AD38" s="72">
        <f t="shared" ref="AD38:AD53" si="14">AC38-P38</f>
        <v>2252.4400000000005</v>
      </c>
      <c r="AE38" s="192">
        <f t="shared" ref="AE38:AE53" si="15">AD38/AC38</f>
        <v>0.13765984857930033</v>
      </c>
      <c r="AF38" s="129">
        <v>10141.390000000001</v>
      </c>
      <c r="AG38" s="129">
        <f t="shared" si="2"/>
        <v>-3968.5299999999988</v>
      </c>
    </row>
    <row r="39" spans="1:33">
      <c r="A39" s="105" t="s">
        <v>120</v>
      </c>
      <c r="B39" s="105" t="s">
        <v>635</v>
      </c>
      <c r="C39" s="105" t="s">
        <v>668</v>
      </c>
      <c r="D39" s="215">
        <v>9583.32</v>
      </c>
      <c r="E39" s="215">
        <v>9583.32</v>
      </c>
      <c r="F39" s="215">
        <v>9583.32</v>
      </c>
      <c r="G39" s="215">
        <v>9583.32</v>
      </c>
      <c r="H39" s="215">
        <v>9583.32</v>
      </c>
      <c r="I39" s="215">
        <v>9583.32</v>
      </c>
      <c r="J39" s="215">
        <v>9583.32</v>
      </c>
      <c r="K39" s="215">
        <v>9583.32</v>
      </c>
      <c r="L39" s="215">
        <v>9583.32</v>
      </c>
      <c r="M39" s="215">
        <v>9583.32</v>
      </c>
      <c r="N39" s="215">
        <v>9583.32</v>
      </c>
      <c r="O39" s="215">
        <v>9583.32</v>
      </c>
      <c r="P39" s="137">
        <f>SUM(D39:O39)</f>
        <v>114999.84000000003</v>
      </c>
      <c r="Q39" s="116">
        <v>11675.49</v>
      </c>
      <c r="R39" s="116">
        <v>4687.4799999999996</v>
      </c>
      <c r="S39" s="116">
        <v>10222.620000000001</v>
      </c>
      <c r="T39" s="116">
        <v>6808.5</v>
      </c>
      <c r="U39" s="116">
        <v>3718.72</v>
      </c>
      <c r="V39" s="116">
        <v>8187.04</v>
      </c>
      <c r="W39" s="116">
        <v>7572.86</v>
      </c>
      <c r="X39" s="116">
        <v>8164.64</v>
      </c>
      <c r="Y39" s="116">
        <v>7079.33</v>
      </c>
      <c r="Z39" s="116">
        <v>7079.33</v>
      </c>
      <c r="AA39" s="116">
        <v>7079.33</v>
      </c>
      <c r="AB39" s="116">
        <v>7079.33</v>
      </c>
      <c r="AC39" s="127">
        <f>SUM(Q39:AB39)</f>
        <v>89354.67</v>
      </c>
      <c r="AD39" s="72">
        <f t="shared" si="14"/>
        <v>-25645.170000000027</v>
      </c>
      <c r="AE39" s="192">
        <f t="shared" si="15"/>
        <v>-0.28700424947011755</v>
      </c>
      <c r="AF39" s="129">
        <v>28562.09</v>
      </c>
      <c r="AG39" s="129">
        <f t="shared" si="2"/>
        <v>-86437.750000000029</v>
      </c>
    </row>
    <row r="40" spans="1:33">
      <c r="A40" s="105" t="s">
        <v>121</v>
      </c>
      <c r="B40" s="105" t="s">
        <v>635</v>
      </c>
      <c r="C40" s="105" t="s">
        <v>262</v>
      </c>
      <c r="D40" s="215">
        <v>1160</v>
      </c>
      <c r="E40" s="215">
        <v>1160</v>
      </c>
      <c r="F40" s="215">
        <v>1160</v>
      </c>
      <c r="G40" s="215">
        <v>1160</v>
      </c>
      <c r="H40" s="215">
        <v>1160</v>
      </c>
      <c r="I40" s="215">
        <v>1160</v>
      </c>
      <c r="J40" s="215">
        <v>1160</v>
      </c>
      <c r="K40" s="215">
        <v>1160</v>
      </c>
      <c r="L40" s="215">
        <v>1160</v>
      </c>
      <c r="M40" s="215">
        <v>1160</v>
      </c>
      <c r="N40" s="215">
        <v>1160</v>
      </c>
      <c r="O40" s="215">
        <v>1160</v>
      </c>
      <c r="P40" s="137">
        <f>SUM(D40:O40)</f>
        <v>13920</v>
      </c>
      <c r="Q40" s="116">
        <v>1660</v>
      </c>
      <c r="R40" s="116">
        <v>1660</v>
      </c>
      <c r="S40" s="116">
        <v>1660</v>
      </c>
      <c r="T40" s="116">
        <v>1660</v>
      </c>
      <c r="U40" s="116">
        <v>1091</v>
      </c>
      <c r="V40" s="116">
        <v>856.45</v>
      </c>
      <c r="W40" s="116">
        <v>890</v>
      </c>
      <c r="X40" s="116">
        <v>975.81</v>
      </c>
      <c r="Y40" s="116">
        <v>1990</v>
      </c>
      <c r="Z40" s="116">
        <v>1990</v>
      </c>
      <c r="AA40" s="116">
        <v>1990</v>
      </c>
      <c r="AB40" s="116">
        <v>1990</v>
      </c>
      <c r="AC40" s="127">
        <f>SUM(Q40:AB40)</f>
        <v>18413.260000000002</v>
      </c>
      <c r="AD40" s="72">
        <f t="shared" si="14"/>
        <v>4493.260000000002</v>
      </c>
      <c r="AE40" s="192">
        <f t="shared" si="15"/>
        <v>0.24402305729675253</v>
      </c>
      <c r="AF40" s="129">
        <v>6700</v>
      </c>
      <c r="AG40" s="129">
        <f t="shared" si="2"/>
        <v>-7220</v>
      </c>
    </row>
    <row r="41" spans="1:33">
      <c r="A41" s="105" t="s">
        <v>122</v>
      </c>
      <c r="B41" s="105" t="s">
        <v>635</v>
      </c>
      <c r="C41" s="105" t="s">
        <v>263</v>
      </c>
      <c r="D41" s="215">
        <v>0</v>
      </c>
      <c r="E41" s="215">
        <v>0</v>
      </c>
      <c r="F41" s="215">
        <v>0</v>
      </c>
      <c r="G41" s="215">
        <v>0</v>
      </c>
      <c r="H41" s="215">
        <v>0</v>
      </c>
      <c r="I41" s="215">
        <v>0</v>
      </c>
      <c r="J41" s="215">
        <v>0</v>
      </c>
      <c r="K41" s="215">
        <v>0</v>
      </c>
      <c r="L41" s="215">
        <v>0</v>
      </c>
      <c r="M41" s="215">
        <v>0</v>
      </c>
      <c r="N41" s="215">
        <v>0</v>
      </c>
      <c r="O41" s="215">
        <v>0</v>
      </c>
      <c r="P41" s="137">
        <f>SUM(D41:O41)</f>
        <v>0</v>
      </c>
      <c r="Q41" s="116">
        <v>0</v>
      </c>
      <c r="R41" s="116">
        <v>0</v>
      </c>
      <c r="S41" s="116">
        <v>0</v>
      </c>
      <c r="T41" s="116">
        <v>0</v>
      </c>
      <c r="U41" s="116">
        <v>0</v>
      </c>
      <c r="V41" s="116">
        <v>0</v>
      </c>
      <c r="W41" s="116">
        <v>0</v>
      </c>
      <c r="X41" s="116">
        <v>0</v>
      </c>
      <c r="Y41" s="116">
        <v>0</v>
      </c>
      <c r="Z41" s="116">
        <v>0</v>
      </c>
      <c r="AA41" s="116">
        <v>0</v>
      </c>
      <c r="AB41" s="116">
        <v>0</v>
      </c>
      <c r="AC41" s="127">
        <f>SUM(Q41:AB41)</f>
        <v>0</v>
      </c>
      <c r="AD41" s="72">
        <f t="shared" si="14"/>
        <v>0</v>
      </c>
      <c r="AE41" s="192" t="e">
        <f t="shared" si="15"/>
        <v>#DIV/0!</v>
      </c>
      <c r="AF41" s="129">
        <v>0</v>
      </c>
      <c r="AG41" s="129">
        <f t="shared" si="2"/>
        <v>0</v>
      </c>
    </row>
    <row r="42" spans="1:33">
      <c r="A42" s="105" t="s">
        <v>123</v>
      </c>
      <c r="B42" s="105" t="s">
        <v>635</v>
      </c>
      <c r="C42" s="105" t="s">
        <v>264</v>
      </c>
      <c r="D42" s="215">
        <v>3000</v>
      </c>
      <c r="E42" s="215">
        <v>3000</v>
      </c>
      <c r="F42" s="215">
        <v>3000</v>
      </c>
      <c r="G42" s="215">
        <v>3000</v>
      </c>
      <c r="H42" s="215">
        <v>3000</v>
      </c>
      <c r="I42" s="215">
        <v>3000</v>
      </c>
      <c r="J42" s="215">
        <v>3000</v>
      </c>
      <c r="K42" s="215">
        <v>3000</v>
      </c>
      <c r="L42" s="215">
        <v>3000</v>
      </c>
      <c r="M42" s="215">
        <v>3000</v>
      </c>
      <c r="N42" s="215">
        <v>3000</v>
      </c>
      <c r="O42" s="215">
        <v>3000</v>
      </c>
      <c r="P42" s="137">
        <f>SUM(D42:O42)</f>
        <v>36000</v>
      </c>
      <c r="Q42" s="116">
        <v>3000</v>
      </c>
      <c r="R42" s="116">
        <v>3000</v>
      </c>
      <c r="S42" s="116">
        <v>3000</v>
      </c>
      <c r="T42" s="116">
        <v>3000</v>
      </c>
      <c r="U42" s="116">
        <v>3000</v>
      </c>
      <c r="V42" s="116">
        <v>3000</v>
      </c>
      <c r="W42" s="116">
        <v>3000</v>
      </c>
      <c r="X42" s="116">
        <v>3380</v>
      </c>
      <c r="Y42" s="116">
        <v>0</v>
      </c>
      <c r="Z42" s="116">
        <v>0</v>
      </c>
      <c r="AA42" s="116">
        <v>0</v>
      </c>
      <c r="AB42" s="116">
        <v>0</v>
      </c>
      <c r="AC42" s="127">
        <f>SUM(Q42:AB42)</f>
        <v>24380</v>
      </c>
      <c r="AD42" s="72">
        <f t="shared" si="14"/>
        <v>-11620</v>
      </c>
      <c r="AE42" s="192">
        <f t="shared" si="15"/>
        <v>-0.47662018047579985</v>
      </c>
      <c r="AF42" s="129">
        <v>0</v>
      </c>
      <c r="AG42" s="129">
        <f t="shared" si="2"/>
        <v>-36000</v>
      </c>
    </row>
    <row r="43" spans="1:33">
      <c r="C43" s="109" t="s">
        <v>521</v>
      </c>
      <c r="D43" s="117">
        <f>SUM(D38:D42)</f>
        <v>19084.009999999998</v>
      </c>
      <c r="E43" s="117">
        <f t="shared" ref="E43:AC43" si="16">SUM(E38:E42)</f>
        <v>13743.32</v>
      </c>
      <c r="F43" s="117">
        <f t="shared" si="16"/>
        <v>13743.32</v>
      </c>
      <c r="G43" s="117">
        <f t="shared" si="16"/>
        <v>14598.49</v>
      </c>
      <c r="H43" s="117">
        <f t="shared" si="16"/>
        <v>14598.49</v>
      </c>
      <c r="I43" s="117">
        <f t="shared" si="16"/>
        <v>13743.32</v>
      </c>
      <c r="J43" s="117">
        <f t="shared" si="16"/>
        <v>13743.32</v>
      </c>
      <c r="K43" s="117">
        <f t="shared" si="16"/>
        <v>13743.32</v>
      </c>
      <c r="L43" s="117">
        <f t="shared" si="16"/>
        <v>13743.32</v>
      </c>
      <c r="M43" s="117">
        <f t="shared" si="16"/>
        <v>20802.21</v>
      </c>
      <c r="N43" s="117">
        <f t="shared" si="16"/>
        <v>13743.32</v>
      </c>
      <c r="O43" s="117">
        <f t="shared" si="16"/>
        <v>13743.32</v>
      </c>
      <c r="P43" s="127">
        <f t="shared" si="16"/>
        <v>179029.76000000001</v>
      </c>
      <c r="Q43" s="117">
        <f t="shared" si="16"/>
        <v>17911.349999999999</v>
      </c>
      <c r="R43" s="117">
        <f t="shared" si="16"/>
        <v>14092.31</v>
      </c>
      <c r="S43" s="117">
        <f t="shared" si="16"/>
        <v>14882.62</v>
      </c>
      <c r="T43" s="117">
        <f t="shared" si="16"/>
        <v>12847.81</v>
      </c>
      <c r="U43" s="117">
        <f t="shared" si="16"/>
        <v>8664.9</v>
      </c>
      <c r="V43" s="117">
        <f t="shared" si="16"/>
        <v>12898.67</v>
      </c>
      <c r="W43" s="117">
        <f t="shared" si="16"/>
        <v>11462.86</v>
      </c>
      <c r="X43" s="117">
        <f t="shared" si="16"/>
        <v>12520.45</v>
      </c>
      <c r="Y43" s="117">
        <f t="shared" si="16"/>
        <v>10807.33</v>
      </c>
      <c r="Z43" s="117">
        <f t="shared" si="16"/>
        <v>14283.33</v>
      </c>
      <c r="AA43" s="117">
        <f t="shared" si="16"/>
        <v>9069.33</v>
      </c>
      <c r="AB43" s="117">
        <f t="shared" si="16"/>
        <v>9069.33</v>
      </c>
      <c r="AC43" s="127">
        <f t="shared" si="16"/>
        <v>148510.29</v>
      </c>
      <c r="AD43" s="72">
        <f t="shared" si="14"/>
        <v>-30519.47</v>
      </c>
      <c r="AE43" s="192">
        <f t="shared" si="15"/>
        <v>-0.20550407651887287</v>
      </c>
      <c r="AF43" s="129">
        <v>45403.48</v>
      </c>
      <c r="AG43" s="129">
        <f t="shared" si="2"/>
        <v>-133626.28</v>
      </c>
    </row>
    <row r="44" spans="1:33">
      <c r="C44" s="105" t="s">
        <v>154</v>
      </c>
      <c r="P44" s="137"/>
      <c r="Q44" s="116"/>
      <c r="R44" s="116"/>
      <c r="S44" s="116"/>
      <c r="T44" s="116"/>
      <c r="U44" s="116"/>
      <c r="V44" s="116"/>
      <c r="W44" s="116"/>
      <c r="AC44" s="127"/>
      <c r="AD44" s="72"/>
      <c r="AE44" s="192"/>
      <c r="AF44" s="129"/>
      <c r="AG44" s="129">
        <f t="shared" si="2"/>
        <v>0</v>
      </c>
    </row>
    <row r="45" spans="1:33">
      <c r="A45" s="105" t="s">
        <v>124</v>
      </c>
      <c r="B45" s="105" t="s">
        <v>635</v>
      </c>
      <c r="C45" s="105" t="s">
        <v>266</v>
      </c>
      <c r="D45" s="215">
        <v>9396.2300000000014</v>
      </c>
      <c r="E45" s="215">
        <v>9396.2300000000014</v>
      </c>
      <c r="F45" s="215">
        <v>9396.2300000000014</v>
      </c>
      <c r="G45" s="215">
        <v>9396.2300000000014</v>
      </c>
      <c r="H45" s="215">
        <v>9396.2300000000014</v>
      </c>
      <c r="I45" s="215">
        <v>9396.2300000000014</v>
      </c>
      <c r="J45" s="215">
        <v>9450.6700000000019</v>
      </c>
      <c r="K45" s="215">
        <v>9450.6700000000019</v>
      </c>
      <c r="L45" s="215">
        <v>9450.6700000000019</v>
      </c>
      <c r="M45" s="215">
        <v>9450.6700000000019</v>
      </c>
      <c r="N45" s="215">
        <v>9450.6700000000019</v>
      </c>
      <c r="O45" s="215">
        <v>9450.6700000000019</v>
      </c>
      <c r="P45" s="137">
        <f>SUM(D45:O45)</f>
        <v>113081.40000000001</v>
      </c>
      <c r="Q45" s="116">
        <v>4343.09</v>
      </c>
      <c r="R45" s="116">
        <v>4343.09</v>
      </c>
      <c r="S45" s="116">
        <v>4343.09</v>
      </c>
      <c r="T45" s="116">
        <v>7863.09</v>
      </c>
      <c r="U45" s="116">
        <v>3309.2</v>
      </c>
      <c r="V45" s="116">
        <v>4919.6499999999996</v>
      </c>
      <c r="W45" s="116">
        <v>8599.65</v>
      </c>
      <c r="X45" s="116">
        <v>6989.2</v>
      </c>
      <c r="Y45" s="116">
        <v>7912</v>
      </c>
      <c r="Z45" s="116">
        <v>7912</v>
      </c>
      <c r="AA45" s="116">
        <v>7912</v>
      </c>
      <c r="AB45" s="116">
        <v>7912</v>
      </c>
      <c r="AC45" s="127">
        <f t="shared" ref="AC45:AC52" si="17">SUM(Q45:AB45)</f>
        <v>76358.06</v>
      </c>
      <c r="AD45" s="72">
        <f t="shared" si="14"/>
        <v>-36723.340000000011</v>
      </c>
      <c r="AE45" s="192">
        <f t="shared" si="15"/>
        <v>-0.48093600073129167</v>
      </c>
      <c r="AF45" s="129">
        <v>49015.689999999988</v>
      </c>
      <c r="AG45" s="129">
        <f t="shared" si="2"/>
        <v>-64065.710000000021</v>
      </c>
    </row>
    <row r="46" spans="1:33">
      <c r="A46" s="105" t="s">
        <v>125</v>
      </c>
      <c r="B46" s="105" t="s">
        <v>635</v>
      </c>
      <c r="C46" s="105" t="s">
        <v>267</v>
      </c>
      <c r="D46" s="215">
        <v>3813.8</v>
      </c>
      <c r="E46" s="215">
        <v>3813.8</v>
      </c>
      <c r="F46" s="215">
        <v>3813.8</v>
      </c>
      <c r="G46" s="215">
        <v>3813.8</v>
      </c>
      <c r="H46" s="215">
        <v>3813.8</v>
      </c>
      <c r="I46" s="215">
        <v>3813.8</v>
      </c>
      <c r="J46" s="215">
        <v>3832.49</v>
      </c>
      <c r="K46" s="215">
        <v>3832.49</v>
      </c>
      <c r="L46" s="215">
        <v>3832.49</v>
      </c>
      <c r="M46" s="215">
        <v>3832.49</v>
      </c>
      <c r="N46" s="215">
        <v>3832.49</v>
      </c>
      <c r="O46" s="215">
        <v>3832.49</v>
      </c>
      <c r="P46" s="137">
        <f t="shared" ref="P46:P52" si="18">SUM(D46:O46)</f>
        <v>45877.739999999991</v>
      </c>
      <c r="Q46" s="116">
        <v>2307.27</v>
      </c>
      <c r="R46" s="116">
        <v>2307.27</v>
      </c>
      <c r="S46" s="116">
        <v>2307.27</v>
      </c>
      <c r="T46" s="116">
        <v>4177.2700000000004</v>
      </c>
      <c r="U46" s="116">
        <v>1758.02</v>
      </c>
      <c r="V46" s="116">
        <v>2613.5700000000002</v>
      </c>
      <c r="W46" s="116">
        <v>3493.6</v>
      </c>
      <c r="X46" s="116">
        <v>2839.36</v>
      </c>
      <c r="Y46" s="116">
        <v>4164</v>
      </c>
      <c r="Z46" s="116">
        <v>4164</v>
      </c>
      <c r="AA46" s="116">
        <v>4164</v>
      </c>
      <c r="AB46" s="116">
        <v>4164</v>
      </c>
      <c r="AC46" s="127">
        <f t="shared" si="17"/>
        <v>38459.630000000005</v>
      </c>
      <c r="AD46" s="72">
        <f t="shared" si="14"/>
        <v>-7418.109999999986</v>
      </c>
      <c r="AE46" s="192">
        <f t="shared" si="15"/>
        <v>-0.19288043072697228</v>
      </c>
      <c r="AF46" s="129">
        <v>23883.409999999996</v>
      </c>
      <c r="AG46" s="129">
        <f t="shared" si="2"/>
        <v>-21994.329999999994</v>
      </c>
    </row>
    <row r="47" spans="1:33">
      <c r="A47" s="105" t="s">
        <v>126</v>
      </c>
      <c r="B47" s="105" t="s">
        <v>635</v>
      </c>
      <c r="C47" s="105" t="s">
        <v>268</v>
      </c>
      <c r="D47" s="215">
        <v>294.37</v>
      </c>
      <c r="E47" s="215">
        <v>294.37</v>
      </c>
      <c r="F47" s="215">
        <v>294.37</v>
      </c>
      <c r="G47" s="215">
        <v>294.37</v>
      </c>
      <c r="H47" s="215">
        <v>294.37</v>
      </c>
      <c r="I47" s="215">
        <v>294.37</v>
      </c>
      <c r="J47" s="215">
        <v>295.80999999999995</v>
      </c>
      <c r="K47" s="215">
        <v>295.80999999999995</v>
      </c>
      <c r="L47" s="215">
        <v>295.80999999999995</v>
      </c>
      <c r="M47" s="215">
        <v>295.80999999999995</v>
      </c>
      <c r="N47" s="215">
        <v>295.80999999999995</v>
      </c>
      <c r="O47" s="215">
        <v>295.80999999999995</v>
      </c>
      <c r="P47" s="137">
        <f t="shared" si="18"/>
        <v>3541.0799999999995</v>
      </c>
      <c r="Q47" s="116">
        <v>135.72</v>
      </c>
      <c r="R47" s="116">
        <v>135.72</v>
      </c>
      <c r="S47" s="116">
        <v>135.72</v>
      </c>
      <c r="T47" s="116">
        <v>245.72</v>
      </c>
      <c r="U47" s="116">
        <v>103.41</v>
      </c>
      <c r="V47" s="116">
        <v>153.74</v>
      </c>
      <c r="W47" s="116">
        <v>268.74</v>
      </c>
      <c r="X47" s="116">
        <v>218.41</v>
      </c>
      <c r="Y47" s="116">
        <v>247</v>
      </c>
      <c r="Z47" s="116">
        <v>247</v>
      </c>
      <c r="AA47" s="116">
        <v>247</v>
      </c>
      <c r="AB47" s="116">
        <v>247</v>
      </c>
      <c r="AC47" s="127">
        <f t="shared" si="17"/>
        <v>2385.1800000000003</v>
      </c>
      <c r="AD47" s="72">
        <f t="shared" si="14"/>
        <v>-1155.8999999999992</v>
      </c>
      <c r="AE47" s="192">
        <f t="shared" si="15"/>
        <v>-0.48461751314366169</v>
      </c>
      <c r="AF47" s="129">
        <v>1462.42</v>
      </c>
      <c r="AG47" s="129">
        <f t="shared" si="2"/>
        <v>-2078.6599999999994</v>
      </c>
    </row>
    <row r="48" spans="1:33">
      <c r="A48" s="105" t="s">
        <v>127</v>
      </c>
      <c r="B48" s="105" t="s">
        <v>635</v>
      </c>
      <c r="C48" s="105" t="s">
        <v>269</v>
      </c>
      <c r="D48" s="215">
        <v>70.41</v>
      </c>
      <c r="E48" s="215">
        <v>70.41</v>
      </c>
      <c r="F48" s="215">
        <v>70.41</v>
      </c>
      <c r="G48" s="215">
        <v>70.41</v>
      </c>
      <c r="H48" s="215">
        <v>70.41</v>
      </c>
      <c r="I48" s="215">
        <v>70.41</v>
      </c>
      <c r="J48" s="215">
        <v>70.759999999999991</v>
      </c>
      <c r="K48" s="215">
        <v>70.759999999999991</v>
      </c>
      <c r="L48" s="215">
        <v>70.759999999999991</v>
      </c>
      <c r="M48" s="215">
        <v>70.759999999999991</v>
      </c>
      <c r="N48" s="215">
        <v>70.759999999999991</v>
      </c>
      <c r="O48" s="215">
        <v>70.759999999999991</v>
      </c>
      <c r="P48" s="137">
        <f t="shared" si="18"/>
        <v>847.01999999999987</v>
      </c>
      <c r="Q48" s="116">
        <v>32.57</v>
      </c>
      <c r="R48" s="116">
        <v>32.57</v>
      </c>
      <c r="S48" s="116">
        <v>32.57</v>
      </c>
      <c r="T48" s="116">
        <v>58.97</v>
      </c>
      <c r="U48" s="116">
        <v>24.82</v>
      </c>
      <c r="V48" s="116">
        <v>36.9</v>
      </c>
      <c r="W48" s="116">
        <v>64.5</v>
      </c>
      <c r="X48" s="116">
        <v>52.42</v>
      </c>
      <c r="Y48" s="116">
        <v>76</v>
      </c>
      <c r="Z48" s="116">
        <v>76</v>
      </c>
      <c r="AA48" s="116">
        <v>76</v>
      </c>
      <c r="AB48" s="116">
        <v>76</v>
      </c>
      <c r="AC48" s="127">
        <f t="shared" si="17"/>
        <v>639.31999999999994</v>
      </c>
      <c r="AD48" s="72">
        <f t="shared" si="14"/>
        <v>-207.69999999999993</v>
      </c>
      <c r="AE48" s="192">
        <f t="shared" si="15"/>
        <v>-0.32487643120815857</v>
      </c>
      <c r="AF48" s="129">
        <v>467.97000000000014</v>
      </c>
      <c r="AG48" s="129">
        <f t="shared" si="2"/>
        <v>-379.04999999999973</v>
      </c>
    </row>
    <row r="49" spans="1:33">
      <c r="A49" s="105" t="s">
        <v>128</v>
      </c>
      <c r="B49" s="105" t="s">
        <v>635</v>
      </c>
      <c r="C49" s="105" t="s">
        <v>270</v>
      </c>
      <c r="D49" s="215">
        <v>0</v>
      </c>
      <c r="E49" s="215">
        <v>0</v>
      </c>
      <c r="F49" s="215">
        <v>0</v>
      </c>
      <c r="G49" s="215">
        <v>0</v>
      </c>
      <c r="H49" s="215">
        <v>0</v>
      </c>
      <c r="I49" s="215">
        <v>0</v>
      </c>
      <c r="J49" s="215">
        <v>0</v>
      </c>
      <c r="K49" s="215">
        <v>0</v>
      </c>
      <c r="L49" s="215">
        <v>0</v>
      </c>
      <c r="M49" s="215">
        <v>0</v>
      </c>
      <c r="N49" s="215">
        <v>0</v>
      </c>
      <c r="O49" s="215">
        <v>0</v>
      </c>
      <c r="P49" s="137">
        <f t="shared" si="18"/>
        <v>0</v>
      </c>
      <c r="Q49" s="116">
        <v>0</v>
      </c>
      <c r="R49" s="116">
        <v>0</v>
      </c>
      <c r="S49" s="116">
        <v>0</v>
      </c>
      <c r="T49" s="116">
        <v>0</v>
      </c>
      <c r="U49" s="116">
        <v>0</v>
      </c>
      <c r="V49" s="116">
        <v>0</v>
      </c>
      <c r="W49" s="116">
        <v>0</v>
      </c>
      <c r="X49" s="116">
        <v>0</v>
      </c>
      <c r="Y49" s="116">
        <v>0</v>
      </c>
      <c r="Z49" s="116">
        <v>0</v>
      </c>
      <c r="AA49" s="116">
        <v>0</v>
      </c>
      <c r="AB49" s="116">
        <v>0</v>
      </c>
      <c r="AC49" s="127">
        <f t="shared" si="17"/>
        <v>0</v>
      </c>
      <c r="AD49" s="72">
        <f t="shared" si="14"/>
        <v>0</v>
      </c>
      <c r="AE49" s="192" t="e">
        <f t="shared" si="15"/>
        <v>#DIV/0!</v>
      </c>
      <c r="AF49" s="129">
        <v>976.9</v>
      </c>
      <c r="AG49" s="129">
        <f t="shared" si="2"/>
        <v>976.9</v>
      </c>
    </row>
    <row r="50" spans="1:33">
      <c r="A50" s="105" t="s">
        <v>129</v>
      </c>
      <c r="B50" s="105" t="s">
        <v>635</v>
      </c>
      <c r="C50" s="105" t="s">
        <v>271</v>
      </c>
      <c r="D50" s="215">
        <v>2867.81</v>
      </c>
      <c r="E50" s="215">
        <v>2867.81</v>
      </c>
      <c r="F50" s="215">
        <v>2867.81</v>
      </c>
      <c r="G50" s="215">
        <v>2867.81</v>
      </c>
      <c r="H50" s="215">
        <v>2867.81</v>
      </c>
      <c r="I50" s="215">
        <v>2867.81</v>
      </c>
      <c r="J50" s="215">
        <v>2948.0699999999997</v>
      </c>
      <c r="K50" s="215">
        <v>2867.81</v>
      </c>
      <c r="L50" s="215">
        <v>2867.81</v>
      </c>
      <c r="M50" s="215">
        <v>2867.81</v>
      </c>
      <c r="N50" s="215">
        <v>2948.0699999999997</v>
      </c>
      <c r="O50" s="215">
        <v>2867.81</v>
      </c>
      <c r="P50" s="137">
        <f t="shared" si="18"/>
        <v>34574.240000000005</v>
      </c>
      <c r="Q50" s="116">
        <v>1357</v>
      </c>
      <c r="R50" s="116">
        <v>1357</v>
      </c>
      <c r="S50" s="116">
        <v>1357</v>
      </c>
      <c r="T50" s="116">
        <v>2457</v>
      </c>
      <c r="U50" s="116">
        <v>1034</v>
      </c>
      <c r="V50" s="116">
        <v>1537</v>
      </c>
      <c r="W50" s="116">
        <v>2687</v>
      </c>
      <c r="X50" s="116">
        <v>2184</v>
      </c>
      <c r="Y50" s="116">
        <v>2599</v>
      </c>
      <c r="Z50" s="116">
        <v>2599</v>
      </c>
      <c r="AA50" s="116">
        <v>2599</v>
      </c>
      <c r="AB50" s="116">
        <v>2599</v>
      </c>
      <c r="AC50" s="127">
        <f t="shared" si="17"/>
        <v>24366</v>
      </c>
      <c r="AD50" s="72">
        <f t="shared" si="14"/>
        <v>-10208.240000000005</v>
      </c>
      <c r="AE50" s="192">
        <f t="shared" si="15"/>
        <v>-0.41895428055487177</v>
      </c>
      <c r="AF50" s="129">
        <v>14633</v>
      </c>
      <c r="AG50" s="129">
        <f t="shared" si="2"/>
        <v>-19941.240000000005</v>
      </c>
    </row>
    <row r="51" spans="1:33">
      <c r="A51" s="105" t="s">
        <v>130</v>
      </c>
      <c r="B51" s="105" t="s">
        <v>635</v>
      </c>
      <c r="C51" s="105" t="s">
        <v>272</v>
      </c>
      <c r="D51" s="215">
        <v>1228</v>
      </c>
      <c r="E51" s="215">
        <v>1122</v>
      </c>
      <c r="F51" s="215">
        <v>1141</v>
      </c>
      <c r="G51" s="215">
        <v>1158</v>
      </c>
      <c r="H51" s="215">
        <v>1158</v>
      </c>
      <c r="I51" s="215">
        <v>1141</v>
      </c>
      <c r="J51" s="215">
        <v>1141</v>
      </c>
      <c r="K51" s="215">
        <v>1141</v>
      </c>
      <c r="L51" s="215">
        <v>1141</v>
      </c>
      <c r="M51" s="215">
        <v>1282</v>
      </c>
      <c r="N51" s="215">
        <v>1141</v>
      </c>
      <c r="O51" s="215">
        <v>1141</v>
      </c>
      <c r="P51" s="137">
        <f t="shared" si="18"/>
        <v>13935</v>
      </c>
      <c r="Q51" s="116">
        <v>749.68</v>
      </c>
      <c r="R51" s="116">
        <v>504.5</v>
      </c>
      <c r="S51" s="116">
        <v>927.32</v>
      </c>
      <c r="T51" s="116">
        <v>1019.1</v>
      </c>
      <c r="U51" s="116">
        <v>420.64</v>
      </c>
      <c r="V51" s="116">
        <v>426.23</v>
      </c>
      <c r="W51" s="116">
        <v>927.8</v>
      </c>
      <c r="X51" s="116">
        <v>980.42</v>
      </c>
      <c r="Y51" s="116">
        <v>1101</v>
      </c>
      <c r="Z51" s="116">
        <v>1101</v>
      </c>
      <c r="AA51" s="116">
        <v>1101</v>
      </c>
      <c r="AB51" s="116">
        <v>1101</v>
      </c>
      <c r="AC51" s="127">
        <f t="shared" si="17"/>
        <v>10359.689999999999</v>
      </c>
      <c r="AD51" s="72">
        <f t="shared" si="14"/>
        <v>-3575.3100000000013</v>
      </c>
      <c r="AE51" s="192">
        <f t="shared" si="15"/>
        <v>-0.3451174697312373</v>
      </c>
      <c r="AF51" s="129">
        <v>6357.7500000000009</v>
      </c>
      <c r="AG51" s="129">
        <f t="shared" si="2"/>
        <v>-7577.2499999999991</v>
      </c>
    </row>
    <row r="52" spans="1:33">
      <c r="A52" s="105" t="s">
        <v>670</v>
      </c>
      <c r="C52" s="105" t="s">
        <v>274</v>
      </c>
      <c r="D52" s="215">
        <v>0</v>
      </c>
      <c r="E52" s="215">
        <v>0</v>
      </c>
      <c r="F52" s="215">
        <v>0</v>
      </c>
      <c r="G52" s="215">
        <v>0</v>
      </c>
      <c r="H52" s="215">
        <v>0</v>
      </c>
      <c r="I52" s="215">
        <v>0</v>
      </c>
      <c r="J52" s="215">
        <v>0</v>
      </c>
      <c r="K52" s="215">
        <v>0</v>
      </c>
      <c r="L52" s="215">
        <v>0</v>
      </c>
      <c r="M52" s="215">
        <v>0</v>
      </c>
      <c r="N52" s="215">
        <v>0</v>
      </c>
      <c r="O52" s="215">
        <v>0</v>
      </c>
      <c r="P52" s="137">
        <f t="shared" si="18"/>
        <v>0</v>
      </c>
      <c r="Q52" s="116">
        <v>0</v>
      </c>
      <c r="R52" s="116">
        <v>0</v>
      </c>
      <c r="S52" s="116">
        <v>0</v>
      </c>
      <c r="T52" s="116">
        <v>0</v>
      </c>
      <c r="U52" s="116">
        <v>0</v>
      </c>
      <c r="V52" s="116">
        <v>0</v>
      </c>
      <c r="W52" s="116">
        <v>0</v>
      </c>
      <c r="X52" s="116">
        <v>0</v>
      </c>
      <c r="Y52" s="116">
        <v>0</v>
      </c>
      <c r="Z52" s="116">
        <v>0</v>
      </c>
      <c r="AA52" s="116">
        <v>0</v>
      </c>
      <c r="AB52" s="116">
        <v>0</v>
      </c>
      <c r="AC52" s="127">
        <f t="shared" si="17"/>
        <v>0</v>
      </c>
      <c r="AD52" s="72">
        <f t="shared" si="14"/>
        <v>0</v>
      </c>
      <c r="AE52" s="192" t="e">
        <f t="shared" si="15"/>
        <v>#DIV/0!</v>
      </c>
      <c r="AF52" s="129">
        <v>0</v>
      </c>
      <c r="AG52" s="129">
        <f t="shared" si="2"/>
        <v>0</v>
      </c>
    </row>
    <row r="53" spans="1:33">
      <c r="C53" s="109" t="s">
        <v>522</v>
      </c>
      <c r="D53" s="117">
        <f t="shared" ref="D53:AC53" si="19">SUM(D45:D51)</f>
        <v>17670.620000000003</v>
      </c>
      <c r="E53" s="117">
        <f t="shared" si="19"/>
        <v>17564.620000000003</v>
      </c>
      <c r="F53" s="117">
        <f t="shared" si="19"/>
        <v>17583.620000000003</v>
      </c>
      <c r="G53" s="117">
        <f t="shared" si="19"/>
        <v>17600.620000000003</v>
      </c>
      <c r="H53" s="117">
        <f t="shared" si="19"/>
        <v>17600.620000000003</v>
      </c>
      <c r="I53" s="117">
        <f t="shared" si="19"/>
        <v>17583.620000000003</v>
      </c>
      <c r="J53" s="117">
        <f t="shared" si="19"/>
        <v>17738.800000000003</v>
      </c>
      <c r="K53" s="117">
        <f t="shared" si="19"/>
        <v>17658.54</v>
      </c>
      <c r="L53" s="117">
        <f t="shared" si="19"/>
        <v>17658.54</v>
      </c>
      <c r="M53" s="117">
        <f t="shared" si="19"/>
        <v>17799.54</v>
      </c>
      <c r="N53" s="117">
        <f t="shared" si="19"/>
        <v>17738.800000000003</v>
      </c>
      <c r="O53" s="117">
        <f t="shared" si="19"/>
        <v>17658.54</v>
      </c>
      <c r="P53" s="137">
        <f t="shared" si="19"/>
        <v>211856.47999999998</v>
      </c>
      <c r="Q53" s="117">
        <f t="shared" si="19"/>
        <v>8925.33</v>
      </c>
      <c r="R53" s="117">
        <f t="shared" si="19"/>
        <v>8680.1500000000015</v>
      </c>
      <c r="S53" s="117">
        <f t="shared" si="19"/>
        <v>9102.9700000000012</v>
      </c>
      <c r="T53" s="117">
        <f t="shared" si="19"/>
        <v>15821.15</v>
      </c>
      <c r="U53" s="117">
        <f t="shared" si="19"/>
        <v>6650.0899999999992</v>
      </c>
      <c r="V53" s="117">
        <f t="shared" si="19"/>
        <v>9687.0899999999983</v>
      </c>
      <c r="W53" s="117">
        <f t="shared" si="19"/>
        <v>16041.289999999999</v>
      </c>
      <c r="X53" s="117">
        <f t="shared" si="19"/>
        <v>13263.81</v>
      </c>
      <c r="Y53" s="117">
        <f t="shared" si="19"/>
        <v>16099</v>
      </c>
      <c r="Z53" s="117">
        <f t="shared" si="19"/>
        <v>16099</v>
      </c>
      <c r="AA53" s="117">
        <f t="shared" si="19"/>
        <v>16099</v>
      </c>
      <c r="AB53" s="117">
        <f t="shared" si="19"/>
        <v>16099</v>
      </c>
      <c r="AC53" s="127">
        <f t="shared" si="19"/>
        <v>152567.88</v>
      </c>
      <c r="AD53" s="72">
        <f t="shared" si="14"/>
        <v>-59288.599999999977</v>
      </c>
      <c r="AE53" s="192">
        <f t="shared" si="15"/>
        <v>-0.3886047312186548</v>
      </c>
      <c r="AF53" s="129">
        <v>96797.13999999997</v>
      </c>
      <c r="AG53" s="129">
        <f t="shared" si="2"/>
        <v>-115059.34000000001</v>
      </c>
    </row>
    <row r="54" spans="1:33">
      <c r="C54" s="105" t="s">
        <v>154</v>
      </c>
      <c r="P54" s="137"/>
      <c r="Q54" s="116"/>
      <c r="R54" s="116"/>
      <c r="S54" s="116"/>
      <c r="T54" s="116"/>
      <c r="U54" s="116"/>
      <c r="V54" s="116"/>
      <c r="W54" s="116"/>
      <c r="AC54" s="127"/>
      <c r="AD54" s="72"/>
      <c r="AE54" s="192"/>
      <c r="AF54" s="129"/>
      <c r="AG54" s="129">
        <f t="shared" si="2"/>
        <v>0</v>
      </c>
    </row>
    <row r="55" spans="1:33">
      <c r="A55" s="105" t="s">
        <v>131</v>
      </c>
      <c r="B55" s="105" t="s">
        <v>635</v>
      </c>
      <c r="C55" s="105" t="s">
        <v>276</v>
      </c>
      <c r="D55" s="215">
        <v>0</v>
      </c>
      <c r="E55" s="215">
        <v>0</v>
      </c>
      <c r="F55" s="215">
        <v>0</v>
      </c>
      <c r="G55" s="215">
        <v>0</v>
      </c>
      <c r="H55" s="215">
        <v>0</v>
      </c>
      <c r="I55" s="215">
        <v>0</v>
      </c>
      <c r="J55" s="215">
        <v>0</v>
      </c>
      <c r="K55" s="215">
        <v>0</v>
      </c>
      <c r="L55" s="215">
        <v>0</v>
      </c>
      <c r="M55" s="215">
        <v>0</v>
      </c>
      <c r="N55" s="215">
        <v>0</v>
      </c>
      <c r="O55" s="215">
        <v>0</v>
      </c>
      <c r="P55" s="137"/>
      <c r="Q55" s="116">
        <v>0</v>
      </c>
      <c r="R55" s="116">
        <v>0</v>
      </c>
      <c r="S55" s="116">
        <v>0</v>
      </c>
      <c r="T55" s="116">
        <v>0</v>
      </c>
      <c r="U55" s="116">
        <v>0</v>
      </c>
      <c r="V55" s="116">
        <v>0</v>
      </c>
      <c r="W55" s="116">
        <v>0</v>
      </c>
      <c r="X55" s="116">
        <v>0</v>
      </c>
      <c r="Y55" s="116">
        <v>0</v>
      </c>
      <c r="Z55" s="116">
        <v>0</v>
      </c>
      <c r="AA55" s="116">
        <v>0</v>
      </c>
      <c r="AB55" s="116">
        <v>0</v>
      </c>
      <c r="AC55" s="127">
        <f t="shared" ref="AC55:AC63" si="20">SUM(Q55:AB55)</f>
        <v>0</v>
      </c>
      <c r="AD55" s="72"/>
      <c r="AE55" s="192"/>
      <c r="AF55" s="129">
        <v>0</v>
      </c>
      <c r="AG55" s="129">
        <f t="shared" si="2"/>
        <v>0</v>
      </c>
    </row>
    <row r="56" spans="1:33">
      <c r="A56" s="105" t="s">
        <v>132</v>
      </c>
      <c r="B56" s="105" t="s">
        <v>635</v>
      </c>
      <c r="C56" s="105" t="s">
        <v>277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215">
        <v>0</v>
      </c>
      <c r="O56" s="215">
        <v>0</v>
      </c>
      <c r="P56" s="137"/>
      <c r="Q56" s="116">
        <v>0</v>
      </c>
      <c r="R56" s="116">
        <v>0</v>
      </c>
      <c r="S56" s="116">
        <v>0</v>
      </c>
      <c r="T56" s="116">
        <v>0</v>
      </c>
      <c r="U56" s="116">
        <v>0</v>
      </c>
      <c r="V56" s="116">
        <v>0</v>
      </c>
      <c r="W56" s="116">
        <v>0</v>
      </c>
      <c r="X56" s="116">
        <v>0</v>
      </c>
      <c r="Y56" s="116">
        <v>0</v>
      </c>
      <c r="Z56" s="116">
        <v>0</v>
      </c>
      <c r="AA56" s="116">
        <v>0</v>
      </c>
      <c r="AB56" s="116">
        <v>0</v>
      </c>
      <c r="AC56" s="127">
        <f t="shared" si="20"/>
        <v>0</v>
      </c>
      <c r="AD56" s="72"/>
      <c r="AE56" s="192"/>
      <c r="AF56" s="129">
        <v>0</v>
      </c>
      <c r="AG56" s="129">
        <f t="shared" si="2"/>
        <v>0</v>
      </c>
    </row>
    <row r="57" spans="1:33">
      <c r="A57" s="105" t="s">
        <v>133</v>
      </c>
      <c r="B57" s="105" t="s">
        <v>635</v>
      </c>
      <c r="C57" s="105" t="s">
        <v>278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215">
        <v>0</v>
      </c>
      <c r="O57" s="215">
        <v>0</v>
      </c>
      <c r="P57" s="137"/>
      <c r="Q57" s="116">
        <v>0</v>
      </c>
      <c r="R57" s="116">
        <v>0</v>
      </c>
      <c r="S57" s="116">
        <v>0</v>
      </c>
      <c r="T57" s="116">
        <v>0</v>
      </c>
      <c r="U57" s="116">
        <v>0</v>
      </c>
      <c r="V57" s="116">
        <v>0</v>
      </c>
      <c r="W57" s="116">
        <v>0</v>
      </c>
      <c r="X57" s="116">
        <v>0</v>
      </c>
      <c r="Y57" s="116">
        <v>0</v>
      </c>
      <c r="Z57" s="116">
        <v>0</v>
      </c>
      <c r="AA57" s="116">
        <v>0</v>
      </c>
      <c r="AB57" s="116">
        <v>0</v>
      </c>
      <c r="AC57" s="127">
        <f t="shared" si="20"/>
        <v>0</v>
      </c>
      <c r="AD57" s="72"/>
      <c r="AE57" s="192"/>
      <c r="AF57" s="129">
        <v>0</v>
      </c>
      <c r="AG57" s="129">
        <f t="shared" si="2"/>
        <v>0</v>
      </c>
    </row>
    <row r="58" spans="1:33">
      <c r="A58" s="105" t="s">
        <v>134</v>
      </c>
      <c r="B58" s="105" t="s">
        <v>635</v>
      </c>
      <c r="C58" s="105" t="s">
        <v>279</v>
      </c>
      <c r="D58" s="215">
        <v>266.65999999999997</v>
      </c>
      <c r="E58" s="215">
        <v>266.65999999999997</v>
      </c>
      <c r="F58" s="215">
        <v>266.65999999999997</v>
      </c>
      <c r="G58" s="215">
        <v>266.65999999999997</v>
      </c>
      <c r="H58" s="215">
        <v>266.65999999999997</v>
      </c>
      <c r="I58" s="215">
        <v>266.65999999999997</v>
      </c>
      <c r="J58" s="215">
        <v>266.65999999999997</v>
      </c>
      <c r="K58" s="215">
        <v>266.65999999999997</v>
      </c>
      <c r="L58" s="215">
        <v>266.65999999999997</v>
      </c>
      <c r="M58" s="215">
        <v>266.65999999999997</v>
      </c>
      <c r="N58" s="215">
        <v>266.65999999999997</v>
      </c>
      <c r="O58" s="215">
        <v>266.65999999999997</v>
      </c>
      <c r="P58" s="137">
        <f>SUM(D58:O58)</f>
        <v>3199.9199999999987</v>
      </c>
      <c r="Q58" s="116">
        <v>207.37</v>
      </c>
      <c r="R58" s="116">
        <v>127</v>
      </c>
      <c r="S58" s="116">
        <v>214.9</v>
      </c>
      <c r="T58" s="116">
        <v>175.84</v>
      </c>
      <c r="U58" s="116">
        <v>136</v>
      </c>
      <c r="V58" s="116">
        <v>368.72</v>
      </c>
      <c r="W58" s="116">
        <v>408</v>
      </c>
      <c r="X58" s="116">
        <v>236.82</v>
      </c>
      <c r="Y58" s="116">
        <v>400</v>
      </c>
      <c r="Z58" s="116">
        <v>400</v>
      </c>
      <c r="AA58" s="116">
        <v>400</v>
      </c>
      <c r="AB58" s="116">
        <v>400</v>
      </c>
      <c r="AC58" s="127">
        <f t="shared" si="20"/>
        <v>3474.6499999999996</v>
      </c>
      <c r="AD58" s="72">
        <f t="shared" ref="AD58:AD67" si="21">AC58-P58</f>
        <v>274.73000000000093</v>
      </c>
      <c r="AE58" s="192">
        <f t="shared" ref="AE58:AE67" si="22">AD58/AC58</f>
        <v>7.9066956384096512E-2</v>
      </c>
      <c r="AF58" s="129">
        <v>1600</v>
      </c>
      <c r="AG58" s="129">
        <f t="shared" si="2"/>
        <v>-1599.9199999999987</v>
      </c>
    </row>
    <row r="59" spans="1:33">
      <c r="A59" s="105" t="s">
        <v>135</v>
      </c>
      <c r="B59" s="105" t="s">
        <v>635</v>
      </c>
      <c r="C59" s="105" t="s">
        <v>280</v>
      </c>
      <c r="D59" s="215">
        <v>5836.27</v>
      </c>
      <c r="E59" s="215">
        <v>5836.27</v>
      </c>
      <c r="F59" s="215">
        <v>5836.27</v>
      </c>
      <c r="G59" s="215">
        <v>5836.27</v>
      </c>
      <c r="H59" s="215">
        <v>5836.27</v>
      </c>
      <c r="I59" s="215">
        <v>5836.27</v>
      </c>
      <c r="J59" s="215">
        <v>5836.27</v>
      </c>
      <c r="K59" s="215">
        <v>5836.27</v>
      </c>
      <c r="L59" s="215">
        <v>5836.27</v>
      </c>
      <c r="M59" s="215">
        <v>5836.27</v>
      </c>
      <c r="N59" s="215">
        <v>5836.27</v>
      </c>
      <c r="O59" s="215">
        <v>5836.27</v>
      </c>
      <c r="P59" s="137">
        <f>SUM(D59:O59)</f>
        <v>70035.24000000002</v>
      </c>
      <c r="Q59" s="116">
        <v>56.55</v>
      </c>
      <c r="R59" s="116">
        <v>57.03</v>
      </c>
      <c r="S59" s="116">
        <v>75.400000000000006</v>
      </c>
      <c r="T59" s="116">
        <v>75.400000000000006</v>
      </c>
      <c r="U59" s="116">
        <v>78.7</v>
      </c>
      <c r="V59" s="116">
        <v>98.8</v>
      </c>
      <c r="W59" s="116">
        <v>79.92</v>
      </c>
      <c r="X59" s="116">
        <v>97.94</v>
      </c>
      <c r="Y59" s="116">
        <v>50</v>
      </c>
      <c r="Z59" s="116">
        <v>50</v>
      </c>
      <c r="AA59" s="116">
        <v>50</v>
      </c>
      <c r="AB59" s="116">
        <v>50</v>
      </c>
      <c r="AC59" s="127">
        <f t="shared" si="20"/>
        <v>819.74</v>
      </c>
      <c r="AD59" s="72">
        <f t="shared" si="21"/>
        <v>-69215.500000000015</v>
      </c>
      <c r="AE59" s="192">
        <f t="shared" si="22"/>
        <v>-84.435918705931172</v>
      </c>
      <c r="AF59" s="129">
        <v>23514.829999999998</v>
      </c>
      <c r="AG59" s="129">
        <f t="shared" si="2"/>
        <v>-46520.410000000018</v>
      </c>
    </row>
    <row r="60" spans="1:33">
      <c r="A60" s="105" t="s">
        <v>281</v>
      </c>
      <c r="B60" s="105" t="s">
        <v>635</v>
      </c>
      <c r="C60" s="105" t="s">
        <v>282</v>
      </c>
      <c r="D60" s="176">
        <v>0</v>
      </c>
      <c r="E60" s="176">
        <v>0</v>
      </c>
      <c r="F60" s="176">
        <v>0</v>
      </c>
      <c r="G60" s="176">
        <v>0</v>
      </c>
      <c r="H60" s="176">
        <v>0</v>
      </c>
      <c r="I60" s="176">
        <v>0</v>
      </c>
      <c r="J60" s="176">
        <v>0</v>
      </c>
      <c r="K60" s="176">
        <v>0</v>
      </c>
      <c r="L60" s="176">
        <v>0</v>
      </c>
      <c r="M60" s="176">
        <v>0</v>
      </c>
      <c r="N60" s="176">
        <v>0</v>
      </c>
      <c r="O60" s="176">
        <v>0</v>
      </c>
      <c r="P60" s="137">
        <f>SUM(D60:O60)</f>
        <v>0</v>
      </c>
      <c r="Q60" s="116">
        <v>701.87</v>
      </c>
      <c r="R60" s="116">
        <v>895.97</v>
      </c>
      <c r="S60" s="116">
        <v>808.74</v>
      </c>
      <c r="T60" s="116">
        <v>513.51</v>
      </c>
      <c r="U60" s="116">
        <v>550.91999999999996</v>
      </c>
      <c r="V60" s="116">
        <v>631.17999999999995</v>
      </c>
      <c r="W60" s="116">
        <v>499.17</v>
      </c>
      <c r="X60" s="116">
        <v>1082.8699999999999</v>
      </c>
      <c r="Y60" s="116">
        <v>871</v>
      </c>
      <c r="Z60" s="116">
        <v>828</v>
      </c>
      <c r="AA60" s="116">
        <v>775</v>
      </c>
      <c r="AB60" s="116">
        <v>775</v>
      </c>
      <c r="AC60" s="127">
        <f t="shared" si="20"/>
        <v>8933.23</v>
      </c>
      <c r="AD60" s="72">
        <f t="shared" si="21"/>
        <v>8933.23</v>
      </c>
      <c r="AE60" s="192">
        <f t="shared" si="22"/>
        <v>1</v>
      </c>
      <c r="AF60" s="129">
        <v>9635.7999999999993</v>
      </c>
      <c r="AG60" s="129">
        <f t="shared" si="2"/>
        <v>9635.7999999999993</v>
      </c>
    </row>
    <row r="61" spans="1:33">
      <c r="A61" s="105" t="s">
        <v>137</v>
      </c>
      <c r="B61" s="105" t="s">
        <v>635</v>
      </c>
      <c r="C61" s="105" t="s">
        <v>283</v>
      </c>
      <c r="D61" s="176">
        <v>7578.18</v>
      </c>
      <c r="E61" s="176">
        <v>6613.18</v>
      </c>
      <c r="F61" s="176">
        <v>6630.37</v>
      </c>
      <c r="G61" s="176">
        <v>6721.37</v>
      </c>
      <c r="H61" s="176">
        <v>7116.18</v>
      </c>
      <c r="I61" s="176">
        <v>6718.88</v>
      </c>
      <c r="J61" s="176">
        <v>6679.88</v>
      </c>
      <c r="K61" s="176">
        <v>6674.88</v>
      </c>
      <c r="L61" s="176">
        <v>6714.88</v>
      </c>
      <c r="M61" s="176">
        <v>7596.4</v>
      </c>
      <c r="N61" s="176">
        <v>6701.37</v>
      </c>
      <c r="O61" s="176">
        <v>6696.37</v>
      </c>
      <c r="P61" s="137">
        <f>SUM(D61:O61)</f>
        <v>82441.939999999973</v>
      </c>
      <c r="Q61" s="116">
        <v>2639.59</v>
      </c>
      <c r="R61" s="116">
        <v>4193.8</v>
      </c>
      <c r="S61" s="116">
        <v>4970.04</v>
      </c>
      <c r="T61" s="116">
        <v>4834.6400000000003</v>
      </c>
      <c r="U61" s="116">
        <v>3924.72</v>
      </c>
      <c r="V61" s="116">
        <v>6043.04</v>
      </c>
      <c r="W61" s="116">
        <v>5075.8100000000004</v>
      </c>
      <c r="X61" s="116">
        <v>6520.22</v>
      </c>
      <c r="Y61" s="116">
        <v>4340</v>
      </c>
      <c r="Z61" s="116">
        <v>4739</v>
      </c>
      <c r="AA61" s="116">
        <v>4389</v>
      </c>
      <c r="AB61" s="116">
        <v>4389</v>
      </c>
      <c r="AC61" s="127">
        <f t="shared" si="20"/>
        <v>56058.86</v>
      </c>
      <c r="AD61" s="72">
        <f t="shared" si="21"/>
        <v>-26383.079999999973</v>
      </c>
      <c r="AE61" s="192">
        <f t="shared" si="22"/>
        <v>-0.47063176097408993</v>
      </c>
      <c r="AF61" s="129">
        <v>54433.959999999992</v>
      </c>
      <c r="AG61" s="129">
        <f t="shared" si="2"/>
        <v>-28007.979999999981</v>
      </c>
    </row>
    <row r="62" spans="1:33">
      <c r="A62" s="105" t="s">
        <v>138</v>
      </c>
      <c r="B62" s="105" t="s">
        <v>635</v>
      </c>
      <c r="C62" s="105" t="s">
        <v>472</v>
      </c>
      <c r="D62" s="116">
        <v>0</v>
      </c>
      <c r="E62" s="116">
        <v>0</v>
      </c>
      <c r="F62" s="116">
        <v>0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0</v>
      </c>
      <c r="M62" s="116">
        <v>0</v>
      </c>
      <c r="N62" s="116">
        <v>0</v>
      </c>
      <c r="O62" s="116">
        <v>0</v>
      </c>
      <c r="P62" s="137"/>
      <c r="Q62" s="116">
        <v>0</v>
      </c>
      <c r="R62" s="116">
        <v>0</v>
      </c>
      <c r="S62" s="116">
        <v>0</v>
      </c>
      <c r="T62" s="116">
        <v>0</v>
      </c>
      <c r="U62" s="116">
        <v>0</v>
      </c>
      <c r="V62" s="116">
        <v>0</v>
      </c>
      <c r="W62" s="116">
        <v>0</v>
      </c>
      <c r="X62" s="116">
        <v>0</v>
      </c>
      <c r="Y62" s="116">
        <v>0</v>
      </c>
      <c r="Z62" s="116">
        <v>0</v>
      </c>
      <c r="AA62" s="116">
        <v>0</v>
      </c>
      <c r="AB62" s="116">
        <v>0</v>
      </c>
      <c r="AC62" s="127">
        <f t="shared" si="20"/>
        <v>0</v>
      </c>
      <c r="AD62" s="72">
        <f t="shared" si="21"/>
        <v>0</v>
      </c>
      <c r="AE62" s="192" t="e">
        <f t="shared" si="22"/>
        <v>#DIV/0!</v>
      </c>
      <c r="AF62" s="129">
        <v>0</v>
      </c>
      <c r="AG62" s="129">
        <f t="shared" si="2"/>
        <v>0</v>
      </c>
    </row>
    <row r="63" spans="1:33">
      <c r="A63" s="105" t="s">
        <v>140</v>
      </c>
      <c r="B63" s="105" t="s">
        <v>635</v>
      </c>
      <c r="C63" s="105" t="s">
        <v>473</v>
      </c>
      <c r="D63" s="116">
        <v>0</v>
      </c>
      <c r="E63" s="116">
        <v>0</v>
      </c>
      <c r="F63" s="116">
        <v>0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0</v>
      </c>
      <c r="M63" s="116">
        <v>0</v>
      </c>
      <c r="N63" s="116">
        <v>0</v>
      </c>
      <c r="O63" s="116">
        <v>0</v>
      </c>
      <c r="P63" s="137"/>
      <c r="Q63" s="116">
        <v>0</v>
      </c>
      <c r="R63" s="116">
        <v>0</v>
      </c>
      <c r="S63" s="116">
        <v>0</v>
      </c>
      <c r="T63" s="116">
        <v>0</v>
      </c>
      <c r="U63" s="116">
        <v>0</v>
      </c>
      <c r="V63" s="116">
        <v>0</v>
      </c>
      <c r="W63" s="116">
        <v>0</v>
      </c>
      <c r="X63" s="116">
        <v>0</v>
      </c>
      <c r="Y63" s="116">
        <v>0</v>
      </c>
      <c r="Z63" s="116">
        <v>0</v>
      </c>
      <c r="AA63" s="116">
        <v>0</v>
      </c>
      <c r="AB63" s="116">
        <v>0</v>
      </c>
      <c r="AC63" s="127">
        <f t="shared" si="20"/>
        <v>0</v>
      </c>
      <c r="AD63" s="72">
        <f t="shared" si="21"/>
        <v>0</v>
      </c>
      <c r="AE63" s="192" t="e">
        <f t="shared" si="22"/>
        <v>#DIV/0!</v>
      </c>
      <c r="AF63" s="129">
        <v>0</v>
      </c>
      <c r="AG63" s="129">
        <f t="shared" si="2"/>
        <v>0</v>
      </c>
    </row>
    <row r="64" spans="1:33">
      <c r="C64" s="109" t="s">
        <v>523</v>
      </c>
      <c r="D64" s="117">
        <f t="shared" ref="D64:AC64" si="23">SUM(D58:D61)</f>
        <v>13681.11</v>
      </c>
      <c r="E64" s="117">
        <f t="shared" si="23"/>
        <v>12716.11</v>
      </c>
      <c r="F64" s="117">
        <f t="shared" si="23"/>
        <v>12733.3</v>
      </c>
      <c r="G64" s="117">
        <f t="shared" si="23"/>
        <v>12824.3</v>
      </c>
      <c r="H64" s="117">
        <f t="shared" si="23"/>
        <v>13219.11</v>
      </c>
      <c r="I64" s="117">
        <f t="shared" si="23"/>
        <v>12821.810000000001</v>
      </c>
      <c r="J64" s="117">
        <f t="shared" si="23"/>
        <v>12782.810000000001</v>
      </c>
      <c r="K64" s="117">
        <f t="shared" si="23"/>
        <v>12777.810000000001</v>
      </c>
      <c r="L64" s="117">
        <f t="shared" si="23"/>
        <v>12817.810000000001</v>
      </c>
      <c r="M64" s="117">
        <f t="shared" si="23"/>
        <v>13699.33</v>
      </c>
      <c r="N64" s="117">
        <f t="shared" si="23"/>
        <v>12804.3</v>
      </c>
      <c r="O64" s="117">
        <f t="shared" si="23"/>
        <v>12799.3</v>
      </c>
      <c r="P64" s="137">
        <f t="shared" si="23"/>
        <v>155677.09999999998</v>
      </c>
      <c r="Q64" s="117">
        <f t="shared" si="23"/>
        <v>3605.38</v>
      </c>
      <c r="R64" s="117">
        <f t="shared" si="23"/>
        <v>5273.8</v>
      </c>
      <c r="S64" s="117">
        <f t="shared" si="23"/>
        <v>6069.08</v>
      </c>
      <c r="T64" s="117">
        <f t="shared" si="23"/>
        <v>5599.39</v>
      </c>
      <c r="U64" s="117">
        <f t="shared" si="23"/>
        <v>4690.34</v>
      </c>
      <c r="V64" s="117">
        <f t="shared" si="23"/>
        <v>7141.74</v>
      </c>
      <c r="W64" s="117">
        <f t="shared" si="23"/>
        <v>6062.9000000000005</v>
      </c>
      <c r="X64" s="117">
        <f t="shared" si="23"/>
        <v>7937.85</v>
      </c>
      <c r="Y64" s="117">
        <f t="shared" si="23"/>
        <v>5661</v>
      </c>
      <c r="Z64" s="117">
        <f t="shared" si="23"/>
        <v>6017</v>
      </c>
      <c r="AA64" s="117">
        <f t="shared" si="23"/>
        <v>5614</v>
      </c>
      <c r="AB64" s="117">
        <f t="shared" si="23"/>
        <v>5614</v>
      </c>
      <c r="AC64" s="127">
        <f t="shared" si="23"/>
        <v>69286.48</v>
      </c>
      <c r="AD64" s="72">
        <f t="shared" si="21"/>
        <v>-86390.619999999981</v>
      </c>
      <c r="AE64" s="192">
        <f t="shared" si="22"/>
        <v>-1.2468611480912291</v>
      </c>
      <c r="AF64" s="129">
        <v>89184.59</v>
      </c>
      <c r="AG64" s="129">
        <f t="shared" si="2"/>
        <v>-66492.50999999998</v>
      </c>
    </row>
    <row r="65" spans="1:33">
      <c r="C65" s="109" t="s">
        <v>524</v>
      </c>
      <c r="D65" s="117">
        <f t="shared" ref="D65:AC65" si="24">+D36+D43+D53+D64</f>
        <v>82139.069999999992</v>
      </c>
      <c r="E65" s="117">
        <f t="shared" si="24"/>
        <v>75727.38</v>
      </c>
      <c r="F65" s="117">
        <f t="shared" si="24"/>
        <v>76724.070000000007</v>
      </c>
      <c r="G65" s="117">
        <f t="shared" si="24"/>
        <v>77687.240000000005</v>
      </c>
      <c r="H65" s="117">
        <f t="shared" si="24"/>
        <v>78082.05</v>
      </c>
      <c r="I65" s="117">
        <f t="shared" si="24"/>
        <v>76812.58</v>
      </c>
      <c r="J65" s="117">
        <f t="shared" si="24"/>
        <v>76928.760000000009</v>
      </c>
      <c r="K65" s="117">
        <f t="shared" si="24"/>
        <v>76843.5</v>
      </c>
      <c r="L65" s="117">
        <f t="shared" si="24"/>
        <v>76883.5</v>
      </c>
      <c r="M65" s="117">
        <f t="shared" si="24"/>
        <v>84964.91</v>
      </c>
      <c r="N65" s="117">
        <f t="shared" si="24"/>
        <v>76950.25</v>
      </c>
      <c r="O65" s="117">
        <f t="shared" si="24"/>
        <v>76864.990000000005</v>
      </c>
      <c r="P65" s="137">
        <f t="shared" si="24"/>
        <v>936608.30000000016</v>
      </c>
      <c r="Q65" s="117">
        <f t="shared" si="24"/>
        <v>64690.34</v>
      </c>
      <c r="R65" s="117">
        <f t="shared" si="24"/>
        <v>46846.26</v>
      </c>
      <c r="S65" s="117">
        <f t="shared" si="24"/>
        <v>53912.140000000007</v>
      </c>
      <c r="T65" s="117">
        <f t="shared" si="24"/>
        <v>70263.75</v>
      </c>
      <c r="U65" s="117">
        <f t="shared" si="24"/>
        <v>39230.989999999991</v>
      </c>
      <c r="V65" s="117">
        <f t="shared" si="24"/>
        <v>56687.27</v>
      </c>
      <c r="W65" s="117">
        <f t="shared" si="24"/>
        <v>79067.049999999988</v>
      </c>
      <c r="X65" s="117">
        <f t="shared" si="24"/>
        <v>81767.520000000004</v>
      </c>
      <c r="Y65" s="117">
        <f t="shared" si="24"/>
        <v>75043.33</v>
      </c>
      <c r="Z65" s="117">
        <f t="shared" si="24"/>
        <v>78875.33</v>
      </c>
      <c r="AA65" s="117">
        <f t="shared" si="24"/>
        <v>73258.33</v>
      </c>
      <c r="AB65" s="117">
        <f t="shared" si="24"/>
        <v>73258.33</v>
      </c>
      <c r="AC65" s="127">
        <f t="shared" si="24"/>
        <v>792900.64</v>
      </c>
      <c r="AD65" s="72">
        <f t="shared" si="21"/>
        <v>-143707.66000000015</v>
      </c>
      <c r="AE65" s="192">
        <f t="shared" si="22"/>
        <v>-0.18124296128705375</v>
      </c>
      <c r="AF65" s="129">
        <v>449783.00999999989</v>
      </c>
      <c r="AG65" s="129">
        <f t="shared" si="2"/>
        <v>-486825.29000000027</v>
      </c>
    </row>
    <row r="66" spans="1:33">
      <c r="C66" s="105" t="s">
        <v>154</v>
      </c>
      <c r="Q66" s="116"/>
      <c r="R66" s="116"/>
      <c r="S66" s="116"/>
      <c r="T66" s="116"/>
      <c r="U66" s="116"/>
      <c r="V66" s="116"/>
      <c r="W66" s="116"/>
      <c r="AE66" s="255"/>
      <c r="AF66" s="129"/>
      <c r="AG66" s="129">
        <f t="shared" si="2"/>
        <v>0</v>
      </c>
    </row>
    <row r="67" spans="1:33" s="109" customFormat="1">
      <c r="A67" s="109" t="s">
        <v>141</v>
      </c>
      <c r="B67" s="109" t="s">
        <v>635</v>
      </c>
      <c r="C67" s="109" t="s">
        <v>142</v>
      </c>
      <c r="D67" s="215">
        <v>5</v>
      </c>
      <c r="E67" s="215">
        <v>5</v>
      </c>
      <c r="F67" s="215">
        <v>5</v>
      </c>
      <c r="G67" s="215">
        <v>5</v>
      </c>
      <c r="H67" s="215">
        <v>5</v>
      </c>
      <c r="I67" s="215">
        <v>5</v>
      </c>
      <c r="J67" s="215">
        <v>5</v>
      </c>
      <c r="K67" s="215">
        <v>5</v>
      </c>
      <c r="L67" s="215">
        <v>5</v>
      </c>
      <c r="M67" s="215">
        <v>5</v>
      </c>
      <c r="N67" s="215">
        <v>5</v>
      </c>
      <c r="O67" s="215">
        <v>5</v>
      </c>
      <c r="P67" s="127">
        <f>SUM(D67:O67)/12</f>
        <v>5</v>
      </c>
      <c r="Q67" s="127">
        <v>3</v>
      </c>
      <c r="R67" s="127">
        <v>3</v>
      </c>
      <c r="S67" s="127">
        <v>4</v>
      </c>
      <c r="T67" s="127">
        <v>4</v>
      </c>
      <c r="U67" s="127">
        <v>4</v>
      </c>
      <c r="V67" s="127">
        <v>5</v>
      </c>
      <c r="W67" s="127">
        <v>4</v>
      </c>
      <c r="X67" s="127">
        <v>5</v>
      </c>
      <c r="Y67" s="127">
        <v>4</v>
      </c>
      <c r="Z67" s="127">
        <v>4</v>
      </c>
      <c r="AA67" s="127">
        <v>4</v>
      </c>
      <c r="AB67" s="127">
        <v>4</v>
      </c>
      <c r="AC67" s="127">
        <f>SUM(Q67:AB67)/12</f>
        <v>4</v>
      </c>
      <c r="AD67" s="127">
        <f t="shared" si="21"/>
        <v>-1</v>
      </c>
      <c r="AE67" s="256">
        <f t="shared" si="22"/>
        <v>-0.25</v>
      </c>
      <c r="AF67" s="129">
        <v>3.0833333333333335</v>
      </c>
      <c r="AG67" s="129">
        <f t="shared" si="2"/>
        <v>-1.9166666666666665</v>
      </c>
    </row>
    <row r="69" spans="1:33">
      <c r="P69" s="135">
        <f>P65/P67</f>
        <v>187321.66000000003</v>
      </c>
      <c r="AC69" s="135">
        <f>AC65/AC67</f>
        <v>198225.16</v>
      </c>
    </row>
    <row r="71" spans="1:33">
      <c r="C71" s="151" t="s">
        <v>292</v>
      </c>
      <c r="P71" s="137">
        <f t="shared" ref="P71:P73" si="25">SUM(D71:O71)</f>
        <v>0</v>
      </c>
    </row>
    <row r="72" spans="1:33">
      <c r="C72" s="152" t="s">
        <v>366</v>
      </c>
      <c r="D72" s="136">
        <v>0</v>
      </c>
      <c r="E72" s="136">
        <v>0</v>
      </c>
      <c r="F72" s="136">
        <v>0</v>
      </c>
      <c r="G72" s="136">
        <v>0</v>
      </c>
      <c r="H72" s="136">
        <v>0</v>
      </c>
      <c r="I72" s="136">
        <v>0</v>
      </c>
      <c r="J72" s="136">
        <v>0</v>
      </c>
      <c r="K72" s="136">
        <v>0</v>
      </c>
      <c r="L72" s="136">
        <v>0</v>
      </c>
      <c r="M72" s="136">
        <v>0</v>
      </c>
      <c r="N72" s="136">
        <v>0</v>
      </c>
      <c r="O72" s="136">
        <v>0</v>
      </c>
      <c r="P72" s="137">
        <f t="shared" si="25"/>
        <v>0</v>
      </c>
    </row>
    <row r="73" spans="1:33">
      <c r="C73" s="151" t="s">
        <v>367</v>
      </c>
      <c r="D73" s="136">
        <v>0</v>
      </c>
      <c r="E73" s="136">
        <v>0</v>
      </c>
      <c r="F73" s="136">
        <v>0</v>
      </c>
      <c r="G73" s="136">
        <v>0</v>
      </c>
      <c r="H73" s="136">
        <v>0</v>
      </c>
      <c r="I73" s="136">
        <v>0</v>
      </c>
      <c r="J73" s="136">
        <v>0</v>
      </c>
      <c r="K73" s="136">
        <v>0</v>
      </c>
      <c r="L73" s="136">
        <v>0</v>
      </c>
      <c r="M73" s="136">
        <v>0</v>
      </c>
      <c r="N73" s="136">
        <v>0</v>
      </c>
      <c r="O73" s="136">
        <v>0</v>
      </c>
      <c r="P73" s="137">
        <f t="shared" si="25"/>
        <v>0</v>
      </c>
      <c r="T73" s="134"/>
    </row>
    <row r="74" spans="1:33">
      <c r="C74" s="109" t="s">
        <v>699</v>
      </c>
      <c r="D74" s="117">
        <f>SUM(D71:D73)</f>
        <v>0</v>
      </c>
      <c r="E74" s="117">
        <f t="shared" ref="E74:P74" si="26">SUM(E71:E73)</f>
        <v>0</v>
      </c>
      <c r="F74" s="117">
        <f t="shared" si="26"/>
        <v>0</v>
      </c>
      <c r="G74" s="117">
        <f t="shared" si="26"/>
        <v>0</v>
      </c>
      <c r="H74" s="117">
        <f t="shared" si="26"/>
        <v>0</v>
      </c>
      <c r="I74" s="117">
        <f t="shared" si="26"/>
        <v>0</v>
      </c>
      <c r="J74" s="117">
        <f t="shared" si="26"/>
        <v>0</v>
      </c>
      <c r="K74" s="117">
        <f t="shared" si="26"/>
        <v>0</v>
      </c>
      <c r="L74" s="117">
        <f t="shared" si="26"/>
        <v>0</v>
      </c>
      <c r="M74" s="117">
        <f t="shared" si="26"/>
        <v>0</v>
      </c>
      <c r="N74" s="117">
        <f t="shared" si="26"/>
        <v>0</v>
      </c>
      <c r="O74" s="117">
        <f t="shared" si="26"/>
        <v>0</v>
      </c>
      <c r="P74" s="117">
        <f t="shared" si="26"/>
        <v>0</v>
      </c>
    </row>
  </sheetData>
  <phoneticPr fontId="7" type="noConversion"/>
  <dataValidations count="148">
    <dataValidation type="textLength" errorStyle="information" allowBlank="1" showInputMessage="1" showErrorMessage="1" error="XLBVal:6=5_x000d__x000a_" sqref="V67">
      <formula1>0</formula1>
      <formula2>300</formula2>
    </dataValidation>
    <dataValidation type="textLength" errorStyle="information" allowBlank="1" showInputMessage="1" showErrorMessage="1" error="XLBVal:6=214.9_x000d__x000a_" sqref="S58">
      <formula1>0</formula1>
      <formula2>300</formula2>
    </dataValidation>
    <dataValidation type="textLength" errorStyle="information" allowBlank="1" showInputMessage="1" showErrorMessage="1" error="XLBVal:6=1034_x000d__x000a_" sqref="U50">
      <formula1>0</formula1>
      <formula2>300</formula2>
    </dataValidation>
    <dataValidation type="textLength" errorStyle="information" allowBlank="1" showInputMessage="1" showErrorMessage="1" error="XLBVal:6=2457_x000d__x000a_" sqref="T50">
      <formula1>0</formula1>
      <formula2>300</formula2>
    </dataValidation>
    <dataValidation type="textLength" errorStyle="information" allowBlank="1" showInputMessage="1" showErrorMessage="1" error="XLBVal:6=1357_x000d__x000a_" sqref="Q50:S50">
      <formula1>0</formula1>
      <formula2>300</formula2>
    </dataValidation>
    <dataValidation type="textLength" errorStyle="information" allowBlank="1" showInputMessage="1" showErrorMessage="1" error="XLBVal:6=24.82_x000d__x000a_" sqref="U48">
      <formula1>0</formula1>
      <formula2>300</formula2>
    </dataValidation>
    <dataValidation type="textLength" errorStyle="information" allowBlank="1" showInputMessage="1" showErrorMessage="1" error="XLBVal:6=58.97_x000d__x000a_" sqref="T48">
      <formula1>0</formula1>
      <formula2>300</formula2>
    </dataValidation>
    <dataValidation type="textLength" errorStyle="information" allowBlank="1" showInputMessage="1" showErrorMessage="1" error="XLBVal:6=32.57_x000d__x000a_" sqref="Q48:S48">
      <formula1>0</formula1>
      <formula2>300</formula2>
    </dataValidation>
    <dataValidation type="textLength" errorStyle="information" allowBlank="1" showInputMessage="1" showErrorMessage="1" error="XLBVal:6=103.41_x000d__x000a_" sqref="U47">
      <formula1>0</formula1>
      <formula2>300</formula2>
    </dataValidation>
    <dataValidation type="textLength" errorStyle="information" allowBlank="1" showInputMessage="1" showErrorMessage="1" error="XLBVal:6=245.72_x000d__x000a_" sqref="T47">
      <formula1>0</formula1>
      <formula2>300</formula2>
    </dataValidation>
    <dataValidation type="textLength" errorStyle="information" allowBlank="1" showInputMessage="1" showErrorMessage="1" error="XLBVal:6=135.72_x000d__x000a_" sqref="Q47:S47">
      <formula1>0</formula1>
      <formula2>300</formula2>
    </dataValidation>
    <dataValidation type="textLength" errorStyle="information" allowBlank="1" showInputMessage="1" showErrorMessage="1" error="XLBVal:6=1758.02_x000d__x000a_" sqref="U46">
      <formula1>0</formula1>
      <formula2>300</formula2>
    </dataValidation>
    <dataValidation type="textLength" errorStyle="information" allowBlank="1" showInputMessage="1" showErrorMessage="1" error="XLBVal:6=4177.27_x000d__x000a_" sqref="T46">
      <formula1>0</formula1>
      <formula2>300</formula2>
    </dataValidation>
    <dataValidation type="textLength" errorStyle="information" allowBlank="1" showInputMessage="1" showErrorMessage="1" error="XLBVal:6=2307.27_x000d__x000a_" sqref="Q46:S46">
      <formula1>0</formula1>
      <formula2>300</formula2>
    </dataValidation>
    <dataValidation type="textLength" errorStyle="information" allowBlank="1" showInputMessage="1" showErrorMessage="1" error="XLBVal:6=3309.2_x000d__x000a_" sqref="U45">
      <formula1>0</formula1>
      <formula2>300</formula2>
    </dataValidation>
    <dataValidation type="textLength" errorStyle="information" allowBlank="1" showInputMessage="1" showErrorMessage="1" error="XLBVal:6=7863.09_x000d__x000a_" sqref="T45">
      <formula1>0</formula1>
      <formula2>300</formula2>
    </dataValidation>
    <dataValidation type="textLength" errorStyle="information" allowBlank="1" showInputMessage="1" showErrorMessage="1" error="XLBVal:6=4343.09_x000d__x000a_" sqref="Q45:S45">
      <formula1>0</formula1>
      <formula2>300</formula2>
    </dataValidation>
    <dataValidation type="textLength" errorStyle="information" allowBlank="1" showInputMessage="1" showErrorMessage="1" error="XLBVal:6=1091_x000d__x000a_" sqref="U40">
      <formula1>0</formula1>
      <formula2>300</formula2>
    </dataValidation>
    <dataValidation type="textLength" errorStyle="information" allowBlank="1" showInputMessage="1" showErrorMessage="1" error="XLBVal:6=11675.49_x000d__x000a_" sqref="Q39">
      <formula1>0</formula1>
      <formula2>300</formula2>
    </dataValidation>
    <dataValidation type="textLength" errorStyle="information" allowBlank="1" showInputMessage="1" showErrorMessage="1" error="XLBVal:6=1287.36_x000d__x000a_" sqref="V35">
      <formula1>0</formula1>
      <formula2>300</formula2>
    </dataValidation>
    <dataValidation type="textLength" errorStyle="information" allowBlank="1" showInputMessage="1" showErrorMessage="1" error="XLBVal:6=4225.66_x000d__x000a_" sqref="U35">
      <formula1>0</formula1>
      <formula2>300</formula2>
    </dataValidation>
    <dataValidation type="textLength" errorStyle="information" allowBlank="1" showInputMessage="1" showErrorMessage="1" error="XLBVal:6=32195.4_x000d__x000a_" sqref="T34">
      <formula1>0</formula1>
      <formula2>300</formula2>
    </dataValidation>
    <dataValidation type="textLength" errorStyle="information" allowBlank="1" showInputMessage="1" showErrorMessage="1" error="XLBVal:6=20057.47_x000d__x000a_" sqref="S34">
      <formula1>0</formula1>
      <formula2>300</formula2>
    </dataValidation>
    <dataValidation type="textLength" errorStyle="information" allowBlank="1" showInputMessage="1" showErrorMessage="1" error="XLBVal:6=30448.28_x000d__x000a_" sqref="Q34">
      <formula1>0</formula1>
      <formula2>300</formula2>
    </dataValidation>
    <dataValidation type="textLength" errorStyle="information" allowBlank="1" showInputMessage="1" showErrorMessage="1" error="XLBVal:6=4298.69_x000d__x000a_" sqref="S27">
      <formula1>0</formula1>
      <formula2>300</formula2>
    </dataValidation>
    <dataValidation type="textLength" errorStyle="information" allowBlank="1" showInputMessage="1" showErrorMessage="1" error="XLBVal:6=698.86_x000d__x000a_" sqref="V21">
      <formula1>0</formula1>
      <formula2>300</formula2>
    </dataValidation>
    <dataValidation type="textLength" errorStyle="information" allowBlank="1" showInputMessage="1" showErrorMessage="1" error="XLBVal:6=331.86_x000d__x000a_" sqref="Q21 S21:U21">
      <formula1>0</formula1>
      <formula2>300</formula2>
    </dataValidation>
    <dataValidation type="textLength" errorStyle="information" allowBlank="1" showInputMessage="1" showErrorMessage="1" error="XLBVal:6=-50_x000d__x000a_" sqref="V15">
      <formula1>0</formula1>
      <formula2>300</formula2>
    </dataValidation>
    <dataValidation type="textLength" errorStyle="information" allowBlank="1" showInputMessage="1" showErrorMessage="1" error="XLBVal:6=0.02_x000d__x000a_" sqref="U15">
      <formula1>0</formula1>
      <formula2>300</formula2>
    </dataValidation>
    <dataValidation type="textLength" errorStyle="information" allowBlank="1" showInputMessage="1" showErrorMessage="1" error="XLBVal:6=0_x000d__x000a_" sqref="T15">
      <formula1>0</formula1>
      <formula2>300</formula2>
    </dataValidation>
    <dataValidation type="textLength" errorStyle="information" allowBlank="1" showInputMessage="1" showErrorMessage="1" error="XLBVal:6=34143_x000d__x000a_" sqref="D34:D35 D38:O42 D45:O52 D55:O59 D67:O67">
      <formula1>0</formula1>
      <formula2>300</formula2>
    </dataValidation>
    <dataValidation type="textLength" errorStyle="information" allowBlank="1" showInputMessage="1" showErrorMessage="1" error="XLBVal:6=175.84_x000d__x000a_" sqref="T58">
      <formula1>0</formula1>
      <formula2>300</formula2>
    </dataValidation>
    <dataValidation type="textLength" errorStyle="information" allowBlank="1" showInputMessage="1" showErrorMessage="1" error="XLBVal:6=8187.04_x000d__x000a_" sqref="V39">
      <formula1>0</formula1>
      <formula2>300</formula2>
    </dataValidation>
    <dataValidation type="textLength" errorStyle="information" allowBlank="1" showInputMessage="1" showErrorMessage="1" error="XLBVal:6=3718.72_x000d__x000a_" sqref="U39">
      <formula1>0</formula1>
      <formula2>300</formula2>
    </dataValidation>
    <dataValidation type="textLength" errorStyle="information" allowBlank="1" showInputMessage="1" showErrorMessage="1" error="XLBVal:6=6808.5_x000d__x000a_" sqref="T39">
      <formula1>0</formula1>
      <formula2>300</formula2>
    </dataValidation>
    <dataValidation type="textLength" errorStyle="information" allowBlank="1" showInputMessage="1" showErrorMessage="1" error="XLBVal:6=1575.86_x000d__x000a_" sqref="Q38">
      <formula1>0</formula1>
      <formula2>300</formula2>
    </dataValidation>
    <dataValidation type="textLength" errorStyle="information" allowBlank="1" showInputMessage="1" showErrorMessage="1" error="XLBVal:6=13298.04_x000d__x000a_" sqref="AB27">
      <formula1>0</formula1>
      <formula2>300</formula2>
    </dataValidation>
    <dataValidation type="textLength" errorStyle="information" allowBlank="1" showInputMessage="1" showErrorMessage="1" error="XLBVal:6=303.66_x000d__x000a_" sqref="AB25">
      <formula1>0</formula1>
      <formula2>300</formula2>
    </dataValidation>
    <dataValidation type="textLength" errorStyle="information" allowBlank="1" showInputMessage="1" showErrorMessage="1" error="XLBVal:6=374.58_x000d__x000a_" sqref="AB24">
      <formula1>0</formula1>
      <formula2>300</formula2>
    </dataValidation>
    <dataValidation type="textLength" errorStyle="information" allowBlank="1" showInputMessage="1" showErrorMessage="1" error="XLBVal:6=1381.6_x000d__x000a_" sqref="AB22">
      <formula1>0</formula1>
      <formula2>300</formula2>
    </dataValidation>
    <dataValidation type="textLength" errorStyle="information" allowBlank="1" showInputMessage="1" showErrorMessage="1" error="XLBVal:6=289883.75_x000d__x000a_" sqref="AB20">
      <formula1>0</formula1>
      <formula2>300</formula2>
    </dataValidation>
    <dataValidation type="textLength" errorStyle="information" allowBlank="1" showInputMessage="1" showErrorMessage="1" error="XLBVal:6=6673.8_x000d__x000a_" sqref="AB16">
      <formula1>0</formula1>
      <formula2>300</formula2>
    </dataValidation>
    <dataValidation type="textLength" errorStyle="information" allowBlank="1" showInputMessage="1" showErrorMessage="1" error="XLBVal:6=408.8_x000d__x000a_" sqref="AA27">
      <formula1>0</formula1>
      <formula2>300</formula2>
    </dataValidation>
    <dataValidation type="textLength" errorStyle="information" allowBlank="1" showInputMessage="1" showErrorMessage="1" error="XLBVal:6=904.73_x000d__x000a_" sqref="Z27">
      <formula1>0</formula1>
      <formula2>300</formula2>
    </dataValidation>
    <dataValidation type="textLength" errorStyle="information" allowBlank="1" showInputMessage="1" showErrorMessage="1" error="XLBVal:6=-1402_x000d__x000a_" sqref="AA25">
      <formula1>0</formula1>
      <formula2>300</formula2>
    </dataValidation>
    <dataValidation type="textLength" errorStyle="information" allowBlank="1" showInputMessage="1" showErrorMessage="1" error="XLBVal:6=145.88_x000d__x000a_" sqref="AA24">
      <formula1>0</formula1>
      <formula2>300</formula2>
    </dataValidation>
    <dataValidation type="textLength" errorStyle="information" allowBlank="1" showInputMessage="1" showErrorMessage="1" error="XLBVal:6=649.7_x000d__x000a_" sqref="Z24">
      <formula1>0</formula1>
      <formula2>300</formula2>
    </dataValidation>
    <dataValidation type="textLength" errorStyle="information" allowBlank="1" showInputMessage="1" showErrorMessage="1" error="XLBVal:6=5017.81_x000d__x000a_" sqref="AA22">
      <formula1>0</formula1>
      <formula2>300</formula2>
    </dataValidation>
    <dataValidation type="textLength" errorStyle="information" allowBlank="1" showInputMessage="1" showErrorMessage="1" error="XLBVal:6=175090.4_x000d__x000a_" sqref="AA20">
      <formula1>0</formula1>
      <formula2>300</formula2>
    </dataValidation>
    <dataValidation type="textLength" errorStyle="information" allowBlank="1" showInputMessage="1" showErrorMessage="1" error="XLBVal:6=80048.89_x000d__x000a_" sqref="Z20">
      <formula1>0</formula1>
      <formula2>300</formula2>
    </dataValidation>
    <dataValidation type="textLength" errorStyle="information" allowBlank="1" showInputMessage="1" showErrorMessage="1" error="XLBVal:6=2730_x000d__x000a_" sqref="Z19">
      <formula1>0</formula1>
      <formula2>300</formula2>
    </dataValidation>
    <dataValidation type="textLength" errorStyle="information" allowBlank="1" showInputMessage="1" showErrorMessage="1" error="XLBVal:6=1335.26_x000d__x000a_" sqref="AA16">
      <formula1>0</formula1>
      <formula2>300</formula2>
    </dataValidation>
    <dataValidation type="textLength" errorStyle="information" allowBlank="1" showInputMessage="1" showErrorMessage="1" error="XLBVal:6=1371.96_x000d__x000a_" sqref="Z16">
      <formula1>0</formula1>
      <formula2>300</formula2>
    </dataValidation>
    <dataValidation type="textLength" errorStyle="information" allowBlank="1" showInputMessage="1" showErrorMessage="1" error="XLBVal:6=656.1_x000d__x000a_" sqref="Y24">
      <formula1>0</formula1>
      <formula2>300</formula2>
    </dataValidation>
    <dataValidation type="textLength" errorStyle="information" allowBlank="1" showInputMessage="1" showErrorMessage="1" error="XLBVal:6=2933.01_x000d__x000a_" sqref="Y22">
      <formula1>0</formula1>
      <formula2>300</formula2>
    </dataValidation>
    <dataValidation type="textLength" errorStyle="information" allowBlank="1" showInputMessage="1" showErrorMessage="1" error="XLBVal:6=-98660.19_x000d__x000a_" sqref="Y20">
      <formula1>0</formula1>
      <formula2>300</formula2>
    </dataValidation>
    <dataValidation type="textLength" errorStyle="information" allowBlank="1" showInputMessage="1" showErrorMessage="1" error="XLBVal:6=399.8_x000d__x000a_" sqref="X27">
      <formula1>0</formula1>
      <formula2>300</formula2>
    </dataValidation>
    <dataValidation type="textLength" errorStyle="information" allowBlank="1" showInputMessage="1" showErrorMessage="1" error="XLBVal:6=472.16_x000d__x000a_" sqref="X25">
      <formula1>0</formula1>
      <formula2>300</formula2>
    </dataValidation>
    <dataValidation type="textLength" errorStyle="information" allowBlank="1" showInputMessage="1" showErrorMessage="1" error="XLBVal:6=657.6_x000d__x000a_" sqref="X24">
      <formula1>0</formula1>
      <formula2>300</formula2>
    </dataValidation>
    <dataValidation type="textLength" errorStyle="information" allowBlank="1" showInputMessage="1" showErrorMessage="1" error="XLBVal:6=-59104.92_x000d__x000a_" sqref="X20">
      <formula1>0</formula1>
      <formula2>300</formula2>
    </dataValidation>
    <dataValidation type="textLength" errorStyle="information" allowBlank="1" showInputMessage="1" showErrorMessage="1" error="XLBVal:6=568.01_x000d__x000a_" sqref="X16">
      <formula1>0</formula1>
      <formula2>300</formula2>
    </dataValidation>
    <dataValidation type="textLength" errorStyle="information" allowBlank="1" showInputMessage="1" showErrorMessage="1" error="XLBVal:6=4_x000d__x000a_" sqref="S67:U67">
      <formula1>0</formula1>
      <formula2>300</formula2>
    </dataValidation>
    <dataValidation type="textLength" errorStyle="information" allowBlank="1" showInputMessage="1" showErrorMessage="1" error="XLBVal:6=56.55_x000d__x000a_" sqref="Q59">
      <formula1>0</formula1>
      <formula2>300</formula2>
    </dataValidation>
    <dataValidation type="textLength" errorStyle="information" allowBlank="1" showInputMessage="1" showErrorMessage="1" error="XLBVal:6=368.72_x000d__x000a_" sqref="V58">
      <formula1>0</formula1>
      <formula2>300</formula2>
    </dataValidation>
    <dataValidation type="textLength" errorStyle="information" allowBlank="1" showInputMessage="1" showErrorMessage="1" error="XLBVal:6=136_x000d__x000a_" sqref="U58">
      <formula1>0</formula1>
      <formula2>300</formula2>
    </dataValidation>
    <dataValidation type="textLength" errorStyle="information" allowBlank="1" showInputMessage="1" showErrorMessage="1" error="XLBVal:6=426.23_x000d__x000a_" sqref="V51">
      <formula1>0</formula1>
      <formula2>300</formula2>
    </dataValidation>
    <dataValidation type="textLength" errorStyle="information" allowBlank="1" showInputMessage="1" showErrorMessage="1" error="XLBVal:6=420.64_x000d__x000a_" sqref="U51">
      <formula1>0</formula1>
      <formula2>300</formula2>
    </dataValidation>
    <dataValidation type="textLength" errorStyle="information" allowBlank="1" showInputMessage="1" showErrorMessage="1" error="XLBVal:6=1019.1_x000d__x000a_" sqref="T51">
      <formula1>0</formula1>
      <formula2>300</formula2>
    </dataValidation>
    <dataValidation type="textLength" errorStyle="information" allowBlank="1" showInputMessage="1" showErrorMessage="1" error="XLBVal:6=927.32_x000d__x000a_" sqref="S51">
      <formula1>0</formula1>
      <formula2>300</formula2>
    </dataValidation>
    <dataValidation type="textLength" errorStyle="information" allowBlank="1" showInputMessage="1" showErrorMessage="1" error="XLBVal:6=504.5_x000d__x000a_" sqref="R51">
      <formula1>0</formula1>
      <formula2>300</formula2>
    </dataValidation>
    <dataValidation type="textLength" errorStyle="information" allowBlank="1" showInputMessage="1" showErrorMessage="1" error="XLBVal:6=749.68_x000d__x000a_" sqref="Q51">
      <formula1>0</formula1>
      <formula2>300</formula2>
    </dataValidation>
    <dataValidation type="textLength" errorStyle="information" allowBlank="1" showInputMessage="1" showErrorMessage="1" error="XLBVal:6=856.45_x000d__x000a_" sqref="V40">
      <formula1>0</formula1>
      <formula2>300</formula2>
    </dataValidation>
    <dataValidation type="textLength" errorStyle="information" allowBlank="1" showInputMessage="1" showErrorMessage="1" error="XLBVal:6=855.18_x000d__x000a_" sqref="U38:V38">
      <formula1>0</formula1>
      <formula2>300</formula2>
    </dataValidation>
    <dataValidation type="textLength" errorStyle="information" allowBlank="1" showInputMessage="1" showErrorMessage="1" error="XLBVal:6=1379.31_x000d__x000a_" sqref="T38">
      <formula1>0</formula1>
      <formula2>300</formula2>
    </dataValidation>
    <dataValidation type="textLength" errorStyle="information" allowBlank="1" showInputMessage="1" showErrorMessage="1" error="XLBVal:6=4744.83_x000d__x000a_" sqref="R38">
      <formula1>0</formula1>
      <formula2>300</formula2>
    </dataValidation>
    <dataValidation type="textLength" errorStyle="information" allowBlank="1" showInputMessage="1" showErrorMessage="1" error="XLBVal:6=25672.41_x000d__x000a_" sqref="V34">
      <formula1>0</formula1>
      <formula2>300</formula2>
    </dataValidation>
    <dataValidation type="textLength" errorStyle="information" allowBlank="1" showInputMessage="1" showErrorMessage="1" error="XLBVal:6=-6662.5_x000d__x000a_" sqref="W27">
      <formula1>0</formula1>
      <formula2>300</formula2>
    </dataValidation>
    <dataValidation type="textLength" errorStyle="information" allowBlank="1" showInputMessage="1" showErrorMessage="1" error="XLBVal:6=414_x000d__x000a_" sqref="V25">
      <formula1>0</formula1>
      <formula2>300</formula2>
    </dataValidation>
    <dataValidation type="textLength" errorStyle="information" allowBlank="1" showInputMessage="1" showErrorMessage="1" error="XLBVal:6=367.92_x000d__x000a_" sqref="S24">
      <formula1>0</formula1>
      <formula2>300</formula2>
    </dataValidation>
    <dataValidation type="textLength" errorStyle="information" allowBlank="1" showInputMessage="1" showErrorMessage="1" error="XLBVal:6=104.9_x000d__x000a_" sqref="R24">
      <formula1>0</formula1>
      <formula2>300</formula2>
    </dataValidation>
    <dataValidation type="textLength" errorStyle="information" allowBlank="1" showInputMessage="1" showErrorMessage="1" error="XLBVal:6=363.63_x000d__x000a_" sqref="Q24">
      <formula1>0</formula1>
      <formula2>300</formula2>
    </dataValidation>
    <dataValidation type="textLength" errorStyle="information" allowBlank="1" showInputMessage="1" showErrorMessage="1" error="XLBVal:6=2183.36_x000d__x000a_" sqref="W16">
      <formula1>0</formula1>
      <formula2>300</formula2>
    </dataValidation>
    <dataValidation type="textLength" errorStyle="information" allowBlank="1" showInputMessage="1" showErrorMessage="1" error="XLBVal:6=1184.39_x000d__x000a_" sqref="U16">
      <formula1>0</formula1>
      <formula2>300</formula2>
    </dataValidation>
    <dataValidation type="textLength" errorStyle="information" allowBlank="1" showInputMessage="1" showErrorMessage="1" error="XLBVal:6=664.46_x000d__x000a_" sqref="T16">
      <formula1>0</formula1>
      <formula2>300</formula2>
    </dataValidation>
    <dataValidation type="textLength" errorStyle="information" allowBlank="1" showInputMessage="1" showErrorMessage="1" error="XLBVal:6=337.1_x000d__x000a_" sqref="S16">
      <formula1>0</formula1>
      <formula2>300</formula2>
    </dataValidation>
    <dataValidation type="textLength" errorStyle="information" allowBlank="1" showInputMessage="1" showErrorMessage="1" error="XLBVal:6=1537_x000d__x000a_" sqref="V50">
      <formula1>0</formula1>
      <formula2>300</formula2>
    </dataValidation>
    <dataValidation type="textLength" errorStyle="information" allowBlank="1" showInputMessage="1" showErrorMessage="1" error="XLBVal:6=36.9_x000d__x000a_" sqref="V48">
      <formula1>0</formula1>
      <formula2>300</formula2>
    </dataValidation>
    <dataValidation type="textLength" errorStyle="information" allowBlank="1" showInputMessage="1" showErrorMessage="1" error="XLBVal:6=153.74_x000d__x000a_" sqref="V47">
      <formula1>0</formula1>
      <formula2>300</formula2>
    </dataValidation>
    <dataValidation type="textLength" errorStyle="information" allowBlank="1" showInputMessage="1" showErrorMessage="1" error="XLBVal:6=2613.57_x000d__x000a_" sqref="V46">
      <formula1>0</formula1>
      <formula2>300</formula2>
    </dataValidation>
    <dataValidation type="textLength" errorStyle="information" allowBlank="1" showInputMessage="1" showErrorMessage="1" error="XLBVal:6=4919.65_x000d__x000a_" sqref="V45">
      <formula1>0</formula1>
      <formula2>300</formula2>
    </dataValidation>
    <dataValidation type="textLength" errorStyle="information" allowBlank="1" showInputMessage="1" showErrorMessage="1" error="XLBVal:6=1660_x000d__x000a_" sqref="Q40:T40">
      <formula1>0</formula1>
      <formula2>300</formula2>
    </dataValidation>
    <dataValidation type="textLength" errorStyle="information" allowBlank="1" showInputMessage="1" showErrorMessage="1" error="XLBVal:6=1938.36_x000d__x000a_" sqref="R21">
      <formula1>0</formula1>
      <formula2>300</formula2>
    </dataValidation>
    <dataValidation type="textLength" errorStyle="information" allowBlank="1" showInputMessage="1" showErrorMessage="1" error="XLBVal:6=3000_x000d__x000a_" sqref="Q42:V42">
      <formula1>0</formula1>
      <formula2>300</formula2>
    </dataValidation>
    <dataValidation type="textLength" errorStyle="information" allowBlank="1" showInputMessage="1" showErrorMessage="1" error="XLBVal:6=4687.48_x000d__x000a_" sqref="R39">
      <formula1>0</formula1>
      <formula2>300</formula2>
    </dataValidation>
    <dataValidation type="textLength" errorStyle="information" allowBlank="1" showInputMessage="1" showErrorMessage="1" error="XLBVal:6=440.94_x000d__x000a_" sqref="W24">
      <formula1>0</formula1>
      <formula2>300</formula2>
    </dataValidation>
    <dataValidation type="textLength" errorStyle="information" allowBlank="1" showInputMessage="1" showErrorMessage="1" error="XLBVal:6=-769859.17_x000d__x000a_" sqref="W20">
      <formula1>0</formula1>
      <formula2>300</formula2>
    </dataValidation>
    <dataValidation type="textLength" errorStyle="information" allowBlank="1" showInputMessage="1" showErrorMessage="1" error="XLBVal:6=376.3_x000d__x000a_" sqref="V24">
      <formula1>0</formula1>
      <formula2>300</formula2>
    </dataValidation>
    <dataValidation type="textLength" errorStyle="information" allowBlank="1" showInputMessage="1" showErrorMessage="1" error="XLBVal:6=10222.62_x000d__x000a_" sqref="S39">
      <formula1>0</formula1>
      <formula2>300</formula2>
    </dataValidation>
    <dataValidation type="textLength" errorStyle="information" allowBlank="1" showInputMessage="1" showErrorMessage="1" error="XLBVal:6=189_x000d__x000a_" sqref="W45:AB52 Y25:Z25 W25 W34:AB35 W38:AB42 W67:AB67 W55:AB63">
      <formula1>0</formula1>
      <formula2>300</formula2>
    </dataValidation>
    <dataValidation type="textLength" errorStyle="information" allowBlank="1" showInputMessage="1" showErrorMessage="1" error="XLBVal:6=660.39_x000d__x000a_" sqref="R22">
      <formula1>0</formula1>
      <formula2>300</formula2>
    </dataValidation>
    <dataValidation type="textLength" errorStyle="information" allowBlank="1" showInputMessage="1" showErrorMessage="1" error="XLBVal:6=2187.92_x000d__x000a_" sqref="Q16">
      <formula1>0</formula1>
      <formula2>300</formula2>
    </dataValidation>
    <dataValidation type="textLength" errorStyle="information" allowBlank="1" showInputMessage="1" showErrorMessage="1" error="XLBVal:6=39.82_x000d__x000a_" sqref="Z21:AB21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6043.04_x000d__x000a_" sqref="V61">
      <formula1>0</formula1>
      <formula2>300</formula2>
    </dataValidation>
    <dataValidation type="textLength" errorStyle="information" allowBlank="1" showInputMessage="1" showErrorMessage="1" error="XLBVal:6=3924.72_x000d__x000a_" sqref="U61">
      <formula1>0</formula1>
      <formula2>300</formula2>
    </dataValidation>
    <dataValidation type="textLength" errorStyle="information" allowBlank="1" showInputMessage="1" showErrorMessage="1" error="XLBVal:6=4834.64_x000d__x000a_" sqref="T61">
      <formula1>0</formula1>
      <formula2>300</formula2>
    </dataValidation>
    <dataValidation type="textLength" errorStyle="information" allowBlank="1" showInputMessage="1" showErrorMessage="1" error="XLBVal:6=4970.04_x000d__x000a_" sqref="S61">
      <formula1>0</formula1>
      <formula2>300</formula2>
    </dataValidation>
    <dataValidation type="textLength" errorStyle="information" allowBlank="1" showInputMessage="1" showErrorMessage="1" error="XLBVal:6=4193.8_x000d__x000a_" sqref="R61">
      <formula1>0</formula1>
      <formula2>300</formula2>
    </dataValidation>
    <dataValidation type="textLength" errorStyle="information" allowBlank="1" showInputMessage="1" showErrorMessage="1" error="XLBVal:6=2639.59_x000d__x000a_" sqref="Q61">
      <formula1>0</formula1>
      <formula2>300</formula2>
    </dataValidation>
    <dataValidation type="textLength" errorStyle="information" allowBlank="1" showInputMessage="1" showErrorMessage="1" error="XLBVal:6=631.18_x000d__x000a_" sqref="V60">
      <formula1>0</formula1>
      <formula2>300</formula2>
    </dataValidation>
    <dataValidation type="textLength" errorStyle="information" allowBlank="1" showInputMessage="1" showErrorMessage="1" error="XLBVal:6=550.92_x000d__x000a_" sqref="U60">
      <formula1>0</formula1>
      <formula2>300</formula2>
    </dataValidation>
    <dataValidation type="textLength" errorStyle="information" allowBlank="1" showInputMessage="1" showErrorMessage="1" error="XLBVal:6=513.51_x000d__x000a_" sqref="T60">
      <formula1>0</formula1>
      <formula2>300</formula2>
    </dataValidation>
    <dataValidation type="textLength" errorStyle="information" allowBlank="1" showInputMessage="1" showErrorMessage="1" error="XLBVal:6=808.74_x000d__x000a_" sqref="S60">
      <formula1>0</formula1>
      <formula2>300</formula2>
    </dataValidation>
    <dataValidation type="textLength" errorStyle="information" allowBlank="1" showInputMessage="1" showErrorMessage="1" error="XLBVal:6=895.97_x000d__x000a_" sqref="R60">
      <formula1>0</formula1>
      <formula2>300</formula2>
    </dataValidation>
    <dataValidation type="textLength" errorStyle="information" allowBlank="1" showInputMessage="1" showErrorMessage="1" error="XLBVal:6=701.87_x000d__x000a_" sqref="Q60">
      <formula1>0</formula1>
      <formula2>300</formula2>
    </dataValidation>
    <dataValidation type="textLength" errorStyle="information" allowBlank="1" showInputMessage="1" showErrorMessage="1" error="XLBVal:6=98.8_x000d__x000a_" sqref="V59">
      <formula1>0</formula1>
      <formula2>300</formula2>
    </dataValidation>
    <dataValidation type="textLength" errorStyle="information" allowBlank="1" showInputMessage="1" showErrorMessage="1" error="XLBVal:6=78.7_x000d__x000a_" sqref="U59">
      <formula1>0</formula1>
      <formula2>300</formula2>
    </dataValidation>
    <dataValidation type="textLength" errorStyle="information" allowBlank="1" showInputMessage="1" showErrorMessage="1" error="XLBVal:6=75.4_x000d__x000a_" sqref="S59:T59">
      <formula1>0</formula1>
      <formula2>300</formula2>
    </dataValidation>
    <dataValidation type="textLength" errorStyle="information" allowBlank="1" showInputMessage="1" showErrorMessage="1" error="XLBVal:6=57.03_x000d__x000a_" sqref="R59">
      <formula1>0</formula1>
      <formula2>300</formula2>
    </dataValidation>
    <dataValidation type="textLength" errorStyle="information" allowBlank="1" showInputMessage="1" showErrorMessage="1" error="XLBVal:6=207.37_x000d__x000a_" sqref="Q58">
      <formula1>0</formula1>
      <formula2>300</formula2>
    </dataValidation>
    <dataValidation type="textLength" errorStyle="information" allowBlank="1" showInputMessage="1" showErrorMessage="1" error="XLBVal:6=194_x000d__x000a_" sqref="AA19:AB19 W19">
      <formula1>0</formula1>
      <formula2>300</formula2>
    </dataValidation>
    <dataValidation type="textLength" errorStyle="information" allowBlank="1" showInputMessage="1" showErrorMessage="1" error="XLBVal:6=420.4_x000d__x000a_" sqref="V27">
      <formula1>0</formula1>
      <formula2>300</formula2>
    </dataValidation>
    <dataValidation type="textLength" errorStyle="information" allowBlank="1" showInputMessage="1" showErrorMessage="1" error="XLBVal:6=831_x000d__x000a_" sqref="U27">
      <formula1>0</formula1>
      <formula2>300</formula2>
    </dataValidation>
    <dataValidation type="textLength" errorStyle="information" allowBlank="1" showInputMessage="1" showErrorMessage="1" error="XLBVal:6=2239_x000d__x000a_" sqref="T27">
      <formula1>0</formula1>
      <formula2>300</formula2>
    </dataValidation>
    <dataValidation type="textLength" errorStyle="information" allowBlank="1" showInputMessage="1" showErrorMessage="1" error="XLBVal:6=12843.59_x000d__x000a_" sqref="R27">
      <formula1>0</formula1>
      <formula2>300</formula2>
    </dataValidation>
    <dataValidation type="textLength" errorStyle="information" allowBlank="1" showInputMessage="1" showErrorMessage="1" error="XLBVal:6=978.06_x000d__x000a_" sqref="Q27">
      <formula1>0</formula1>
      <formula2>300</formula2>
    </dataValidation>
    <dataValidation type="textLength" errorStyle="information" allowBlank="1" showInputMessage="1" showErrorMessage="1" error="XLBVal:6=229_x000d__x000a_" sqref="U25 Q25:R25">
      <formula1>0</formula1>
      <formula2>300</formula2>
    </dataValidation>
    <dataValidation type="textLength" errorStyle="information" allowBlank="1" showInputMessage="1" showErrorMessage="1" error="XLBVal:6=24_x000d__x000a_" sqref="T25">
      <formula1>0</formula1>
      <formula2>300</formula2>
    </dataValidation>
    <dataValidation type="textLength" errorStyle="information" allowBlank="1" showInputMessage="1" showErrorMessage="1" error="XLBVal:6=668.02_x000d__x000a_" sqref="S25">
      <formula1>0</formula1>
      <formula2>300</formula2>
    </dataValidation>
    <dataValidation type="textLength" errorStyle="information" allowBlank="1" showInputMessage="1" showErrorMessage="1" error="XLBVal:6=131.8_x000d__x000a_" sqref="U24">
      <formula1>0</formula1>
      <formula2>300</formula2>
    </dataValidation>
    <dataValidation type="textLength" errorStyle="information" allowBlank="1" showInputMessage="1" showErrorMessage="1" error="XLBVal:6=372.1_x000d__x000a_" sqref="T24">
      <formula1>0</formula1>
      <formula2>300</formula2>
    </dataValidation>
    <dataValidation type="textLength" errorStyle="information" allowBlank="1" showInputMessage="1" showErrorMessage="1" error="XLBVal:6=2505.04_x000d__x000a_" sqref="U22">
      <formula1>0</formula1>
      <formula2>300</formula2>
    </dataValidation>
    <dataValidation type="textLength" errorStyle="information" allowBlank="1" showInputMessage="1" showErrorMessage="1" error="XLBVal:6=660.38_x000d__x000a_" sqref="S22:T22 Q22">
      <formula1>0</formula1>
      <formula2>300</formula2>
    </dataValidation>
    <dataValidation type="textLength" errorStyle="information" allowBlank="1" showInputMessage="1" showErrorMessage="1" error="XLBVal:6=700_x000d__x000a_" sqref="Z22 W22:X22">
      <formula1>0</formula1>
      <formula2>300</formula2>
    </dataValidation>
    <dataValidation type="textLength" errorStyle="information" allowBlank="1" showInputMessage="1" showErrorMessage="1" error="XLBVal:6=714.38_x000d__x000a_" sqref="V22">
      <formula1>0</formula1>
      <formula2>300</formula2>
    </dataValidation>
    <dataValidation type="textLength" errorStyle="information" allowBlank="1" showInputMessage="1" showErrorMessage="1" error="XLBVal:6=117457.96_x000d__x000a_" sqref="V20">
      <formula1>0</formula1>
      <formula2>300</formula2>
    </dataValidation>
    <dataValidation type="textLength" errorStyle="information" allowBlank="1" showInputMessage="1" showErrorMessage="1" error="XLBVal:6=-600923.96_x000d__x000a_" sqref="U20">
      <formula1>0</formula1>
      <formula2>300</formula2>
    </dataValidation>
    <dataValidation type="textLength" errorStyle="information" allowBlank="1" showInputMessage="1" showErrorMessage="1" error="XLBVal:6=234800.9_x000d__x000a_" sqref="T20">
      <formula1>0</formula1>
      <formula2>300</formula2>
    </dataValidation>
    <dataValidation type="textLength" errorStyle="information" allowBlank="1" showInputMessage="1" showErrorMessage="1" error="XLBVal:6=229480.59_x000d__x000a_" sqref="S20">
      <formula1>0</formula1>
      <formula2>300</formula2>
    </dataValidation>
    <dataValidation type="textLength" errorStyle="information" allowBlank="1" showInputMessage="1" showErrorMessage="1" error="XLBVal:6=893990.54_x000d__x000a_" sqref="R20">
      <formula1>0</formula1>
      <formula2>300</formula2>
    </dataValidation>
    <dataValidation type="textLength" errorStyle="information" allowBlank="1" showInputMessage="1" showErrorMessage="1" error="XLBVal:6=271925.96_x000d__x000a_" sqref="Q20">
      <formula1>0</formula1>
      <formula2>300</formula2>
    </dataValidation>
    <dataValidation type="textLength" errorStyle="information" allowBlank="1" showInputMessage="1" showErrorMessage="1" error="XLBVal:6=1277.71_x000d__x000a_" sqref="V16">
      <formula1>0</formula1>
      <formula2>300</formula2>
    </dataValidation>
    <dataValidation type="textLength" errorStyle="information" allowBlank="1" showInputMessage="1" showErrorMessage="1" error="XLBVal:6=905.71_x000d__x000a_" sqref="R16">
      <formula1>0</formula1>
      <formula2>300</formula2>
    </dataValidation>
    <dataValidation type="textLength" errorStyle="information" allowBlank="1" showInputMessage="1" showErrorMessage="1" error="XLBVal:6=15000_x000d__x000a_" sqref="U34 E34:O35 R34">
      <formula1>0</formula1>
      <formula2>300</formula2>
    </dataValidation>
    <dataValidation type="textLength" errorStyle="information" allowBlank="1" showInputMessage="1" showErrorMessage="1" error="XLBVal:6=3_x000d__x000a_" sqref="Q67:R67">
      <formula1>0</formula1>
      <formula2>300</formula2>
    </dataValidation>
    <dataValidation type="textLength" errorStyle="information" allowBlank="1" showInputMessage="1" showErrorMessage="1" error="XLBVal:6=127_x000d__x000a_" sqref="R58">
      <formula1>0</formula1>
      <formula2>300</formula2>
    </dataValidation>
    <dataValidation type="textLength" errorStyle="information" allowBlank="1" showInputMessage="1" showErrorMessage="1" error="XLBVal:6=3800_x000d__x000a_" sqref="Q35:T35">
      <formula1>0</formula1>
      <formula2>300</formula2>
    </dataValidation>
    <dataValidation type="textLength" errorStyle="information" allowBlank="1" showInputMessage="1" showErrorMessage="1" error="XLBVal:2=0_x000d__x000a_" sqref="Q17:AB18 Q23:AB23 X19:Y19 S38 Q41:V41 D23:I23 Q62:V63 D62:I63 Q55:V57 Q52:V52 Q15:S15 Q26:AB26 W21:Y21 Y27 Q49:V49 Y16 D21:O22 W15:AB15 Q19:V19 D15:O19 D24:O26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  <colBreaks count="1" manualBreakCount="1">
    <brk id="16" max="66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AI77"/>
  <sheetViews>
    <sheetView view="pageBreakPreview" zoomScaleNormal="100" zoomScaleSheetLayoutView="100" workbookViewId="0">
      <pane xSplit="5" ySplit="7" topLeftCell="N8" activePane="bottomRight" state="frozen"/>
      <selection activeCell="AP43" sqref="AP43"/>
      <selection pane="topRight" activeCell="AP43" sqref="AP43"/>
      <selection pane="bottomLeft" activeCell="AP43" sqref="AP43"/>
      <selection pane="bottomRight" activeCell="Q21" sqref="Q21"/>
    </sheetView>
  </sheetViews>
  <sheetFormatPr defaultColWidth="9" defaultRowHeight="14.25" outlineLevelCol="3"/>
  <cols>
    <col min="1" max="3" width="9" style="105" hidden="1" customWidth="1" outlineLevel="1"/>
    <col min="4" max="4" width="39.5" style="105" customWidth="1" collapsed="1"/>
    <col min="5" max="16" width="16.125" style="116" customWidth="1"/>
    <col min="17" max="17" width="22.875" style="117" bestFit="1" customWidth="1"/>
    <col min="18" max="24" width="17.625" style="116" hidden="1" customWidth="1" outlineLevel="2"/>
    <col min="25" max="29" width="18.25" style="116" hidden="1" customWidth="1" outlineLevel="3"/>
    <col min="30" max="30" width="19.5" style="117" bestFit="1" customWidth="1" collapsed="1"/>
    <col min="31" max="31" width="19.5" style="116" bestFit="1" customWidth="1"/>
    <col min="32" max="32" width="10.625" style="105" customWidth="1"/>
    <col min="33" max="33" width="19.5" style="109" hidden="1" customWidth="1"/>
    <col min="34" max="34" width="17" style="105" hidden="1" customWidth="1"/>
    <col min="35" max="35" width="16" style="105" bestFit="1" customWidth="1"/>
    <col min="36" max="16384" width="9" style="105"/>
  </cols>
  <sheetData>
    <row r="1" spans="1:35" s="100" customFormat="1">
      <c r="A1" s="100" t="s">
        <v>628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</row>
    <row r="2" spans="1:35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</row>
    <row r="3" spans="1:35">
      <c r="D3" s="105" t="s">
        <v>700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</row>
    <row r="4" spans="1:35" s="100" customFormat="1" ht="18">
      <c r="C4" s="18">
        <f>+'2025 Summay'!$D$7</f>
        <v>2025</v>
      </c>
      <c r="D4" s="18">
        <f>+'2025 Summay'!$D$7</f>
        <v>2025</v>
      </c>
      <c r="E4" s="155">
        <v>400</v>
      </c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83"/>
      <c r="Z4" s="183"/>
      <c r="AA4" s="183"/>
      <c r="AB4" s="183"/>
      <c r="AC4" s="183"/>
      <c r="AD4" s="172"/>
      <c r="AE4" s="101"/>
      <c r="AG4" s="103"/>
    </row>
    <row r="5" spans="1:35" s="100" customFormat="1">
      <c r="D5" s="100" t="s">
        <v>154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01"/>
      <c r="R5" s="101"/>
      <c r="S5" s="101"/>
      <c r="T5" s="101"/>
      <c r="U5" s="101"/>
      <c r="V5" s="101"/>
      <c r="W5" s="101"/>
      <c r="X5" s="101"/>
      <c r="Y5" s="183"/>
      <c r="Z5" s="183"/>
      <c r="AA5" s="183"/>
      <c r="AB5" s="183"/>
      <c r="AC5" s="183"/>
      <c r="AD5" s="172"/>
      <c r="AE5" s="101"/>
      <c r="AG5" s="103"/>
    </row>
    <row r="6" spans="1:35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</row>
    <row r="7" spans="1:35">
      <c r="D7" s="105" t="s">
        <v>154</v>
      </c>
      <c r="E7" s="116" t="str">
        <f>'OOD '!D7</f>
        <v>Budget</v>
      </c>
      <c r="F7" s="116" t="str">
        <f>'OOD '!E7</f>
        <v>Budget</v>
      </c>
      <c r="G7" s="116" t="str">
        <f>'OOD '!F7</f>
        <v>Budget</v>
      </c>
      <c r="H7" s="116" t="str">
        <f>'OOD '!G7</f>
        <v>Budget</v>
      </c>
      <c r="I7" s="116" t="str">
        <f>'OOD '!H7</f>
        <v>Budget</v>
      </c>
      <c r="J7" s="116" t="str">
        <f>'OOD '!I7</f>
        <v>Budget</v>
      </c>
      <c r="K7" s="116" t="str">
        <f>'OOD '!J7</f>
        <v>Budget</v>
      </c>
      <c r="L7" s="116" t="str">
        <f>'OOD '!K7</f>
        <v>Budget</v>
      </c>
      <c r="M7" s="116" t="str">
        <f>'OOD '!L7</f>
        <v>Budget</v>
      </c>
      <c r="N7" s="116" t="str">
        <f>'OOD '!M7</f>
        <v>Budget</v>
      </c>
      <c r="O7" s="116" t="str">
        <f>'OOD '!N7</f>
        <v>Budget</v>
      </c>
      <c r="P7" s="116" t="str">
        <f>'OOD '!O7</f>
        <v>Budget</v>
      </c>
      <c r="Q7" s="11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189"/>
      <c r="AF7" s="246"/>
      <c r="AG7" s="129" t="s">
        <v>12</v>
      </c>
    </row>
    <row r="8" spans="1:35">
      <c r="D8" s="105" t="s">
        <v>682</v>
      </c>
      <c r="AG8" s="129"/>
    </row>
    <row r="9" spans="1:35">
      <c r="A9" s="105" t="s">
        <v>683</v>
      </c>
      <c r="B9" s="105" t="s">
        <v>638</v>
      </c>
      <c r="C9" s="105" t="s">
        <v>701</v>
      </c>
      <c r="D9" s="105" t="s">
        <v>702</v>
      </c>
      <c r="Q9" s="117">
        <f>SUM(E9:P9)</f>
        <v>0</v>
      </c>
      <c r="R9" s="116">
        <v>0</v>
      </c>
      <c r="S9" s="116">
        <v>0</v>
      </c>
      <c r="T9" s="116">
        <v>0</v>
      </c>
      <c r="U9" s="116">
        <v>0</v>
      </c>
      <c r="V9" s="116">
        <v>0</v>
      </c>
      <c r="W9" s="116">
        <v>0</v>
      </c>
      <c r="X9" s="116">
        <v>0</v>
      </c>
      <c r="Y9" s="116">
        <v>0</v>
      </c>
      <c r="Z9" s="116">
        <v>0</v>
      </c>
      <c r="AA9" s="116">
        <v>0</v>
      </c>
      <c r="AB9" s="116">
        <v>0</v>
      </c>
      <c r="AC9" s="116">
        <v>0</v>
      </c>
      <c r="AD9" s="117">
        <f>SUM(R9:AC9)</f>
        <v>0</v>
      </c>
      <c r="AE9" s="116">
        <f>Q9-AD9</f>
        <v>0</v>
      </c>
      <c r="AG9" s="129">
        <v>0</v>
      </c>
      <c r="AH9" s="124">
        <f>Q9-AG9</f>
        <v>0</v>
      </c>
    </row>
    <row r="10" spans="1:35">
      <c r="A10" s="105" t="s">
        <v>683</v>
      </c>
      <c r="B10" s="105" t="s">
        <v>638</v>
      </c>
      <c r="C10" s="105" t="s">
        <v>703</v>
      </c>
      <c r="D10" s="105" t="s">
        <v>704</v>
      </c>
      <c r="E10" s="257">
        <v>48490</v>
      </c>
      <c r="F10" s="257">
        <v>84307</v>
      </c>
      <c r="G10" s="257">
        <v>24147</v>
      </c>
      <c r="H10" s="257">
        <v>27504</v>
      </c>
      <c r="I10" s="257">
        <v>23260</v>
      </c>
      <c r="J10" s="257">
        <v>23115</v>
      </c>
      <c r="K10" s="257">
        <v>55126</v>
      </c>
      <c r="L10" s="257">
        <v>56955</v>
      </c>
      <c r="M10" s="257">
        <v>28235</v>
      </c>
      <c r="N10" s="257">
        <v>51878</v>
      </c>
      <c r="O10" s="257">
        <v>27325</v>
      </c>
      <c r="P10" s="257">
        <v>30933</v>
      </c>
      <c r="Q10" s="117">
        <f>SUM(E10:P10)</f>
        <v>481275</v>
      </c>
      <c r="R10" s="116">
        <v>50697.2</v>
      </c>
      <c r="S10" s="116">
        <v>90114.7</v>
      </c>
      <c r="T10" s="116">
        <v>25889.9</v>
      </c>
      <c r="U10" s="116">
        <v>29060.16</v>
      </c>
      <c r="V10" s="116">
        <v>23512.84</v>
      </c>
      <c r="W10" s="116">
        <v>24834.3</v>
      </c>
      <c r="X10" s="116">
        <v>58594.400000000001</v>
      </c>
      <c r="Y10" s="116">
        <v>79066.3</v>
      </c>
      <c r="Z10" s="116">
        <v>30000</v>
      </c>
      <c r="AA10" s="116">
        <v>50000</v>
      </c>
      <c r="AB10" s="116">
        <v>28000</v>
      </c>
      <c r="AC10" s="116">
        <v>32000</v>
      </c>
      <c r="AD10" s="117">
        <f>SUM(R10:AC10)</f>
        <v>521769.8</v>
      </c>
      <c r="AE10" s="116">
        <f>Q10-AD10</f>
        <v>-40494.799999999988</v>
      </c>
      <c r="AF10" s="192">
        <f>AE10/AD10</f>
        <v>-7.7610471131138656E-2</v>
      </c>
      <c r="AG10" s="129">
        <v>929121.97</v>
      </c>
      <c r="AH10" s="124">
        <f>Q10-AG10</f>
        <v>-447846.97</v>
      </c>
      <c r="AI10" s="124"/>
    </row>
    <row r="11" spans="1:35">
      <c r="A11" s="105" t="s">
        <v>683</v>
      </c>
      <c r="B11" s="105" t="s">
        <v>638</v>
      </c>
      <c r="C11" s="105" t="s">
        <v>705</v>
      </c>
      <c r="D11" s="105" t="s">
        <v>706</v>
      </c>
      <c r="Q11" s="117">
        <f>SUM(E11:P11)</f>
        <v>0</v>
      </c>
      <c r="R11" s="116">
        <v>0</v>
      </c>
      <c r="S11" s="116">
        <v>0</v>
      </c>
      <c r="T11" s="116">
        <v>0</v>
      </c>
      <c r="U11" s="116">
        <v>0</v>
      </c>
      <c r="V11" s="116">
        <v>0</v>
      </c>
      <c r="W11" s="116">
        <v>0</v>
      </c>
      <c r="X11" s="116">
        <v>0</v>
      </c>
      <c r="Y11" s="116">
        <v>0</v>
      </c>
      <c r="Z11" s="116">
        <v>0</v>
      </c>
      <c r="AA11" s="116">
        <v>0</v>
      </c>
      <c r="AB11" s="116">
        <v>0</v>
      </c>
      <c r="AC11" s="116">
        <v>0</v>
      </c>
      <c r="AD11" s="117">
        <f>SUM(R11:AC11)</f>
        <v>0</v>
      </c>
      <c r="AE11" s="116">
        <f>Q11-AD11</f>
        <v>0</v>
      </c>
      <c r="AF11" s="192" t="e">
        <f t="shared" ref="AF11:AF70" si="0">AE11/AD11</f>
        <v>#DIV/0!</v>
      </c>
      <c r="AG11" s="129">
        <v>23546.300000000003</v>
      </c>
      <c r="AH11" s="124">
        <f>Q11-AG11</f>
        <v>-23546.300000000003</v>
      </c>
      <c r="AI11" s="124"/>
    </row>
    <row r="12" spans="1:35">
      <c r="D12" s="109" t="s">
        <v>500</v>
      </c>
      <c r="E12" s="117">
        <f t="shared" ref="E12:AD12" si="1">SUM(E9:E11)</f>
        <v>48490</v>
      </c>
      <c r="F12" s="117">
        <f t="shared" si="1"/>
        <v>84307</v>
      </c>
      <c r="G12" s="117">
        <f t="shared" si="1"/>
        <v>24147</v>
      </c>
      <c r="H12" s="117">
        <f t="shared" si="1"/>
        <v>27504</v>
      </c>
      <c r="I12" s="117">
        <f t="shared" si="1"/>
        <v>23260</v>
      </c>
      <c r="J12" s="117">
        <f t="shared" si="1"/>
        <v>23115</v>
      </c>
      <c r="K12" s="117">
        <f t="shared" si="1"/>
        <v>55126</v>
      </c>
      <c r="L12" s="117">
        <f t="shared" si="1"/>
        <v>56955</v>
      </c>
      <c r="M12" s="117">
        <f t="shared" si="1"/>
        <v>28235</v>
      </c>
      <c r="N12" s="117">
        <f t="shared" si="1"/>
        <v>51878</v>
      </c>
      <c r="O12" s="117">
        <f t="shared" si="1"/>
        <v>27325</v>
      </c>
      <c r="P12" s="117">
        <f t="shared" si="1"/>
        <v>30933</v>
      </c>
      <c r="Q12" s="117">
        <f t="shared" si="1"/>
        <v>481275</v>
      </c>
      <c r="R12" s="117">
        <f t="shared" si="1"/>
        <v>50697.2</v>
      </c>
      <c r="S12" s="117">
        <f t="shared" si="1"/>
        <v>90114.7</v>
      </c>
      <c r="T12" s="117">
        <f t="shared" si="1"/>
        <v>25889.9</v>
      </c>
      <c r="U12" s="117">
        <f t="shared" si="1"/>
        <v>29060.16</v>
      </c>
      <c r="V12" s="117">
        <f t="shared" si="1"/>
        <v>23512.84</v>
      </c>
      <c r="W12" s="117">
        <f t="shared" si="1"/>
        <v>24834.3</v>
      </c>
      <c r="X12" s="117">
        <f t="shared" si="1"/>
        <v>58594.400000000001</v>
      </c>
      <c r="Y12" s="117">
        <f t="shared" si="1"/>
        <v>79066.3</v>
      </c>
      <c r="Z12" s="117">
        <f t="shared" si="1"/>
        <v>30000</v>
      </c>
      <c r="AA12" s="117">
        <f t="shared" si="1"/>
        <v>50000</v>
      </c>
      <c r="AB12" s="117">
        <f t="shared" si="1"/>
        <v>28000</v>
      </c>
      <c r="AC12" s="117">
        <f t="shared" si="1"/>
        <v>32000</v>
      </c>
      <c r="AD12" s="117">
        <f t="shared" si="1"/>
        <v>521769.8</v>
      </c>
      <c r="AE12" s="117">
        <f>Q12-AD12</f>
        <v>-40494.799999999988</v>
      </c>
      <c r="AF12" s="192">
        <f t="shared" si="0"/>
        <v>-7.7610471131138656E-2</v>
      </c>
      <c r="AG12" s="129">
        <v>952668.27</v>
      </c>
      <c r="AH12" s="124">
        <f>Q12-AG12</f>
        <v>-471393.27</v>
      </c>
      <c r="AI12" s="124"/>
    </row>
    <row r="13" spans="1:35">
      <c r="D13" s="105" t="s">
        <v>154</v>
      </c>
      <c r="AF13" s="192"/>
      <c r="AG13" s="129"/>
      <c r="AI13" s="124"/>
    </row>
    <row r="14" spans="1:35" s="109" customFormat="1">
      <c r="D14" s="109" t="s">
        <v>289</v>
      </c>
      <c r="E14" s="117">
        <f t="shared" ref="E14:P14" si="2">E68</f>
        <v>384681.03</v>
      </c>
      <c r="F14" s="117">
        <f t="shared" si="2"/>
        <v>303812.74</v>
      </c>
      <c r="G14" s="117">
        <f t="shared" si="2"/>
        <v>310067.24</v>
      </c>
      <c r="H14" s="117">
        <f t="shared" si="2"/>
        <v>330570.90000000002</v>
      </c>
      <c r="I14" s="117">
        <f t="shared" si="2"/>
        <v>348341.14</v>
      </c>
      <c r="J14" s="117">
        <f t="shared" si="2"/>
        <v>316801.46999999997</v>
      </c>
      <c r="K14" s="117">
        <f t="shared" si="2"/>
        <v>319031.48</v>
      </c>
      <c r="L14" s="117">
        <f t="shared" si="2"/>
        <v>318172.38</v>
      </c>
      <c r="M14" s="117">
        <f t="shared" si="2"/>
        <v>318414.38</v>
      </c>
      <c r="N14" s="117">
        <f t="shared" si="2"/>
        <v>396787.34</v>
      </c>
      <c r="O14" s="117">
        <f t="shared" si="2"/>
        <v>318492.36</v>
      </c>
      <c r="P14" s="117">
        <f t="shared" si="2"/>
        <v>317335.26</v>
      </c>
      <c r="Q14" s="117">
        <f>SUM(E14:P14)</f>
        <v>3982507.7199999997</v>
      </c>
      <c r="R14" s="117">
        <f t="shared" ref="R14:AC14" si="3">R68</f>
        <v>354732.38</v>
      </c>
      <c r="S14" s="117">
        <f t="shared" si="3"/>
        <v>397566.09</v>
      </c>
      <c r="T14" s="117">
        <f t="shared" si="3"/>
        <v>339704.53</v>
      </c>
      <c r="U14" s="117">
        <f t="shared" si="3"/>
        <v>334894.51</v>
      </c>
      <c r="V14" s="117">
        <f t="shared" si="3"/>
        <v>307569.30000000005</v>
      </c>
      <c r="W14" s="117">
        <f t="shared" si="3"/>
        <v>295289.53000000003</v>
      </c>
      <c r="X14" s="117">
        <f t="shared" si="3"/>
        <v>273319.77</v>
      </c>
      <c r="Y14" s="117">
        <f t="shared" si="3"/>
        <v>329457.02</v>
      </c>
      <c r="Z14" s="117">
        <f t="shared" si="3"/>
        <v>356848.5</v>
      </c>
      <c r="AA14" s="117">
        <f t="shared" si="3"/>
        <v>401496.5</v>
      </c>
      <c r="AB14" s="117">
        <f t="shared" si="3"/>
        <v>332060.5</v>
      </c>
      <c r="AC14" s="117">
        <f t="shared" si="3"/>
        <v>332064.5</v>
      </c>
      <c r="AD14" s="117">
        <f>SUM(R14:AC14)</f>
        <v>4055003.1300000004</v>
      </c>
      <c r="AE14" s="117">
        <f>AD14-Q14</f>
        <v>72495.410000000615</v>
      </c>
      <c r="AF14" s="132">
        <f t="shared" si="0"/>
        <v>1.7878015793294989E-2</v>
      </c>
      <c r="AG14" s="129">
        <v>2988627.1999999993</v>
      </c>
      <c r="AH14" s="129">
        <f t="shared" ref="AH14:AH32" si="4">AG14-Q14</f>
        <v>-993880.52000000048</v>
      </c>
      <c r="AI14" s="124"/>
    </row>
    <row r="15" spans="1:35">
      <c r="D15" s="105" t="s">
        <v>154</v>
      </c>
      <c r="AF15" s="192"/>
      <c r="AG15" s="129"/>
      <c r="AH15" s="129">
        <f t="shared" si="4"/>
        <v>0</v>
      </c>
      <c r="AI15" s="124"/>
    </row>
    <row r="16" spans="1:35">
      <c r="D16" s="105" t="s">
        <v>502</v>
      </c>
      <c r="AF16" s="192"/>
      <c r="AG16" s="129"/>
      <c r="AH16" s="129">
        <f t="shared" si="4"/>
        <v>0</v>
      </c>
      <c r="AI16" s="124"/>
    </row>
    <row r="17" spans="1:35">
      <c r="A17" s="105" t="s">
        <v>687</v>
      </c>
      <c r="B17" s="105" t="s">
        <v>638</v>
      </c>
      <c r="D17" s="105" t="s">
        <v>144</v>
      </c>
      <c r="E17" s="174">
        <f>+E74+E75+E76</f>
        <v>35875.64</v>
      </c>
      <c r="F17" s="174">
        <f t="shared" ref="F17:P17" si="5">+F74+F75+F76</f>
        <v>24733.189999999995</v>
      </c>
      <c r="G17" s="174">
        <f t="shared" si="5"/>
        <v>24956.189999999995</v>
      </c>
      <c r="H17" s="174">
        <f t="shared" si="5"/>
        <v>28102.280000000002</v>
      </c>
      <c r="I17" s="174">
        <f t="shared" si="5"/>
        <v>31804.379999999997</v>
      </c>
      <c r="J17" s="174">
        <f t="shared" si="5"/>
        <v>26200.19</v>
      </c>
      <c r="K17" s="174">
        <f t="shared" si="5"/>
        <v>24354.530000000002</v>
      </c>
      <c r="L17" s="174">
        <f t="shared" si="5"/>
        <v>24433.53</v>
      </c>
      <c r="M17" s="174">
        <f t="shared" si="5"/>
        <v>24474.53</v>
      </c>
      <c r="N17" s="174">
        <f t="shared" si="5"/>
        <v>36674.939999999988</v>
      </c>
      <c r="O17" s="174">
        <f t="shared" si="5"/>
        <v>24210.53</v>
      </c>
      <c r="P17" s="174">
        <f t="shared" si="5"/>
        <v>24195.53</v>
      </c>
      <c r="Q17" s="117">
        <f>SUM(E17:P17)</f>
        <v>330015.45999999996</v>
      </c>
      <c r="R17" s="116">
        <v>56587.48</v>
      </c>
      <c r="S17" s="116">
        <v>94102.3</v>
      </c>
      <c r="T17" s="116">
        <v>59647.16</v>
      </c>
      <c r="U17" s="116">
        <v>48197.95</v>
      </c>
      <c r="V17" s="116">
        <v>50249.2</v>
      </c>
      <c r="W17" s="116">
        <v>55401.9</v>
      </c>
      <c r="X17" s="116">
        <v>74348.61</v>
      </c>
      <c r="Y17" s="116">
        <v>79386.8</v>
      </c>
      <c r="Z17" s="116">
        <v>19077</v>
      </c>
      <c r="AA17" s="116">
        <v>19615</v>
      </c>
      <c r="AB17" s="116">
        <v>17408</v>
      </c>
      <c r="AC17" s="116">
        <v>18714</v>
      </c>
      <c r="AD17" s="117">
        <f t="shared" ref="AD17:AD31" si="6">SUM(R17:AC17)</f>
        <v>592735.4</v>
      </c>
      <c r="AE17" s="116">
        <f t="shared" ref="AE17:AE32" si="7">AD17-Q17</f>
        <v>262719.94000000006</v>
      </c>
      <c r="AF17" s="192">
        <f t="shared" si="0"/>
        <v>0.44323308511690046</v>
      </c>
      <c r="AG17" s="129">
        <v>27916.14</v>
      </c>
      <c r="AH17" s="129">
        <f t="shared" si="4"/>
        <v>-302099.31999999995</v>
      </c>
      <c r="AI17" s="124"/>
    </row>
    <row r="18" spans="1:35">
      <c r="A18" s="105" t="s">
        <v>688</v>
      </c>
      <c r="B18" s="105" t="s">
        <v>638</v>
      </c>
      <c r="D18" s="105" t="s">
        <v>184</v>
      </c>
      <c r="Q18" s="117">
        <f>SUM(E18:P18)</f>
        <v>0</v>
      </c>
      <c r="R18" s="116">
        <v>0</v>
      </c>
      <c r="S18" s="116">
        <v>0</v>
      </c>
      <c r="T18" s="116">
        <v>0</v>
      </c>
      <c r="U18" s="116">
        <v>0</v>
      </c>
      <c r="V18" s="116">
        <v>0</v>
      </c>
      <c r="W18" s="116">
        <v>0</v>
      </c>
      <c r="X18" s="116">
        <v>0</v>
      </c>
      <c r="Y18" s="116">
        <v>0</v>
      </c>
      <c r="Z18" s="116">
        <v>0</v>
      </c>
      <c r="AA18" s="116">
        <v>0</v>
      </c>
      <c r="AB18" s="116">
        <v>0</v>
      </c>
      <c r="AC18" s="116">
        <v>0</v>
      </c>
      <c r="AD18" s="117">
        <f t="shared" si="6"/>
        <v>0</v>
      </c>
      <c r="AE18" s="116">
        <f t="shared" si="7"/>
        <v>0</v>
      </c>
      <c r="AF18" s="192" t="e">
        <f t="shared" si="0"/>
        <v>#DIV/0!</v>
      </c>
      <c r="AG18" s="129">
        <v>0</v>
      </c>
      <c r="AH18" s="129">
        <f t="shared" si="4"/>
        <v>0</v>
      </c>
      <c r="AI18" s="124"/>
    </row>
    <row r="19" spans="1:35">
      <c r="A19" s="105" t="s">
        <v>187</v>
      </c>
      <c r="B19" s="105" t="s">
        <v>638</v>
      </c>
      <c r="D19" s="105" t="s">
        <v>188</v>
      </c>
      <c r="E19" s="116">
        <v>10000</v>
      </c>
      <c r="F19" s="116">
        <v>10000</v>
      </c>
      <c r="G19" s="116">
        <v>7500</v>
      </c>
      <c r="H19" s="116">
        <v>7500</v>
      </c>
      <c r="I19" s="116">
        <v>10000</v>
      </c>
      <c r="J19" s="116">
        <v>10000</v>
      </c>
      <c r="K19" s="116">
        <v>10000</v>
      </c>
      <c r="L19" s="116">
        <v>10000</v>
      </c>
      <c r="M19" s="116">
        <v>7500</v>
      </c>
      <c r="N19" s="116">
        <v>10000</v>
      </c>
      <c r="O19" s="116">
        <v>7500</v>
      </c>
      <c r="P19" s="116">
        <v>10000</v>
      </c>
      <c r="Q19" s="117">
        <f>SUM(E19:P19)</f>
        <v>110000</v>
      </c>
      <c r="R19" s="116">
        <v>8349.36</v>
      </c>
      <c r="S19" s="116">
        <v>13599.32</v>
      </c>
      <c r="T19" s="116">
        <v>10147.68</v>
      </c>
      <c r="U19" s="116">
        <v>7326</v>
      </c>
      <c r="V19" s="116">
        <v>8478.18</v>
      </c>
      <c r="W19" s="116">
        <v>6539.76</v>
      </c>
      <c r="X19" s="116">
        <v>6623.28</v>
      </c>
      <c r="Y19" s="116">
        <v>13108.5</v>
      </c>
      <c r="Z19" s="116">
        <v>8300</v>
      </c>
      <c r="AA19" s="116">
        <v>11000</v>
      </c>
      <c r="AB19" s="116">
        <v>7300</v>
      </c>
      <c r="AC19" s="116">
        <v>10300</v>
      </c>
      <c r="AD19" s="117">
        <f t="shared" si="6"/>
        <v>111072.08</v>
      </c>
      <c r="AE19" s="116">
        <f t="shared" si="7"/>
        <v>1072.0800000000017</v>
      </c>
      <c r="AF19" s="192">
        <f t="shared" si="0"/>
        <v>9.6521105934092681E-3</v>
      </c>
      <c r="AG19" s="129">
        <v>38539.22</v>
      </c>
      <c r="AH19" s="129">
        <f t="shared" si="4"/>
        <v>-71460.78</v>
      </c>
      <c r="AI19" s="124"/>
    </row>
    <row r="20" spans="1:35">
      <c r="A20" s="105" t="s">
        <v>689</v>
      </c>
      <c r="B20" s="105" t="s">
        <v>638</v>
      </c>
      <c r="D20" s="105" t="s">
        <v>202</v>
      </c>
      <c r="E20" s="116">
        <v>18250</v>
      </c>
      <c r="F20" s="116">
        <v>18250</v>
      </c>
      <c r="G20" s="116">
        <v>18250</v>
      </c>
      <c r="H20" s="116">
        <v>18250</v>
      </c>
      <c r="I20" s="116">
        <v>18250</v>
      </c>
      <c r="J20" s="116">
        <v>18250</v>
      </c>
      <c r="K20" s="116">
        <v>18250</v>
      </c>
      <c r="L20" s="116">
        <v>18250</v>
      </c>
      <c r="M20" s="116">
        <v>18250</v>
      </c>
      <c r="N20" s="116">
        <v>18250</v>
      </c>
      <c r="O20" s="116">
        <v>18250</v>
      </c>
      <c r="P20" s="116">
        <v>18250</v>
      </c>
      <c r="Q20" s="117">
        <f t="shared" ref="Q20:Q31" si="8">SUM(E20:P20)</f>
        <v>219000</v>
      </c>
      <c r="R20" s="116">
        <v>58096.97</v>
      </c>
      <c r="S20" s="116">
        <v>310.68</v>
      </c>
      <c r="T20" s="116">
        <v>2344.98</v>
      </c>
      <c r="U20" s="116">
        <v>19422.96</v>
      </c>
      <c r="V20" s="116">
        <v>19119.43</v>
      </c>
      <c r="W20" s="116">
        <v>3801.7</v>
      </c>
      <c r="X20" s="116">
        <v>908</v>
      </c>
      <c r="Y20" s="116">
        <v>18029.439999999999</v>
      </c>
      <c r="Z20" s="116">
        <v>20000</v>
      </c>
      <c r="AA20" s="116">
        <v>17500</v>
      </c>
      <c r="AB20" s="116">
        <v>7300</v>
      </c>
      <c r="AC20" s="116">
        <v>32000</v>
      </c>
      <c r="AD20" s="117">
        <f t="shared" si="6"/>
        <v>198834.15999999997</v>
      </c>
      <c r="AE20" s="116">
        <f t="shared" si="7"/>
        <v>-20165.840000000026</v>
      </c>
      <c r="AF20" s="192">
        <f t="shared" si="0"/>
        <v>-0.10142039979448214</v>
      </c>
      <c r="AG20" s="129">
        <v>146385.91</v>
      </c>
      <c r="AH20" s="129">
        <f t="shared" si="4"/>
        <v>-72614.09</v>
      </c>
      <c r="AI20" s="124"/>
    </row>
    <row r="21" spans="1:35">
      <c r="A21" s="105" t="s">
        <v>197</v>
      </c>
      <c r="B21" s="105" t="s">
        <v>638</v>
      </c>
      <c r="D21" s="105" t="s">
        <v>305</v>
      </c>
      <c r="E21" s="116">
        <v>51000</v>
      </c>
      <c r="F21" s="116">
        <v>51000</v>
      </c>
      <c r="G21" s="116">
        <v>51000</v>
      </c>
      <c r="H21" s="116">
        <v>51000</v>
      </c>
      <c r="I21" s="116">
        <v>51000</v>
      </c>
      <c r="J21" s="116">
        <v>51000</v>
      </c>
      <c r="K21" s="116">
        <v>51000</v>
      </c>
      <c r="L21" s="116">
        <v>51000</v>
      </c>
      <c r="M21" s="116">
        <v>51000</v>
      </c>
      <c r="N21" s="116">
        <v>51000</v>
      </c>
      <c r="O21" s="116">
        <v>51000</v>
      </c>
      <c r="P21" s="116">
        <v>51000</v>
      </c>
      <c r="Q21" s="117">
        <f>SUM(E21:P21)</f>
        <v>612000</v>
      </c>
      <c r="R21" s="116">
        <v>52211.97</v>
      </c>
      <c r="S21" s="116">
        <v>89020.11</v>
      </c>
      <c r="T21" s="116">
        <v>54095.43</v>
      </c>
      <c r="U21" s="116">
        <v>23180.2</v>
      </c>
      <c r="V21" s="116">
        <v>34151.26</v>
      </c>
      <c r="W21" s="116">
        <v>47533.5</v>
      </c>
      <c r="X21" s="116">
        <v>52487.6</v>
      </c>
      <c r="Y21" s="116">
        <v>63771.57</v>
      </c>
      <c r="Z21" s="116">
        <v>50000</v>
      </c>
      <c r="AA21" s="116">
        <v>50000</v>
      </c>
      <c r="AB21" s="116">
        <v>50000</v>
      </c>
      <c r="AC21" s="116">
        <v>50000</v>
      </c>
      <c r="AD21" s="117">
        <f t="shared" si="6"/>
        <v>616451.64</v>
      </c>
      <c r="AE21" s="116">
        <f t="shared" si="7"/>
        <v>4451.640000000014</v>
      </c>
      <c r="AF21" s="192">
        <f t="shared" si="0"/>
        <v>7.2213937171130144E-3</v>
      </c>
      <c r="AG21" s="129">
        <v>717436.45</v>
      </c>
      <c r="AH21" s="129">
        <f t="shared" si="4"/>
        <v>105436.44999999995</v>
      </c>
      <c r="AI21" s="124"/>
    </row>
    <row r="22" spans="1:35">
      <c r="A22" s="105" t="s">
        <v>692</v>
      </c>
      <c r="B22" s="105" t="s">
        <v>638</v>
      </c>
      <c r="D22" s="105" t="s">
        <v>204</v>
      </c>
      <c r="E22" s="140">
        <v>2164</v>
      </c>
      <c r="F22" s="140">
        <v>2164</v>
      </c>
      <c r="G22" s="140">
        <v>2164</v>
      </c>
      <c r="H22" s="140">
        <v>2164</v>
      </c>
      <c r="I22" s="140">
        <v>2164</v>
      </c>
      <c r="J22" s="140">
        <v>2164</v>
      </c>
      <c r="K22" s="140">
        <v>2164</v>
      </c>
      <c r="L22" s="140">
        <v>2164</v>
      </c>
      <c r="M22" s="140">
        <v>2164</v>
      </c>
      <c r="N22" s="140">
        <v>2164</v>
      </c>
      <c r="O22" s="140">
        <v>2164</v>
      </c>
      <c r="P22" s="140">
        <v>2164</v>
      </c>
      <c r="Q22" s="117">
        <f t="shared" si="8"/>
        <v>25968</v>
      </c>
      <c r="R22" s="116">
        <v>3207</v>
      </c>
      <c r="S22" s="116">
        <v>3207</v>
      </c>
      <c r="T22" s="116">
        <v>3207</v>
      </c>
      <c r="U22" s="116">
        <v>-29.6</v>
      </c>
      <c r="V22" s="116">
        <v>0</v>
      </c>
      <c r="W22" s="116">
        <v>0</v>
      </c>
      <c r="X22" s="116">
        <v>0</v>
      </c>
      <c r="Y22" s="116">
        <v>0</v>
      </c>
      <c r="Z22" s="116">
        <v>0</v>
      </c>
      <c r="AA22" s="116">
        <v>0</v>
      </c>
      <c r="AB22" s="116">
        <v>0</v>
      </c>
      <c r="AC22" s="116">
        <v>0</v>
      </c>
      <c r="AD22" s="117">
        <f t="shared" si="6"/>
        <v>9591.4</v>
      </c>
      <c r="AE22" s="116">
        <f t="shared" si="7"/>
        <v>-16376.6</v>
      </c>
      <c r="AF22" s="192">
        <f t="shared" si="0"/>
        <v>-1.7074254019225557</v>
      </c>
      <c r="AG22" s="129">
        <v>32444.54</v>
      </c>
      <c r="AH22" s="129">
        <f t="shared" si="4"/>
        <v>6476.5400000000009</v>
      </c>
      <c r="AI22" s="124"/>
    </row>
    <row r="23" spans="1:35">
      <c r="A23" s="105" t="s">
        <v>707</v>
      </c>
      <c r="B23" s="105" t="s">
        <v>638</v>
      </c>
      <c r="D23" s="106" t="s">
        <v>708</v>
      </c>
      <c r="Q23" s="117">
        <f>SUM(E23:P23)</f>
        <v>0</v>
      </c>
      <c r="R23" s="116">
        <v>0</v>
      </c>
      <c r="S23" s="116">
        <v>0</v>
      </c>
      <c r="T23" s="116">
        <v>0</v>
      </c>
      <c r="U23" s="116">
        <v>0</v>
      </c>
      <c r="V23" s="116">
        <v>0</v>
      </c>
      <c r="W23" s="116">
        <v>0</v>
      </c>
      <c r="X23" s="116">
        <v>0</v>
      </c>
      <c r="Y23" s="116">
        <v>0</v>
      </c>
      <c r="Z23" s="116">
        <v>0</v>
      </c>
      <c r="AA23" s="116">
        <v>0</v>
      </c>
      <c r="AB23" s="116">
        <v>0</v>
      </c>
      <c r="AC23" s="116">
        <v>0</v>
      </c>
      <c r="AD23" s="117">
        <f t="shared" si="6"/>
        <v>0</v>
      </c>
      <c r="AE23" s="116">
        <f>AD23-Q23</f>
        <v>0</v>
      </c>
      <c r="AF23" s="192" t="e">
        <f>AE23/AD23</f>
        <v>#DIV/0!</v>
      </c>
      <c r="AG23" s="129">
        <v>1115</v>
      </c>
      <c r="AH23" s="129">
        <f t="shared" si="4"/>
        <v>1115</v>
      </c>
      <c r="AI23" s="124"/>
    </row>
    <row r="24" spans="1:35">
      <c r="A24" s="105" t="s">
        <v>199</v>
      </c>
      <c r="B24" s="105" t="s">
        <v>638</v>
      </c>
      <c r="D24" s="105" t="s">
        <v>200</v>
      </c>
      <c r="E24" s="116">
        <v>5000</v>
      </c>
      <c r="F24" s="116">
        <v>5000</v>
      </c>
      <c r="G24" s="116">
        <v>5000</v>
      </c>
      <c r="H24" s="116">
        <v>5000</v>
      </c>
      <c r="I24" s="116">
        <v>5000</v>
      </c>
      <c r="J24" s="116">
        <v>5000</v>
      </c>
      <c r="K24" s="116">
        <v>5000</v>
      </c>
      <c r="L24" s="116">
        <v>5000</v>
      </c>
      <c r="M24" s="116">
        <v>5000</v>
      </c>
      <c r="N24" s="116">
        <v>5000</v>
      </c>
      <c r="O24" s="116">
        <v>5000</v>
      </c>
      <c r="P24" s="116">
        <v>5000</v>
      </c>
      <c r="Q24" s="117">
        <f>SUM(E24:P24)</f>
        <v>60000</v>
      </c>
      <c r="R24" s="116">
        <v>13934</v>
      </c>
      <c r="S24" s="116">
        <v>13934</v>
      </c>
      <c r="T24" s="116">
        <v>13934</v>
      </c>
      <c r="U24" s="116">
        <v>0</v>
      </c>
      <c r="V24" s="116">
        <v>0</v>
      </c>
      <c r="W24" s="116">
        <v>0</v>
      </c>
      <c r="X24" s="116">
        <v>0</v>
      </c>
      <c r="Y24" s="116">
        <v>0</v>
      </c>
      <c r="Z24" s="116">
        <v>0</v>
      </c>
      <c r="AA24" s="116">
        <v>0</v>
      </c>
      <c r="AB24" s="116">
        <v>0</v>
      </c>
      <c r="AC24" s="116">
        <v>0</v>
      </c>
      <c r="AD24" s="117">
        <f t="shared" si="6"/>
        <v>41802</v>
      </c>
      <c r="AE24" s="116">
        <f t="shared" si="7"/>
        <v>-18198</v>
      </c>
      <c r="AF24" s="192">
        <f t="shared" si="0"/>
        <v>-0.43533802210420552</v>
      </c>
      <c r="AG24" s="129">
        <v>0</v>
      </c>
      <c r="AH24" s="129">
        <f t="shared" si="4"/>
        <v>-60000</v>
      </c>
      <c r="AI24" s="124"/>
    </row>
    <row r="25" spans="1:35">
      <c r="A25" s="105" t="s">
        <v>693</v>
      </c>
      <c r="B25" s="105" t="s">
        <v>638</v>
      </c>
      <c r="D25" s="105" t="s">
        <v>450</v>
      </c>
      <c r="Q25" s="117">
        <f t="shared" si="8"/>
        <v>0</v>
      </c>
      <c r="R25" s="116">
        <v>0</v>
      </c>
      <c r="S25" s="116">
        <v>0</v>
      </c>
      <c r="T25" s="116">
        <v>0</v>
      </c>
      <c r="U25" s="116">
        <v>0</v>
      </c>
      <c r="V25" s="116">
        <v>0</v>
      </c>
      <c r="W25" s="116">
        <v>0</v>
      </c>
      <c r="X25" s="116">
        <v>0</v>
      </c>
      <c r="Y25" s="116">
        <v>0</v>
      </c>
      <c r="Z25" s="116">
        <v>0</v>
      </c>
      <c r="AA25" s="116">
        <v>0</v>
      </c>
      <c r="AB25" s="116">
        <v>0</v>
      </c>
      <c r="AC25" s="116">
        <v>0</v>
      </c>
      <c r="AD25" s="117">
        <f t="shared" si="6"/>
        <v>0</v>
      </c>
      <c r="AE25" s="116">
        <f t="shared" si="7"/>
        <v>0</v>
      </c>
      <c r="AF25" s="192" t="e">
        <f t="shared" si="0"/>
        <v>#DIV/0!</v>
      </c>
      <c r="AG25" s="129">
        <v>0</v>
      </c>
      <c r="AH25" s="129">
        <f t="shared" si="4"/>
        <v>0</v>
      </c>
      <c r="AI25" s="124"/>
    </row>
    <row r="26" spans="1:35">
      <c r="A26" s="105" t="s">
        <v>690</v>
      </c>
      <c r="B26" s="105" t="s">
        <v>638</v>
      </c>
      <c r="D26" s="105" t="s">
        <v>210</v>
      </c>
      <c r="Q26" s="117">
        <f t="shared" si="8"/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0</v>
      </c>
      <c r="X26" s="116">
        <v>0</v>
      </c>
      <c r="Y26" s="116">
        <v>0</v>
      </c>
      <c r="Z26" s="116">
        <v>0</v>
      </c>
      <c r="AA26" s="116">
        <v>0</v>
      </c>
      <c r="AB26" s="116">
        <v>0</v>
      </c>
      <c r="AC26" s="116">
        <v>0</v>
      </c>
      <c r="AD26" s="117">
        <f t="shared" si="6"/>
        <v>0</v>
      </c>
      <c r="AE26" s="116">
        <f t="shared" si="7"/>
        <v>0</v>
      </c>
      <c r="AF26" s="192" t="e">
        <f t="shared" si="0"/>
        <v>#DIV/0!</v>
      </c>
      <c r="AG26" s="129">
        <v>0</v>
      </c>
      <c r="AH26" s="129">
        <f t="shared" si="4"/>
        <v>0</v>
      </c>
      <c r="AI26" s="124"/>
    </row>
    <row r="27" spans="1:35">
      <c r="A27" s="105" t="s">
        <v>694</v>
      </c>
      <c r="B27" s="105" t="s">
        <v>638</v>
      </c>
      <c r="D27" s="105" t="s">
        <v>212</v>
      </c>
      <c r="E27" s="116">
        <v>500</v>
      </c>
      <c r="F27" s="116">
        <v>500</v>
      </c>
      <c r="G27" s="116">
        <v>500</v>
      </c>
      <c r="H27" s="116">
        <v>500</v>
      </c>
      <c r="I27" s="116">
        <v>500</v>
      </c>
      <c r="J27" s="116">
        <v>500</v>
      </c>
      <c r="K27" s="116">
        <v>500</v>
      </c>
      <c r="L27" s="116">
        <v>500</v>
      </c>
      <c r="M27" s="116">
        <v>500</v>
      </c>
      <c r="N27" s="116">
        <v>500</v>
      </c>
      <c r="O27" s="116">
        <v>500</v>
      </c>
      <c r="P27" s="116">
        <v>500</v>
      </c>
      <c r="Q27" s="117">
        <f t="shared" si="8"/>
        <v>6000</v>
      </c>
      <c r="R27" s="116">
        <v>239</v>
      </c>
      <c r="S27" s="116">
        <v>393.52</v>
      </c>
      <c r="T27" s="116">
        <v>0</v>
      </c>
      <c r="U27" s="116">
        <v>0</v>
      </c>
      <c r="V27" s="116">
        <v>0</v>
      </c>
      <c r="W27" s="116">
        <v>247</v>
      </c>
      <c r="X27" s="116">
        <v>32</v>
      </c>
      <c r="Y27" s="116">
        <v>0</v>
      </c>
      <c r="Z27" s="116">
        <v>500</v>
      </c>
      <c r="AA27" s="116">
        <v>500</v>
      </c>
      <c r="AB27" s="116">
        <v>500</v>
      </c>
      <c r="AC27" s="116">
        <v>500</v>
      </c>
      <c r="AD27" s="117">
        <f t="shared" si="6"/>
        <v>2911.52</v>
      </c>
      <c r="AE27" s="116">
        <f t="shared" si="7"/>
        <v>-3088.48</v>
      </c>
      <c r="AF27" s="192">
        <f t="shared" si="0"/>
        <v>-1.0607792493268122</v>
      </c>
      <c r="AG27" s="129">
        <v>5200.37</v>
      </c>
      <c r="AH27" s="129">
        <f t="shared" si="4"/>
        <v>-799.63000000000011</v>
      </c>
      <c r="AI27" s="124"/>
    </row>
    <row r="28" spans="1:35">
      <c r="A28" s="105" t="s">
        <v>709</v>
      </c>
      <c r="B28" s="105" t="s">
        <v>638</v>
      </c>
      <c r="D28" s="105" t="s">
        <v>214</v>
      </c>
      <c r="E28" s="176">
        <f>Laundry!E147</f>
        <v>46383</v>
      </c>
      <c r="F28" s="176">
        <f>Laundry!F147</f>
        <v>42282</v>
      </c>
      <c r="G28" s="176">
        <f>Laundry!G147</f>
        <v>42770</v>
      </c>
      <c r="H28" s="176">
        <f>Laundry!H147</f>
        <v>43945</v>
      </c>
      <c r="I28" s="176">
        <f>Laundry!I147</f>
        <v>45183</v>
      </c>
      <c r="J28" s="176">
        <f>Laundry!J147</f>
        <v>43172</v>
      </c>
      <c r="K28" s="176">
        <f>Laundry!K147</f>
        <v>46037</v>
      </c>
      <c r="L28" s="176">
        <f>Laundry!L147</f>
        <v>45814</v>
      </c>
      <c r="M28" s="176">
        <f>Laundry!M147</f>
        <v>44222</v>
      </c>
      <c r="N28" s="176">
        <f>Laundry!N147</f>
        <v>50318</v>
      </c>
      <c r="O28" s="176">
        <f>Laundry!O147</f>
        <v>44445</v>
      </c>
      <c r="P28" s="176">
        <f>Laundry!P147</f>
        <v>44227</v>
      </c>
      <c r="Q28" s="117">
        <f>SUM(E28:P28)</f>
        <v>538798</v>
      </c>
      <c r="R28" s="116">
        <v>58699.1</v>
      </c>
      <c r="S28" s="116">
        <v>63869.72</v>
      </c>
      <c r="T28" s="116">
        <v>47519.45</v>
      </c>
      <c r="U28" s="116">
        <v>44344.71</v>
      </c>
      <c r="V28" s="116">
        <v>16526.95</v>
      </c>
      <c r="W28" s="116">
        <v>49460.62</v>
      </c>
      <c r="X28" s="116">
        <v>45526.96</v>
      </c>
      <c r="Y28" s="116">
        <v>35733.5</v>
      </c>
      <c r="Z28" s="116">
        <v>51322</v>
      </c>
      <c r="AA28" s="116">
        <v>57409</v>
      </c>
      <c r="AB28" s="116">
        <v>48239</v>
      </c>
      <c r="AC28" s="116">
        <v>49322</v>
      </c>
      <c r="AD28" s="117">
        <f t="shared" si="6"/>
        <v>567973.01</v>
      </c>
      <c r="AE28" s="116">
        <f t="shared" si="7"/>
        <v>29175.010000000009</v>
      </c>
      <c r="AF28" s="192">
        <f t="shared" si="0"/>
        <v>5.136689505721409E-2</v>
      </c>
      <c r="AG28" s="129">
        <v>506810.17</v>
      </c>
      <c r="AH28" s="129">
        <f t="shared" si="4"/>
        <v>-31987.830000000016</v>
      </c>
      <c r="AI28" s="124"/>
    </row>
    <row r="29" spans="1:35">
      <c r="A29" s="105" t="s">
        <v>696</v>
      </c>
      <c r="B29" s="105" t="s">
        <v>638</v>
      </c>
      <c r="D29" s="105" t="s">
        <v>216</v>
      </c>
      <c r="E29" s="116">
        <v>200</v>
      </c>
      <c r="F29" s="116">
        <v>200</v>
      </c>
      <c r="G29" s="116">
        <v>200</v>
      </c>
      <c r="H29" s="116">
        <v>200</v>
      </c>
      <c r="I29" s="116">
        <v>200</v>
      </c>
      <c r="J29" s="116">
        <v>200</v>
      </c>
      <c r="K29" s="116">
        <v>200</v>
      </c>
      <c r="L29" s="116">
        <v>200</v>
      </c>
      <c r="M29" s="116">
        <v>200</v>
      </c>
      <c r="N29" s="116">
        <v>200</v>
      </c>
      <c r="O29" s="116">
        <v>200</v>
      </c>
      <c r="P29" s="116">
        <v>200</v>
      </c>
      <c r="Q29" s="117">
        <f t="shared" si="8"/>
        <v>2400</v>
      </c>
      <c r="R29" s="116">
        <v>201.25</v>
      </c>
      <c r="S29" s="116">
        <v>143.05000000000001</v>
      </c>
      <c r="T29" s="116">
        <v>176.3</v>
      </c>
      <c r="U29" s="116">
        <v>116.15</v>
      </c>
      <c r="V29" s="116">
        <v>217.8</v>
      </c>
      <c r="W29" s="116">
        <v>141.80000000000001</v>
      </c>
      <c r="X29" s="116">
        <v>207.75</v>
      </c>
      <c r="Y29" s="116">
        <v>375.45</v>
      </c>
      <c r="Z29" s="116">
        <v>192</v>
      </c>
      <c r="AA29" s="116">
        <v>192</v>
      </c>
      <c r="AB29" s="116">
        <v>192</v>
      </c>
      <c r="AC29" s="116">
        <v>192</v>
      </c>
      <c r="AD29" s="117">
        <f t="shared" si="6"/>
        <v>2347.5500000000002</v>
      </c>
      <c r="AE29" s="116">
        <f t="shared" si="7"/>
        <v>-52.449999999999818</v>
      </c>
      <c r="AF29" s="192">
        <f t="shared" si="0"/>
        <v>-2.2342442120508538E-2</v>
      </c>
      <c r="AG29" s="129">
        <v>2309.4</v>
      </c>
      <c r="AH29" s="129">
        <f t="shared" si="4"/>
        <v>-90.599999999999909</v>
      </c>
      <c r="AI29" s="124"/>
    </row>
    <row r="30" spans="1:35">
      <c r="A30" s="105" t="s">
        <v>697</v>
      </c>
      <c r="B30" s="105" t="s">
        <v>638</v>
      </c>
      <c r="D30" s="105" t="s">
        <v>218</v>
      </c>
      <c r="Q30" s="117">
        <f t="shared" si="8"/>
        <v>0</v>
      </c>
      <c r="R30" s="116">
        <v>0</v>
      </c>
      <c r="S30" s="116">
        <v>0</v>
      </c>
      <c r="T30" s="116">
        <v>0</v>
      </c>
      <c r="U30" s="116">
        <v>0</v>
      </c>
      <c r="V30" s="116">
        <v>0</v>
      </c>
      <c r="W30" s="116">
        <v>0</v>
      </c>
      <c r="X30" s="116">
        <v>0</v>
      </c>
      <c r="Y30" s="116">
        <v>0</v>
      </c>
      <c r="Z30" s="116">
        <v>0</v>
      </c>
      <c r="AA30" s="116">
        <v>0</v>
      </c>
      <c r="AB30" s="116">
        <v>0</v>
      </c>
      <c r="AC30" s="116">
        <v>0</v>
      </c>
      <c r="AD30" s="117">
        <f t="shared" si="6"/>
        <v>0</v>
      </c>
      <c r="AE30" s="116">
        <f t="shared" si="7"/>
        <v>0</v>
      </c>
      <c r="AF30" s="192" t="e">
        <f t="shared" si="0"/>
        <v>#DIV/0!</v>
      </c>
      <c r="AG30" s="129">
        <v>103.8</v>
      </c>
      <c r="AH30" s="129">
        <f t="shared" si="4"/>
        <v>103.8</v>
      </c>
      <c r="AI30" s="124"/>
    </row>
    <row r="31" spans="1:35">
      <c r="A31" s="105" t="s">
        <v>698</v>
      </c>
      <c r="B31" s="105" t="s">
        <v>638</v>
      </c>
      <c r="D31" s="105" t="s">
        <v>222</v>
      </c>
      <c r="E31" s="116">
        <v>2810</v>
      </c>
      <c r="F31" s="116">
        <v>1910</v>
      </c>
      <c r="G31" s="116">
        <v>1610</v>
      </c>
      <c r="H31" s="116">
        <v>1610</v>
      </c>
      <c r="I31" s="116">
        <v>2810</v>
      </c>
      <c r="J31" s="116">
        <v>1610</v>
      </c>
      <c r="K31" s="116">
        <v>1910</v>
      </c>
      <c r="L31" s="116">
        <v>2810</v>
      </c>
      <c r="M31" s="116">
        <v>1610</v>
      </c>
      <c r="N31" s="116">
        <v>2810</v>
      </c>
      <c r="O31" s="116">
        <v>1610</v>
      </c>
      <c r="P31" s="116">
        <v>2810</v>
      </c>
      <c r="Q31" s="117">
        <f t="shared" si="8"/>
        <v>25920</v>
      </c>
      <c r="R31" s="116">
        <v>2043.24</v>
      </c>
      <c r="S31" s="116">
        <v>205.6</v>
      </c>
      <c r="T31" s="116">
        <v>74.09</v>
      </c>
      <c r="U31" s="116">
        <v>223.68</v>
      </c>
      <c r="V31" s="116">
        <v>43.68</v>
      </c>
      <c r="W31" s="116">
        <v>0</v>
      </c>
      <c r="X31" s="116">
        <v>0</v>
      </c>
      <c r="Y31" s="116">
        <v>1041.67</v>
      </c>
      <c r="Z31" s="116">
        <v>500</v>
      </c>
      <c r="AA31" s="116">
        <v>2900</v>
      </c>
      <c r="AB31" s="116">
        <v>500</v>
      </c>
      <c r="AC31" s="116">
        <v>25700</v>
      </c>
      <c r="AD31" s="117">
        <f t="shared" si="6"/>
        <v>33231.96</v>
      </c>
      <c r="AE31" s="116">
        <f t="shared" si="7"/>
        <v>7311.9599999999991</v>
      </c>
      <c r="AF31" s="192">
        <f t="shared" si="0"/>
        <v>0.2200279489984942</v>
      </c>
      <c r="AG31" s="129">
        <v>1281605.3600000001</v>
      </c>
      <c r="AH31" s="129">
        <f t="shared" si="4"/>
        <v>1255685.3600000001</v>
      </c>
      <c r="AI31" s="124"/>
    </row>
    <row r="32" spans="1:35">
      <c r="D32" s="105" t="s">
        <v>507</v>
      </c>
      <c r="E32" s="117">
        <f t="shared" ref="E32:AD32" si="9">SUM(E17:E31)</f>
        <v>172182.64</v>
      </c>
      <c r="F32" s="117">
        <f t="shared" si="9"/>
        <v>156039.19</v>
      </c>
      <c r="G32" s="117">
        <f t="shared" si="9"/>
        <v>153950.19</v>
      </c>
      <c r="H32" s="117">
        <f t="shared" si="9"/>
        <v>158271.28</v>
      </c>
      <c r="I32" s="117">
        <f t="shared" si="9"/>
        <v>166911.38</v>
      </c>
      <c r="J32" s="117">
        <f t="shared" si="9"/>
        <v>158096.19</v>
      </c>
      <c r="K32" s="117">
        <f t="shared" si="9"/>
        <v>159415.53</v>
      </c>
      <c r="L32" s="117">
        <f t="shared" si="9"/>
        <v>160171.53</v>
      </c>
      <c r="M32" s="117">
        <f t="shared" si="9"/>
        <v>154920.53</v>
      </c>
      <c r="N32" s="117">
        <f t="shared" si="9"/>
        <v>176916.94</v>
      </c>
      <c r="O32" s="117">
        <f t="shared" si="9"/>
        <v>154879.53</v>
      </c>
      <c r="P32" s="117">
        <f t="shared" si="9"/>
        <v>158346.53</v>
      </c>
      <c r="Q32" s="117">
        <f t="shared" si="9"/>
        <v>1930101.46</v>
      </c>
      <c r="R32" s="117">
        <f t="shared" si="9"/>
        <v>253569.37</v>
      </c>
      <c r="S32" s="117">
        <f t="shared" si="9"/>
        <v>278785.29999999993</v>
      </c>
      <c r="T32" s="117">
        <f t="shared" si="9"/>
        <v>191146.09</v>
      </c>
      <c r="U32" s="117">
        <f t="shared" si="9"/>
        <v>142782.04999999999</v>
      </c>
      <c r="V32" s="117">
        <f t="shared" si="9"/>
        <v>128786.5</v>
      </c>
      <c r="W32" s="117">
        <f t="shared" si="9"/>
        <v>163126.28</v>
      </c>
      <c r="X32" s="117">
        <f t="shared" si="9"/>
        <v>180134.19999999998</v>
      </c>
      <c r="Y32" s="117">
        <f t="shared" si="9"/>
        <v>211446.93000000002</v>
      </c>
      <c r="Z32" s="117">
        <f t="shared" si="9"/>
        <v>149891</v>
      </c>
      <c r="AA32" s="117">
        <f t="shared" si="9"/>
        <v>159116</v>
      </c>
      <c r="AB32" s="117">
        <f t="shared" si="9"/>
        <v>131439</v>
      </c>
      <c r="AC32" s="117">
        <f t="shared" si="9"/>
        <v>186728</v>
      </c>
      <c r="AD32" s="117">
        <f t="shared" si="9"/>
        <v>2176950.7199999997</v>
      </c>
      <c r="AE32" s="116">
        <f t="shared" si="7"/>
        <v>246849.25999999978</v>
      </c>
      <c r="AF32" s="192">
        <f t="shared" si="0"/>
        <v>0.11339221312276641</v>
      </c>
      <c r="AG32" s="129">
        <v>2759866.3600000003</v>
      </c>
      <c r="AH32" s="129">
        <f t="shared" si="4"/>
        <v>829764.90000000037</v>
      </c>
      <c r="AI32" s="124"/>
    </row>
    <row r="33" spans="1:35" s="109" customFormat="1">
      <c r="D33" s="109" t="s">
        <v>508</v>
      </c>
      <c r="E33" s="117">
        <f t="shared" ref="E33:AD33" si="10">E12-E14-E32</f>
        <v>-508373.67000000004</v>
      </c>
      <c r="F33" s="117">
        <f t="shared" si="10"/>
        <v>-375544.93</v>
      </c>
      <c r="G33" s="117">
        <f t="shared" si="10"/>
        <v>-439870.43</v>
      </c>
      <c r="H33" s="117">
        <f t="shared" si="10"/>
        <v>-461338.18000000005</v>
      </c>
      <c r="I33" s="117">
        <f t="shared" si="10"/>
        <v>-491992.52</v>
      </c>
      <c r="J33" s="117">
        <f t="shared" si="10"/>
        <v>-451782.66</v>
      </c>
      <c r="K33" s="117">
        <f t="shared" si="10"/>
        <v>-423321.01</v>
      </c>
      <c r="L33" s="117">
        <f t="shared" si="10"/>
        <v>-421388.91000000003</v>
      </c>
      <c r="M33" s="117">
        <f t="shared" si="10"/>
        <v>-445099.91000000003</v>
      </c>
      <c r="N33" s="117">
        <f t="shared" si="10"/>
        <v>-521826.28</v>
      </c>
      <c r="O33" s="117">
        <f t="shared" si="10"/>
        <v>-446046.89</v>
      </c>
      <c r="P33" s="117">
        <f t="shared" si="10"/>
        <v>-444748.79000000004</v>
      </c>
      <c r="Q33" s="117">
        <f t="shared" si="10"/>
        <v>-5431334.1799999997</v>
      </c>
      <c r="R33" s="117">
        <f t="shared" si="10"/>
        <v>-557604.55000000005</v>
      </c>
      <c r="S33" s="117">
        <f t="shared" si="10"/>
        <v>-586236.68999999994</v>
      </c>
      <c r="T33" s="117">
        <f t="shared" si="10"/>
        <v>-504960.72</v>
      </c>
      <c r="U33" s="117">
        <f t="shared" si="10"/>
        <v>-448616.4</v>
      </c>
      <c r="V33" s="117">
        <f t="shared" si="10"/>
        <v>-412842.96</v>
      </c>
      <c r="W33" s="117">
        <f t="shared" si="10"/>
        <v>-433581.51</v>
      </c>
      <c r="X33" s="117">
        <f t="shared" si="10"/>
        <v>-394859.57</v>
      </c>
      <c r="Y33" s="117">
        <f t="shared" si="10"/>
        <v>-461837.65</v>
      </c>
      <c r="Z33" s="117">
        <f t="shared" si="10"/>
        <v>-476739.5</v>
      </c>
      <c r="AA33" s="117">
        <f t="shared" si="10"/>
        <v>-510612.5</v>
      </c>
      <c r="AB33" s="117">
        <f t="shared" si="10"/>
        <v>-435499.5</v>
      </c>
      <c r="AC33" s="117">
        <f t="shared" si="10"/>
        <v>-486792.5</v>
      </c>
      <c r="AD33" s="117">
        <f t="shared" si="10"/>
        <v>-5710184.0500000007</v>
      </c>
      <c r="AE33" s="117">
        <f>Q33-AD33</f>
        <v>278849.87000000104</v>
      </c>
      <c r="AF33" s="192">
        <f t="shared" si="0"/>
        <v>-4.8833779709780284E-2</v>
      </c>
      <c r="AG33" s="129">
        <v>-4795825.2899999991</v>
      </c>
      <c r="AH33" s="124">
        <f>Q33-AG33</f>
        <v>-635508.8900000006</v>
      </c>
      <c r="AI33" s="124"/>
    </row>
    <row r="34" spans="1:35">
      <c r="D34" s="105" t="s">
        <v>154</v>
      </c>
      <c r="Q34" s="258"/>
      <c r="AF34" s="192"/>
      <c r="AG34" s="129"/>
      <c r="AI34" s="124"/>
    </row>
    <row r="35" spans="1:35">
      <c r="D35" s="105" t="s">
        <v>516</v>
      </c>
      <c r="AF35" s="192"/>
      <c r="AG35" s="129"/>
      <c r="AI35" s="124"/>
    </row>
    <row r="36" spans="1:35">
      <c r="D36" s="105" t="s">
        <v>517</v>
      </c>
      <c r="AF36" s="192"/>
      <c r="AG36" s="129"/>
      <c r="AI36" s="124"/>
    </row>
    <row r="37" spans="1:35">
      <c r="A37" s="105" t="s">
        <v>248</v>
      </c>
      <c r="B37" s="105" t="s">
        <v>638</v>
      </c>
      <c r="D37" s="105" t="s">
        <v>250</v>
      </c>
      <c r="E37" s="116">
        <v>0</v>
      </c>
      <c r="F37" s="116">
        <v>0</v>
      </c>
      <c r="G37" s="116">
        <v>0</v>
      </c>
      <c r="H37" s="116">
        <v>0</v>
      </c>
      <c r="I37" s="116">
        <v>0</v>
      </c>
      <c r="J37" s="116">
        <v>0</v>
      </c>
      <c r="K37" s="116">
        <v>0</v>
      </c>
      <c r="L37" s="116">
        <v>0</v>
      </c>
      <c r="M37" s="116">
        <v>0</v>
      </c>
      <c r="N37" s="116">
        <v>0</v>
      </c>
      <c r="O37" s="116">
        <v>0</v>
      </c>
      <c r="P37" s="116">
        <v>0</v>
      </c>
      <c r="Q37" s="117">
        <f>SUM(E37:P37)</f>
        <v>0</v>
      </c>
      <c r="R37" s="116">
        <v>0</v>
      </c>
      <c r="S37" s="116">
        <v>0</v>
      </c>
      <c r="T37" s="116">
        <v>0</v>
      </c>
      <c r="U37" s="116">
        <v>0</v>
      </c>
      <c r="V37" s="116">
        <v>0</v>
      </c>
      <c r="W37" s="116">
        <v>0</v>
      </c>
      <c r="X37" s="116">
        <v>0</v>
      </c>
      <c r="Y37" s="116">
        <v>0</v>
      </c>
      <c r="Z37" s="116">
        <v>0</v>
      </c>
      <c r="AA37" s="116">
        <v>0</v>
      </c>
      <c r="AB37" s="116">
        <v>0</v>
      </c>
      <c r="AC37" s="116">
        <v>0</v>
      </c>
      <c r="AD37" s="117">
        <f>SUM(R37:AC37)</f>
        <v>0</v>
      </c>
      <c r="AE37" s="116">
        <f>AD37-Q37</f>
        <v>0</v>
      </c>
      <c r="AF37" s="192" t="e">
        <f t="shared" si="0"/>
        <v>#DIV/0!</v>
      </c>
      <c r="AG37" s="129">
        <v>0</v>
      </c>
      <c r="AI37" s="124"/>
    </row>
    <row r="38" spans="1:35">
      <c r="A38" s="105" t="s">
        <v>251</v>
      </c>
      <c r="B38" s="105" t="s">
        <v>638</v>
      </c>
      <c r="D38" s="105" t="s">
        <v>468</v>
      </c>
      <c r="E38" s="215">
        <v>127276.67</v>
      </c>
      <c r="F38" s="116">
        <v>127276.67</v>
      </c>
      <c r="G38" s="116">
        <v>133198.67000000001</v>
      </c>
      <c r="H38" s="116">
        <v>135750.17000000001</v>
      </c>
      <c r="I38" s="116">
        <v>135750.17000000001</v>
      </c>
      <c r="J38" s="116">
        <v>135750.17000000001</v>
      </c>
      <c r="K38" s="116">
        <v>135750.17000000001</v>
      </c>
      <c r="L38" s="116">
        <v>135750.17000000001</v>
      </c>
      <c r="M38" s="116">
        <v>135750.17000000001</v>
      </c>
      <c r="N38" s="116">
        <v>135750.17000000001</v>
      </c>
      <c r="O38" s="116">
        <v>135750.17000000001</v>
      </c>
      <c r="P38" s="116">
        <v>135750.17000000001</v>
      </c>
      <c r="Q38" s="135">
        <f>SUM(E38:P38)</f>
        <v>1609503.5399999998</v>
      </c>
      <c r="R38" s="116">
        <v>135158.98000000001</v>
      </c>
      <c r="S38" s="116">
        <v>136000</v>
      </c>
      <c r="T38" s="116">
        <v>135041.96</v>
      </c>
      <c r="U38" s="116">
        <v>131357.23000000001</v>
      </c>
      <c r="V38" s="116">
        <v>124144.9</v>
      </c>
      <c r="W38" s="116">
        <v>119973.56</v>
      </c>
      <c r="X38" s="116">
        <v>115064.38</v>
      </c>
      <c r="Y38" s="116">
        <v>124513.01</v>
      </c>
      <c r="Z38" s="116">
        <v>124023</v>
      </c>
      <c r="AA38" s="116">
        <v>124023</v>
      </c>
      <c r="AB38" s="116">
        <v>124023</v>
      </c>
      <c r="AC38" s="116">
        <v>124023</v>
      </c>
      <c r="AD38" s="117">
        <f>SUM(R38:AC38)</f>
        <v>1517346.02</v>
      </c>
      <c r="AE38" s="116">
        <f>AD38-Q38</f>
        <v>-92157.519999999786</v>
      </c>
      <c r="AF38" s="192">
        <f t="shared" si="0"/>
        <v>-6.0735994812837604E-2</v>
      </c>
      <c r="AG38" s="129">
        <v>1198484.68</v>
      </c>
      <c r="AH38" s="129">
        <f t="shared" ref="AH38:AH71" si="11">AG38-Q38</f>
        <v>-411018.85999999987</v>
      </c>
      <c r="AI38" s="124"/>
    </row>
    <row r="39" spans="1:35">
      <c r="D39" s="105" t="s">
        <v>520</v>
      </c>
      <c r="E39" s="117">
        <f t="shared" ref="E39:AD39" si="12">SUM(E37:E38)</f>
        <v>127276.67</v>
      </c>
      <c r="F39" s="117">
        <f t="shared" si="12"/>
        <v>127276.67</v>
      </c>
      <c r="G39" s="117">
        <f t="shared" si="12"/>
        <v>133198.67000000001</v>
      </c>
      <c r="H39" s="117">
        <f t="shared" si="12"/>
        <v>135750.17000000001</v>
      </c>
      <c r="I39" s="117">
        <f t="shared" si="12"/>
        <v>135750.17000000001</v>
      </c>
      <c r="J39" s="117">
        <f t="shared" si="12"/>
        <v>135750.17000000001</v>
      </c>
      <c r="K39" s="117">
        <f t="shared" si="12"/>
        <v>135750.17000000001</v>
      </c>
      <c r="L39" s="117">
        <f t="shared" si="12"/>
        <v>135750.17000000001</v>
      </c>
      <c r="M39" s="117">
        <f t="shared" si="12"/>
        <v>135750.17000000001</v>
      </c>
      <c r="N39" s="117">
        <f t="shared" si="12"/>
        <v>135750.17000000001</v>
      </c>
      <c r="O39" s="117">
        <f t="shared" si="12"/>
        <v>135750.17000000001</v>
      </c>
      <c r="P39" s="117">
        <f t="shared" si="12"/>
        <v>135750.17000000001</v>
      </c>
      <c r="Q39" s="117">
        <f t="shared" si="12"/>
        <v>1609503.5399999998</v>
      </c>
      <c r="R39" s="117">
        <f t="shared" si="12"/>
        <v>135158.98000000001</v>
      </c>
      <c r="S39" s="117">
        <f t="shared" si="12"/>
        <v>136000</v>
      </c>
      <c r="T39" s="117">
        <f t="shared" si="12"/>
        <v>135041.96</v>
      </c>
      <c r="U39" s="117">
        <f t="shared" si="12"/>
        <v>131357.23000000001</v>
      </c>
      <c r="V39" s="117">
        <f t="shared" si="12"/>
        <v>124144.9</v>
      </c>
      <c r="W39" s="117">
        <f t="shared" si="12"/>
        <v>119973.56</v>
      </c>
      <c r="X39" s="117">
        <f t="shared" si="12"/>
        <v>115064.38</v>
      </c>
      <c r="Y39" s="117">
        <f t="shared" si="12"/>
        <v>124513.01</v>
      </c>
      <c r="Z39" s="117">
        <f t="shared" si="12"/>
        <v>124023</v>
      </c>
      <c r="AA39" s="117">
        <f t="shared" si="12"/>
        <v>124023</v>
      </c>
      <c r="AB39" s="117">
        <f t="shared" si="12"/>
        <v>124023</v>
      </c>
      <c r="AC39" s="117">
        <f t="shared" si="12"/>
        <v>124023</v>
      </c>
      <c r="AD39" s="117">
        <f t="shared" si="12"/>
        <v>1517346.02</v>
      </c>
      <c r="AE39" s="116">
        <f>AD39-Q39</f>
        <v>-92157.519999999786</v>
      </c>
      <c r="AF39" s="192">
        <f t="shared" si="0"/>
        <v>-6.0735994812837604E-2</v>
      </c>
      <c r="AG39" s="129">
        <v>1198484.68</v>
      </c>
      <c r="AH39" s="129">
        <f t="shared" si="11"/>
        <v>-411018.85999999987</v>
      </c>
      <c r="AI39" s="124"/>
    </row>
    <row r="40" spans="1:35">
      <c r="D40" s="105" t="s">
        <v>154</v>
      </c>
      <c r="AF40" s="192" t="e">
        <f t="shared" si="0"/>
        <v>#DIV/0!</v>
      </c>
      <c r="AG40" s="129"/>
      <c r="AH40" s="129">
        <f t="shared" si="11"/>
        <v>0</v>
      </c>
      <c r="AI40" s="124"/>
    </row>
    <row r="41" spans="1:35">
      <c r="A41" s="105" t="s">
        <v>119</v>
      </c>
      <c r="B41" s="105" t="s">
        <v>638</v>
      </c>
      <c r="D41" s="105" t="s">
        <v>260</v>
      </c>
      <c r="E41" s="215">
        <v>71641.290000000008</v>
      </c>
      <c r="F41" s="215">
        <v>0</v>
      </c>
      <c r="G41" s="215">
        <v>0</v>
      </c>
      <c r="H41" s="215">
        <v>13296.550000000003</v>
      </c>
      <c r="I41" s="215">
        <v>27517.290000000008</v>
      </c>
      <c r="J41" s="215">
        <v>0</v>
      </c>
      <c r="K41" s="215">
        <v>0</v>
      </c>
      <c r="L41" s="215">
        <v>0</v>
      </c>
      <c r="M41" s="215">
        <v>0</v>
      </c>
      <c r="N41" s="215">
        <v>70937.850000000006</v>
      </c>
      <c r="O41" s="215">
        <v>0</v>
      </c>
      <c r="P41" s="215">
        <v>0</v>
      </c>
      <c r="Q41" s="117">
        <f>SUM(E41:P41)</f>
        <v>183392.98000000004</v>
      </c>
      <c r="R41" s="116">
        <v>16515.5</v>
      </c>
      <c r="S41" s="116">
        <v>44417.14</v>
      </c>
      <c r="T41" s="116">
        <v>0</v>
      </c>
      <c r="U41" s="116">
        <v>13862.01</v>
      </c>
      <c r="V41" s="116">
        <v>14799.96</v>
      </c>
      <c r="W41" s="116">
        <v>14565.48</v>
      </c>
      <c r="X41" s="116">
        <v>0</v>
      </c>
      <c r="Y41" s="116">
        <v>0</v>
      </c>
      <c r="Z41" s="116">
        <v>21282</v>
      </c>
      <c r="AA41" s="116">
        <v>63847</v>
      </c>
      <c r="AB41" s="116">
        <v>0</v>
      </c>
      <c r="AC41" s="116">
        <v>0</v>
      </c>
      <c r="AD41" s="117">
        <f>SUM(R41:AC41)</f>
        <v>189289.08999999997</v>
      </c>
      <c r="AE41" s="116">
        <f t="shared" ref="AE41:AE46" si="13">AD41-Q41</f>
        <v>5896.1099999999278</v>
      </c>
      <c r="AF41" s="192">
        <f t="shared" si="0"/>
        <v>3.1148704872530842E-2</v>
      </c>
      <c r="AG41" s="129">
        <v>116723.52</v>
      </c>
      <c r="AH41" s="129">
        <f t="shared" si="11"/>
        <v>-66669.460000000036</v>
      </c>
      <c r="AI41" s="124"/>
    </row>
    <row r="42" spans="1:35">
      <c r="A42" s="105" t="s">
        <v>120</v>
      </c>
      <c r="B42" s="105" t="s">
        <v>638</v>
      </c>
      <c r="D42" s="105" t="s">
        <v>668</v>
      </c>
      <c r="E42" s="215">
        <v>22699.949999999997</v>
      </c>
      <c r="F42" s="215">
        <v>22699.949999999997</v>
      </c>
      <c r="G42" s="215">
        <v>22699.949999999997</v>
      </c>
      <c r="H42" s="215">
        <v>23149.949999999997</v>
      </c>
      <c r="I42" s="215">
        <v>23149.949999999997</v>
      </c>
      <c r="J42" s="215">
        <v>23149.949999999997</v>
      </c>
      <c r="K42" s="215">
        <v>23149.949999999997</v>
      </c>
      <c r="L42" s="215">
        <v>23149.949999999997</v>
      </c>
      <c r="M42" s="215">
        <v>23149.949999999997</v>
      </c>
      <c r="N42" s="215">
        <v>23149.949999999997</v>
      </c>
      <c r="O42" s="215">
        <v>23149.949999999997</v>
      </c>
      <c r="P42" s="215">
        <v>23149.949999999997</v>
      </c>
      <c r="Q42" s="117">
        <f>SUM(E42:P42)</f>
        <v>276449.40000000002</v>
      </c>
      <c r="R42" s="116">
        <v>33984.03</v>
      </c>
      <c r="S42" s="116">
        <v>33967.25</v>
      </c>
      <c r="T42" s="116">
        <v>33985.14</v>
      </c>
      <c r="U42" s="116">
        <v>22664.55</v>
      </c>
      <c r="V42" s="116">
        <v>21612.33</v>
      </c>
      <c r="W42" s="116">
        <v>20071.45</v>
      </c>
      <c r="X42" s="116">
        <v>20063.72</v>
      </c>
      <c r="Y42" s="116">
        <v>20746.2</v>
      </c>
      <c r="Z42" s="116">
        <v>20670.5</v>
      </c>
      <c r="AA42" s="116">
        <v>20670.5</v>
      </c>
      <c r="AB42" s="116">
        <v>20670.5</v>
      </c>
      <c r="AC42" s="116">
        <v>20670.5</v>
      </c>
      <c r="AD42" s="117">
        <f>SUM(R42:AC42)</f>
        <v>289776.67000000004</v>
      </c>
      <c r="AE42" s="116">
        <f t="shared" si="13"/>
        <v>13327.270000000019</v>
      </c>
      <c r="AF42" s="192">
        <f t="shared" si="0"/>
        <v>4.5991521677711381E-2</v>
      </c>
      <c r="AG42" s="129">
        <v>182432.75</v>
      </c>
      <c r="AH42" s="129">
        <f t="shared" si="11"/>
        <v>-94016.650000000023</v>
      </c>
      <c r="AI42" s="124"/>
    </row>
    <row r="43" spans="1:35">
      <c r="A43" s="105" t="s">
        <v>121</v>
      </c>
      <c r="B43" s="105" t="s">
        <v>638</v>
      </c>
      <c r="D43" s="105" t="s">
        <v>262</v>
      </c>
      <c r="E43" s="215">
        <v>29055</v>
      </c>
      <c r="F43" s="215">
        <v>29055</v>
      </c>
      <c r="G43" s="215">
        <v>29055</v>
      </c>
      <c r="H43" s="215">
        <v>29585</v>
      </c>
      <c r="I43" s="215">
        <v>29585</v>
      </c>
      <c r="J43" s="215">
        <v>29585</v>
      </c>
      <c r="K43" s="215">
        <v>29585</v>
      </c>
      <c r="L43" s="215">
        <v>29585</v>
      </c>
      <c r="M43" s="215">
        <v>29585</v>
      </c>
      <c r="N43" s="215">
        <v>29585</v>
      </c>
      <c r="O43" s="215">
        <v>29585</v>
      </c>
      <c r="P43" s="215">
        <v>29585</v>
      </c>
      <c r="Q43" s="117">
        <f>SUM(E43:P43)</f>
        <v>353430</v>
      </c>
      <c r="R43" s="116">
        <v>23641.119999999999</v>
      </c>
      <c r="S43" s="116">
        <v>24010</v>
      </c>
      <c r="T43" s="116">
        <v>23950.240000000002</v>
      </c>
      <c r="U43" s="116">
        <v>23401.29</v>
      </c>
      <c r="V43" s="116">
        <v>25177</v>
      </c>
      <c r="W43" s="116">
        <v>21387.98</v>
      </c>
      <c r="X43" s="116">
        <v>22859</v>
      </c>
      <c r="Y43" s="116">
        <v>23747.4</v>
      </c>
      <c r="Z43" s="116">
        <v>26410</v>
      </c>
      <c r="AA43" s="116">
        <v>24520</v>
      </c>
      <c r="AB43" s="116">
        <v>24565</v>
      </c>
      <c r="AC43" s="116">
        <v>24565</v>
      </c>
      <c r="AD43" s="117">
        <f>SUM(R43:AC43)</f>
        <v>288234.03000000003</v>
      </c>
      <c r="AE43" s="116">
        <f t="shared" si="13"/>
        <v>-65195.969999999972</v>
      </c>
      <c r="AF43" s="192">
        <f t="shared" si="0"/>
        <v>-0.22619109200950341</v>
      </c>
      <c r="AG43" s="129">
        <v>142497.81</v>
      </c>
      <c r="AH43" s="129">
        <f t="shared" si="11"/>
        <v>-210932.19</v>
      </c>
      <c r="AI43" s="124"/>
    </row>
    <row r="44" spans="1:35">
      <c r="A44" s="105" t="s">
        <v>122</v>
      </c>
      <c r="B44" s="105" t="s">
        <v>638</v>
      </c>
      <c r="D44" s="105" t="s">
        <v>263</v>
      </c>
      <c r="E44" s="215">
        <v>0</v>
      </c>
      <c r="F44" s="215">
        <v>0</v>
      </c>
      <c r="G44" s="215">
        <v>0</v>
      </c>
      <c r="H44" s="215">
        <v>0</v>
      </c>
      <c r="I44" s="215">
        <v>0</v>
      </c>
      <c r="J44" s="215">
        <v>0</v>
      </c>
      <c r="K44" s="215">
        <v>0</v>
      </c>
      <c r="L44" s="215">
        <v>0</v>
      </c>
      <c r="M44" s="215">
        <v>0</v>
      </c>
      <c r="N44" s="215">
        <v>0</v>
      </c>
      <c r="O44" s="215">
        <v>0</v>
      </c>
      <c r="P44" s="215">
        <v>0</v>
      </c>
      <c r="Q44" s="117">
        <f>SUM(E44:P44)</f>
        <v>0</v>
      </c>
      <c r="R44" s="116">
        <v>0</v>
      </c>
      <c r="S44" s="116">
        <v>0</v>
      </c>
      <c r="T44" s="116">
        <v>0</v>
      </c>
      <c r="U44" s="116">
        <v>0</v>
      </c>
      <c r="V44" s="116">
        <v>0</v>
      </c>
      <c r="W44" s="116">
        <v>0</v>
      </c>
      <c r="X44" s="116">
        <v>0</v>
      </c>
      <c r="Y44" s="116">
        <v>0</v>
      </c>
      <c r="Z44" s="116">
        <v>0</v>
      </c>
      <c r="AA44" s="116">
        <v>0</v>
      </c>
      <c r="AB44" s="116">
        <v>0</v>
      </c>
      <c r="AC44" s="116">
        <v>0</v>
      </c>
      <c r="AD44" s="117">
        <f>SUM(R44:AC44)</f>
        <v>0</v>
      </c>
      <c r="AE44" s="116">
        <f t="shared" si="13"/>
        <v>0</v>
      </c>
      <c r="AF44" s="192" t="e">
        <f t="shared" si="0"/>
        <v>#DIV/0!</v>
      </c>
      <c r="AG44" s="129">
        <v>0</v>
      </c>
      <c r="AH44" s="129">
        <f t="shared" si="11"/>
        <v>0</v>
      </c>
      <c r="AI44" s="124"/>
    </row>
    <row r="45" spans="1:35">
      <c r="A45" s="105" t="s">
        <v>123</v>
      </c>
      <c r="B45" s="105" t="s">
        <v>638</v>
      </c>
      <c r="D45" s="105" t="s">
        <v>264</v>
      </c>
      <c r="E45" s="215">
        <v>11800</v>
      </c>
      <c r="F45" s="215">
        <v>11800</v>
      </c>
      <c r="G45" s="215">
        <v>11800</v>
      </c>
      <c r="H45" s="215">
        <v>11800</v>
      </c>
      <c r="I45" s="215">
        <v>11800</v>
      </c>
      <c r="J45" s="215">
        <v>11800</v>
      </c>
      <c r="K45" s="215">
        <v>11800</v>
      </c>
      <c r="L45" s="215">
        <v>11800</v>
      </c>
      <c r="M45" s="215">
        <v>11800</v>
      </c>
      <c r="N45" s="215">
        <v>11800</v>
      </c>
      <c r="O45" s="215">
        <v>11800</v>
      </c>
      <c r="P45" s="215">
        <v>11800</v>
      </c>
      <c r="Q45" s="117">
        <f>SUM(E45:P45)</f>
        <v>141600</v>
      </c>
      <c r="R45" s="116">
        <v>18085</v>
      </c>
      <c r="S45" s="116">
        <v>23985</v>
      </c>
      <c r="T45" s="116">
        <v>11200</v>
      </c>
      <c r="U45" s="116">
        <v>11305.36</v>
      </c>
      <c r="V45" s="116">
        <v>11610</v>
      </c>
      <c r="W45" s="116">
        <v>10780</v>
      </c>
      <c r="X45" s="116">
        <v>16000</v>
      </c>
      <c r="Y45" s="116">
        <v>51214.8</v>
      </c>
      <c r="Z45" s="116">
        <v>30400</v>
      </c>
      <c r="AA45" s="116">
        <v>30400</v>
      </c>
      <c r="AB45" s="116">
        <v>30400</v>
      </c>
      <c r="AC45" s="116">
        <v>30400</v>
      </c>
      <c r="AD45" s="117">
        <f>SUM(R45:AC45)</f>
        <v>275780.16000000003</v>
      </c>
      <c r="AE45" s="116">
        <f t="shared" si="13"/>
        <v>134180.16000000003</v>
      </c>
      <c r="AF45" s="192">
        <f t="shared" si="0"/>
        <v>0.48654754569726849</v>
      </c>
      <c r="AG45" s="129">
        <v>50274.340000000004</v>
      </c>
      <c r="AH45" s="129">
        <f t="shared" si="11"/>
        <v>-91325.66</v>
      </c>
      <c r="AI45" s="124"/>
    </row>
    <row r="46" spans="1:35">
      <c r="D46" s="109" t="s">
        <v>521</v>
      </c>
      <c r="E46" s="117">
        <f t="shared" ref="E46:P46" si="14">SUM(E41:E45)</f>
        <v>135196.24</v>
      </c>
      <c r="F46" s="117">
        <f t="shared" si="14"/>
        <v>63554.95</v>
      </c>
      <c r="G46" s="117">
        <f t="shared" si="14"/>
        <v>63554.95</v>
      </c>
      <c r="H46" s="117">
        <f t="shared" si="14"/>
        <v>77831.5</v>
      </c>
      <c r="I46" s="117">
        <f t="shared" si="14"/>
        <v>92052.24</v>
      </c>
      <c r="J46" s="117">
        <f t="shared" si="14"/>
        <v>64534.95</v>
      </c>
      <c r="K46" s="117">
        <f t="shared" si="14"/>
        <v>64534.95</v>
      </c>
      <c r="L46" s="117">
        <f t="shared" si="14"/>
        <v>64534.95</v>
      </c>
      <c r="M46" s="117">
        <f t="shared" si="14"/>
        <v>64534.95</v>
      </c>
      <c r="N46" s="117">
        <f t="shared" si="14"/>
        <v>135472.79999999999</v>
      </c>
      <c r="O46" s="117">
        <f t="shared" si="14"/>
        <v>64534.95</v>
      </c>
      <c r="P46" s="117">
        <f t="shared" si="14"/>
        <v>64534.95</v>
      </c>
      <c r="Q46" s="117">
        <f>SUM(Q41:Q45)</f>
        <v>954872.38000000012</v>
      </c>
      <c r="R46" s="117">
        <f t="shared" ref="R46:AD46" si="15">SUM(R41:R45)</f>
        <v>92225.65</v>
      </c>
      <c r="S46" s="117">
        <f t="shared" si="15"/>
        <v>126379.39</v>
      </c>
      <c r="T46" s="117">
        <f t="shared" si="15"/>
        <v>69135.38</v>
      </c>
      <c r="U46" s="117">
        <f t="shared" si="15"/>
        <v>71233.209999999992</v>
      </c>
      <c r="V46" s="117">
        <f t="shared" si="15"/>
        <v>73199.290000000008</v>
      </c>
      <c r="W46" s="117">
        <f t="shared" si="15"/>
        <v>66804.91</v>
      </c>
      <c r="X46" s="117">
        <f t="shared" si="15"/>
        <v>58922.720000000001</v>
      </c>
      <c r="Y46" s="117">
        <f t="shared" si="15"/>
        <v>95708.400000000009</v>
      </c>
      <c r="Z46" s="117">
        <f t="shared" si="15"/>
        <v>98762.5</v>
      </c>
      <c r="AA46" s="117">
        <f t="shared" si="15"/>
        <v>139437.5</v>
      </c>
      <c r="AB46" s="117">
        <f t="shared" si="15"/>
        <v>75635.5</v>
      </c>
      <c r="AC46" s="117">
        <f t="shared" si="15"/>
        <v>75635.5</v>
      </c>
      <c r="AD46" s="117">
        <f t="shared" si="15"/>
        <v>1043079.9500000001</v>
      </c>
      <c r="AE46" s="116">
        <f t="shared" si="13"/>
        <v>88207.569999999949</v>
      </c>
      <c r="AF46" s="192">
        <f t="shared" si="0"/>
        <v>8.4564534099231745E-2</v>
      </c>
      <c r="AG46" s="129">
        <v>491928.42000000004</v>
      </c>
      <c r="AH46" s="129">
        <f t="shared" si="11"/>
        <v>-462943.96000000008</v>
      </c>
      <c r="AI46" s="124"/>
    </row>
    <row r="47" spans="1:35">
      <c r="D47" s="105" t="s">
        <v>154</v>
      </c>
      <c r="AF47" s="192"/>
      <c r="AG47" s="129"/>
      <c r="AH47" s="129">
        <f t="shared" si="11"/>
        <v>0</v>
      </c>
      <c r="AI47" s="124"/>
    </row>
    <row r="48" spans="1:35">
      <c r="A48" s="105" t="s">
        <v>124</v>
      </c>
      <c r="B48" s="105" t="s">
        <v>638</v>
      </c>
      <c r="D48" s="105" t="s">
        <v>266</v>
      </c>
      <c r="E48" s="215">
        <v>34843.69000000001</v>
      </c>
      <c r="F48" s="215">
        <v>34843.69000000001</v>
      </c>
      <c r="G48" s="215">
        <v>34843.69000000001</v>
      </c>
      <c r="H48" s="215">
        <v>35670.930000000008</v>
      </c>
      <c r="I48" s="215">
        <v>35670.930000000008</v>
      </c>
      <c r="J48" s="215">
        <v>35670.930000000008</v>
      </c>
      <c r="K48" s="215">
        <v>36637.26</v>
      </c>
      <c r="L48" s="215">
        <v>36637.26</v>
      </c>
      <c r="M48" s="215">
        <v>36637.26</v>
      </c>
      <c r="N48" s="215">
        <v>36637.26</v>
      </c>
      <c r="O48" s="215">
        <v>36637.26</v>
      </c>
      <c r="P48" s="215">
        <v>36637.26</v>
      </c>
      <c r="Q48" s="117">
        <f>SUM(E48:P48)</f>
        <v>431367.4200000001</v>
      </c>
      <c r="R48" s="116">
        <v>38234.25</v>
      </c>
      <c r="S48" s="116">
        <v>38234.25</v>
      </c>
      <c r="T48" s="116">
        <v>38234.25</v>
      </c>
      <c r="U48" s="116">
        <v>37451.379999999997</v>
      </c>
      <c r="V48" s="116">
        <v>33508.639999999999</v>
      </c>
      <c r="W48" s="116">
        <v>32735.84</v>
      </c>
      <c r="X48" s="116">
        <v>31644.35</v>
      </c>
      <c r="Y48" s="116">
        <v>33962.75</v>
      </c>
      <c r="Z48" s="116">
        <v>33704</v>
      </c>
      <c r="AA48" s="116">
        <v>33704</v>
      </c>
      <c r="AB48" s="116">
        <v>33704</v>
      </c>
      <c r="AC48" s="116">
        <v>33704</v>
      </c>
      <c r="AD48" s="117">
        <f t="shared" ref="AD48:AD55" si="16">SUM(R48:AC48)</f>
        <v>418821.71</v>
      </c>
      <c r="AE48" s="116">
        <f t="shared" ref="AE48:AE56" si="17">AD48-Q48</f>
        <v>-12545.710000000079</v>
      </c>
      <c r="AF48" s="192">
        <f t="shared" si="0"/>
        <v>-2.9954774789492357E-2</v>
      </c>
      <c r="AG48" s="129">
        <v>242619.46000000002</v>
      </c>
      <c r="AH48" s="129">
        <f t="shared" si="11"/>
        <v>-188747.96000000008</v>
      </c>
      <c r="AI48" s="124"/>
    </row>
    <row r="49" spans="1:35">
      <c r="A49" s="105" t="s">
        <v>125</v>
      </c>
      <c r="B49" s="105" t="s">
        <v>638</v>
      </c>
      <c r="D49" s="105" t="s">
        <v>267</v>
      </c>
      <c r="E49" s="215">
        <v>14109.640000000001</v>
      </c>
      <c r="F49" s="215">
        <v>14109.640000000001</v>
      </c>
      <c r="G49" s="215">
        <v>14109.640000000001</v>
      </c>
      <c r="H49" s="215">
        <v>14442.28</v>
      </c>
      <c r="I49" s="215">
        <v>14442.28</v>
      </c>
      <c r="J49" s="215">
        <v>14442.28</v>
      </c>
      <c r="K49" s="215">
        <v>14752.16</v>
      </c>
      <c r="L49" s="215">
        <v>14752.16</v>
      </c>
      <c r="M49" s="215">
        <v>14752.16</v>
      </c>
      <c r="N49" s="215">
        <v>14752.16</v>
      </c>
      <c r="O49" s="215">
        <v>14752.16</v>
      </c>
      <c r="P49" s="215">
        <v>14752.16</v>
      </c>
      <c r="Q49" s="117">
        <f t="shared" ref="Q49:Q55" si="18">SUM(E49:P49)</f>
        <v>174168.72000000003</v>
      </c>
      <c r="R49" s="116">
        <v>20311.96</v>
      </c>
      <c r="S49" s="116">
        <v>20311.96</v>
      </c>
      <c r="T49" s="116">
        <v>20311.96</v>
      </c>
      <c r="U49" s="116">
        <v>19896.060000000001</v>
      </c>
      <c r="V49" s="116">
        <v>17801.48</v>
      </c>
      <c r="W49" s="116">
        <v>17390.93</v>
      </c>
      <c r="X49" s="116">
        <v>12855.5</v>
      </c>
      <c r="Y49" s="116">
        <v>13797.35</v>
      </c>
      <c r="Z49" s="116">
        <v>17592</v>
      </c>
      <c r="AA49" s="116">
        <v>17592</v>
      </c>
      <c r="AB49" s="116">
        <v>17592</v>
      </c>
      <c r="AC49" s="116">
        <v>17592</v>
      </c>
      <c r="AD49" s="117">
        <f t="shared" si="16"/>
        <v>213045.2</v>
      </c>
      <c r="AE49" s="116">
        <f t="shared" si="17"/>
        <v>38876.479999999981</v>
      </c>
      <c r="AF49" s="192">
        <f t="shared" si="0"/>
        <v>0.18247996199867436</v>
      </c>
      <c r="AG49" s="129">
        <v>117752.48</v>
      </c>
      <c r="AH49" s="129">
        <f t="shared" si="11"/>
        <v>-56416.240000000034</v>
      </c>
      <c r="AI49" s="124"/>
    </row>
    <row r="50" spans="1:35">
      <c r="A50" s="105" t="s">
        <v>126</v>
      </c>
      <c r="B50" s="105" t="s">
        <v>638</v>
      </c>
      <c r="D50" s="105" t="s">
        <v>268</v>
      </c>
      <c r="E50" s="215">
        <v>1085.3900000000003</v>
      </c>
      <c r="F50" s="215">
        <v>1085.3900000000003</v>
      </c>
      <c r="G50" s="215">
        <v>1085.3900000000003</v>
      </c>
      <c r="H50" s="215">
        <v>1110.9800000000002</v>
      </c>
      <c r="I50" s="215">
        <v>1110.9800000000002</v>
      </c>
      <c r="J50" s="215">
        <v>1110.9800000000002</v>
      </c>
      <c r="K50" s="215">
        <v>1134.8699999999999</v>
      </c>
      <c r="L50" s="215">
        <v>1134.8699999999999</v>
      </c>
      <c r="M50" s="215">
        <v>1134.8699999999999</v>
      </c>
      <c r="N50" s="215">
        <v>1134.8699999999999</v>
      </c>
      <c r="O50" s="215">
        <v>1134.8699999999999</v>
      </c>
      <c r="P50" s="215">
        <v>1134.8699999999999</v>
      </c>
      <c r="Q50" s="117">
        <f t="shared" si="18"/>
        <v>13398.329999999998</v>
      </c>
      <c r="R50" s="116">
        <v>1194.8399999999999</v>
      </c>
      <c r="S50" s="116">
        <v>1194.8399999999999</v>
      </c>
      <c r="T50" s="116">
        <v>1194.8399999999999</v>
      </c>
      <c r="U50" s="116">
        <v>1170.3800000000001</v>
      </c>
      <c r="V50" s="116">
        <v>1047.17</v>
      </c>
      <c r="W50" s="116">
        <v>1023.02</v>
      </c>
      <c r="X50" s="116">
        <v>988.91</v>
      </c>
      <c r="Y50" s="116">
        <v>1061.3599999999999</v>
      </c>
      <c r="Z50" s="116">
        <v>1055</v>
      </c>
      <c r="AA50" s="116">
        <v>1055</v>
      </c>
      <c r="AB50" s="116">
        <v>1055</v>
      </c>
      <c r="AC50" s="116">
        <v>1055</v>
      </c>
      <c r="AD50" s="117">
        <f t="shared" si="16"/>
        <v>13095.36</v>
      </c>
      <c r="AE50" s="116">
        <f t="shared" si="17"/>
        <v>-302.96999999999753</v>
      </c>
      <c r="AF50" s="192">
        <f t="shared" si="0"/>
        <v>-2.3135675536983903E-2</v>
      </c>
      <c r="AG50" s="129">
        <v>7218.29</v>
      </c>
      <c r="AH50" s="129">
        <f t="shared" si="11"/>
        <v>-6180.0399999999981</v>
      </c>
      <c r="AI50" s="124"/>
    </row>
    <row r="51" spans="1:35">
      <c r="A51" s="105" t="s">
        <v>127</v>
      </c>
      <c r="B51" s="105" t="s">
        <v>638</v>
      </c>
      <c r="D51" s="105" t="s">
        <v>269</v>
      </c>
      <c r="E51" s="215">
        <v>260.45999999999998</v>
      </c>
      <c r="F51" s="215">
        <v>260.45999999999998</v>
      </c>
      <c r="G51" s="215">
        <v>260.45999999999998</v>
      </c>
      <c r="H51" s="215">
        <v>266.59999999999997</v>
      </c>
      <c r="I51" s="215">
        <v>266.59999999999997</v>
      </c>
      <c r="J51" s="215">
        <v>266.59999999999997</v>
      </c>
      <c r="K51" s="215">
        <v>272.41000000000003</v>
      </c>
      <c r="L51" s="215">
        <v>272.41000000000003</v>
      </c>
      <c r="M51" s="215">
        <v>272.41000000000003</v>
      </c>
      <c r="N51" s="215">
        <v>272.41000000000003</v>
      </c>
      <c r="O51" s="215">
        <v>272.41000000000003</v>
      </c>
      <c r="P51" s="215">
        <v>272.41000000000003</v>
      </c>
      <c r="Q51" s="117">
        <f t="shared" si="18"/>
        <v>3215.639999999999</v>
      </c>
      <c r="R51" s="116">
        <v>286.79000000000002</v>
      </c>
      <c r="S51" s="116">
        <v>286.79000000000002</v>
      </c>
      <c r="T51" s="116">
        <v>286.79000000000002</v>
      </c>
      <c r="U51" s="116">
        <v>280.92</v>
      </c>
      <c r="V51" s="116">
        <v>251.35</v>
      </c>
      <c r="W51" s="116">
        <v>245.55</v>
      </c>
      <c r="X51" s="116">
        <v>237.37</v>
      </c>
      <c r="Y51" s="116">
        <v>254.77</v>
      </c>
      <c r="Z51" s="116">
        <v>262</v>
      </c>
      <c r="AA51" s="116">
        <v>262</v>
      </c>
      <c r="AB51" s="116">
        <v>262</v>
      </c>
      <c r="AC51" s="116">
        <v>262</v>
      </c>
      <c r="AD51" s="117">
        <f t="shared" si="16"/>
        <v>3178.33</v>
      </c>
      <c r="AE51" s="116">
        <f t="shared" si="17"/>
        <v>-37.309999999999036</v>
      </c>
      <c r="AF51" s="192">
        <f t="shared" si="0"/>
        <v>-1.1738869154555706E-2</v>
      </c>
      <c r="AG51" s="129">
        <v>2309.88</v>
      </c>
      <c r="AH51" s="129">
        <f t="shared" si="11"/>
        <v>-905.75999999999885</v>
      </c>
      <c r="AI51" s="124"/>
    </row>
    <row r="52" spans="1:35">
      <c r="A52" s="105" t="s">
        <v>128</v>
      </c>
      <c r="B52" s="105" t="s">
        <v>638</v>
      </c>
      <c r="D52" s="105" t="s">
        <v>270</v>
      </c>
      <c r="E52" s="215">
        <v>0</v>
      </c>
      <c r="F52" s="215">
        <v>0</v>
      </c>
      <c r="G52" s="215">
        <v>0</v>
      </c>
      <c r="H52" s="215">
        <v>0</v>
      </c>
      <c r="I52" s="215">
        <v>0</v>
      </c>
      <c r="J52" s="215">
        <v>0</v>
      </c>
      <c r="K52" s="215">
        <v>0</v>
      </c>
      <c r="L52" s="215">
        <v>0</v>
      </c>
      <c r="M52" s="215">
        <v>0</v>
      </c>
      <c r="N52" s="215">
        <v>0</v>
      </c>
      <c r="O52" s="215">
        <v>0</v>
      </c>
      <c r="P52" s="215">
        <v>0</v>
      </c>
      <c r="Q52" s="117">
        <f t="shared" si="18"/>
        <v>0</v>
      </c>
      <c r="R52" s="116">
        <v>0</v>
      </c>
      <c r="S52" s="116">
        <v>0</v>
      </c>
      <c r="T52" s="116">
        <v>0</v>
      </c>
      <c r="U52" s="116">
        <v>0</v>
      </c>
      <c r="V52" s="116">
        <v>0</v>
      </c>
      <c r="W52" s="116">
        <v>0</v>
      </c>
      <c r="X52" s="116">
        <v>0</v>
      </c>
      <c r="Y52" s="116">
        <v>0</v>
      </c>
      <c r="Z52" s="116">
        <v>0</v>
      </c>
      <c r="AA52" s="116">
        <v>0</v>
      </c>
      <c r="AB52" s="116">
        <v>0</v>
      </c>
      <c r="AC52" s="116">
        <v>0</v>
      </c>
      <c r="AD52" s="117">
        <f t="shared" si="16"/>
        <v>0</v>
      </c>
      <c r="AE52" s="116">
        <f t="shared" si="17"/>
        <v>0</v>
      </c>
      <c r="AF52" s="192" t="e">
        <f t="shared" si="0"/>
        <v>#DIV/0!</v>
      </c>
      <c r="AG52" s="129">
        <v>4954.17</v>
      </c>
      <c r="AH52" s="129">
        <f t="shared" si="11"/>
        <v>4954.17</v>
      </c>
      <c r="AI52" s="124"/>
    </row>
    <row r="53" spans="1:35">
      <c r="A53" s="105" t="s">
        <v>129</v>
      </c>
      <c r="B53" s="105" t="s">
        <v>638</v>
      </c>
      <c r="D53" s="105" t="s">
        <v>271</v>
      </c>
      <c r="E53" s="215">
        <v>10116.84</v>
      </c>
      <c r="F53" s="215">
        <v>10116.84</v>
      </c>
      <c r="G53" s="215">
        <v>10116.84</v>
      </c>
      <c r="H53" s="215">
        <v>10251.84</v>
      </c>
      <c r="I53" s="215">
        <v>10251.84</v>
      </c>
      <c r="J53" s="215">
        <v>10251.84</v>
      </c>
      <c r="K53" s="215">
        <v>11347.940000000004</v>
      </c>
      <c r="L53" s="215">
        <v>10251.84</v>
      </c>
      <c r="M53" s="215">
        <v>10251.84</v>
      </c>
      <c r="N53" s="215">
        <v>10251.84</v>
      </c>
      <c r="O53" s="215">
        <v>11347.940000000004</v>
      </c>
      <c r="P53" s="215">
        <v>10251.84</v>
      </c>
      <c r="Q53" s="117">
        <f t="shared" si="18"/>
        <v>124809.27999999998</v>
      </c>
      <c r="R53" s="116">
        <v>11840</v>
      </c>
      <c r="S53" s="116">
        <v>11840</v>
      </c>
      <c r="T53" s="116">
        <v>11840</v>
      </c>
      <c r="U53" s="116">
        <v>11595</v>
      </c>
      <c r="V53" s="116">
        <v>10362</v>
      </c>
      <c r="W53" s="116">
        <v>10126</v>
      </c>
      <c r="X53" s="116">
        <v>9718</v>
      </c>
      <c r="Y53" s="116">
        <v>10203</v>
      </c>
      <c r="Z53" s="116">
        <v>10331</v>
      </c>
      <c r="AA53" s="116">
        <v>10331</v>
      </c>
      <c r="AB53" s="116">
        <v>10331</v>
      </c>
      <c r="AC53" s="116">
        <v>10331</v>
      </c>
      <c r="AD53" s="117">
        <f t="shared" si="16"/>
        <v>128848</v>
      </c>
      <c r="AE53" s="116">
        <f t="shared" si="17"/>
        <v>4038.7200000000157</v>
      </c>
      <c r="AF53" s="192">
        <f t="shared" si="0"/>
        <v>3.1344840432137214E-2</v>
      </c>
      <c r="AG53" s="129">
        <v>66506</v>
      </c>
      <c r="AH53" s="129">
        <f t="shared" si="11"/>
        <v>-58303.279999999984</v>
      </c>
      <c r="AI53" s="124"/>
    </row>
    <row r="54" spans="1:35">
      <c r="A54" s="105" t="s">
        <v>130</v>
      </c>
      <c r="B54" s="105" t="s">
        <v>638</v>
      </c>
      <c r="D54" s="105" t="s">
        <v>272</v>
      </c>
      <c r="E54" s="215">
        <v>5037</v>
      </c>
      <c r="F54" s="215">
        <v>3604</v>
      </c>
      <c r="G54" s="215">
        <v>3722</v>
      </c>
      <c r="H54" s="215">
        <v>4059</v>
      </c>
      <c r="I54" s="215">
        <v>4343</v>
      </c>
      <c r="J54" s="215">
        <v>3793</v>
      </c>
      <c r="K54" s="215">
        <v>3793</v>
      </c>
      <c r="L54" s="215">
        <v>3793</v>
      </c>
      <c r="M54" s="215">
        <v>3793</v>
      </c>
      <c r="N54" s="215">
        <v>5212</v>
      </c>
      <c r="O54" s="215">
        <v>3793</v>
      </c>
      <c r="P54" s="215">
        <v>3793</v>
      </c>
      <c r="Q54" s="117">
        <f t="shared" si="18"/>
        <v>48735</v>
      </c>
      <c r="R54" s="116">
        <v>3921.31</v>
      </c>
      <c r="S54" s="116">
        <v>4537.54</v>
      </c>
      <c r="T54" s="116">
        <v>7480.19</v>
      </c>
      <c r="U54" s="116">
        <v>5889.24</v>
      </c>
      <c r="V54" s="116">
        <v>3516.44</v>
      </c>
      <c r="W54" s="116">
        <v>3528.14</v>
      </c>
      <c r="X54" s="116">
        <v>2999.27</v>
      </c>
      <c r="Y54" s="116">
        <v>3711.3</v>
      </c>
      <c r="Z54" s="116">
        <v>4818</v>
      </c>
      <c r="AA54" s="116">
        <v>4818</v>
      </c>
      <c r="AB54" s="116">
        <v>4818</v>
      </c>
      <c r="AC54" s="116">
        <v>4818</v>
      </c>
      <c r="AD54" s="117">
        <f t="shared" si="16"/>
        <v>54855.43</v>
      </c>
      <c r="AE54" s="116">
        <f t="shared" si="17"/>
        <v>6120.43</v>
      </c>
      <c r="AF54" s="192">
        <f t="shared" si="0"/>
        <v>0.11157382231804581</v>
      </c>
      <c r="AG54" s="129">
        <v>37388.610000000008</v>
      </c>
      <c r="AH54" s="129">
        <f t="shared" si="11"/>
        <v>-11346.389999999992</v>
      </c>
      <c r="AI54" s="124"/>
    </row>
    <row r="55" spans="1:35">
      <c r="A55" s="105" t="s">
        <v>670</v>
      </c>
      <c r="D55" s="105" t="s">
        <v>274</v>
      </c>
      <c r="E55" s="215">
        <v>0</v>
      </c>
      <c r="F55" s="215">
        <v>0</v>
      </c>
      <c r="G55" s="215">
        <v>0</v>
      </c>
      <c r="H55" s="215">
        <v>0</v>
      </c>
      <c r="I55" s="215">
        <v>0</v>
      </c>
      <c r="J55" s="215">
        <v>0</v>
      </c>
      <c r="K55" s="215">
        <v>0</v>
      </c>
      <c r="L55" s="215">
        <v>0</v>
      </c>
      <c r="M55" s="215">
        <v>0</v>
      </c>
      <c r="N55" s="215">
        <v>0</v>
      </c>
      <c r="O55" s="215">
        <v>0</v>
      </c>
      <c r="P55" s="215">
        <v>0</v>
      </c>
      <c r="Q55" s="117">
        <f t="shared" si="18"/>
        <v>0</v>
      </c>
      <c r="R55" s="116">
        <v>0</v>
      </c>
      <c r="S55" s="116">
        <v>0</v>
      </c>
      <c r="T55" s="116">
        <v>0</v>
      </c>
      <c r="U55" s="116">
        <v>0</v>
      </c>
      <c r="V55" s="116">
        <v>0</v>
      </c>
      <c r="W55" s="116">
        <v>0</v>
      </c>
      <c r="X55" s="116">
        <v>0</v>
      </c>
      <c r="Y55" s="116">
        <v>0</v>
      </c>
      <c r="Z55" s="116">
        <v>0</v>
      </c>
      <c r="AA55" s="116">
        <v>0</v>
      </c>
      <c r="AB55" s="116">
        <v>0</v>
      </c>
      <c r="AC55" s="116">
        <v>0</v>
      </c>
      <c r="AD55" s="117">
        <f t="shared" si="16"/>
        <v>0</v>
      </c>
      <c r="AE55" s="116">
        <f t="shared" si="17"/>
        <v>0</v>
      </c>
      <c r="AF55" s="192" t="e">
        <f t="shared" si="0"/>
        <v>#DIV/0!</v>
      </c>
      <c r="AG55" s="129">
        <v>0</v>
      </c>
      <c r="AH55" s="129">
        <f t="shared" si="11"/>
        <v>0</v>
      </c>
      <c r="AI55" s="124"/>
    </row>
    <row r="56" spans="1:35">
      <c r="D56" s="109" t="s">
        <v>522</v>
      </c>
      <c r="E56" s="117">
        <f t="shared" ref="E56:AD56" si="19">SUM(E48:E55)</f>
        <v>65453.020000000004</v>
      </c>
      <c r="F56" s="117">
        <f t="shared" si="19"/>
        <v>64020.020000000004</v>
      </c>
      <c r="G56" s="117">
        <f t="shared" si="19"/>
        <v>64138.020000000004</v>
      </c>
      <c r="H56" s="117">
        <f t="shared" si="19"/>
        <v>65801.63</v>
      </c>
      <c r="I56" s="117">
        <f t="shared" si="19"/>
        <v>66085.63</v>
      </c>
      <c r="J56" s="117">
        <f t="shared" si="19"/>
        <v>65535.630000000005</v>
      </c>
      <c r="K56" s="117">
        <f t="shared" si="19"/>
        <v>67937.640000000014</v>
      </c>
      <c r="L56" s="117">
        <f t="shared" si="19"/>
        <v>66841.540000000008</v>
      </c>
      <c r="M56" s="117">
        <f t="shared" si="19"/>
        <v>66841.540000000008</v>
      </c>
      <c r="N56" s="117">
        <f t="shared" si="19"/>
        <v>68260.540000000008</v>
      </c>
      <c r="O56" s="117">
        <f t="shared" si="19"/>
        <v>67937.640000000014</v>
      </c>
      <c r="P56" s="117">
        <f t="shared" si="19"/>
        <v>66841.540000000008</v>
      </c>
      <c r="Q56" s="117">
        <f t="shared" si="19"/>
        <v>795694.39000000013</v>
      </c>
      <c r="R56" s="117">
        <f t="shared" si="19"/>
        <v>75789.149999999994</v>
      </c>
      <c r="S56" s="117">
        <f t="shared" si="19"/>
        <v>76405.37999999999</v>
      </c>
      <c r="T56" s="117">
        <f t="shared" si="19"/>
        <v>79348.03</v>
      </c>
      <c r="U56" s="117">
        <f t="shared" si="19"/>
        <v>76282.98</v>
      </c>
      <c r="V56" s="117">
        <f t="shared" si="19"/>
        <v>66487.079999999987</v>
      </c>
      <c r="W56" s="117">
        <f t="shared" si="19"/>
        <v>65049.48</v>
      </c>
      <c r="X56" s="117">
        <f t="shared" si="19"/>
        <v>58443.4</v>
      </c>
      <c r="Y56" s="117">
        <f t="shared" si="19"/>
        <v>62990.53</v>
      </c>
      <c r="Z56" s="117">
        <f t="shared" si="19"/>
        <v>67762</v>
      </c>
      <c r="AA56" s="117">
        <f t="shared" si="19"/>
        <v>67762</v>
      </c>
      <c r="AB56" s="117">
        <f t="shared" si="19"/>
        <v>67762</v>
      </c>
      <c r="AC56" s="117">
        <f t="shared" si="19"/>
        <v>67762</v>
      </c>
      <c r="AD56" s="117">
        <f t="shared" si="19"/>
        <v>831844.03</v>
      </c>
      <c r="AE56" s="116">
        <f t="shared" si="17"/>
        <v>36149.639999999898</v>
      </c>
      <c r="AF56" s="192">
        <f t="shared" si="0"/>
        <v>4.3457233202719381E-2</v>
      </c>
      <c r="AG56" s="129">
        <v>478748.88999999996</v>
      </c>
      <c r="AH56" s="129">
        <f t="shared" si="11"/>
        <v>-316945.50000000017</v>
      </c>
      <c r="AI56" s="124"/>
    </row>
    <row r="57" spans="1:35">
      <c r="D57" s="105" t="s">
        <v>154</v>
      </c>
      <c r="AF57" s="192"/>
      <c r="AG57" s="129"/>
      <c r="AH57" s="129">
        <f t="shared" si="11"/>
        <v>0</v>
      </c>
      <c r="AI57" s="124"/>
    </row>
    <row r="58" spans="1:35">
      <c r="A58" s="105" t="s">
        <v>131</v>
      </c>
      <c r="B58" s="105" t="s">
        <v>638</v>
      </c>
      <c r="D58" s="105" t="s">
        <v>276</v>
      </c>
      <c r="E58" s="215">
        <v>0</v>
      </c>
      <c r="F58" s="215">
        <v>0</v>
      </c>
      <c r="G58" s="215">
        <v>0</v>
      </c>
      <c r="H58" s="215">
        <v>0</v>
      </c>
      <c r="I58" s="215">
        <v>0</v>
      </c>
      <c r="J58" s="215">
        <v>0</v>
      </c>
      <c r="K58" s="215">
        <v>0</v>
      </c>
      <c r="L58" s="215">
        <v>0</v>
      </c>
      <c r="M58" s="215">
        <v>0</v>
      </c>
      <c r="N58" s="215">
        <v>0</v>
      </c>
      <c r="O58" s="215">
        <v>0</v>
      </c>
      <c r="P58" s="215">
        <v>0</v>
      </c>
      <c r="R58" s="116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16">
        <v>0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7">
        <f t="shared" ref="AD58:AD66" si="20">SUM(R58:AC58)</f>
        <v>0</v>
      </c>
      <c r="AE58" s="116">
        <f t="shared" ref="AE58:AE68" si="21">AD58-Q58</f>
        <v>0</v>
      </c>
      <c r="AF58" s="192" t="e">
        <f t="shared" si="0"/>
        <v>#DIV/0!</v>
      </c>
      <c r="AG58" s="129">
        <v>0</v>
      </c>
      <c r="AH58" s="129">
        <f t="shared" si="11"/>
        <v>0</v>
      </c>
      <c r="AI58" s="124"/>
    </row>
    <row r="59" spans="1:35">
      <c r="A59" s="105" t="s">
        <v>132</v>
      </c>
      <c r="B59" s="105" t="s">
        <v>638</v>
      </c>
      <c r="D59" s="105" t="s">
        <v>277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215">
        <v>0</v>
      </c>
      <c r="O59" s="215">
        <v>0</v>
      </c>
      <c r="P59" s="215">
        <v>0</v>
      </c>
      <c r="R59" s="116">
        <v>0</v>
      </c>
      <c r="S59" s="116">
        <v>0</v>
      </c>
      <c r="T59" s="116">
        <v>0</v>
      </c>
      <c r="U59" s="116">
        <v>0</v>
      </c>
      <c r="V59" s="116">
        <v>0</v>
      </c>
      <c r="W59" s="116">
        <v>0</v>
      </c>
      <c r="X59" s="116">
        <v>0</v>
      </c>
      <c r="Y59" s="116">
        <v>0</v>
      </c>
      <c r="Z59" s="116">
        <v>0</v>
      </c>
      <c r="AA59" s="116">
        <v>0</v>
      </c>
      <c r="AB59" s="116">
        <v>0</v>
      </c>
      <c r="AC59" s="116">
        <v>0</v>
      </c>
      <c r="AD59" s="117">
        <f t="shared" si="20"/>
        <v>0</v>
      </c>
      <c r="AE59" s="116">
        <f t="shared" si="21"/>
        <v>0</v>
      </c>
      <c r="AF59" s="192" t="e">
        <f t="shared" si="0"/>
        <v>#DIV/0!</v>
      </c>
      <c r="AG59" s="129">
        <v>0</v>
      </c>
      <c r="AH59" s="129">
        <f t="shared" si="11"/>
        <v>0</v>
      </c>
      <c r="AI59" s="124"/>
    </row>
    <row r="60" spans="1:35">
      <c r="A60" s="105" t="s">
        <v>133</v>
      </c>
      <c r="B60" s="105" t="s">
        <v>638</v>
      </c>
      <c r="D60" s="105" t="s">
        <v>278</v>
      </c>
      <c r="E60" s="215">
        <v>0</v>
      </c>
      <c r="F60" s="215">
        <v>0</v>
      </c>
      <c r="G60" s="215">
        <v>0</v>
      </c>
      <c r="H60" s="215">
        <v>0</v>
      </c>
      <c r="I60" s="215">
        <v>0</v>
      </c>
      <c r="J60" s="215">
        <v>0</v>
      </c>
      <c r="K60" s="215">
        <v>0</v>
      </c>
      <c r="L60" s="215">
        <v>0</v>
      </c>
      <c r="M60" s="215">
        <v>0</v>
      </c>
      <c r="N60" s="215">
        <v>0</v>
      </c>
      <c r="O60" s="215">
        <v>0</v>
      </c>
      <c r="P60" s="215">
        <v>0</v>
      </c>
      <c r="R60" s="116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7">
        <f t="shared" si="20"/>
        <v>0</v>
      </c>
      <c r="AE60" s="116">
        <f t="shared" si="21"/>
        <v>0</v>
      </c>
      <c r="AF60" s="192" t="e">
        <f t="shared" si="0"/>
        <v>#DIV/0!</v>
      </c>
      <c r="AG60" s="129">
        <v>0</v>
      </c>
      <c r="AH60" s="129">
        <f t="shared" si="11"/>
        <v>0</v>
      </c>
      <c r="AI60" s="124"/>
    </row>
    <row r="61" spans="1:35">
      <c r="A61" s="105" t="s">
        <v>134</v>
      </c>
      <c r="B61" s="105" t="s">
        <v>638</v>
      </c>
      <c r="D61" s="105" t="s">
        <v>279</v>
      </c>
      <c r="E61" s="215">
        <v>0</v>
      </c>
      <c r="F61" s="215">
        <v>0</v>
      </c>
      <c r="G61" s="215">
        <v>0</v>
      </c>
      <c r="H61" s="215">
        <v>0</v>
      </c>
      <c r="I61" s="215">
        <v>0</v>
      </c>
      <c r="J61" s="215">
        <v>0</v>
      </c>
      <c r="K61" s="215">
        <v>0</v>
      </c>
      <c r="L61" s="215">
        <v>0</v>
      </c>
      <c r="M61" s="215">
        <v>0</v>
      </c>
      <c r="N61" s="215">
        <v>0</v>
      </c>
      <c r="O61" s="215">
        <v>0</v>
      </c>
      <c r="P61" s="215">
        <v>0</v>
      </c>
      <c r="Q61" s="117">
        <f>SUM(E61:P61)</f>
        <v>0</v>
      </c>
      <c r="R61" s="116">
        <v>0</v>
      </c>
      <c r="S61" s="116">
        <v>0</v>
      </c>
      <c r="T61" s="116">
        <v>0</v>
      </c>
      <c r="U61" s="116">
        <v>0</v>
      </c>
      <c r="V61" s="116">
        <v>0</v>
      </c>
      <c r="W61" s="116">
        <v>0</v>
      </c>
      <c r="X61" s="116">
        <v>0</v>
      </c>
      <c r="Y61" s="116">
        <v>0</v>
      </c>
      <c r="Z61" s="116">
        <v>0</v>
      </c>
      <c r="AA61" s="116">
        <v>0</v>
      </c>
      <c r="AB61" s="116">
        <v>0</v>
      </c>
      <c r="AC61" s="116">
        <v>0</v>
      </c>
      <c r="AD61" s="117">
        <f t="shared" si="20"/>
        <v>0</v>
      </c>
      <c r="AE61" s="116">
        <f t="shared" si="21"/>
        <v>0</v>
      </c>
      <c r="AF61" s="192" t="e">
        <f t="shared" si="0"/>
        <v>#DIV/0!</v>
      </c>
      <c r="AG61" s="129">
        <v>0</v>
      </c>
      <c r="AH61" s="129">
        <f t="shared" si="11"/>
        <v>0</v>
      </c>
      <c r="AI61" s="124"/>
    </row>
    <row r="62" spans="1:35">
      <c r="A62" s="105" t="s">
        <v>135</v>
      </c>
      <c r="B62" s="105" t="s">
        <v>638</v>
      </c>
      <c r="D62" s="105" t="s">
        <v>280</v>
      </c>
      <c r="E62" s="215">
        <v>973.66</v>
      </c>
      <c r="F62" s="215">
        <v>973.66</v>
      </c>
      <c r="G62" s="215">
        <v>973.66</v>
      </c>
      <c r="H62" s="215">
        <v>973.66</v>
      </c>
      <c r="I62" s="215">
        <v>973.66</v>
      </c>
      <c r="J62" s="215">
        <v>973.66</v>
      </c>
      <c r="K62" s="215">
        <v>973.66</v>
      </c>
      <c r="L62" s="215">
        <v>973.66</v>
      </c>
      <c r="M62" s="215">
        <v>973.66</v>
      </c>
      <c r="N62" s="215">
        <v>973.66</v>
      </c>
      <c r="O62" s="215">
        <v>973.66</v>
      </c>
      <c r="P62" s="215">
        <v>973.66000000000008</v>
      </c>
      <c r="Q62" s="117">
        <f>SUM(E62:P62)</f>
        <v>11683.92</v>
      </c>
      <c r="R62" s="116">
        <v>716.33</v>
      </c>
      <c r="S62" s="116">
        <v>722.38</v>
      </c>
      <c r="T62" s="116">
        <v>716.33</v>
      </c>
      <c r="U62" s="116">
        <v>716.33</v>
      </c>
      <c r="V62" s="116">
        <v>708.26</v>
      </c>
      <c r="W62" s="116">
        <v>652.09</v>
      </c>
      <c r="X62" s="116">
        <v>659.32</v>
      </c>
      <c r="Y62" s="116">
        <v>666.01</v>
      </c>
      <c r="Z62" s="116">
        <v>576</v>
      </c>
      <c r="AA62" s="116">
        <v>576</v>
      </c>
      <c r="AB62" s="116">
        <v>576</v>
      </c>
      <c r="AC62" s="116">
        <v>576</v>
      </c>
      <c r="AD62" s="117">
        <f t="shared" si="20"/>
        <v>7861.05</v>
      </c>
      <c r="AE62" s="116">
        <f t="shared" si="21"/>
        <v>-3822.87</v>
      </c>
      <c r="AF62" s="192">
        <f t="shared" si="0"/>
        <v>-0.48630526456389411</v>
      </c>
      <c r="AG62" s="129">
        <v>12564.87</v>
      </c>
      <c r="AH62" s="129">
        <f t="shared" si="11"/>
        <v>880.95000000000073</v>
      </c>
      <c r="AI62" s="124"/>
    </row>
    <row r="63" spans="1:35">
      <c r="A63" s="105" t="s">
        <v>281</v>
      </c>
      <c r="B63" s="105" t="s">
        <v>638</v>
      </c>
      <c r="D63" s="105" t="s">
        <v>282</v>
      </c>
      <c r="E63" s="176">
        <v>12367</v>
      </c>
      <c r="F63" s="176">
        <v>11370</v>
      </c>
      <c r="G63" s="176">
        <v>11525</v>
      </c>
      <c r="H63" s="176">
        <v>12994</v>
      </c>
      <c r="I63" s="176">
        <v>13440</v>
      </c>
      <c r="J63" s="176">
        <v>12741</v>
      </c>
      <c r="K63" s="176">
        <v>12804</v>
      </c>
      <c r="L63" s="176">
        <v>13074</v>
      </c>
      <c r="M63" s="176">
        <v>13076</v>
      </c>
      <c r="N63" s="176">
        <v>13134</v>
      </c>
      <c r="O63" s="176">
        <v>12192</v>
      </c>
      <c r="P63" s="176">
        <v>12164</v>
      </c>
      <c r="Q63" s="117">
        <f>SUM(E63:P63)</f>
        <v>150881</v>
      </c>
      <c r="R63" s="116">
        <v>13200.83</v>
      </c>
      <c r="S63" s="116">
        <v>12033.29</v>
      </c>
      <c r="T63" s="116">
        <v>11615.14</v>
      </c>
      <c r="U63" s="116">
        <v>12954.71</v>
      </c>
      <c r="V63" s="116">
        <v>13219.53</v>
      </c>
      <c r="W63" s="116">
        <v>11863</v>
      </c>
      <c r="X63" s="116">
        <v>9915.4500000000007</v>
      </c>
      <c r="Y63" s="116">
        <v>13190.3</v>
      </c>
      <c r="Z63" s="116">
        <v>20470</v>
      </c>
      <c r="AA63" s="116">
        <v>19465</v>
      </c>
      <c r="AB63" s="116">
        <v>18205</v>
      </c>
      <c r="AC63" s="116">
        <v>18209</v>
      </c>
      <c r="AD63" s="117">
        <f t="shared" si="20"/>
        <v>174341.25</v>
      </c>
      <c r="AE63" s="116">
        <f t="shared" si="21"/>
        <v>23460.25</v>
      </c>
      <c r="AF63" s="192">
        <f t="shared" si="0"/>
        <v>0.13456511296093152</v>
      </c>
      <c r="AG63" s="129">
        <v>157159.61000000002</v>
      </c>
      <c r="AH63" s="129">
        <f t="shared" si="11"/>
        <v>6278.6100000000151</v>
      </c>
      <c r="AI63" s="124"/>
    </row>
    <row r="64" spans="1:35">
      <c r="A64" s="105" t="s">
        <v>137</v>
      </c>
      <c r="B64" s="105" t="s">
        <v>638</v>
      </c>
      <c r="D64" s="105" t="s">
        <v>283</v>
      </c>
      <c r="E64" s="176">
        <v>43414.44</v>
      </c>
      <c r="F64" s="176">
        <v>36617.440000000002</v>
      </c>
      <c r="G64" s="176">
        <v>36676.94</v>
      </c>
      <c r="H64" s="176">
        <v>37219.94</v>
      </c>
      <c r="I64" s="176">
        <v>40039.440000000002</v>
      </c>
      <c r="J64" s="176">
        <v>37266.06</v>
      </c>
      <c r="K64" s="176">
        <v>37031.06</v>
      </c>
      <c r="L64" s="176">
        <v>36998.06</v>
      </c>
      <c r="M64" s="176">
        <v>37238.06</v>
      </c>
      <c r="N64" s="176">
        <v>43196.17</v>
      </c>
      <c r="O64" s="176">
        <v>37103.94</v>
      </c>
      <c r="P64" s="176">
        <v>37070.94</v>
      </c>
      <c r="Q64" s="117">
        <f>SUM(E64:P64)</f>
        <v>459872.49</v>
      </c>
      <c r="R64" s="116">
        <v>37641.440000000002</v>
      </c>
      <c r="S64" s="116">
        <v>46025.65</v>
      </c>
      <c r="T64" s="116">
        <v>43847.69</v>
      </c>
      <c r="U64" s="116">
        <v>42350.05</v>
      </c>
      <c r="V64" s="116">
        <v>29810.240000000002</v>
      </c>
      <c r="W64" s="116">
        <v>30946.49</v>
      </c>
      <c r="X64" s="116">
        <v>30314.5</v>
      </c>
      <c r="Y64" s="116">
        <v>32388.77</v>
      </c>
      <c r="Z64" s="116">
        <v>45255</v>
      </c>
      <c r="AA64" s="116">
        <v>50233</v>
      </c>
      <c r="AB64" s="116">
        <v>45859</v>
      </c>
      <c r="AC64" s="116">
        <v>45859</v>
      </c>
      <c r="AD64" s="117">
        <f t="shared" si="20"/>
        <v>480530.83</v>
      </c>
      <c r="AE64" s="116">
        <f t="shared" si="21"/>
        <v>20658.340000000026</v>
      </c>
      <c r="AF64" s="192">
        <f t="shared" si="0"/>
        <v>4.2990665135887382E-2</v>
      </c>
      <c r="AG64" s="129">
        <v>649740.72999999986</v>
      </c>
      <c r="AH64" s="129">
        <f t="shared" si="11"/>
        <v>189868.23999999987</v>
      </c>
      <c r="AI64" s="124"/>
    </row>
    <row r="65" spans="1:35">
      <c r="A65" s="105" t="s">
        <v>138</v>
      </c>
      <c r="B65" s="105" t="s">
        <v>638</v>
      </c>
      <c r="D65" s="105" t="s">
        <v>472</v>
      </c>
      <c r="E65" s="116">
        <v>0</v>
      </c>
      <c r="F65" s="116">
        <v>0</v>
      </c>
      <c r="G65" s="116">
        <v>0</v>
      </c>
      <c r="H65" s="116">
        <v>0</v>
      </c>
      <c r="I65" s="116">
        <v>0</v>
      </c>
      <c r="J65" s="116">
        <v>0</v>
      </c>
      <c r="K65" s="116">
        <v>0</v>
      </c>
      <c r="L65" s="116">
        <v>0</v>
      </c>
      <c r="M65" s="116">
        <v>0</v>
      </c>
      <c r="N65" s="116">
        <v>0</v>
      </c>
      <c r="O65" s="116">
        <v>0</v>
      </c>
      <c r="P65" s="116">
        <v>0</v>
      </c>
      <c r="R65" s="116">
        <v>0</v>
      </c>
      <c r="S65" s="116">
        <v>0</v>
      </c>
      <c r="T65" s="116">
        <v>0</v>
      </c>
      <c r="U65" s="116">
        <v>0</v>
      </c>
      <c r="V65" s="116">
        <v>0</v>
      </c>
      <c r="W65" s="116">
        <v>0</v>
      </c>
      <c r="X65" s="116">
        <v>0</v>
      </c>
      <c r="Y65" s="116">
        <v>0</v>
      </c>
      <c r="Z65" s="116">
        <v>0</v>
      </c>
      <c r="AA65" s="116">
        <v>0</v>
      </c>
      <c r="AB65" s="116">
        <v>0</v>
      </c>
      <c r="AC65" s="116">
        <v>0</v>
      </c>
      <c r="AD65" s="117">
        <f t="shared" si="20"/>
        <v>0</v>
      </c>
      <c r="AE65" s="116">
        <f t="shared" si="21"/>
        <v>0</v>
      </c>
      <c r="AF65" s="192" t="e">
        <f t="shared" si="0"/>
        <v>#DIV/0!</v>
      </c>
      <c r="AG65" s="129">
        <v>0</v>
      </c>
      <c r="AH65" s="129">
        <f t="shared" si="11"/>
        <v>0</v>
      </c>
      <c r="AI65" s="124"/>
    </row>
    <row r="66" spans="1:35">
      <c r="A66" s="105" t="s">
        <v>140</v>
      </c>
      <c r="B66" s="105" t="s">
        <v>638</v>
      </c>
      <c r="D66" s="105" t="s">
        <v>473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  <c r="R66" s="116">
        <v>0</v>
      </c>
      <c r="S66" s="116">
        <v>0</v>
      </c>
      <c r="T66" s="116">
        <v>0</v>
      </c>
      <c r="U66" s="116">
        <v>0</v>
      </c>
      <c r="V66" s="116">
        <v>0</v>
      </c>
      <c r="W66" s="116">
        <v>0</v>
      </c>
      <c r="X66" s="116">
        <v>0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7">
        <f t="shared" si="20"/>
        <v>0</v>
      </c>
      <c r="AE66" s="116">
        <f t="shared" si="21"/>
        <v>0</v>
      </c>
      <c r="AF66" s="192" t="e">
        <f t="shared" si="0"/>
        <v>#DIV/0!</v>
      </c>
      <c r="AG66" s="129">
        <v>0</v>
      </c>
      <c r="AH66" s="129">
        <f t="shared" si="11"/>
        <v>0</v>
      </c>
      <c r="AI66" s="124"/>
    </row>
    <row r="67" spans="1:35">
      <c r="D67" s="109" t="s">
        <v>523</v>
      </c>
      <c r="E67" s="117">
        <f t="shared" ref="E67:AD67" si="22">SUM(E61:E64)</f>
        <v>56755.100000000006</v>
      </c>
      <c r="F67" s="117">
        <f t="shared" si="22"/>
        <v>48961.100000000006</v>
      </c>
      <c r="G67" s="117">
        <f t="shared" si="22"/>
        <v>49175.600000000006</v>
      </c>
      <c r="H67" s="117">
        <f t="shared" si="22"/>
        <v>51187.600000000006</v>
      </c>
      <c r="I67" s="117">
        <f t="shared" si="22"/>
        <v>54453.100000000006</v>
      </c>
      <c r="J67" s="117">
        <f t="shared" si="22"/>
        <v>50980.72</v>
      </c>
      <c r="K67" s="117">
        <f t="shared" si="22"/>
        <v>50808.72</v>
      </c>
      <c r="L67" s="117">
        <f t="shared" si="22"/>
        <v>51045.72</v>
      </c>
      <c r="M67" s="117">
        <f t="shared" si="22"/>
        <v>51287.72</v>
      </c>
      <c r="N67" s="117">
        <f t="shared" si="22"/>
        <v>57303.83</v>
      </c>
      <c r="O67" s="117">
        <f t="shared" si="22"/>
        <v>50269.600000000006</v>
      </c>
      <c r="P67" s="117">
        <f t="shared" si="22"/>
        <v>50208.600000000006</v>
      </c>
      <c r="Q67" s="117">
        <f t="shared" si="22"/>
        <v>622437.41</v>
      </c>
      <c r="R67" s="117">
        <f t="shared" si="22"/>
        <v>51558.600000000006</v>
      </c>
      <c r="S67" s="117">
        <f t="shared" si="22"/>
        <v>58781.32</v>
      </c>
      <c r="T67" s="117">
        <f t="shared" si="22"/>
        <v>56179.16</v>
      </c>
      <c r="U67" s="117">
        <f t="shared" si="22"/>
        <v>56021.090000000004</v>
      </c>
      <c r="V67" s="117">
        <f t="shared" si="22"/>
        <v>43738.03</v>
      </c>
      <c r="W67" s="117">
        <f t="shared" si="22"/>
        <v>43461.58</v>
      </c>
      <c r="X67" s="117">
        <f t="shared" si="22"/>
        <v>40889.270000000004</v>
      </c>
      <c r="Y67" s="117">
        <f t="shared" si="22"/>
        <v>46245.08</v>
      </c>
      <c r="Z67" s="117">
        <f t="shared" si="22"/>
        <v>66301</v>
      </c>
      <c r="AA67" s="117">
        <f t="shared" si="22"/>
        <v>70274</v>
      </c>
      <c r="AB67" s="117">
        <f t="shared" si="22"/>
        <v>64640</v>
      </c>
      <c r="AC67" s="117">
        <f t="shared" si="22"/>
        <v>64644</v>
      </c>
      <c r="AD67" s="117">
        <f t="shared" si="22"/>
        <v>662733.13</v>
      </c>
      <c r="AE67" s="116">
        <f t="shared" si="21"/>
        <v>40295.719999999972</v>
      </c>
      <c r="AF67" s="192">
        <f t="shared" si="0"/>
        <v>6.0802332305312658E-2</v>
      </c>
      <c r="AG67" s="129">
        <v>819465.20999999985</v>
      </c>
      <c r="AH67" s="129">
        <f t="shared" si="11"/>
        <v>197027.79999999981</v>
      </c>
      <c r="AI67" s="124"/>
    </row>
    <row r="68" spans="1:35">
      <c r="D68" s="109" t="s">
        <v>524</v>
      </c>
      <c r="E68" s="117">
        <f t="shared" ref="E68:AD68" si="23">+E39+E46+E56+E67</f>
        <v>384681.03</v>
      </c>
      <c r="F68" s="117">
        <f t="shared" si="23"/>
        <v>303812.74</v>
      </c>
      <c r="G68" s="117">
        <f t="shared" si="23"/>
        <v>310067.24</v>
      </c>
      <c r="H68" s="117">
        <f t="shared" si="23"/>
        <v>330570.90000000002</v>
      </c>
      <c r="I68" s="117">
        <f t="shared" si="23"/>
        <v>348341.14</v>
      </c>
      <c r="J68" s="117">
        <f t="shared" si="23"/>
        <v>316801.46999999997</v>
      </c>
      <c r="K68" s="117">
        <f t="shared" si="23"/>
        <v>319031.48</v>
      </c>
      <c r="L68" s="117">
        <f t="shared" si="23"/>
        <v>318172.38</v>
      </c>
      <c r="M68" s="117">
        <f t="shared" si="23"/>
        <v>318414.38</v>
      </c>
      <c r="N68" s="117">
        <f t="shared" si="23"/>
        <v>396787.34</v>
      </c>
      <c r="O68" s="117">
        <f t="shared" si="23"/>
        <v>318492.36</v>
      </c>
      <c r="P68" s="117">
        <f t="shared" si="23"/>
        <v>317335.26</v>
      </c>
      <c r="Q68" s="117">
        <f t="shared" si="23"/>
        <v>3982507.72</v>
      </c>
      <c r="R68" s="117">
        <f t="shared" si="23"/>
        <v>354732.38</v>
      </c>
      <c r="S68" s="117">
        <f t="shared" si="23"/>
        <v>397566.09</v>
      </c>
      <c r="T68" s="117">
        <f t="shared" si="23"/>
        <v>339704.53</v>
      </c>
      <c r="U68" s="117">
        <f t="shared" si="23"/>
        <v>334894.51</v>
      </c>
      <c r="V68" s="117">
        <f t="shared" si="23"/>
        <v>307569.30000000005</v>
      </c>
      <c r="W68" s="117">
        <f t="shared" si="23"/>
        <v>295289.53000000003</v>
      </c>
      <c r="X68" s="117">
        <f t="shared" si="23"/>
        <v>273319.77</v>
      </c>
      <c r="Y68" s="117">
        <f t="shared" si="23"/>
        <v>329457.02</v>
      </c>
      <c r="Z68" s="117">
        <f t="shared" si="23"/>
        <v>356848.5</v>
      </c>
      <c r="AA68" s="117">
        <f t="shared" si="23"/>
        <v>401496.5</v>
      </c>
      <c r="AB68" s="117">
        <f t="shared" si="23"/>
        <v>332060.5</v>
      </c>
      <c r="AC68" s="117">
        <f t="shared" si="23"/>
        <v>332064.5</v>
      </c>
      <c r="AD68" s="117">
        <f t="shared" si="23"/>
        <v>4055003.13</v>
      </c>
      <c r="AE68" s="116">
        <f t="shared" si="21"/>
        <v>72495.409999999683</v>
      </c>
      <c r="AF68" s="192">
        <f t="shared" si="0"/>
        <v>1.787801579329476E-2</v>
      </c>
      <c r="AG68" s="129">
        <v>2988627.2</v>
      </c>
      <c r="AH68" s="129">
        <f t="shared" si="11"/>
        <v>-993880.52</v>
      </c>
      <c r="AI68" s="124"/>
    </row>
    <row r="69" spans="1:35">
      <c r="D69" s="105" t="s">
        <v>154</v>
      </c>
      <c r="AF69" s="192"/>
      <c r="AG69" s="129"/>
      <c r="AH69" s="129">
        <f t="shared" si="11"/>
        <v>0</v>
      </c>
      <c r="AI69" s="124"/>
    </row>
    <row r="70" spans="1:35" s="109" customFormat="1">
      <c r="A70" s="109" t="s">
        <v>141</v>
      </c>
      <c r="B70" s="109" t="s">
        <v>638</v>
      </c>
      <c r="D70" s="109" t="s">
        <v>142</v>
      </c>
      <c r="E70" s="215">
        <v>37</v>
      </c>
      <c r="F70" s="215">
        <v>37</v>
      </c>
      <c r="G70" s="215">
        <v>37</v>
      </c>
      <c r="H70" s="215">
        <v>37</v>
      </c>
      <c r="I70" s="215">
        <v>37</v>
      </c>
      <c r="J70" s="215">
        <v>37</v>
      </c>
      <c r="K70" s="215">
        <v>37</v>
      </c>
      <c r="L70" s="215">
        <v>37</v>
      </c>
      <c r="M70" s="215">
        <v>37</v>
      </c>
      <c r="N70" s="215">
        <v>37</v>
      </c>
      <c r="O70" s="215">
        <v>37</v>
      </c>
      <c r="P70" s="215">
        <v>37</v>
      </c>
      <c r="Q70" s="127">
        <f>SUM(E70:P70)/12</f>
        <v>37</v>
      </c>
      <c r="R70" s="127">
        <v>38</v>
      </c>
      <c r="S70" s="127">
        <v>38</v>
      </c>
      <c r="T70" s="127">
        <v>38</v>
      </c>
      <c r="U70" s="127">
        <v>38</v>
      </c>
      <c r="V70" s="127">
        <v>36</v>
      </c>
      <c r="W70" s="127">
        <v>33</v>
      </c>
      <c r="X70" s="127">
        <v>33</v>
      </c>
      <c r="Y70" s="127">
        <v>34</v>
      </c>
      <c r="Z70" s="127">
        <v>42</v>
      </c>
      <c r="AA70" s="127">
        <v>42</v>
      </c>
      <c r="AB70" s="127">
        <v>42</v>
      </c>
      <c r="AC70" s="127">
        <v>42</v>
      </c>
      <c r="AD70" s="127">
        <f>SUM(R70:AC70)/12</f>
        <v>38</v>
      </c>
      <c r="AE70" s="117">
        <f>AD70-Q70</f>
        <v>1</v>
      </c>
      <c r="AF70" s="132">
        <f t="shared" si="0"/>
        <v>2.6315789473684209E-2</v>
      </c>
      <c r="AG70" s="129">
        <v>41.166666666666664</v>
      </c>
      <c r="AH70" s="129">
        <f t="shared" si="11"/>
        <v>4.1666666666666643</v>
      </c>
      <c r="AI70" s="124"/>
    </row>
    <row r="71" spans="1:35">
      <c r="AH71" s="129">
        <f t="shared" si="11"/>
        <v>0</v>
      </c>
      <c r="AI71" s="124"/>
    </row>
    <row r="72" spans="1:35">
      <c r="Q72" s="117">
        <f>Q68/Q70</f>
        <v>107635.34378378378</v>
      </c>
      <c r="AD72" s="117">
        <f>AD68/AD70</f>
        <v>106710.60868421053</v>
      </c>
      <c r="AI72" s="124"/>
    </row>
    <row r="73" spans="1:35">
      <c r="U73" s="171">
        <v>1502.2857142857142</v>
      </c>
      <c r="AI73" s="124"/>
    </row>
    <row r="74" spans="1:35">
      <c r="D74" s="151" t="s">
        <v>292</v>
      </c>
      <c r="E74" s="170">
        <v>3379</v>
      </c>
      <c r="F74" s="170">
        <v>3379</v>
      </c>
      <c r="G74" s="170">
        <v>3379</v>
      </c>
      <c r="H74" s="170">
        <v>3379</v>
      </c>
      <c r="I74" s="170">
        <v>3379</v>
      </c>
      <c r="J74" s="170">
        <v>3379</v>
      </c>
      <c r="K74" s="170">
        <v>3379</v>
      </c>
      <c r="L74" s="170">
        <v>3379</v>
      </c>
      <c r="M74" s="170">
        <v>3379</v>
      </c>
      <c r="N74" s="170">
        <v>3379</v>
      </c>
      <c r="O74" s="170">
        <v>3379</v>
      </c>
      <c r="P74" s="170">
        <v>3379</v>
      </c>
      <c r="Q74" s="117">
        <f t="shared" ref="Q74:Q75" si="24">SUM(E74:P74)</f>
        <v>40548</v>
      </c>
      <c r="AI74" s="124"/>
    </row>
    <row r="75" spans="1:35">
      <c r="D75" s="152" t="s">
        <v>366</v>
      </c>
      <c r="E75" s="136">
        <v>7770.3799999999992</v>
      </c>
      <c r="F75" s="136">
        <v>6168.7799999999988</v>
      </c>
      <c r="G75" s="136">
        <v>6315.7999999999993</v>
      </c>
      <c r="H75" s="136">
        <v>6754.3199999999988</v>
      </c>
      <c r="I75" s="136">
        <v>7270.87</v>
      </c>
      <c r="J75" s="136">
        <v>6468.18</v>
      </c>
      <c r="K75" s="136">
        <v>6463.81</v>
      </c>
      <c r="L75" s="136">
        <v>6472.1399999999994</v>
      </c>
      <c r="M75" s="136">
        <v>6479.0499999999993</v>
      </c>
      <c r="N75" s="136">
        <v>8062.5999999999995</v>
      </c>
      <c r="O75" s="136">
        <v>6450.91</v>
      </c>
      <c r="P75" s="136">
        <v>6448.9</v>
      </c>
      <c r="Q75" s="117">
        <f t="shared" si="24"/>
        <v>81125.740000000005</v>
      </c>
      <c r="AI75" s="124"/>
    </row>
    <row r="76" spans="1:35">
      <c r="D76" s="151" t="s">
        <v>367</v>
      </c>
      <c r="E76" s="136">
        <v>24726.26</v>
      </c>
      <c r="F76" s="136">
        <v>15185.409999999996</v>
      </c>
      <c r="G76" s="136">
        <v>15261.389999999996</v>
      </c>
      <c r="H76" s="136">
        <v>17968.960000000003</v>
      </c>
      <c r="I76" s="136">
        <v>21154.51</v>
      </c>
      <c r="J76" s="136">
        <v>16353.009999999998</v>
      </c>
      <c r="K76" s="136">
        <v>14511.720000000001</v>
      </c>
      <c r="L76" s="136">
        <v>14582.39</v>
      </c>
      <c r="M76" s="136">
        <v>14616.48</v>
      </c>
      <c r="N76" s="136">
        <v>25233.339999999993</v>
      </c>
      <c r="O76" s="136">
        <v>14380.619999999999</v>
      </c>
      <c r="P76" s="136">
        <v>14367.629999999997</v>
      </c>
      <c r="Q76" s="117">
        <f>SUM(E76:P76)</f>
        <v>208341.72</v>
      </c>
    </row>
    <row r="77" spans="1:35">
      <c r="D77" s="109" t="s">
        <v>476</v>
      </c>
      <c r="E77" s="117">
        <f>SUM(E74:E76)</f>
        <v>35875.64</v>
      </c>
      <c r="F77" s="117">
        <f t="shared" ref="F77:Q77" si="25">SUM(F74:F76)</f>
        <v>24733.189999999995</v>
      </c>
      <c r="G77" s="117">
        <f t="shared" si="25"/>
        <v>24956.189999999995</v>
      </c>
      <c r="H77" s="117">
        <f t="shared" si="25"/>
        <v>28102.280000000002</v>
      </c>
      <c r="I77" s="117">
        <f t="shared" si="25"/>
        <v>31804.379999999997</v>
      </c>
      <c r="J77" s="117">
        <f t="shared" si="25"/>
        <v>26200.19</v>
      </c>
      <c r="K77" s="117">
        <f t="shared" si="25"/>
        <v>24354.530000000002</v>
      </c>
      <c r="L77" s="117">
        <f t="shared" si="25"/>
        <v>24433.53</v>
      </c>
      <c r="M77" s="117">
        <f t="shared" si="25"/>
        <v>24474.53</v>
      </c>
      <c r="N77" s="117">
        <f t="shared" si="25"/>
        <v>36674.939999999988</v>
      </c>
      <c r="O77" s="117">
        <f t="shared" si="25"/>
        <v>24210.53</v>
      </c>
      <c r="P77" s="117">
        <f t="shared" si="25"/>
        <v>24195.53</v>
      </c>
      <c r="Q77" s="117">
        <f t="shared" si="25"/>
        <v>330015.46000000002</v>
      </c>
    </row>
  </sheetData>
  <phoneticPr fontId="7" type="noConversion"/>
  <dataValidations count="141">
    <dataValidation type="textLength" errorStyle="information" allowBlank="1" showInputMessage="1" showErrorMessage="1" error="XLBVal:6=393.52_x000d__x000a_" sqref="S27">
      <formula1>0</formula1>
      <formula2>300</formula2>
    </dataValidation>
    <dataValidation type="textLength" errorStyle="information" allowBlank="1" showInputMessage="1" showErrorMessage="1" error="XLBVal:6=0_x000d__x000a_" sqref="U24">
      <formula1>0</formula1>
      <formula2>300</formula2>
    </dataValidation>
    <dataValidation type="textLength" errorStyle="information" allowBlank="1" showInputMessage="1" showErrorMessage="1" error="XLBVal:6=13934_x000d__x000a_" sqref="R24:T24">
      <formula1>0</formula1>
      <formula2>300</formula2>
    </dataValidation>
    <dataValidation type="textLength" errorStyle="information" allowBlank="1" showInputMessage="1" showErrorMessage="1" error="XLBVal:6=-29.6_x000d__x000a_" sqref="U22">
      <formula1>0</formula1>
      <formula2>300</formula2>
    </dataValidation>
    <dataValidation type="textLength" errorStyle="information" allowBlank="1" showInputMessage="1" showErrorMessage="1" error="XLBVal:6=34143_x000d__x000a_" sqref="E38 E41:P45 E48:P55 E58:P62 E70:P70">
      <formula1>0</formula1>
      <formula2>300</formula2>
    </dataValidation>
    <dataValidation type="textLength" errorStyle="information" allowBlank="1" showInputMessage="1" showErrorMessage="1" error="XLBVal:6=11305.36_x000d__x000a_" sqref="U45">
      <formula1>0</formula1>
      <formula2>300</formula2>
    </dataValidation>
    <dataValidation type="textLength" errorStyle="information" allowBlank="1" showInputMessage="1" showErrorMessage="1" error="XLBVal:6=20071.45_x000d__x000a_" sqref="W42">
      <formula1>0</formula1>
      <formula2>300</formula2>
    </dataValidation>
    <dataValidation type="textLength" errorStyle="information" allowBlank="1" showInputMessage="1" showErrorMessage="1" error="XLBVal:6=21612.33_x000d__x000a_" sqref="V42">
      <formula1>0</formula1>
      <formula2>300</formula2>
    </dataValidation>
    <dataValidation type="textLength" errorStyle="information" allowBlank="1" showInputMessage="1" showErrorMessage="1" error="XLBVal:6=29060.16_x000d__x000a_" sqref="U10">
      <formula1>0</formula1>
      <formula2>300</formula2>
    </dataValidation>
    <dataValidation type="textLength" errorStyle="information" allowBlank="1" showInputMessage="1" showErrorMessage="1" error="XLBVal:6=24569.7_x000d__x000a_" sqref="AC10">
      <formula1>0</formula1>
      <formula2>300</formula2>
    </dataValidation>
    <dataValidation type="textLength" errorStyle="information" allowBlank="1" showInputMessage="1" showErrorMessage="1" error="XLBVal:6=15851.2_x000d__x000a_" sqref="AB10">
      <formula1>0</formula1>
      <formula2>300</formula2>
    </dataValidation>
    <dataValidation type="textLength" errorStyle="information" allowBlank="1" showInputMessage="1" showErrorMessage="1" error="XLBVal:6=12113.1_x000d__x000a_" sqref="AA10">
      <formula1>0</formula1>
      <formula2>300</formula2>
    </dataValidation>
    <dataValidation type="textLength" errorStyle="information" allowBlank="1" showInputMessage="1" showErrorMessage="1" error="XLBVal:6=22455.5_x000d__x000a_" sqref="Y10">
      <formula1>0</formula1>
      <formula2>300</formula2>
    </dataValidation>
    <dataValidation type="textLength" errorStyle="information" allowBlank="1" showInputMessage="1" showErrorMessage="1" error="XLBVal:6=33967.25_x000d__x000a_" sqref="S42">
      <formula1>0</formula1>
      <formula2>300</formula2>
    </dataValidation>
    <dataValidation type="textLength" errorStyle="information" allowBlank="1" showInputMessage="1" showErrorMessage="1" error="XLBVal:6=15000_x000d__x000a_" sqref="F37:P38">
      <formula1>0</formula1>
      <formula2>300</formula2>
    </dataValidation>
    <dataValidation type="textLength" errorStyle="information" allowBlank="1" showInputMessage="1" showErrorMessage="1" error="XLBVal:6=58874.6_x000d__x000a_" sqref="X10">
      <formula1>0</formula1>
      <formula2>300</formula2>
    </dataValidation>
    <dataValidation type="textLength" errorStyle="information" allowBlank="1" showInputMessage="1" showErrorMessage="1" error="XLBVal:6=1023.02_x000d__x000a_" sqref="W50">
      <formula1>0</formula1>
      <formula2>300</formula2>
    </dataValidation>
    <dataValidation type="textLength" errorStyle="information" allowBlank="1" showInputMessage="1" showErrorMessage="1" error="XLBVal:6=1047.17_x000d__x000a_" sqref="V50">
      <formula1>0</formula1>
      <formula2>300</formula2>
    </dataValidation>
    <dataValidation type="textLength" errorStyle="information" allowBlank="1" showInputMessage="1" showErrorMessage="1" error="XLBVal:6=33985.14_x000d__x000a_" sqref="T42">
      <formula1>0</formula1>
      <formula2>300</formula2>
    </dataValidation>
    <dataValidation type="textLength" errorStyle="information" allowBlank="1" showInputMessage="1" showErrorMessage="1" error="XLBVal:6=33984.03_x000d__x000a_" sqref="R42">
      <formula1>0</formula1>
      <formula2>300</formula2>
    </dataValidation>
    <dataValidation type="textLength" errorStyle="information" allowBlank="1" showInputMessage="1" showErrorMessage="1" error="XLBVal:6=201.25_x000d__x000a_" sqref="R29">
      <formula1>0</formula1>
      <formula2>300</formula2>
    </dataValidation>
    <dataValidation type="textLength" errorStyle="information" allowBlank="1" showInputMessage="1" showErrorMessage="1" error="XLBVal:6=1064.51_x000d__x000a_" sqref="E29:P31 E18:P27">
      <formula1>0</formula1>
      <formula2>300</formula2>
    </dataValidation>
    <dataValidation type="textLength" errorStyle="information" allowBlank="1" showInputMessage="1" showErrorMessage="1" error="XLBVal:6=3962.26_x000d__x000a_" sqref="F11">
      <formula1>0</formula1>
      <formula2>300</formula2>
    </dataValidation>
    <dataValidation type="textLength" errorStyle="information" allowBlank="1" showInputMessage="1" showErrorMessage="1" error="XLBVal:6=42232.41_x000d__x000a_" sqref="E10:P10">
      <formula1>0</formula1>
      <formula2>300</formula2>
    </dataValidation>
    <dataValidation type="textLength" errorStyle="information" allowBlank="1" showInputMessage="1" showErrorMessage="1" error="XLBVal:6=36_x000d__x000a_" sqref="V70">
      <formula1>0</formula1>
      <formula2>300</formula2>
    </dataValidation>
    <dataValidation type="textLength" errorStyle="information" allowBlank="1" showInputMessage="1" showErrorMessage="1" error="XLBVal:6=1170.38_x000d__x000a_" sqref="U50">
      <formula1>0</formula1>
      <formula2>300</formula2>
    </dataValidation>
    <dataValidation type="textLength" errorStyle="information" allowBlank="1" showInputMessage="1" showErrorMessage="1" error="XLBVal:6=1194.84_x000d__x000a_" sqref="R50:T50">
      <formula1>0</formula1>
      <formula2>300</formula2>
    </dataValidation>
    <dataValidation type="textLength" errorStyle="information" allowBlank="1" showInputMessage="1" showErrorMessage="1" error="XLBVal:6=22664.55_x000d__x000a_" sqref="U42">
      <formula1>0</formula1>
      <formula2>300</formula2>
    </dataValidation>
    <dataValidation type="textLength" errorStyle="information" allowBlank="1" showInputMessage="1" showErrorMessage="1" error="XLBVal:6=141.8_x000d__x000a_" sqref="W29">
      <formula1>0</formula1>
      <formula2>300</formula2>
    </dataValidation>
    <dataValidation type="textLength" errorStyle="information" allowBlank="1" showInputMessage="1" showErrorMessage="1" error="XLBVal:6=217.8_x000d__x000a_" sqref="V29">
      <formula1>0</formula1>
      <formula2>300</formula2>
    </dataValidation>
    <dataValidation type="textLength" errorStyle="information" allowBlank="1" showInputMessage="1" showErrorMessage="1" error="XLBVal:6=116.15_x000d__x000a_" sqref="U29">
      <formula1>0</formula1>
      <formula2>300</formula2>
    </dataValidation>
    <dataValidation type="textLength" errorStyle="information" allowBlank="1" showInputMessage="1" showErrorMessage="1" error="XLBVal:6=176.3_x000d__x000a_" sqref="T29">
      <formula1>0</formula1>
      <formula2>300</formula2>
    </dataValidation>
    <dataValidation type="textLength" errorStyle="information" allowBlank="1" showInputMessage="1" showErrorMessage="1" error="XLBVal:6=143.05_x000d__x000a_" sqref="S29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33_x000d__x000a_" sqref="W70">
      <formula1>0</formula1>
      <formula2>300</formula2>
    </dataValidation>
    <dataValidation type="textLength" errorStyle="information" allowBlank="1" showInputMessage="1" showErrorMessage="1" error="XLBVal:6=38_x000d__x000a_" sqref="R70:U70">
      <formula1>0</formula1>
      <formula2>300</formula2>
    </dataValidation>
    <dataValidation type="textLength" errorStyle="information" allowBlank="1" showInputMessage="1" showErrorMessage="1" error="XLBVal:6=30946.49_x000d__x000a_" sqref="W64">
      <formula1>0</formula1>
      <formula2>300</formula2>
    </dataValidation>
    <dataValidation type="textLength" errorStyle="information" allowBlank="1" showInputMessage="1" showErrorMessage="1" error="XLBVal:6=29810.24_x000d__x000a_" sqref="V64">
      <formula1>0</formula1>
      <formula2>300</formula2>
    </dataValidation>
    <dataValidation type="textLength" errorStyle="information" allowBlank="1" showInputMessage="1" showErrorMessage="1" error="XLBVal:6=42350.05_x000d__x000a_" sqref="U64">
      <formula1>0</formula1>
      <formula2>300</formula2>
    </dataValidation>
    <dataValidation type="textLength" errorStyle="information" allowBlank="1" showInputMessage="1" showErrorMessage="1" error="XLBVal:6=43847.69_x000d__x000a_" sqref="T64">
      <formula1>0</formula1>
      <formula2>300</formula2>
    </dataValidation>
    <dataValidation type="textLength" errorStyle="information" allowBlank="1" showInputMessage="1" showErrorMessage="1" error="XLBVal:6=46025.65_x000d__x000a_" sqref="S64">
      <formula1>0</formula1>
      <formula2>300</formula2>
    </dataValidation>
    <dataValidation type="textLength" errorStyle="information" allowBlank="1" showInputMessage="1" showErrorMessage="1" error="XLBVal:6=37641.44_x000d__x000a_" sqref="R64">
      <formula1>0</formula1>
      <formula2>300</formula2>
    </dataValidation>
    <dataValidation type="textLength" errorStyle="information" allowBlank="1" showInputMessage="1" showErrorMessage="1" error="XLBVal:6=11863_x000d__x000a_" sqref="W63">
      <formula1>0</formula1>
      <formula2>300</formula2>
    </dataValidation>
    <dataValidation type="textLength" errorStyle="information" allowBlank="1" showInputMessage="1" showErrorMessage="1" error="XLBVal:6=13219.53_x000d__x000a_" sqref="V63">
      <formula1>0</formula1>
      <formula2>300</formula2>
    </dataValidation>
    <dataValidation type="textLength" errorStyle="information" allowBlank="1" showInputMessage="1" showErrorMessage="1" error="XLBVal:6=12954.71_x000d__x000a_" sqref="U63">
      <formula1>0</formula1>
      <formula2>300</formula2>
    </dataValidation>
    <dataValidation type="textLength" errorStyle="information" allowBlank="1" showInputMessage="1" showErrorMessage="1" error="XLBVal:6=11615.14_x000d__x000a_" sqref="T63">
      <formula1>0</formula1>
      <formula2>300</formula2>
    </dataValidation>
    <dataValidation type="textLength" errorStyle="information" allowBlank="1" showInputMessage="1" showErrorMessage="1" error="XLBVal:6=12033.29_x000d__x000a_" sqref="S63">
      <formula1>0</formula1>
      <formula2>300</formula2>
    </dataValidation>
    <dataValidation type="textLength" errorStyle="information" allowBlank="1" showInputMessage="1" showErrorMessage="1" error="XLBVal:6=13200.83_x000d__x000a_" sqref="R63">
      <formula1>0</formula1>
      <formula2>300</formula2>
    </dataValidation>
    <dataValidation type="textLength" errorStyle="information" allowBlank="1" showInputMessage="1" showErrorMessage="1" error="XLBVal:6=652.09_x000d__x000a_" sqref="W62">
      <formula1>0</formula1>
      <formula2>300</formula2>
    </dataValidation>
    <dataValidation type="textLength" errorStyle="information" allowBlank="1" showInputMessage="1" showErrorMessage="1" error="XLBVal:6=708.26_x000d__x000a_" sqref="V62">
      <formula1>0</formula1>
      <formula2>300</formula2>
    </dataValidation>
    <dataValidation type="textLength" errorStyle="information" allowBlank="1" showInputMessage="1" showErrorMessage="1" error="XLBVal:6=722.38_x000d__x000a_" sqref="S62">
      <formula1>0</formula1>
      <formula2>300</formula2>
    </dataValidation>
    <dataValidation type="textLength" errorStyle="information" allowBlank="1" showInputMessage="1" showErrorMessage="1" error="XLBVal:6=716.33_x000d__x000a_" sqref="R62 T62:U62">
      <formula1>0</formula1>
      <formula2>300</formula2>
    </dataValidation>
    <dataValidation type="textLength" errorStyle="information" allowBlank="1" showInputMessage="1" showErrorMessage="1" error="XLBVal:6=3528.14_x000d__x000a_" sqref="W54">
      <formula1>0</formula1>
      <formula2>300</formula2>
    </dataValidation>
    <dataValidation type="textLength" errorStyle="information" allowBlank="1" showInputMessage="1" showErrorMessage="1" error="XLBVal:6=3516.44_x000d__x000a_" sqref="V54">
      <formula1>0</formula1>
      <formula2>300</formula2>
    </dataValidation>
    <dataValidation type="textLength" errorStyle="information" allowBlank="1" showInputMessage="1" showErrorMessage="1" error="XLBVal:6=5889.24_x000d__x000a_" sqref="U54">
      <formula1>0</formula1>
      <formula2>300</formula2>
    </dataValidation>
    <dataValidation type="textLength" errorStyle="information" allowBlank="1" showInputMessage="1" showErrorMessage="1" error="XLBVal:6=7480.19_x000d__x000a_" sqref="T54">
      <formula1>0</formula1>
      <formula2>300</formula2>
    </dataValidation>
    <dataValidation type="textLength" errorStyle="information" allowBlank="1" showInputMessage="1" showErrorMessage="1" error="XLBVal:6=4537.54_x000d__x000a_" sqref="S54">
      <formula1>0</formula1>
      <formula2>300</formula2>
    </dataValidation>
    <dataValidation type="textLength" errorStyle="information" allowBlank="1" showInputMessage="1" showErrorMessage="1" error="XLBVal:6=3921.31_x000d__x000a_" sqref="R54">
      <formula1>0</formula1>
      <formula2>300</formula2>
    </dataValidation>
    <dataValidation type="textLength" errorStyle="information" allowBlank="1" showInputMessage="1" showErrorMessage="1" error="XLBVal:6=10126_x000d__x000a_" sqref="W53">
      <formula1>0</formula1>
      <formula2>300</formula2>
    </dataValidation>
    <dataValidation type="textLength" errorStyle="information" allowBlank="1" showInputMessage="1" showErrorMessage="1" error="XLBVal:6=10362_x000d__x000a_" sqref="V53">
      <formula1>0</formula1>
      <formula2>300</formula2>
    </dataValidation>
    <dataValidation type="textLength" errorStyle="information" allowBlank="1" showInputMessage="1" showErrorMessage="1" error="XLBVal:6=11595_x000d__x000a_" sqref="U53">
      <formula1>0</formula1>
      <formula2>300</formula2>
    </dataValidation>
    <dataValidation type="textLength" errorStyle="information" allowBlank="1" showInputMessage="1" showErrorMessage="1" error="XLBVal:6=11840_x000d__x000a_" sqref="R53:T53">
      <formula1>0</formula1>
      <formula2>300</formula2>
    </dataValidation>
    <dataValidation type="textLength" errorStyle="information" allowBlank="1" showInputMessage="1" showErrorMessage="1" error="XLBVal:6=245.55_x000d__x000a_" sqref="W51">
      <formula1>0</formula1>
      <formula2>300</formula2>
    </dataValidation>
    <dataValidation type="textLength" errorStyle="information" allowBlank="1" showInputMessage="1" showErrorMessage="1" error="XLBVal:6=251.35_x000d__x000a_" sqref="V51">
      <formula1>0</formula1>
      <formula2>300</formula2>
    </dataValidation>
    <dataValidation type="textLength" errorStyle="information" allowBlank="1" showInputMessage="1" showErrorMessage="1" error="XLBVal:6=280.92_x000d__x000a_" sqref="U51">
      <formula1>0</formula1>
      <formula2>300</formula2>
    </dataValidation>
    <dataValidation type="textLength" errorStyle="information" allowBlank="1" showInputMessage="1" showErrorMessage="1" error="XLBVal:6=286.79_x000d__x000a_" sqref="R51:T51">
      <formula1>0</formula1>
      <formula2>300</formula2>
    </dataValidation>
    <dataValidation type="textLength" errorStyle="information" allowBlank="1" showInputMessage="1" showErrorMessage="1" error="XLBVal:6=17390.93_x000d__x000a_" sqref="W49">
      <formula1>0</formula1>
      <formula2>300</formula2>
    </dataValidation>
    <dataValidation type="textLength" errorStyle="information" allowBlank="1" showInputMessage="1" showErrorMessage="1" error="XLBVal:6=17801.48_x000d__x000a_" sqref="V49">
      <formula1>0</formula1>
      <formula2>300</formula2>
    </dataValidation>
    <dataValidation type="textLength" errorStyle="information" allowBlank="1" showInputMessage="1" showErrorMessage="1" error="XLBVal:6=19896.06_x000d__x000a_" sqref="U49">
      <formula1>0</formula1>
      <formula2>300</formula2>
    </dataValidation>
    <dataValidation type="textLength" errorStyle="information" allowBlank="1" showInputMessage="1" showErrorMessage="1" error="XLBVal:6=20311.96_x000d__x000a_" sqref="R49:T49">
      <formula1>0</formula1>
      <formula2>300</formula2>
    </dataValidation>
    <dataValidation type="textLength" errorStyle="information" allowBlank="1" showInputMessage="1" showErrorMessage="1" error="XLBVal:6=32735.84_x000d__x000a_" sqref="W48">
      <formula1>0</formula1>
      <formula2>300</formula2>
    </dataValidation>
    <dataValidation type="textLength" errorStyle="information" allowBlank="1" showInputMessage="1" showErrorMessage="1" error="XLBVal:6=33508.64_x000d__x000a_" sqref="V48">
      <formula1>0</formula1>
      <formula2>300</formula2>
    </dataValidation>
    <dataValidation type="textLength" errorStyle="information" allowBlank="1" showInputMessage="1" showErrorMessage="1" error="XLBVal:6=37451.38_x000d__x000a_" sqref="U48">
      <formula1>0</formula1>
      <formula2>300</formula2>
    </dataValidation>
    <dataValidation type="textLength" errorStyle="information" allowBlank="1" showInputMessage="1" showErrorMessage="1" error="XLBVal:6=38234.25_x000d__x000a_" sqref="R48:T48">
      <formula1>0</formula1>
      <formula2>300</formula2>
    </dataValidation>
    <dataValidation type="textLength" errorStyle="information" allowBlank="1" showInputMessage="1" showErrorMessage="1" error="XLBVal:6=10780_x000d__x000a_" sqref="W45">
      <formula1>0</formula1>
      <formula2>300</formula2>
    </dataValidation>
    <dataValidation type="textLength" errorStyle="information" allowBlank="1" showInputMessage="1" showErrorMessage="1" error="XLBVal:6=11610_x000d__x000a_" sqref="V45">
      <formula1>0</formula1>
      <formula2>300</formula2>
    </dataValidation>
    <dataValidation type="textLength" errorStyle="information" allowBlank="1" showInputMessage="1" showErrorMessage="1" error="XLBVal:6=11200_x000d__x000a_" sqref="T45">
      <formula1>0</formula1>
      <formula2>300</formula2>
    </dataValidation>
    <dataValidation type="textLength" errorStyle="information" allowBlank="1" showInputMessage="1" showErrorMessage="1" error="XLBVal:6=23985_x000d__x000a_" sqref="S45">
      <formula1>0</formula1>
      <formula2>300</formula2>
    </dataValidation>
    <dataValidation type="textLength" errorStyle="information" allowBlank="1" showInputMessage="1" showErrorMessage="1" error="XLBVal:6=18085_x000d__x000a_" sqref="R45">
      <formula1>0</formula1>
      <formula2>300</formula2>
    </dataValidation>
    <dataValidation type="textLength" errorStyle="information" allowBlank="1" showInputMessage="1" showErrorMessage="1" error="XLBVal:6=21387.98_x000d__x000a_" sqref="W43">
      <formula1>0</formula1>
      <formula2>300</formula2>
    </dataValidation>
    <dataValidation type="textLength" errorStyle="information" allowBlank="1" showInputMessage="1" showErrorMessage="1" error="XLBVal:6=25177_x000d__x000a_" sqref="V43">
      <formula1>0</formula1>
      <formula2>300</formula2>
    </dataValidation>
    <dataValidation type="textLength" errorStyle="information" allowBlank="1" showInputMessage="1" showErrorMessage="1" error="XLBVal:6=23401.29_x000d__x000a_" sqref="U43">
      <formula1>0</formula1>
      <formula2>300</formula2>
    </dataValidation>
    <dataValidation type="textLength" errorStyle="information" allowBlank="1" showInputMessage="1" showErrorMessage="1" error="XLBVal:6=23950.24_x000d__x000a_" sqref="T43">
      <formula1>0</formula1>
      <formula2>300</formula2>
    </dataValidation>
    <dataValidation type="textLength" errorStyle="information" allowBlank="1" showInputMessage="1" showErrorMessage="1" error="XLBVal:6=24010_x000d__x000a_" sqref="S43">
      <formula1>0</formula1>
      <formula2>300</formula2>
    </dataValidation>
    <dataValidation type="textLength" errorStyle="information" allowBlank="1" showInputMessage="1" showErrorMessage="1" error="XLBVal:6=23641.12_x000d__x000a_" sqref="R43">
      <formula1>0</formula1>
      <formula2>300</formula2>
    </dataValidation>
    <dataValidation type="textLength" errorStyle="information" allowBlank="1" showInputMessage="1" showErrorMessage="1" error="XLBVal:6=14565.48_x000d__x000a_" sqref="W41">
      <formula1>0</formula1>
      <formula2>300</formula2>
    </dataValidation>
    <dataValidation type="textLength" errorStyle="information" allowBlank="1" showInputMessage="1" showErrorMessage="1" error="XLBVal:6=14799.96_x000d__x000a_" sqref="V41">
      <formula1>0</formula1>
      <formula2>300</formula2>
    </dataValidation>
    <dataValidation type="textLength" errorStyle="information" allowBlank="1" showInputMessage="1" showErrorMessage="1" error="XLBVal:6=13862.01_x000d__x000a_" sqref="U41">
      <formula1>0</formula1>
      <formula2>300</formula2>
    </dataValidation>
    <dataValidation type="textLength" errorStyle="information" allowBlank="1" showInputMessage="1" showErrorMessage="1" error="XLBVal:6=44417.14_x000d__x000a_" sqref="S41">
      <formula1>0</formula1>
      <formula2>300</formula2>
    </dataValidation>
    <dataValidation type="textLength" errorStyle="information" allowBlank="1" showInputMessage="1" showErrorMessage="1" error="XLBVal:6=16515.5_x000d__x000a_" sqref="R41">
      <formula1>0</formula1>
      <formula2>300</formula2>
    </dataValidation>
    <dataValidation type="textLength" errorStyle="information" allowBlank="1" showInputMessage="1" showErrorMessage="1" error="XLBVal:6=119973.56_x000d__x000a_" sqref="W38">
      <formula1>0</formula1>
      <formula2>300</formula2>
    </dataValidation>
    <dataValidation type="textLength" errorStyle="information" allowBlank="1" showInputMessage="1" showErrorMessage="1" error="XLBVal:6=124144.9_x000d__x000a_" sqref="V38">
      <formula1>0</formula1>
      <formula2>300</formula2>
    </dataValidation>
    <dataValidation type="textLength" errorStyle="information" allowBlank="1" showInputMessage="1" showErrorMessage="1" error="XLBVal:6=131357.23_x000d__x000a_" sqref="U38">
      <formula1>0</formula1>
      <formula2>300</formula2>
    </dataValidation>
    <dataValidation type="textLength" errorStyle="information" allowBlank="1" showInputMessage="1" showErrorMessage="1" error="XLBVal:6=135041.96_x000d__x000a_" sqref="T38">
      <formula1>0</formula1>
      <formula2>300</formula2>
    </dataValidation>
    <dataValidation type="textLength" errorStyle="information" allowBlank="1" showInputMessage="1" showErrorMessage="1" error="XLBVal:6=136000_x000d__x000a_" sqref="S38">
      <formula1>0</formula1>
      <formula2>300</formula2>
    </dataValidation>
    <dataValidation type="textLength" errorStyle="information" allowBlank="1" showInputMessage="1" showErrorMessage="1" error="XLBVal:6=135158.98_x000d__x000a_" sqref="R38">
      <formula1>0</formula1>
      <formula2>300</formula2>
    </dataValidation>
    <dataValidation type="textLength" errorStyle="information" allowBlank="1" showInputMessage="1" showErrorMessage="1" error="XLBVal:6=43.68_x000d__x000a_" sqref="V31">
      <formula1>0</formula1>
      <formula2>300</formula2>
    </dataValidation>
    <dataValidation type="textLength" errorStyle="information" allowBlank="1" showInputMessage="1" showErrorMessage="1" error="XLBVal:6=223.68_x000d__x000a_" sqref="U31">
      <formula1>0</formula1>
      <formula2>300</formula2>
    </dataValidation>
    <dataValidation type="textLength" errorStyle="information" allowBlank="1" showInputMessage="1" showErrorMessage="1" error="XLBVal:6=74.09_x000d__x000a_" sqref="T31">
      <formula1>0</formula1>
      <formula2>300</formula2>
    </dataValidation>
    <dataValidation type="textLength" errorStyle="information" allowBlank="1" showInputMessage="1" showErrorMessage="1" error="XLBVal:6=205.6_x000d__x000a_" sqref="S31">
      <formula1>0</formula1>
      <formula2>300</formula2>
    </dataValidation>
    <dataValidation type="textLength" errorStyle="information" allowBlank="1" showInputMessage="1" showErrorMessage="1" error="XLBVal:6=2043.24_x000d__x000a_" sqref="R31">
      <formula1>0</formula1>
      <formula2>300</formula2>
    </dataValidation>
    <dataValidation type="textLength" errorStyle="information" allowBlank="1" showInputMessage="1" showErrorMessage="1" error="XLBVal:6=49460.62_x000d__x000a_" sqref="W28">
      <formula1>0</formula1>
      <formula2>300</formula2>
    </dataValidation>
    <dataValidation type="textLength" errorStyle="information" allowBlank="1" showInputMessage="1" showErrorMessage="1" error="XLBVal:6=16526.95_x000d__x000a_" sqref="V28">
      <formula1>0</formula1>
      <formula2>300</formula2>
    </dataValidation>
    <dataValidation type="textLength" errorStyle="information" allowBlank="1" showInputMessage="1" showErrorMessage="1" error="XLBVal:6=44344.71_x000d__x000a_" sqref="U28">
      <formula1>0</formula1>
      <formula2>300</formula2>
    </dataValidation>
    <dataValidation type="textLength" errorStyle="information" allowBlank="1" showInputMessage="1" showErrorMessage="1" error="XLBVal:6=47519.45_x000d__x000a_" sqref="T28">
      <formula1>0</formula1>
      <formula2>300</formula2>
    </dataValidation>
    <dataValidation type="textLength" errorStyle="information" allowBlank="1" showInputMessage="1" showErrorMessage="1" error="XLBVal:6=63869.72_x000d__x000a_" sqref="S28">
      <formula1>0</formula1>
      <formula2>300</formula2>
    </dataValidation>
    <dataValidation type="textLength" errorStyle="information" allowBlank="1" showInputMessage="1" showErrorMessage="1" error="XLBVal:6=58699.1_x000d__x000a_" sqref="R28">
      <formula1>0</formula1>
      <formula2>300</formula2>
    </dataValidation>
    <dataValidation type="textLength" errorStyle="information" allowBlank="1" showInputMessage="1" showErrorMessage="1" error="XLBVal:6=247_x000d__x000a_" sqref="W27">
      <formula1>0</formula1>
      <formula2>300</formula2>
    </dataValidation>
    <dataValidation type="textLength" errorStyle="information" allowBlank="1" showInputMessage="1" showErrorMessage="1" error="XLBVal:6=239_x000d__x000a_" sqref="R27">
      <formula1>0</formula1>
      <formula2>300</formula2>
    </dataValidation>
    <dataValidation type="textLength" errorStyle="information" allowBlank="1" showInputMessage="1" showErrorMessage="1" error="XLBVal:6=3207_x000d__x000a_" sqref="R22:T22">
      <formula1>0</formula1>
      <formula2>300</formula2>
    </dataValidation>
    <dataValidation type="textLength" errorStyle="information" allowBlank="1" showInputMessage="1" showErrorMessage="1" error="XLBVal:6=47533.5_x000d__x000a_" sqref="W21">
      <formula1>0</formula1>
      <formula2>300</formula2>
    </dataValidation>
    <dataValidation type="textLength" errorStyle="information" allowBlank="1" showInputMessage="1" showErrorMessage="1" error="XLBVal:6=34151.26_x000d__x000a_" sqref="V21">
      <formula1>0</formula1>
      <formula2>300</formula2>
    </dataValidation>
    <dataValidation type="textLength" errorStyle="information" allowBlank="1" showInputMessage="1" showErrorMessage="1" error="XLBVal:6=23180.2_x000d__x000a_" sqref="U21">
      <formula1>0</formula1>
      <formula2>300</formula2>
    </dataValidation>
    <dataValidation type="textLength" errorStyle="information" allowBlank="1" showInputMessage="1" showErrorMessage="1" error="XLBVal:6=54095.43_x000d__x000a_" sqref="T21">
      <formula1>0</formula1>
      <formula2>300</formula2>
    </dataValidation>
    <dataValidation type="textLength" errorStyle="information" allowBlank="1" showInputMessage="1" showErrorMessage="1" error="XLBVal:6=89020.11_x000d__x000a_" sqref="S21">
      <formula1>0</formula1>
      <formula2>300</formula2>
    </dataValidation>
    <dataValidation type="textLength" errorStyle="information" allowBlank="1" showInputMessage="1" showErrorMessage="1" error="XLBVal:6=52211.97_x000d__x000a_" sqref="R21">
      <formula1>0</formula1>
      <formula2>300</formula2>
    </dataValidation>
    <dataValidation type="textLength" errorStyle="information" allowBlank="1" showInputMessage="1" showErrorMessage="1" error="XLBVal:6=3801.7_x000d__x000a_" sqref="W20">
      <formula1>0</formula1>
      <formula2>300</formula2>
    </dataValidation>
    <dataValidation type="textLength" errorStyle="information" allowBlank="1" showInputMessage="1" showErrorMessage="1" error="XLBVal:6=19119.43_x000d__x000a_" sqref="V20">
      <formula1>0</formula1>
      <formula2>300</formula2>
    </dataValidation>
    <dataValidation type="textLength" errorStyle="information" allowBlank="1" showInputMessage="1" showErrorMessage="1" error="XLBVal:6=19422.96_x000d__x000a_" sqref="U20">
      <formula1>0</formula1>
      <formula2>300</formula2>
    </dataValidation>
    <dataValidation type="textLength" errorStyle="information" allowBlank="1" showInputMessage="1" showErrorMessage="1" error="XLBVal:6=2344.98_x000d__x000a_" sqref="T20">
      <formula1>0</formula1>
      <formula2>300</formula2>
    </dataValidation>
    <dataValidation type="textLength" errorStyle="information" allowBlank="1" showInputMessage="1" showErrorMessage="1" error="XLBVal:6=310.68_x000d__x000a_" sqref="S20">
      <formula1>0</formula1>
      <formula2>300</formula2>
    </dataValidation>
    <dataValidation type="textLength" errorStyle="information" allowBlank="1" showInputMessage="1" showErrorMessage="1" error="XLBVal:6=58096.97_x000d__x000a_" sqref="R20">
      <formula1>0</formula1>
      <formula2>300</formula2>
    </dataValidation>
    <dataValidation type="textLength" errorStyle="information" allowBlank="1" showInputMessage="1" showErrorMessage="1" error="XLBVal:6=6539.76_x000d__x000a_" sqref="W19">
      <formula1>0</formula1>
      <formula2>300</formula2>
    </dataValidation>
    <dataValidation type="textLength" errorStyle="information" allowBlank="1" showInputMessage="1" showErrorMessage="1" error="XLBVal:6=8478.18_x000d__x000a_" sqref="V19">
      <formula1>0</formula1>
      <formula2>300</formula2>
    </dataValidation>
    <dataValidation type="textLength" errorStyle="information" allowBlank="1" showInputMessage="1" showErrorMessage="1" error="XLBVal:6=7326_x000d__x000a_" sqref="U19">
      <formula1>0</formula1>
      <formula2>300</formula2>
    </dataValidation>
    <dataValidation type="textLength" errorStyle="information" allowBlank="1" showInputMessage="1" showErrorMessage="1" error="XLBVal:6=10147.68_x000d__x000a_" sqref="T19">
      <formula1>0</formula1>
      <formula2>300</formula2>
    </dataValidation>
    <dataValidation type="textLength" errorStyle="information" allowBlank="1" showInputMessage="1" showErrorMessage="1" error="XLBVal:6=13599.32_x000d__x000a_" sqref="S19">
      <formula1>0</formula1>
      <formula2>300</formula2>
    </dataValidation>
    <dataValidation type="textLength" errorStyle="information" allowBlank="1" showInputMessage="1" showErrorMessage="1" error="XLBVal:6=8349.36_x000d__x000a_" sqref="R19">
      <formula1>0</formula1>
      <formula2>300</formula2>
    </dataValidation>
    <dataValidation type="textLength" errorStyle="information" allowBlank="1" showInputMessage="1" showErrorMessage="1" error="XLBVal:6=55401.9_x000d__x000a_" sqref="W17">
      <formula1>0</formula1>
      <formula2>300</formula2>
    </dataValidation>
    <dataValidation type="textLength" errorStyle="information" allowBlank="1" showInputMessage="1" showErrorMessage="1" error="XLBVal:6=50249.2_x000d__x000a_" sqref="V17">
      <formula1>0</formula1>
      <formula2>300</formula2>
    </dataValidation>
    <dataValidation type="textLength" errorStyle="information" allowBlank="1" showInputMessage="1" showErrorMessage="1" error="XLBVal:6=48197.95_x000d__x000a_" sqref="U17">
      <formula1>0</formula1>
      <formula2>300</formula2>
    </dataValidation>
    <dataValidation type="textLength" errorStyle="information" allowBlank="1" showInputMessage="1" showErrorMessage="1" error="XLBVal:6=59647.16_x000d__x000a_" sqref="T17">
      <formula1>0</formula1>
      <formula2>300</formula2>
    </dataValidation>
    <dataValidation type="textLength" errorStyle="information" allowBlank="1" showInputMessage="1" showErrorMessage="1" error="XLBVal:6=94102.3_x000d__x000a_" sqref="S17">
      <formula1>0</formula1>
      <formula2>300</formula2>
    </dataValidation>
    <dataValidation type="textLength" errorStyle="information" allowBlank="1" showInputMessage="1" showErrorMessage="1" error="XLBVal:6=56587.48_x000d__x000a_" sqref="R17">
      <formula1>0</formula1>
      <formula2>300</formula2>
    </dataValidation>
    <dataValidation type="textLength" errorStyle="information" allowBlank="1" showInputMessage="1" showErrorMessage="1" error="XLBVal:6=24834.3_x000d__x000a_" sqref="W10">
      <formula1>0</formula1>
      <formula2>300</formula2>
    </dataValidation>
    <dataValidation type="textLength" errorStyle="information" allowBlank="1" showInputMessage="1" showErrorMessage="1" error="XLBVal:6=23512.84_x000d__x000a_" sqref="V10">
      <formula1>0</formula1>
      <formula2>300</formula2>
    </dataValidation>
    <dataValidation type="textLength" errorStyle="information" allowBlank="1" showInputMessage="1" showErrorMessage="1" error="XLBVal:6=1585_x000d__x000a_" sqref="Z10">
      <formula1>0</formula1>
      <formula2>300</formula2>
    </dataValidation>
    <dataValidation type="textLength" errorStyle="information" allowBlank="1" showInputMessage="1" showErrorMessage="1" error="XLBVal:6=25889.9_x000d__x000a_" sqref="T10">
      <formula1>0</formula1>
      <formula2>300</formula2>
    </dataValidation>
    <dataValidation type="textLength" errorStyle="information" allowBlank="1" showInputMessage="1" showErrorMessage="1" error="XLBVal:6=90114.7_x000d__x000a_" sqref="S10">
      <formula1>0</formula1>
      <formula2>300</formula2>
    </dataValidation>
    <dataValidation type="textLength" errorStyle="information" allowBlank="1" showInputMessage="1" showErrorMessage="1" error="XLBVal:6=50697.2_x000d__x000a_" sqref="R10">
      <formula1>0</formula1>
      <formula2>300</formula2>
    </dataValidation>
    <dataValidation type="textLength" errorStyle="information" allowBlank="1" showInputMessage="1" showErrorMessage="1" error="XLBVal:2=0_x000d__x000a_" sqref="X70:AC70 G11:J11 X58:AC66 X41:AC45 R30:W30 R18:W18 E9:J9 E65:J66 E11 R11:AC11 R58:W61 R9:AC9 R55:W55 R37:W37 R65:W66 R44:W44 R25:W26 R52:W52 E37 R23:W23 X17:AC31 X37:AC38 X48:AC55 T27:V27 V24:W24 T41 W31 V22:W22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0" orientation="landscape" r:id="rId1"/>
  <headerFooter>
    <oddFooter>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AI76"/>
  <sheetViews>
    <sheetView view="pageBreakPreview" zoomScaleNormal="100" zoomScaleSheetLayoutView="100" workbookViewId="0">
      <pane xSplit="5" ySplit="7" topLeftCell="N8" activePane="bottomRight" state="frozen"/>
      <selection activeCell="AP43" sqref="AP43"/>
      <selection pane="topRight" activeCell="AP43" sqref="AP43"/>
      <selection pane="bottomLeft" activeCell="AP43" sqref="AP43"/>
      <selection pane="bottomRight" activeCell="O18" sqref="O18"/>
    </sheetView>
  </sheetViews>
  <sheetFormatPr defaultColWidth="9" defaultRowHeight="14.25" outlineLevelCol="2"/>
  <cols>
    <col min="1" max="3" width="9" style="105" hidden="1" customWidth="1" outlineLevel="1"/>
    <col min="4" max="4" width="46.75" style="105" customWidth="1" collapsed="1"/>
    <col min="5" max="16" width="15.25" style="72" customWidth="1"/>
    <col min="17" max="17" width="18.25" style="127" bestFit="1" customWidth="1"/>
    <col min="18" max="24" width="18.25" style="72" hidden="1" customWidth="1" outlineLevel="1"/>
    <col min="25" max="29" width="18.25" style="72" hidden="1" customWidth="1" outlineLevel="2"/>
    <col min="30" max="30" width="18.375" style="127" customWidth="1" collapsed="1"/>
    <col min="31" max="31" width="15.75" style="72" bestFit="1" customWidth="1"/>
    <col min="32" max="32" width="10.5" style="105" customWidth="1"/>
    <col min="33" max="33" width="18.25" style="109" hidden="1" customWidth="1"/>
    <col min="34" max="34" width="17" style="105" hidden="1" customWidth="1"/>
    <col min="35" max="35" width="16" style="105" bestFit="1" customWidth="1"/>
    <col min="36" max="16384" width="9" style="105"/>
  </cols>
  <sheetData>
    <row r="1" spans="1:35" s="100" customFormat="1">
      <c r="A1" s="100" t="s">
        <v>118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</row>
    <row r="2" spans="1:35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</row>
    <row r="3" spans="1:35">
      <c r="D3" s="105" t="s">
        <v>710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</row>
    <row r="4" spans="1:35" s="100" customFormat="1" ht="18">
      <c r="C4" s="18">
        <f>+'2025 Summay'!$D$7</f>
        <v>2025</v>
      </c>
      <c r="D4" s="18">
        <f>+'2025 Summay'!$D$7</f>
        <v>2025</v>
      </c>
      <c r="E4" s="155"/>
      <c r="F4" s="101"/>
      <c r="G4" s="101"/>
      <c r="H4" s="155"/>
      <c r="I4" s="101"/>
      <c r="J4" s="101"/>
      <c r="K4" s="101"/>
      <c r="L4" s="101"/>
      <c r="M4" s="101"/>
      <c r="N4" s="101"/>
      <c r="O4" s="101"/>
      <c r="P4" s="101"/>
      <c r="Q4" s="101"/>
      <c r="R4" s="101">
        <v>0</v>
      </c>
      <c r="S4" s="101">
        <v>0</v>
      </c>
      <c r="T4" s="101">
        <v>0</v>
      </c>
      <c r="U4" s="101">
        <v>0</v>
      </c>
      <c r="V4" s="101">
        <v>0</v>
      </c>
      <c r="W4" s="101">
        <v>0</v>
      </c>
      <c r="X4" s="101"/>
      <c r="Y4" s="183"/>
      <c r="Z4" s="183"/>
      <c r="AA4" s="183"/>
      <c r="AB4" s="183"/>
      <c r="AC4" s="183"/>
      <c r="AD4" s="172"/>
      <c r="AE4" s="101"/>
      <c r="AG4" s="103"/>
    </row>
    <row r="5" spans="1:35" s="100" customFormat="1">
      <c r="D5" s="100" t="s">
        <v>154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01"/>
      <c r="S5" s="101"/>
      <c r="T5" s="101"/>
      <c r="U5" s="101"/>
      <c r="V5" s="101"/>
      <c r="W5" s="101"/>
      <c r="X5" s="101"/>
      <c r="Y5" s="183"/>
      <c r="Z5" s="183"/>
      <c r="AA5" s="183"/>
      <c r="AB5" s="183"/>
      <c r="AC5" s="183"/>
      <c r="AD5" s="155"/>
      <c r="AE5" s="101"/>
      <c r="AG5" s="103"/>
    </row>
    <row r="6" spans="1:35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</row>
    <row r="7" spans="1:35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5">
      <c r="D8" s="105" t="s">
        <v>682</v>
      </c>
      <c r="AG8" s="129"/>
    </row>
    <row r="9" spans="1:35">
      <c r="A9" s="105" t="s">
        <v>683</v>
      </c>
      <c r="B9" s="105" t="s">
        <v>641</v>
      </c>
      <c r="D9" s="105" t="s">
        <v>702</v>
      </c>
      <c r="Q9" s="117">
        <f>SUM(E9:P9)</f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72">
        <v>0</v>
      </c>
      <c r="AD9" s="127">
        <f>SUM(R9:AC9)</f>
        <v>0</v>
      </c>
      <c r="AE9" s="72">
        <f>Q9-AD9</f>
        <v>0</v>
      </c>
      <c r="AG9" s="129">
        <v>0</v>
      </c>
      <c r="AH9" s="124">
        <f>Q9-AG9</f>
        <v>0</v>
      </c>
    </row>
    <row r="10" spans="1:35">
      <c r="A10" s="105" t="s">
        <v>683</v>
      </c>
      <c r="B10" s="105" t="s">
        <v>641</v>
      </c>
      <c r="D10" s="105" t="s">
        <v>704</v>
      </c>
      <c r="Q10" s="129">
        <f>SUM(E10:P10)</f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2">
        <v>0</v>
      </c>
      <c r="AB10" s="72">
        <v>0</v>
      </c>
      <c r="AC10" s="72">
        <v>0</v>
      </c>
      <c r="AD10" s="127">
        <f>SUM(R10:AC10)</f>
        <v>0</v>
      </c>
      <c r="AE10" s="72">
        <f>Q10-AD10</f>
        <v>0</v>
      </c>
      <c r="AF10" s="192" t="e">
        <f>AE10/AD10</f>
        <v>#DIV/0!</v>
      </c>
      <c r="AG10" s="129">
        <v>0</v>
      </c>
      <c r="AH10" s="124">
        <f>Q10-AG10</f>
        <v>0</v>
      </c>
    </row>
    <row r="11" spans="1:35">
      <c r="A11" s="105" t="s">
        <v>711</v>
      </c>
      <c r="B11" s="105" t="s">
        <v>641</v>
      </c>
      <c r="C11" s="105" t="s">
        <v>712</v>
      </c>
      <c r="D11" s="105" t="s">
        <v>706</v>
      </c>
      <c r="E11" s="143">
        <v>353465</v>
      </c>
      <c r="F11" s="143">
        <v>426120</v>
      </c>
      <c r="G11" s="143">
        <v>265145</v>
      </c>
      <c r="H11" s="143">
        <v>276792</v>
      </c>
      <c r="I11" s="143">
        <v>277204</v>
      </c>
      <c r="J11" s="143">
        <v>158177</v>
      </c>
      <c r="K11" s="143">
        <v>268913</v>
      </c>
      <c r="L11" s="143">
        <v>259937</v>
      </c>
      <c r="M11" s="143">
        <v>210666</v>
      </c>
      <c r="N11" s="143">
        <v>286191</v>
      </c>
      <c r="O11" s="143">
        <v>220391</v>
      </c>
      <c r="P11" s="143">
        <v>295639</v>
      </c>
      <c r="Q11" s="129">
        <f>SUM(E11:P11)</f>
        <v>3298640</v>
      </c>
      <c r="R11" s="72">
        <v>369556.03</v>
      </c>
      <c r="S11" s="72">
        <v>455474.4</v>
      </c>
      <c r="T11" s="72">
        <v>284277.63</v>
      </c>
      <c r="U11" s="72">
        <v>292447.62</v>
      </c>
      <c r="V11" s="72">
        <v>280216.67</v>
      </c>
      <c r="W11" s="72">
        <v>169944.13</v>
      </c>
      <c r="X11" s="72">
        <v>275942.59999999998</v>
      </c>
      <c r="Y11" s="72">
        <v>395784.78</v>
      </c>
      <c r="Z11" s="72">
        <v>173833</v>
      </c>
      <c r="AA11" s="72">
        <v>275833</v>
      </c>
      <c r="AB11" s="72">
        <v>225833</v>
      </c>
      <c r="AC11" s="72">
        <v>305833</v>
      </c>
      <c r="AD11" s="127">
        <f>SUM(R11:AC11)</f>
        <v>3504975.8600000003</v>
      </c>
      <c r="AE11" s="72">
        <f>Q11-AD11</f>
        <v>-206335.86000000034</v>
      </c>
      <c r="AF11" s="192">
        <f t="shared" ref="AF11:AF69" si="0">AE11/AD11</f>
        <v>-5.8869409731113043E-2</v>
      </c>
      <c r="AG11" s="129">
        <v>1243447.6099999999</v>
      </c>
      <c r="AH11" s="124">
        <f>Q11-AG11</f>
        <v>2055192.3900000001</v>
      </c>
      <c r="AI11" s="124"/>
    </row>
    <row r="12" spans="1:35">
      <c r="D12" s="109" t="s">
        <v>500</v>
      </c>
      <c r="E12" s="127">
        <f t="shared" ref="E12:AD12" si="1">SUM(E9:E11)</f>
        <v>353465</v>
      </c>
      <c r="F12" s="127">
        <f t="shared" si="1"/>
        <v>426120</v>
      </c>
      <c r="G12" s="127">
        <f t="shared" si="1"/>
        <v>265145</v>
      </c>
      <c r="H12" s="127">
        <f t="shared" si="1"/>
        <v>276792</v>
      </c>
      <c r="I12" s="127">
        <f t="shared" si="1"/>
        <v>277204</v>
      </c>
      <c r="J12" s="127">
        <f t="shared" si="1"/>
        <v>158177</v>
      </c>
      <c r="K12" s="127">
        <f t="shared" si="1"/>
        <v>268913</v>
      </c>
      <c r="L12" s="127">
        <f t="shared" si="1"/>
        <v>259937</v>
      </c>
      <c r="M12" s="127">
        <f t="shared" si="1"/>
        <v>210666</v>
      </c>
      <c r="N12" s="127">
        <f t="shared" si="1"/>
        <v>286191</v>
      </c>
      <c r="O12" s="127">
        <f t="shared" si="1"/>
        <v>220391</v>
      </c>
      <c r="P12" s="127">
        <f t="shared" si="1"/>
        <v>295639</v>
      </c>
      <c r="Q12" s="129">
        <f t="shared" si="1"/>
        <v>3298640</v>
      </c>
      <c r="R12" s="127">
        <f t="shared" si="1"/>
        <v>369556.03</v>
      </c>
      <c r="S12" s="127">
        <f t="shared" si="1"/>
        <v>455474.4</v>
      </c>
      <c r="T12" s="127">
        <f t="shared" si="1"/>
        <v>284277.63</v>
      </c>
      <c r="U12" s="127">
        <f t="shared" si="1"/>
        <v>292447.62</v>
      </c>
      <c r="V12" s="127">
        <f t="shared" si="1"/>
        <v>280216.67</v>
      </c>
      <c r="W12" s="127">
        <f t="shared" si="1"/>
        <v>169944.13</v>
      </c>
      <c r="X12" s="127">
        <f t="shared" si="1"/>
        <v>275942.59999999998</v>
      </c>
      <c r="Y12" s="127">
        <f t="shared" si="1"/>
        <v>395784.78</v>
      </c>
      <c r="Z12" s="127">
        <f t="shared" si="1"/>
        <v>173833</v>
      </c>
      <c r="AA12" s="127">
        <f t="shared" si="1"/>
        <v>275833</v>
      </c>
      <c r="AB12" s="127">
        <f t="shared" si="1"/>
        <v>225833</v>
      </c>
      <c r="AC12" s="127">
        <f t="shared" si="1"/>
        <v>305833</v>
      </c>
      <c r="AD12" s="127">
        <f t="shared" si="1"/>
        <v>3504975.8600000003</v>
      </c>
      <c r="AE12" s="127">
        <f>Q12-AD12</f>
        <v>-206335.86000000034</v>
      </c>
      <c r="AF12" s="192">
        <f t="shared" si="0"/>
        <v>-5.8869409731113043E-2</v>
      </c>
      <c r="AG12" s="129">
        <v>1243447.6099999999</v>
      </c>
      <c r="AH12" s="124">
        <f>Q12-AG12</f>
        <v>2055192.3900000001</v>
      </c>
      <c r="AI12" s="124"/>
    </row>
    <row r="13" spans="1:35">
      <c r="D13" s="105" t="s">
        <v>154</v>
      </c>
      <c r="Q13" s="129"/>
      <c r="AF13" s="192"/>
      <c r="AG13" s="129"/>
      <c r="AI13" s="124"/>
    </row>
    <row r="14" spans="1:35" s="109" customFormat="1">
      <c r="D14" s="109" t="s">
        <v>289</v>
      </c>
      <c r="E14" s="127">
        <f t="shared" ref="E14:P14" si="2">E67</f>
        <v>88128.81</v>
      </c>
      <c r="F14" s="127">
        <f t="shared" si="2"/>
        <v>72541.460000000006</v>
      </c>
      <c r="G14" s="127">
        <f t="shared" si="2"/>
        <v>73704.340000000011</v>
      </c>
      <c r="H14" s="127">
        <f t="shared" si="2"/>
        <v>76593.25</v>
      </c>
      <c r="I14" s="127">
        <f t="shared" si="2"/>
        <v>78915.64</v>
      </c>
      <c r="J14" s="127">
        <f t="shared" si="2"/>
        <v>73936.360000000015</v>
      </c>
      <c r="K14" s="127">
        <f t="shared" si="2"/>
        <v>74514.490000000005</v>
      </c>
      <c r="L14" s="127">
        <f t="shared" si="2"/>
        <v>74216.040000000008</v>
      </c>
      <c r="M14" s="127">
        <f t="shared" si="2"/>
        <v>74260.040000000008</v>
      </c>
      <c r="N14" s="127">
        <f t="shared" si="2"/>
        <v>91103.900000000009</v>
      </c>
      <c r="O14" s="127">
        <f t="shared" si="2"/>
        <v>74458.47</v>
      </c>
      <c r="P14" s="127">
        <f t="shared" si="2"/>
        <v>74133.02</v>
      </c>
      <c r="Q14" s="129">
        <f>SUM(E14:P14)</f>
        <v>926505.82000000018</v>
      </c>
      <c r="R14" s="127">
        <f t="shared" ref="R14:AC14" si="3">R67</f>
        <v>119987.75</v>
      </c>
      <c r="S14" s="127">
        <f t="shared" si="3"/>
        <v>97197.86</v>
      </c>
      <c r="T14" s="127">
        <f t="shared" si="3"/>
        <v>83908.11</v>
      </c>
      <c r="U14" s="127">
        <f t="shared" si="3"/>
        <v>78577.510000000009</v>
      </c>
      <c r="V14" s="127">
        <f t="shared" si="3"/>
        <v>76198.539999999994</v>
      </c>
      <c r="W14" s="127">
        <f t="shared" si="3"/>
        <v>59183.979999999996</v>
      </c>
      <c r="X14" s="127">
        <f t="shared" si="3"/>
        <v>54501.69</v>
      </c>
      <c r="Y14" s="127">
        <f t="shared" si="3"/>
        <v>76024.42</v>
      </c>
      <c r="Z14" s="127">
        <f t="shared" si="3"/>
        <v>122441.33</v>
      </c>
      <c r="AA14" s="127">
        <f t="shared" si="3"/>
        <v>192731.33000000002</v>
      </c>
      <c r="AB14" s="127">
        <f t="shared" si="3"/>
        <v>133443.33000000002</v>
      </c>
      <c r="AC14" s="127">
        <f t="shared" si="3"/>
        <v>114132.33</v>
      </c>
      <c r="AD14" s="127">
        <f>SUM(R14:AC14)</f>
        <v>1208328.1800000002</v>
      </c>
      <c r="AE14" s="127">
        <f>AD14-Q14</f>
        <v>281822.36</v>
      </c>
      <c r="AF14" s="132">
        <f t="shared" si="0"/>
        <v>0.23323329263081488</v>
      </c>
      <c r="AG14" s="129">
        <v>1144402.3399999999</v>
      </c>
      <c r="AH14" s="129">
        <f t="shared" ref="AH14:AH31" si="4">AG14-Q14</f>
        <v>217896.51999999967</v>
      </c>
      <c r="AI14" s="124"/>
    </row>
    <row r="15" spans="1:35">
      <c r="D15" s="105" t="s">
        <v>154</v>
      </c>
      <c r="Q15" s="129"/>
      <c r="AF15" s="192"/>
      <c r="AG15" s="129"/>
      <c r="AH15" s="129">
        <f t="shared" si="4"/>
        <v>0</v>
      </c>
      <c r="AI15" s="124"/>
    </row>
    <row r="16" spans="1:35">
      <c r="D16" s="105" t="s">
        <v>502</v>
      </c>
      <c r="Q16" s="129"/>
      <c r="AF16" s="192"/>
      <c r="AG16" s="129"/>
      <c r="AH16" s="129">
        <f t="shared" si="4"/>
        <v>0</v>
      </c>
      <c r="AI16" s="124"/>
    </row>
    <row r="17" spans="1:35">
      <c r="A17" s="105" t="s">
        <v>687</v>
      </c>
      <c r="B17" s="105" t="s">
        <v>641</v>
      </c>
      <c r="D17" s="105" t="s">
        <v>144</v>
      </c>
      <c r="E17" s="174">
        <f>+E73+E74+E75</f>
        <v>179417.83000000002</v>
      </c>
      <c r="F17" s="174">
        <f t="shared" ref="F17:P17" si="5">+F73+F74+F75</f>
        <v>161072.71000000002</v>
      </c>
      <c r="G17" s="174">
        <f t="shared" si="5"/>
        <v>132575.71000000002</v>
      </c>
      <c r="H17" s="174">
        <f t="shared" si="5"/>
        <v>136832.35</v>
      </c>
      <c r="I17" s="174">
        <f t="shared" si="5"/>
        <v>141809.75</v>
      </c>
      <c r="J17" s="174">
        <f t="shared" si="5"/>
        <v>134481.71000000002</v>
      </c>
      <c r="K17" s="174">
        <f t="shared" si="5"/>
        <v>162605.38</v>
      </c>
      <c r="L17" s="174">
        <f t="shared" si="5"/>
        <v>162703.38</v>
      </c>
      <c r="M17" s="174">
        <f t="shared" si="5"/>
        <v>133695.38</v>
      </c>
      <c r="N17" s="174">
        <f t="shared" si="5"/>
        <v>178430.74</v>
      </c>
      <c r="O17" s="174">
        <f t="shared" si="5"/>
        <v>133367.38</v>
      </c>
      <c r="P17" s="174">
        <f t="shared" si="5"/>
        <v>162430.38</v>
      </c>
      <c r="Q17" s="129">
        <f>SUM(E17:P17)</f>
        <v>1819422.6999999997</v>
      </c>
      <c r="R17" s="72">
        <v>149777.95000000001</v>
      </c>
      <c r="S17" s="72">
        <v>330718.88</v>
      </c>
      <c r="T17" s="72">
        <v>150681.60999999999</v>
      </c>
      <c r="U17" s="72">
        <v>140830.17000000001</v>
      </c>
      <c r="V17" s="72">
        <v>153179.38</v>
      </c>
      <c r="W17" s="72">
        <v>137585.69</v>
      </c>
      <c r="X17" s="72">
        <v>155222.60999999999</v>
      </c>
      <c r="Y17" s="72">
        <v>206036.99</v>
      </c>
      <c r="Z17" s="72">
        <v>20750</v>
      </c>
      <c r="AA17" s="72">
        <v>36392</v>
      </c>
      <c r="AB17" s="72">
        <v>750</v>
      </c>
      <c r="AC17" s="72">
        <v>90063</v>
      </c>
      <c r="AD17" s="127">
        <f t="shared" ref="AD17:AD30" si="6">SUM(R17:AC17)</f>
        <v>1571988.28</v>
      </c>
      <c r="AE17" s="72">
        <f t="shared" ref="AE17:AE31" si="7">AD17-Q17</f>
        <v>-247434.41999999969</v>
      </c>
      <c r="AF17" s="192">
        <f t="shared" si="0"/>
        <v>-0.15740220404187727</v>
      </c>
      <c r="AG17" s="129">
        <v>25427.17</v>
      </c>
      <c r="AH17" s="129">
        <f t="shared" si="4"/>
        <v>-1793995.5299999998</v>
      </c>
      <c r="AI17" s="124"/>
    </row>
    <row r="18" spans="1:35">
      <c r="A18" s="105" t="s">
        <v>713</v>
      </c>
      <c r="B18" s="105" t="s">
        <v>641</v>
      </c>
      <c r="D18" s="106" t="s">
        <v>714</v>
      </c>
      <c r="Q18" s="129">
        <f>SUM(E18:P18)</f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127">
        <f t="shared" si="6"/>
        <v>0</v>
      </c>
      <c r="AE18" s="72">
        <f t="shared" si="7"/>
        <v>0</v>
      </c>
      <c r="AF18" s="192" t="e">
        <f t="shared" si="0"/>
        <v>#DIV/0!</v>
      </c>
      <c r="AG18" s="129">
        <v>2500</v>
      </c>
      <c r="AH18" s="129">
        <f t="shared" si="4"/>
        <v>2500</v>
      </c>
      <c r="AI18" s="124"/>
    </row>
    <row r="19" spans="1:35">
      <c r="A19" s="105" t="s">
        <v>715</v>
      </c>
      <c r="B19" s="105" t="s">
        <v>641</v>
      </c>
      <c r="D19" s="106" t="s">
        <v>716</v>
      </c>
      <c r="Q19" s="129">
        <f t="shared" ref="Q19:Q30" si="8">SUM(E19:P19)</f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72">
        <v>0</v>
      </c>
      <c r="AD19" s="127">
        <f t="shared" si="6"/>
        <v>0</v>
      </c>
      <c r="AE19" s="72">
        <f t="shared" si="7"/>
        <v>0</v>
      </c>
      <c r="AF19" s="192" t="e">
        <f t="shared" si="0"/>
        <v>#DIV/0!</v>
      </c>
      <c r="AG19" s="129">
        <v>0</v>
      </c>
      <c r="AH19" s="129">
        <f t="shared" si="4"/>
        <v>0</v>
      </c>
      <c r="AI19" s="124"/>
    </row>
    <row r="20" spans="1:35">
      <c r="A20" s="105" t="s">
        <v>689</v>
      </c>
      <c r="B20" s="105" t="s">
        <v>641</v>
      </c>
      <c r="D20" s="105" t="s">
        <v>202</v>
      </c>
      <c r="E20" s="72">
        <v>40613</v>
      </c>
      <c r="F20" s="72">
        <v>30613</v>
      </c>
      <c r="G20" s="72">
        <v>30613</v>
      </c>
      <c r="H20" s="72">
        <v>30613</v>
      </c>
      <c r="I20" s="72">
        <v>40613</v>
      </c>
      <c r="J20" s="72">
        <v>40613</v>
      </c>
      <c r="K20" s="72">
        <v>40613</v>
      </c>
      <c r="L20" s="72">
        <v>40613</v>
      </c>
      <c r="M20" s="72">
        <v>30613</v>
      </c>
      <c r="N20" s="72">
        <v>40613</v>
      </c>
      <c r="O20" s="72">
        <v>30613</v>
      </c>
      <c r="P20" s="72">
        <v>40613</v>
      </c>
      <c r="Q20" s="129">
        <f t="shared" si="8"/>
        <v>437356</v>
      </c>
      <c r="R20" s="72">
        <v>127553.47</v>
      </c>
      <c r="S20" s="72">
        <v>27800.49</v>
      </c>
      <c r="T20" s="72">
        <v>29087.59</v>
      </c>
      <c r="U20" s="72">
        <v>23628.47</v>
      </c>
      <c r="V20" s="72">
        <v>18549.62</v>
      </c>
      <c r="W20" s="72">
        <v>21846.59</v>
      </c>
      <c r="X20" s="72">
        <v>36333.31</v>
      </c>
      <c r="Y20" s="72">
        <v>40386.019999999997</v>
      </c>
      <c r="Z20" s="72">
        <v>19632</v>
      </c>
      <c r="AA20" s="72">
        <v>72341</v>
      </c>
      <c r="AB20" s="72">
        <v>23003</v>
      </c>
      <c r="AC20" s="72">
        <v>37966</v>
      </c>
      <c r="AD20" s="127">
        <f t="shared" si="6"/>
        <v>478127.56</v>
      </c>
      <c r="AE20" s="72">
        <f t="shared" si="7"/>
        <v>40771.56</v>
      </c>
      <c r="AF20" s="192">
        <f t="shared" si="0"/>
        <v>8.5273394405459488E-2</v>
      </c>
      <c r="AG20" s="129">
        <v>216392.71</v>
      </c>
      <c r="AH20" s="129">
        <f t="shared" si="4"/>
        <v>-220963.29</v>
      </c>
      <c r="AI20" s="124"/>
    </row>
    <row r="21" spans="1:35">
      <c r="A21" s="105" t="s">
        <v>197</v>
      </c>
      <c r="B21" s="105" t="s">
        <v>641</v>
      </c>
      <c r="D21" s="105" t="s">
        <v>305</v>
      </c>
      <c r="E21" s="72">
        <v>650</v>
      </c>
      <c r="F21" s="72">
        <v>650</v>
      </c>
      <c r="G21" s="72">
        <v>650</v>
      </c>
      <c r="H21" s="72">
        <v>650</v>
      </c>
      <c r="I21" s="72">
        <v>650</v>
      </c>
      <c r="J21" s="72">
        <v>650</v>
      </c>
      <c r="K21" s="72">
        <v>650</v>
      </c>
      <c r="L21" s="72">
        <v>650</v>
      </c>
      <c r="M21" s="72">
        <v>650</v>
      </c>
      <c r="N21" s="72">
        <v>650</v>
      </c>
      <c r="O21" s="72">
        <v>650</v>
      </c>
      <c r="P21" s="72">
        <v>650</v>
      </c>
      <c r="Q21" s="129">
        <f t="shared" si="8"/>
        <v>7800</v>
      </c>
      <c r="R21" s="72">
        <v>806.19</v>
      </c>
      <c r="S21" s="72">
        <v>1050</v>
      </c>
      <c r="T21" s="72">
        <v>912.38</v>
      </c>
      <c r="U21" s="72">
        <v>420</v>
      </c>
      <c r="V21" s="72">
        <v>450.07</v>
      </c>
      <c r="W21" s="72">
        <v>0</v>
      </c>
      <c r="X21" s="72">
        <v>720</v>
      </c>
      <c r="Y21" s="72">
        <v>0</v>
      </c>
      <c r="Z21" s="72">
        <v>400</v>
      </c>
      <c r="AA21" s="72">
        <v>400</v>
      </c>
      <c r="AB21" s="72">
        <v>400</v>
      </c>
      <c r="AC21" s="72">
        <v>400</v>
      </c>
      <c r="AD21" s="127">
        <f t="shared" si="6"/>
        <v>5958.64</v>
      </c>
      <c r="AE21" s="72">
        <f t="shared" si="7"/>
        <v>-1841.3599999999997</v>
      </c>
      <c r="AF21" s="192">
        <f t="shared" si="0"/>
        <v>-0.3090235355718754</v>
      </c>
      <c r="AG21" s="129">
        <v>1750.83</v>
      </c>
      <c r="AH21" s="129">
        <f t="shared" si="4"/>
        <v>-6049.17</v>
      </c>
      <c r="AI21" s="124"/>
    </row>
    <row r="22" spans="1:35">
      <c r="A22" s="105" t="s">
        <v>692</v>
      </c>
      <c r="B22" s="105" t="s">
        <v>641</v>
      </c>
      <c r="D22" s="105" t="s">
        <v>204</v>
      </c>
      <c r="E22" s="72">
        <v>1377</v>
      </c>
      <c r="F22" s="72">
        <v>1377</v>
      </c>
      <c r="G22" s="72">
        <v>1377</v>
      </c>
      <c r="H22" s="72">
        <v>1377</v>
      </c>
      <c r="I22" s="72">
        <v>1377</v>
      </c>
      <c r="J22" s="72">
        <v>1377</v>
      </c>
      <c r="K22" s="72">
        <v>1377</v>
      </c>
      <c r="L22" s="72">
        <v>1377</v>
      </c>
      <c r="M22" s="72">
        <v>1377</v>
      </c>
      <c r="N22" s="72">
        <v>1377</v>
      </c>
      <c r="O22" s="72">
        <v>1377</v>
      </c>
      <c r="P22" s="72">
        <v>1377</v>
      </c>
      <c r="Q22" s="129">
        <f t="shared" si="8"/>
        <v>16524</v>
      </c>
      <c r="R22" s="72">
        <v>2358</v>
      </c>
      <c r="S22" s="72">
        <v>2358</v>
      </c>
      <c r="T22" s="72">
        <v>2358</v>
      </c>
      <c r="U22" s="72">
        <v>0</v>
      </c>
      <c r="V22" s="72">
        <v>0</v>
      </c>
      <c r="W22" s="72">
        <v>0</v>
      </c>
      <c r="X22" s="72">
        <v>0</v>
      </c>
      <c r="Y22" s="72">
        <v>-40</v>
      </c>
      <c r="Z22" s="72">
        <v>0</v>
      </c>
      <c r="AA22" s="72">
        <v>0</v>
      </c>
      <c r="AB22" s="72">
        <v>0</v>
      </c>
      <c r="AC22" s="72">
        <v>0</v>
      </c>
      <c r="AD22" s="127">
        <f t="shared" si="6"/>
        <v>7034</v>
      </c>
      <c r="AE22" s="72">
        <f t="shared" si="7"/>
        <v>-9490</v>
      </c>
      <c r="AF22" s="192">
        <f t="shared" si="0"/>
        <v>-1.349161216946261</v>
      </c>
      <c r="AG22" s="129">
        <v>7044.42</v>
      </c>
      <c r="AH22" s="129">
        <f t="shared" si="4"/>
        <v>-9479.58</v>
      </c>
      <c r="AI22" s="124"/>
    </row>
    <row r="23" spans="1:35">
      <c r="A23" s="105" t="s">
        <v>717</v>
      </c>
      <c r="B23" s="105" t="s">
        <v>641</v>
      </c>
      <c r="D23" s="105" t="s">
        <v>208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129">
        <f t="shared" si="8"/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127">
        <f t="shared" si="6"/>
        <v>0</v>
      </c>
      <c r="AE23" s="72">
        <f t="shared" si="7"/>
        <v>0</v>
      </c>
      <c r="AF23" s="192" t="e">
        <f t="shared" si="0"/>
        <v>#DIV/0!</v>
      </c>
      <c r="AG23" s="129">
        <v>0</v>
      </c>
      <c r="AH23" s="129">
        <f t="shared" si="4"/>
        <v>0</v>
      </c>
      <c r="AI23" s="124"/>
    </row>
    <row r="24" spans="1:35">
      <c r="A24" s="105" t="s">
        <v>693</v>
      </c>
      <c r="B24" s="105" t="s">
        <v>641</v>
      </c>
      <c r="D24" s="105" t="s">
        <v>450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72">
        <v>0</v>
      </c>
      <c r="Q24" s="129">
        <f t="shared" si="8"/>
        <v>0</v>
      </c>
      <c r="R24" s="72">
        <v>0</v>
      </c>
      <c r="S24" s="72">
        <v>17619.34</v>
      </c>
      <c r="T24" s="72">
        <v>0</v>
      </c>
      <c r="U24" s="72">
        <v>0</v>
      </c>
      <c r="V24" s="72">
        <v>174.76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72">
        <v>0</v>
      </c>
      <c r="AD24" s="127">
        <f t="shared" si="6"/>
        <v>17794.099999999999</v>
      </c>
      <c r="AE24" s="72">
        <f t="shared" si="7"/>
        <v>17794.099999999999</v>
      </c>
      <c r="AF24" s="192">
        <f t="shared" si="0"/>
        <v>1</v>
      </c>
      <c r="AG24" s="129">
        <v>0</v>
      </c>
      <c r="AH24" s="129">
        <f t="shared" si="4"/>
        <v>0</v>
      </c>
      <c r="AI24" s="124"/>
    </row>
    <row r="25" spans="1:35">
      <c r="A25" s="105" t="s">
        <v>690</v>
      </c>
      <c r="B25" s="105" t="s">
        <v>641</v>
      </c>
      <c r="D25" s="105" t="s">
        <v>210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72">
        <v>0</v>
      </c>
      <c r="L25" s="72">
        <v>0</v>
      </c>
      <c r="M25" s="72">
        <v>0</v>
      </c>
      <c r="N25" s="72">
        <v>0</v>
      </c>
      <c r="O25" s="72">
        <v>0</v>
      </c>
      <c r="P25" s="72">
        <v>0</v>
      </c>
      <c r="Q25" s="129">
        <f t="shared" si="8"/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72">
        <v>0</v>
      </c>
      <c r="AD25" s="127">
        <f t="shared" si="6"/>
        <v>0</v>
      </c>
      <c r="AE25" s="72">
        <f t="shared" si="7"/>
        <v>0</v>
      </c>
      <c r="AF25" s="192" t="e">
        <f t="shared" si="0"/>
        <v>#DIV/0!</v>
      </c>
      <c r="AG25" s="129">
        <v>0</v>
      </c>
      <c r="AH25" s="129">
        <f t="shared" si="4"/>
        <v>0</v>
      </c>
      <c r="AI25" s="124"/>
    </row>
    <row r="26" spans="1:35">
      <c r="A26" s="105" t="s">
        <v>694</v>
      </c>
      <c r="B26" s="105" t="s">
        <v>641</v>
      </c>
      <c r="D26" s="105" t="s">
        <v>212</v>
      </c>
      <c r="E26" s="72">
        <v>3900</v>
      </c>
      <c r="F26" s="72">
        <v>1900</v>
      </c>
      <c r="G26" s="72">
        <v>900</v>
      </c>
      <c r="H26" s="72">
        <v>900</v>
      </c>
      <c r="I26" s="72">
        <v>2900</v>
      </c>
      <c r="J26" s="72">
        <v>1900</v>
      </c>
      <c r="K26" s="72">
        <v>2900</v>
      </c>
      <c r="L26" s="72">
        <v>2900</v>
      </c>
      <c r="M26" s="72">
        <v>250</v>
      </c>
      <c r="N26" s="72">
        <v>3900</v>
      </c>
      <c r="O26" s="72">
        <v>1250</v>
      </c>
      <c r="P26" s="72">
        <v>1250</v>
      </c>
      <c r="Q26" s="129">
        <f t="shared" si="8"/>
        <v>24850</v>
      </c>
      <c r="R26" s="72">
        <v>4447.46</v>
      </c>
      <c r="S26" s="72">
        <v>3862.18</v>
      </c>
      <c r="T26" s="72">
        <v>2013.4</v>
      </c>
      <c r="U26" s="72">
        <v>2818.32</v>
      </c>
      <c r="V26" s="72">
        <v>5898.93</v>
      </c>
      <c r="W26" s="72">
        <v>1334.08</v>
      </c>
      <c r="X26" s="72">
        <v>2056.6999999999998</v>
      </c>
      <c r="Y26" s="72">
        <v>1500.16</v>
      </c>
      <c r="Z26" s="72">
        <v>1500</v>
      </c>
      <c r="AA26" s="72">
        <v>1800</v>
      </c>
      <c r="AB26" s="72">
        <v>1500</v>
      </c>
      <c r="AC26" s="72">
        <v>2300</v>
      </c>
      <c r="AD26" s="127">
        <f t="shared" si="6"/>
        <v>31031.230000000003</v>
      </c>
      <c r="AE26" s="72">
        <f t="shared" si="7"/>
        <v>6181.2300000000032</v>
      </c>
      <c r="AF26" s="192">
        <f t="shared" si="0"/>
        <v>0.19919384439482427</v>
      </c>
      <c r="AG26" s="129">
        <v>41751.160000000003</v>
      </c>
      <c r="AH26" s="129">
        <f t="shared" si="4"/>
        <v>16901.160000000003</v>
      </c>
      <c r="AI26" s="124"/>
    </row>
    <row r="27" spans="1:35">
      <c r="A27" s="105" t="s">
        <v>709</v>
      </c>
      <c r="B27" s="105" t="s">
        <v>641</v>
      </c>
      <c r="D27" s="105" t="s">
        <v>214</v>
      </c>
      <c r="E27" s="164">
        <f>Laundry!E148</f>
        <v>814</v>
      </c>
      <c r="F27" s="164">
        <f>Laundry!F148</f>
        <v>742</v>
      </c>
      <c r="G27" s="164">
        <f>Laundry!G148</f>
        <v>750</v>
      </c>
      <c r="H27" s="164">
        <f>Laundry!H148</f>
        <v>771</v>
      </c>
      <c r="I27" s="164">
        <f>Laundry!I148</f>
        <v>793</v>
      </c>
      <c r="J27" s="164">
        <f>Laundry!J148</f>
        <v>757</v>
      </c>
      <c r="K27" s="164">
        <f>Laundry!K148</f>
        <v>808</v>
      </c>
      <c r="L27" s="164">
        <f>Laundry!L148</f>
        <v>804</v>
      </c>
      <c r="M27" s="164">
        <f>Laundry!M148</f>
        <v>776</v>
      </c>
      <c r="N27" s="164">
        <f>Laundry!N148</f>
        <v>883</v>
      </c>
      <c r="O27" s="164">
        <f>Laundry!O148</f>
        <v>780</v>
      </c>
      <c r="P27" s="164">
        <f>Laundry!P148</f>
        <v>776</v>
      </c>
      <c r="Q27" s="129">
        <f t="shared" si="8"/>
        <v>9454</v>
      </c>
      <c r="R27" s="72">
        <v>1284.05</v>
      </c>
      <c r="S27" s="72">
        <v>1334.97</v>
      </c>
      <c r="T27" s="72">
        <v>863.99</v>
      </c>
      <c r="U27" s="72">
        <v>727.4</v>
      </c>
      <c r="V27" s="72">
        <v>241.86</v>
      </c>
      <c r="W27" s="72">
        <v>692.39</v>
      </c>
      <c r="X27" s="72">
        <v>612.23</v>
      </c>
      <c r="Y27" s="72">
        <v>518.86</v>
      </c>
      <c r="Z27" s="72">
        <v>512</v>
      </c>
      <c r="AA27" s="72">
        <v>573</v>
      </c>
      <c r="AB27" s="72">
        <v>481</v>
      </c>
      <c r="AC27" s="72">
        <v>492</v>
      </c>
      <c r="AD27" s="127">
        <f t="shared" si="6"/>
        <v>8333.75</v>
      </c>
      <c r="AE27" s="72">
        <f t="shared" si="7"/>
        <v>-1120.25</v>
      </c>
      <c r="AF27" s="192">
        <f t="shared" si="0"/>
        <v>-0.1344232788360582</v>
      </c>
      <c r="AG27" s="129">
        <v>4527.55</v>
      </c>
      <c r="AH27" s="129">
        <f t="shared" si="4"/>
        <v>-4926.45</v>
      </c>
      <c r="AI27" s="124"/>
    </row>
    <row r="28" spans="1:35">
      <c r="A28" s="105" t="s">
        <v>696</v>
      </c>
      <c r="B28" s="105" t="s">
        <v>641</v>
      </c>
      <c r="D28" s="105" t="s">
        <v>216</v>
      </c>
      <c r="E28" s="72">
        <v>30</v>
      </c>
      <c r="F28" s="72">
        <v>30</v>
      </c>
      <c r="G28" s="72">
        <v>30</v>
      </c>
      <c r="H28" s="72">
        <v>30</v>
      </c>
      <c r="I28" s="72">
        <v>30</v>
      </c>
      <c r="J28" s="72">
        <v>30</v>
      </c>
      <c r="K28" s="72">
        <v>30</v>
      </c>
      <c r="L28" s="72">
        <v>30</v>
      </c>
      <c r="M28" s="72">
        <v>30</v>
      </c>
      <c r="N28" s="72">
        <v>30</v>
      </c>
      <c r="O28" s="72">
        <v>30</v>
      </c>
      <c r="P28" s="72">
        <v>30</v>
      </c>
      <c r="Q28" s="129">
        <f t="shared" si="8"/>
        <v>360</v>
      </c>
      <c r="R28" s="72">
        <v>23</v>
      </c>
      <c r="S28" s="72">
        <v>23</v>
      </c>
      <c r="T28" s="72">
        <v>23</v>
      </c>
      <c r="U28" s="72">
        <v>23</v>
      </c>
      <c r="V28" s="72">
        <v>23</v>
      </c>
      <c r="W28" s="72">
        <v>23</v>
      </c>
      <c r="X28" s="72">
        <v>23</v>
      </c>
      <c r="Y28" s="72">
        <v>23</v>
      </c>
      <c r="Z28" s="72">
        <v>23</v>
      </c>
      <c r="AA28" s="72">
        <v>23</v>
      </c>
      <c r="AB28" s="72">
        <v>23</v>
      </c>
      <c r="AC28" s="72">
        <v>23</v>
      </c>
      <c r="AD28" s="127">
        <f t="shared" si="6"/>
        <v>276</v>
      </c>
      <c r="AE28" s="72">
        <f t="shared" si="7"/>
        <v>-84</v>
      </c>
      <c r="AF28" s="192">
        <f t="shared" si="0"/>
        <v>-0.30434782608695654</v>
      </c>
      <c r="AG28" s="129">
        <v>769.00999999999988</v>
      </c>
      <c r="AH28" s="129">
        <f t="shared" si="4"/>
        <v>409.00999999999988</v>
      </c>
      <c r="AI28" s="124"/>
    </row>
    <row r="29" spans="1:35">
      <c r="A29" s="105" t="s">
        <v>697</v>
      </c>
      <c r="B29" s="105" t="s">
        <v>641</v>
      </c>
      <c r="D29" s="105" t="s">
        <v>218</v>
      </c>
      <c r="E29" s="72">
        <v>0</v>
      </c>
      <c r="F29" s="72">
        <v>0</v>
      </c>
      <c r="G29" s="72">
        <v>0</v>
      </c>
      <c r="H29" s="72">
        <v>0</v>
      </c>
      <c r="I29" s="72">
        <v>0</v>
      </c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2">
        <v>0</v>
      </c>
      <c r="P29" s="72">
        <v>0</v>
      </c>
      <c r="Q29" s="129">
        <f t="shared" si="8"/>
        <v>0</v>
      </c>
      <c r="R29" s="72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127">
        <f t="shared" si="6"/>
        <v>0</v>
      </c>
      <c r="AE29" s="72">
        <f t="shared" si="7"/>
        <v>0</v>
      </c>
      <c r="AF29" s="192" t="e">
        <f t="shared" si="0"/>
        <v>#DIV/0!</v>
      </c>
      <c r="AG29" s="129">
        <v>0</v>
      </c>
      <c r="AH29" s="129">
        <f t="shared" si="4"/>
        <v>0</v>
      </c>
      <c r="AI29" s="124"/>
    </row>
    <row r="30" spans="1:35">
      <c r="A30" s="105" t="s">
        <v>698</v>
      </c>
      <c r="B30" s="105" t="s">
        <v>641</v>
      </c>
      <c r="D30" s="105" t="s">
        <v>222</v>
      </c>
      <c r="E30" s="72">
        <v>259060</v>
      </c>
      <c r="F30" s="72">
        <v>218010</v>
      </c>
      <c r="G30" s="72">
        <v>211510</v>
      </c>
      <c r="H30" s="72">
        <v>213010</v>
      </c>
      <c r="I30" s="72">
        <v>220060</v>
      </c>
      <c r="J30" s="72">
        <v>219840</v>
      </c>
      <c r="K30" s="72">
        <v>223060</v>
      </c>
      <c r="L30" s="72">
        <v>214060</v>
      </c>
      <c r="M30" s="72">
        <v>210340</v>
      </c>
      <c r="N30" s="72">
        <v>231060</v>
      </c>
      <c r="O30" s="72">
        <v>218340</v>
      </c>
      <c r="P30" s="72">
        <v>236060</v>
      </c>
      <c r="Q30" s="129">
        <f t="shared" si="8"/>
        <v>2674410</v>
      </c>
      <c r="R30" s="72">
        <v>272784.86</v>
      </c>
      <c r="S30" s="72">
        <v>378263.64</v>
      </c>
      <c r="T30" s="72">
        <v>185050.17</v>
      </c>
      <c r="U30" s="72">
        <v>201295.73</v>
      </c>
      <c r="V30" s="72">
        <v>177798.74</v>
      </c>
      <c r="W30" s="72">
        <v>197685.51</v>
      </c>
      <c r="X30" s="72">
        <v>403511.64</v>
      </c>
      <c r="Y30" s="72">
        <v>417435.05</v>
      </c>
      <c r="Z30" s="72">
        <v>104299.8</v>
      </c>
      <c r="AA30" s="72">
        <v>165499.79999999999</v>
      </c>
      <c r="AB30" s="72">
        <v>135499.79999999999</v>
      </c>
      <c r="AC30" s="72">
        <v>183499.8</v>
      </c>
      <c r="AD30" s="127">
        <f t="shared" si="6"/>
        <v>2822624.5399999991</v>
      </c>
      <c r="AE30" s="72">
        <f t="shared" si="7"/>
        <v>148214.53999999911</v>
      </c>
      <c r="AF30" s="192">
        <f t="shared" si="0"/>
        <v>5.2509477580039446E-2</v>
      </c>
      <c r="AG30" s="129">
        <v>507278.4</v>
      </c>
      <c r="AH30" s="129">
        <f t="shared" si="4"/>
        <v>-2167131.6</v>
      </c>
      <c r="AI30" s="124"/>
    </row>
    <row r="31" spans="1:35">
      <c r="D31" s="105" t="s">
        <v>507</v>
      </c>
      <c r="E31" s="127">
        <f t="shared" ref="E31:AD31" si="9">SUM(E17:E30)</f>
        <v>485861.83</v>
      </c>
      <c r="F31" s="127">
        <f t="shared" si="9"/>
        <v>414394.71</v>
      </c>
      <c r="G31" s="127">
        <f t="shared" si="9"/>
        <v>378405.71</v>
      </c>
      <c r="H31" s="127">
        <f t="shared" si="9"/>
        <v>384183.35</v>
      </c>
      <c r="I31" s="127">
        <f t="shared" si="9"/>
        <v>408232.75</v>
      </c>
      <c r="J31" s="127">
        <f t="shared" si="9"/>
        <v>399648.71</v>
      </c>
      <c r="K31" s="127">
        <f t="shared" si="9"/>
        <v>432043.38</v>
      </c>
      <c r="L31" s="127">
        <f t="shared" si="9"/>
        <v>423137.38</v>
      </c>
      <c r="M31" s="127">
        <f t="shared" si="9"/>
        <v>377731.38</v>
      </c>
      <c r="N31" s="127">
        <f t="shared" si="9"/>
        <v>456943.74</v>
      </c>
      <c r="O31" s="127">
        <f t="shared" si="9"/>
        <v>386407.38</v>
      </c>
      <c r="P31" s="127">
        <f t="shared" si="9"/>
        <v>443186.38</v>
      </c>
      <c r="Q31" s="129">
        <f t="shared" si="9"/>
        <v>4990176.6999999993</v>
      </c>
      <c r="R31" s="127">
        <f t="shared" si="9"/>
        <v>559034.98</v>
      </c>
      <c r="S31" s="127">
        <f t="shared" si="9"/>
        <v>763030.5</v>
      </c>
      <c r="T31" s="127">
        <f t="shared" si="9"/>
        <v>370990.14</v>
      </c>
      <c r="U31" s="127">
        <f t="shared" si="9"/>
        <v>369743.09</v>
      </c>
      <c r="V31" s="127">
        <f t="shared" si="9"/>
        <v>356316.36</v>
      </c>
      <c r="W31" s="127">
        <f t="shared" si="9"/>
        <v>359167.26</v>
      </c>
      <c r="X31" s="127">
        <f t="shared" si="9"/>
        <v>598479.49</v>
      </c>
      <c r="Y31" s="127">
        <f t="shared" si="9"/>
        <v>665860.07999999996</v>
      </c>
      <c r="Z31" s="127">
        <f t="shared" si="9"/>
        <v>147116.79999999999</v>
      </c>
      <c r="AA31" s="127">
        <f t="shared" si="9"/>
        <v>277028.8</v>
      </c>
      <c r="AB31" s="127">
        <f t="shared" si="9"/>
        <v>161656.79999999999</v>
      </c>
      <c r="AC31" s="127">
        <f t="shared" si="9"/>
        <v>314743.8</v>
      </c>
      <c r="AD31" s="127">
        <f t="shared" si="9"/>
        <v>4943168.0999999996</v>
      </c>
      <c r="AE31" s="72">
        <f t="shared" si="7"/>
        <v>-47008.599999999627</v>
      </c>
      <c r="AF31" s="192">
        <f t="shared" si="0"/>
        <v>-9.50981213849467E-3</v>
      </c>
      <c r="AG31" s="129">
        <v>807441.25</v>
      </c>
      <c r="AH31" s="129">
        <f t="shared" si="4"/>
        <v>-4182735.4499999993</v>
      </c>
      <c r="AI31" s="124"/>
    </row>
    <row r="32" spans="1:35">
      <c r="D32" s="105" t="s">
        <v>508</v>
      </c>
      <c r="E32" s="127">
        <f t="shared" ref="E32:AD32" si="10">E12-E14-E31</f>
        <v>-220525.64</v>
      </c>
      <c r="F32" s="127">
        <f t="shared" si="10"/>
        <v>-60816.170000000042</v>
      </c>
      <c r="G32" s="127">
        <f t="shared" si="10"/>
        <v>-186965.05000000005</v>
      </c>
      <c r="H32" s="127">
        <f t="shared" si="10"/>
        <v>-183984.59999999998</v>
      </c>
      <c r="I32" s="127">
        <f t="shared" si="10"/>
        <v>-209944.39</v>
      </c>
      <c r="J32" s="127">
        <f t="shared" si="10"/>
        <v>-315408.07000000007</v>
      </c>
      <c r="K32" s="127">
        <f t="shared" si="10"/>
        <v>-237644.87</v>
      </c>
      <c r="L32" s="127">
        <f t="shared" si="10"/>
        <v>-237416.42</v>
      </c>
      <c r="M32" s="127">
        <f t="shared" si="10"/>
        <v>-241325.42</v>
      </c>
      <c r="N32" s="127">
        <f t="shared" si="10"/>
        <v>-261856.64000000001</v>
      </c>
      <c r="O32" s="127">
        <f t="shared" si="10"/>
        <v>-240474.85</v>
      </c>
      <c r="P32" s="127">
        <f t="shared" si="10"/>
        <v>-221680.40000000002</v>
      </c>
      <c r="Q32" s="129">
        <f t="shared" si="10"/>
        <v>-2618042.5199999996</v>
      </c>
      <c r="R32" s="127">
        <f t="shared" si="10"/>
        <v>-309466.69999999995</v>
      </c>
      <c r="S32" s="127">
        <f t="shared" si="10"/>
        <v>-404753.95999999996</v>
      </c>
      <c r="T32" s="127">
        <f t="shared" si="10"/>
        <v>-170620.62</v>
      </c>
      <c r="U32" s="127">
        <f t="shared" si="10"/>
        <v>-155872.98000000004</v>
      </c>
      <c r="V32" s="127">
        <f t="shared" si="10"/>
        <v>-152298.22999999998</v>
      </c>
      <c r="W32" s="127">
        <f t="shared" si="10"/>
        <v>-248407.11</v>
      </c>
      <c r="X32" s="127">
        <f t="shared" si="10"/>
        <v>-377038.58</v>
      </c>
      <c r="Y32" s="127">
        <f t="shared" si="10"/>
        <v>-346099.71999999991</v>
      </c>
      <c r="Z32" s="127">
        <f t="shared" si="10"/>
        <v>-95725.12999999999</v>
      </c>
      <c r="AA32" s="127">
        <f t="shared" si="10"/>
        <v>-193927.13</v>
      </c>
      <c r="AB32" s="127">
        <f t="shared" si="10"/>
        <v>-69267.13</v>
      </c>
      <c r="AC32" s="127">
        <f t="shared" si="10"/>
        <v>-123043.13</v>
      </c>
      <c r="AD32" s="127">
        <f t="shared" si="10"/>
        <v>-2646520.4199999995</v>
      </c>
      <c r="AE32" s="127">
        <f>Q32-AD32</f>
        <v>28477.899999999907</v>
      </c>
      <c r="AF32" s="192">
        <f>AE32/AD32</f>
        <v>-1.0760506431308742E-2</v>
      </c>
      <c r="AG32" s="129">
        <v>-708395.98</v>
      </c>
      <c r="AH32" s="124">
        <f>Q32-AG32</f>
        <v>-1909646.5399999996</v>
      </c>
      <c r="AI32" s="124"/>
    </row>
    <row r="33" spans="1:35">
      <c r="D33" s="105" t="s">
        <v>154</v>
      </c>
      <c r="AF33" s="192"/>
      <c r="AG33" s="129"/>
      <c r="AH33" s="124"/>
      <c r="AI33" s="124"/>
    </row>
    <row r="34" spans="1:35">
      <c r="D34" s="105" t="s">
        <v>516</v>
      </c>
      <c r="AF34" s="192"/>
      <c r="AG34" s="129"/>
      <c r="AI34" s="124"/>
    </row>
    <row r="35" spans="1:35">
      <c r="D35" s="105" t="s">
        <v>517</v>
      </c>
      <c r="AF35" s="192"/>
      <c r="AG35" s="129"/>
      <c r="AI35" s="124"/>
    </row>
    <row r="36" spans="1:35">
      <c r="A36" s="105" t="s">
        <v>248</v>
      </c>
      <c r="B36" s="105" t="s">
        <v>641</v>
      </c>
      <c r="D36" s="105" t="s">
        <v>250</v>
      </c>
      <c r="E36" s="215">
        <v>7700.0000000000009</v>
      </c>
      <c r="F36" s="116">
        <v>7700.0000000000009</v>
      </c>
      <c r="G36" s="116">
        <v>7738.5000000000009</v>
      </c>
      <c r="H36" s="116">
        <v>7738.5000000000009</v>
      </c>
      <c r="I36" s="116">
        <v>7738.5000000000009</v>
      </c>
      <c r="J36" s="116">
        <v>7738.5000000000009</v>
      </c>
      <c r="K36" s="116">
        <v>7738.5000000000009</v>
      </c>
      <c r="L36" s="116">
        <v>7738.5000000000009</v>
      </c>
      <c r="M36" s="116">
        <v>7738.5000000000009</v>
      </c>
      <c r="N36" s="116">
        <v>7738.5000000000009</v>
      </c>
      <c r="O36" s="116">
        <v>7738.5000000000009</v>
      </c>
      <c r="P36" s="116">
        <v>7738.5000000000009</v>
      </c>
      <c r="Q36" s="127">
        <f>SUM(E36:P36)</f>
        <v>92785.000000000015</v>
      </c>
      <c r="R36" s="72">
        <v>12600</v>
      </c>
      <c r="S36" s="72">
        <v>5743.72</v>
      </c>
      <c r="T36" s="72">
        <v>5800</v>
      </c>
      <c r="U36" s="72">
        <v>5800</v>
      </c>
      <c r="V36" s="72">
        <v>5800</v>
      </c>
      <c r="W36" s="72">
        <v>0</v>
      </c>
      <c r="X36" s="72">
        <v>0</v>
      </c>
      <c r="Y36" s="72">
        <v>0</v>
      </c>
      <c r="Z36" s="72">
        <v>12600</v>
      </c>
      <c r="AA36" s="72">
        <v>12600</v>
      </c>
      <c r="AB36" s="72">
        <v>12600</v>
      </c>
      <c r="AC36" s="72">
        <v>12600</v>
      </c>
      <c r="AD36" s="127">
        <f>SUM(R36:AC36)</f>
        <v>86143.72</v>
      </c>
      <c r="AE36" s="72">
        <f>AD36-Q36</f>
        <v>-6641.2800000000134</v>
      </c>
      <c r="AF36" s="192">
        <f t="shared" si="0"/>
        <v>-7.7095347170983722E-2</v>
      </c>
      <c r="AG36" s="129">
        <v>65244.590000000004</v>
      </c>
      <c r="AH36" s="129">
        <f t="shared" ref="AH36:AH70" si="11">AG36-Q36</f>
        <v>-27540.410000000011</v>
      </c>
      <c r="AI36" s="124"/>
    </row>
    <row r="37" spans="1:35">
      <c r="A37" s="105" t="s">
        <v>251</v>
      </c>
      <c r="B37" s="105" t="s">
        <v>641</v>
      </c>
      <c r="D37" s="105" t="s">
        <v>468</v>
      </c>
      <c r="E37" s="215">
        <v>21780</v>
      </c>
      <c r="F37" s="116">
        <v>21780</v>
      </c>
      <c r="G37" s="116">
        <v>22869.000000000004</v>
      </c>
      <c r="H37" s="116">
        <v>22869.000000000004</v>
      </c>
      <c r="I37" s="116">
        <v>22869.000000000004</v>
      </c>
      <c r="J37" s="116">
        <v>22869.000000000004</v>
      </c>
      <c r="K37" s="116">
        <v>22869.000000000004</v>
      </c>
      <c r="L37" s="116">
        <v>22869.000000000004</v>
      </c>
      <c r="M37" s="116">
        <v>22869.000000000004</v>
      </c>
      <c r="N37" s="116">
        <v>22869.000000000004</v>
      </c>
      <c r="O37" s="116">
        <v>22869.000000000004</v>
      </c>
      <c r="P37" s="116">
        <v>22869.000000000004</v>
      </c>
      <c r="Q37" s="137">
        <f>SUM(E37:P37)</f>
        <v>272250</v>
      </c>
      <c r="R37" s="72">
        <v>28586.94</v>
      </c>
      <c r="S37" s="72">
        <v>27455.119999999999</v>
      </c>
      <c r="T37" s="72">
        <v>28816.09</v>
      </c>
      <c r="U37" s="72">
        <v>25919.54</v>
      </c>
      <c r="V37" s="72">
        <v>25000</v>
      </c>
      <c r="W37" s="72">
        <v>24011.47</v>
      </c>
      <c r="X37" s="72">
        <v>22881.119999999999</v>
      </c>
      <c r="Y37" s="72">
        <v>18771.240000000002</v>
      </c>
      <c r="Z37" s="72">
        <v>18992</v>
      </c>
      <c r="AA37" s="72">
        <v>18992</v>
      </c>
      <c r="AB37" s="72">
        <v>18992</v>
      </c>
      <c r="AC37" s="72">
        <v>18992</v>
      </c>
      <c r="AD37" s="127">
        <f>SUM(R37:AC37)</f>
        <v>277409.52</v>
      </c>
      <c r="AE37" s="72">
        <f>AD37-Q37</f>
        <v>5159.5200000000186</v>
      </c>
      <c r="AF37" s="192">
        <f t="shared" si="0"/>
        <v>1.8598929121105931E-2</v>
      </c>
      <c r="AG37" s="129">
        <v>430915.47000000003</v>
      </c>
      <c r="AH37" s="129">
        <f t="shared" si="11"/>
        <v>158665.47000000003</v>
      </c>
      <c r="AI37" s="124"/>
    </row>
    <row r="38" spans="1:35">
      <c r="D38" s="105" t="s">
        <v>520</v>
      </c>
      <c r="E38" s="127">
        <f t="shared" ref="E38:AD38" si="12">SUM(E36:E37)</f>
        <v>29480</v>
      </c>
      <c r="F38" s="127">
        <f t="shared" si="12"/>
        <v>29480</v>
      </c>
      <c r="G38" s="127">
        <f t="shared" si="12"/>
        <v>30607.500000000004</v>
      </c>
      <c r="H38" s="127">
        <f t="shared" si="12"/>
        <v>30607.500000000004</v>
      </c>
      <c r="I38" s="127">
        <f t="shared" si="12"/>
        <v>30607.500000000004</v>
      </c>
      <c r="J38" s="127">
        <f t="shared" si="12"/>
        <v>30607.500000000004</v>
      </c>
      <c r="K38" s="127">
        <f t="shared" si="12"/>
        <v>30607.500000000004</v>
      </c>
      <c r="L38" s="127">
        <f t="shared" si="12"/>
        <v>30607.500000000004</v>
      </c>
      <c r="M38" s="127">
        <f t="shared" si="12"/>
        <v>30607.500000000004</v>
      </c>
      <c r="N38" s="127">
        <f t="shared" si="12"/>
        <v>30607.500000000004</v>
      </c>
      <c r="O38" s="127">
        <f t="shared" si="12"/>
        <v>30607.500000000004</v>
      </c>
      <c r="P38" s="127">
        <f t="shared" si="12"/>
        <v>30607.500000000004</v>
      </c>
      <c r="Q38" s="127">
        <f t="shared" si="12"/>
        <v>365035</v>
      </c>
      <c r="R38" s="127">
        <f t="shared" si="12"/>
        <v>41186.94</v>
      </c>
      <c r="S38" s="127">
        <f t="shared" si="12"/>
        <v>33198.839999999997</v>
      </c>
      <c r="T38" s="127">
        <f t="shared" si="12"/>
        <v>34616.089999999997</v>
      </c>
      <c r="U38" s="127">
        <f t="shared" si="12"/>
        <v>31719.54</v>
      </c>
      <c r="V38" s="127">
        <f t="shared" si="12"/>
        <v>30800</v>
      </c>
      <c r="W38" s="127">
        <f t="shared" si="12"/>
        <v>24011.47</v>
      </c>
      <c r="X38" s="127">
        <f t="shared" si="12"/>
        <v>22881.119999999999</v>
      </c>
      <c r="Y38" s="127">
        <f t="shared" si="12"/>
        <v>18771.240000000002</v>
      </c>
      <c r="Z38" s="127">
        <f t="shared" si="12"/>
        <v>31592</v>
      </c>
      <c r="AA38" s="127">
        <f t="shared" si="12"/>
        <v>31592</v>
      </c>
      <c r="AB38" s="127">
        <f t="shared" si="12"/>
        <v>31592</v>
      </c>
      <c r="AC38" s="127">
        <f t="shared" si="12"/>
        <v>31592</v>
      </c>
      <c r="AD38" s="127">
        <f t="shared" si="12"/>
        <v>363553.24</v>
      </c>
      <c r="AE38" s="72">
        <f>AD38-Q38</f>
        <v>-1481.7600000000093</v>
      </c>
      <c r="AF38" s="192">
        <f t="shared" si="0"/>
        <v>-4.0757716806485052E-3</v>
      </c>
      <c r="AG38" s="129">
        <v>496160.06000000006</v>
      </c>
      <c r="AH38" s="129">
        <f t="shared" si="11"/>
        <v>131125.06000000006</v>
      </c>
      <c r="AI38" s="124"/>
    </row>
    <row r="39" spans="1:35">
      <c r="D39" s="105" t="s">
        <v>154</v>
      </c>
      <c r="AF39" s="192" t="e">
        <f t="shared" si="0"/>
        <v>#DIV/0!</v>
      </c>
      <c r="AG39" s="129"/>
      <c r="AH39" s="129">
        <f t="shared" si="11"/>
        <v>0</v>
      </c>
      <c r="AI39" s="124"/>
    </row>
    <row r="40" spans="1:35">
      <c r="A40" s="105" t="s">
        <v>119</v>
      </c>
      <c r="B40" s="105" t="s">
        <v>641</v>
      </c>
      <c r="D40" s="105" t="s">
        <v>260</v>
      </c>
      <c r="E40" s="215">
        <v>13710.35</v>
      </c>
      <c r="F40" s="215">
        <v>0</v>
      </c>
      <c r="G40" s="215">
        <v>0</v>
      </c>
      <c r="H40" s="215">
        <v>2606.91</v>
      </c>
      <c r="I40" s="215">
        <v>4220.6799999999994</v>
      </c>
      <c r="J40" s="215">
        <v>0</v>
      </c>
      <c r="K40" s="215">
        <v>0</v>
      </c>
      <c r="L40" s="215">
        <v>0</v>
      </c>
      <c r="M40" s="215">
        <v>0</v>
      </c>
      <c r="N40" s="215">
        <v>15264.83</v>
      </c>
      <c r="O40" s="215">
        <v>0</v>
      </c>
      <c r="P40" s="215">
        <v>0</v>
      </c>
      <c r="Q40" s="127">
        <f>SUM(E40:P40)</f>
        <v>35802.769999999997</v>
      </c>
      <c r="R40" s="72">
        <v>4946.6099999999997</v>
      </c>
      <c r="S40" s="72">
        <v>12024.23</v>
      </c>
      <c r="T40" s="72">
        <v>0</v>
      </c>
      <c r="U40" s="72">
        <v>3448.32</v>
      </c>
      <c r="V40" s="72">
        <v>4796.62</v>
      </c>
      <c r="W40" s="72">
        <v>2606.94</v>
      </c>
      <c r="X40" s="72">
        <v>0</v>
      </c>
      <c r="Y40" s="72">
        <v>0</v>
      </c>
      <c r="Z40" s="72">
        <v>7295</v>
      </c>
      <c r="AA40" s="72">
        <v>21886</v>
      </c>
      <c r="AB40" s="72">
        <v>0</v>
      </c>
      <c r="AC40" s="72">
        <v>0</v>
      </c>
      <c r="AD40" s="127">
        <f>SUM(R40:AC40)</f>
        <v>57003.72</v>
      </c>
      <c r="AE40" s="72">
        <f t="shared" ref="AE40:AE45" si="13">AD40-Q40</f>
        <v>21200.950000000004</v>
      </c>
      <c r="AF40" s="192">
        <f t="shared" si="0"/>
        <v>0.3719222184096056</v>
      </c>
      <c r="AG40" s="129">
        <v>48484.429999999993</v>
      </c>
      <c r="AH40" s="129">
        <f t="shared" si="11"/>
        <v>12681.659999999996</v>
      </c>
      <c r="AI40" s="124"/>
    </row>
    <row r="41" spans="1:35">
      <c r="A41" s="105" t="s">
        <v>120</v>
      </c>
      <c r="B41" s="105" t="s">
        <v>641</v>
      </c>
      <c r="D41" s="105" t="s">
        <v>668</v>
      </c>
      <c r="E41" s="215">
        <v>4425.01</v>
      </c>
      <c r="F41" s="215">
        <v>4425.01</v>
      </c>
      <c r="G41" s="215">
        <v>4425.01</v>
      </c>
      <c r="H41" s="215">
        <v>4425.01</v>
      </c>
      <c r="I41" s="215">
        <v>4425.01</v>
      </c>
      <c r="J41" s="215">
        <v>4425.01</v>
      </c>
      <c r="K41" s="215">
        <v>4425.01</v>
      </c>
      <c r="L41" s="215">
        <v>4425.01</v>
      </c>
      <c r="M41" s="215">
        <v>4425.01</v>
      </c>
      <c r="N41" s="215">
        <v>4425.01</v>
      </c>
      <c r="O41" s="215">
        <v>4425.01</v>
      </c>
      <c r="P41" s="215">
        <v>4425.01</v>
      </c>
      <c r="Q41" s="137">
        <f>SUM(E41:P41)</f>
        <v>53100.120000000017</v>
      </c>
      <c r="R41" s="136">
        <v>10424.549999999999</v>
      </c>
      <c r="S41" s="136">
        <v>10393.98</v>
      </c>
      <c r="T41" s="136">
        <v>8733.23</v>
      </c>
      <c r="U41" s="136">
        <v>5803.22</v>
      </c>
      <c r="V41" s="136">
        <v>5118.71</v>
      </c>
      <c r="W41" s="136">
        <v>4181.55</v>
      </c>
      <c r="X41" s="72">
        <v>4613.3500000000004</v>
      </c>
      <c r="Y41" s="72">
        <v>3613.86</v>
      </c>
      <c r="Z41" s="72">
        <v>5265.33</v>
      </c>
      <c r="AA41" s="72">
        <v>5265.33</v>
      </c>
      <c r="AB41" s="72">
        <v>5265.33</v>
      </c>
      <c r="AC41" s="72">
        <v>5265.33</v>
      </c>
      <c r="AD41" s="137">
        <f>SUM(R41:AC41)</f>
        <v>73943.77</v>
      </c>
      <c r="AE41" s="136">
        <f t="shared" si="13"/>
        <v>20843.649999999987</v>
      </c>
      <c r="AF41" s="196">
        <f t="shared" si="0"/>
        <v>0.28188514056018493</v>
      </c>
      <c r="AG41" s="133">
        <v>39373.57</v>
      </c>
      <c r="AH41" s="129">
        <f t="shared" si="11"/>
        <v>-13726.550000000017</v>
      </c>
      <c r="AI41" s="124"/>
    </row>
    <row r="42" spans="1:35">
      <c r="A42" s="105" t="s">
        <v>121</v>
      </c>
      <c r="B42" s="105" t="s">
        <v>641</v>
      </c>
      <c r="D42" s="105" t="s">
        <v>262</v>
      </c>
      <c r="E42" s="215">
        <v>4410</v>
      </c>
      <c r="F42" s="215">
        <v>4410</v>
      </c>
      <c r="G42" s="215">
        <v>4410</v>
      </c>
      <c r="H42" s="215">
        <v>4410</v>
      </c>
      <c r="I42" s="215">
        <v>4410</v>
      </c>
      <c r="J42" s="215">
        <v>4410</v>
      </c>
      <c r="K42" s="215">
        <v>4410</v>
      </c>
      <c r="L42" s="215">
        <v>4410</v>
      </c>
      <c r="M42" s="215">
        <v>4410</v>
      </c>
      <c r="N42" s="215">
        <v>4410</v>
      </c>
      <c r="O42" s="215">
        <v>4410</v>
      </c>
      <c r="P42" s="215">
        <v>4410</v>
      </c>
      <c r="Q42" s="127">
        <f>SUM(E42:P42)</f>
        <v>52920</v>
      </c>
      <c r="R42" s="72">
        <v>6527.42</v>
      </c>
      <c r="S42" s="72">
        <v>5211.38</v>
      </c>
      <c r="T42" s="72">
        <v>5288.62</v>
      </c>
      <c r="U42" s="72">
        <v>4793.55</v>
      </c>
      <c r="V42" s="72">
        <v>5570</v>
      </c>
      <c r="W42" s="72">
        <v>3688.86</v>
      </c>
      <c r="X42" s="72">
        <v>4207.25</v>
      </c>
      <c r="Y42" s="72">
        <v>3348.71</v>
      </c>
      <c r="Z42" s="72">
        <v>9427</v>
      </c>
      <c r="AA42" s="72">
        <v>8679</v>
      </c>
      <c r="AB42" s="72">
        <v>8747</v>
      </c>
      <c r="AC42" s="72">
        <v>8747</v>
      </c>
      <c r="AD42" s="127">
        <f>SUM(R42:AC42)</f>
        <v>74235.790000000008</v>
      </c>
      <c r="AE42" s="72">
        <f t="shared" si="13"/>
        <v>21315.790000000008</v>
      </c>
      <c r="AF42" s="192">
        <f t="shared" si="0"/>
        <v>0.28713629908161559</v>
      </c>
      <c r="AG42" s="129">
        <v>34870.93</v>
      </c>
      <c r="AH42" s="129">
        <f t="shared" si="11"/>
        <v>-18049.07</v>
      </c>
      <c r="AI42" s="124"/>
    </row>
    <row r="43" spans="1:35">
      <c r="A43" s="105" t="s">
        <v>122</v>
      </c>
      <c r="B43" s="105" t="s">
        <v>641</v>
      </c>
      <c r="D43" s="105" t="s">
        <v>263</v>
      </c>
      <c r="E43" s="215">
        <v>0</v>
      </c>
      <c r="F43" s="215">
        <v>0</v>
      </c>
      <c r="G43" s="215">
        <v>0</v>
      </c>
      <c r="H43" s="215">
        <v>0</v>
      </c>
      <c r="I43" s="215">
        <v>0</v>
      </c>
      <c r="J43" s="215">
        <v>0</v>
      </c>
      <c r="K43" s="215">
        <v>0</v>
      </c>
      <c r="L43" s="215">
        <v>0</v>
      </c>
      <c r="M43" s="215">
        <v>0</v>
      </c>
      <c r="N43" s="215">
        <v>0</v>
      </c>
      <c r="O43" s="215">
        <v>0</v>
      </c>
      <c r="P43" s="215">
        <v>0</v>
      </c>
      <c r="Q43" s="127">
        <f>SUM(E43:P43)</f>
        <v>0</v>
      </c>
      <c r="R43" s="72">
        <v>0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72">
        <v>0</v>
      </c>
      <c r="AD43" s="127">
        <f>SUM(R43:AC43)</f>
        <v>0</v>
      </c>
      <c r="AE43" s="72">
        <f t="shared" si="13"/>
        <v>0</v>
      </c>
      <c r="AF43" s="192" t="e">
        <f t="shared" si="0"/>
        <v>#DIV/0!</v>
      </c>
      <c r="AG43" s="129">
        <v>0</v>
      </c>
      <c r="AH43" s="129">
        <f t="shared" si="11"/>
        <v>0</v>
      </c>
      <c r="AI43" s="124"/>
    </row>
    <row r="44" spans="1:35">
      <c r="A44" s="105" t="s">
        <v>123</v>
      </c>
      <c r="B44" s="105" t="s">
        <v>641</v>
      </c>
      <c r="D44" s="105" t="s">
        <v>264</v>
      </c>
      <c r="E44" s="215">
        <v>11856.67</v>
      </c>
      <c r="F44" s="215">
        <v>11856.67</v>
      </c>
      <c r="G44" s="215">
        <v>11856.67</v>
      </c>
      <c r="H44" s="215">
        <v>11856.67</v>
      </c>
      <c r="I44" s="215">
        <v>11856.67</v>
      </c>
      <c r="J44" s="215">
        <v>11856.67</v>
      </c>
      <c r="K44" s="215">
        <v>11856.67</v>
      </c>
      <c r="L44" s="215">
        <v>11856.67</v>
      </c>
      <c r="M44" s="215">
        <v>11856.67</v>
      </c>
      <c r="N44" s="215">
        <v>11856.67</v>
      </c>
      <c r="O44" s="215">
        <v>11856.67</v>
      </c>
      <c r="P44" s="215">
        <v>11856.67</v>
      </c>
      <c r="Q44" s="137">
        <f>SUM(E44:P44)</f>
        <v>142280.04</v>
      </c>
      <c r="R44" s="136">
        <v>1400</v>
      </c>
      <c r="S44" s="136">
        <v>1600</v>
      </c>
      <c r="T44" s="136">
        <v>1600</v>
      </c>
      <c r="U44" s="136">
        <v>1669.61</v>
      </c>
      <c r="V44" s="136">
        <v>1518.87</v>
      </c>
      <c r="W44" s="136">
        <v>800</v>
      </c>
      <c r="X44" s="72">
        <v>1200</v>
      </c>
      <c r="Y44" s="72">
        <v>31486</v>
      </c>
      <c r="Z44" s="72">
        <v>12160</v>
      </c>
      <c r="AA44" s="72">
        <v>66518</v>
      </c>
      <c r="AB44" s="72">
        <v>32160</v>
      </c>
      <c r="AC44" s="72">
        <v>12847</v>
      </c>
      <c r="AD44" s="137">
        <f>SUM(R44:AC44)</f>
        <v>164959.47999999998</v>
      </c>
      <c r="AE44" s="136">
        <f t="shared" si="13"/>
        <v>22679.439999999973</v>
      </c>
      <c r="AF44" s="196">
        <f t="shared" si="0"/>
        <v>0.13748491447717934</v>
      </c>
      <c r="AG44" s="133">
        <v>18599.2</v>
      </c>
      <c r="AH44" s="129">
        <f t="shared" si="11"/>
        <v>-123680.84000000001</v>
      </c>
      <c r="AI44" s="124"/>
    </row>
    <row r="45" spans="1:35">
      <c r="D45" s="109" t="s">
        <v>521</v>
      </c>
      <c r="E45" s="127">
        <f t="shared" ref="E45:P45" si="14">SUM(E40:E44)</f>
        <v>34402.03</v>
      </c>
      <c r="F45" s="127">
        <f t="shared" si="14"/>
        <v>20691.68</v>
      </c>
      <c r="G45" s="127">
        <f t="shared" si="14"/>
        <v>20691.68</v>
      </c>
      <c r="H45" s="127">
        <f t="shared" si="14"/>
        <v>23298.59</v>
      </c>
      <c r="I45" s="127">
        <f t="shared" si="14"/>
        <v>24912.36</v>
      </c>
      <c r="J45" s="127">
        <f t="shared" si="14"/>
        <v>20691.68</v>
      </c>
      <c r="K45" s="127">
        <f t="shared" si="14"/>
        <v>20691.68</v>
      </c>
      <c r="L45" s="127">
        <f t="shared" si="14"/>
        <v>20691.68</v>
      </c>
      <c r="M45" s="127">
        <f t="shared" si="14"/>
        <v>20691.68</v>
      </c>
      <c r="N45" s="127">
        <f t="shared" si="14"/>
        <v>35956.51</v>
      </c>
      <c r="O45" s="127">
        <f t="shared" si="14"/>
        <v>20691.68</v>
      </c>
      <c r="P45" s="127">
        <f t="shared" si="14"/>
        <v>20691.68</v>
      </c>
      <c r="Q45" s="127">
        <f>SUM(Q40:Q44)</f>
        <v>284102.93000000005</v>
      </c>
      <c r="R45" s="127">
        <f t="shared" ref="R45:AD45" si="15">SUM(R40:R44)</f>
        <v>23298.58</v>
      </c>
      <c r="S45" s="127">
        <f t="shared" si="15"/>
        <v>29229.59</v>
      </c>
      <c r="T45" s="127">
        <f t="shared" si="15"/>
        <v>15621.849999999999</v>
      </c>
      <c r="U45" s="127">
        <f t="shared" si="15"/>
        <v>15714.7</v>
      </c>
      <c r="V45" s="127">
        <f t="shared" si="15"/>
        <v>17004.2</v>
      </c>
      <c r="W45" s="127">
        <f t="shared" si="15"/>
        <v>11277.35</v>
      </c>
      <c r="X45" s="127">
        <f t="shared" si="15"/>
        <v>10020.6</v>
      </c>
      <c r="Y45" s="127">
        <f t="shared" si="15"/>
        <v>38448.57</v>
      </c>
      <c r="Z45" s="127">
        <f t="shared" si="15"/>
        <v>34147.33</v>
      </c>
      <c r="AA45" s="127">
        <f t="shared" si="15"/>
        <v>102348.33</v>
      </c>
      <c r="AB45" s="127">
        <f t="shared" si="15"/>
        <v>46172.33</v>
      </c>
      <c r="AC45" s="127">
        <f t="shared" si="15"/>
        <v>26859.33</v>
      </c>
      <c r="AD45" s="127">
        <f t="shared" si="15"/>
        <v>370142.76</v>
      </c>
      <c r="AE45" s="72">
        <f t="shared" si="13"/>
        <v>86039.829999999958</v>
      </c>
      <c r="AF45" s="192">
        <f t="shared" si="0"/>
        <v>0.23245039292407058</v>
      </c>
      <c r="AG45" s="129">
        <v>141328.13</v>
      </c>
      <c r="AH45" s="129">
        <f t="shared" si="11"/>
        <v>-142774.80000000005</v>
      </c>
      <c r="AI45" s="124"/>
    </row>
    <row r="46" spans="1:35">
      <c r="D46" s="105" t="s">
        <v>154</v>
      </c>
      <c r="AF46" s="192"/>
      <c r="AG46" s="129"/>
      <c r="AH46" s="129">
        <f t="shared" si="11"/>
        <v>0</v>
      </c>
      <c r="AI46" s="124"/>
    </row>
    <row r="47" spans="1:35">
      <c r="A47" s="105" t="s">
        <v>124</v>
      </c>
      <c r="B47" s="105" t="s">
        <v>641</v>
      </c>
      <c r="D47" s="105" t="s">
        <v>266</v>
      </c>
      <c r="E47" s="215">
        <v>7114.6</v>
      </c>
      <c r="F47" s="215">
        <v>7114.6</v>
      </c>
      <c r="G47" s="215">
        <v>7114.6</v>
      </c>
      <c r="H47" s="215">
        <v>7114.6</v>
      </c>
      <c r="I47" s="215">
        <v>7114.6</v>
      </c>
      <c r="J47" s="215">
        <v>7114.6</v>
      </c>
      <c r="K47" s="215">
        <v>7332.3600000000006</v>
      </c>
      <c r="L47" s="215">
        <v>7332.3600000000006</v>
      </c>
      <c r="M47" s="215">
        <v>7332.3600000000006</v>
      </c>
      <c r="N47" s="215">
        <v>7332.3600000000006</v>
      </c>
      <c r="O47" s="215">
        <v>7332.3600000000006</v>
      </c>
      <c r="P47" s="215">
        <v>7332.3600000000006</v>
      </c>
      <c r="Q47" s="127">
        <f>SUM(E47:P47)</f>
        <v>86681.760000000009</v>
      </c>
      <c r="R47" s="72">
        <v>11534.54</v>
      </c>
      <c r="S47" s="72">
        <v>9625.15</v>
      </c>
      <c r="T47" s="72">
        <v>9625.15</v>
      </c>
      <c r="U47" s="72">
        <v>8540.8799999999992</v>
      </c>
      <c r="V47" s="72">
        <v>8540.8799999999992</v>
      </c>
      <c r="W47" s="72">
        <v>6930.43</v>
      </c>
      <c r="X47" s="72">
        <v>6157.63</v>
      </c>
      <c r="Y47" s="72">
        <v>5384.83</v>
      </c>
      <c r="Z47" s="72">
        <v>9829</v>
      </c>
      <c r="AA47" s="72">
        <v>9829</v>
      </c>
      <c r="AB47" s="72">
        <v>9829</v>
      </c>
      <c r="AC47" s="72">
        <v>9829</v>
      </c>
      <c r="AD47" s="127">
        <f t="shared" ref="AD47:AD54" si="16">SUM(R47:AC47)</f>
        <v>105655.48999999999</v>
      </c>
      <c r="AE47" s="72">
        <f t="shared" ref="AE47:AE55" si="17">AD47-Q47</f>
        <v>18973.729999999981</v>
      </c>
      <c r="AF47" s="192">
        <f t="shared" si="0"/>
        <v>0.17958110837401808</v>
      </c>
      <c r="AG47" s="129">
        <v>60426.58</v>
      </c>
      <c r="AH47" s="129">
        <f t="shared" si="11"/>
        <v>-26255.180000000008</v>
      </c>
      <c r="AI47" s="124"/>
    </row>
    <row r="48" spans="1:35">
      <c r="A48" s="105" t="s">
        <v>125</v>
      </c>
      <c r="B48" s="105" t="s">
        <v>641</v>
      </c>
      <c r="D48" s="105" t="s">
        <v>267</v>
      </c>
      <c r="E48" s="215">
        <v>2876.6</v>
      </c>
      <c r="F48" s="215">
        <v>2876.6</v>
      </c>
      <c r="G48" s="215">
        <v>2876.6</v>
      </c>
      <c r="H48" s="215">
        <v>2876.6</v>
      </c>
      <c r="I48" s="215">
        <v>2876.6</v>
      </c>
      <c r="J48" s="215">
        <v>2876.6</v>
      </c>
      <c r="K48" s="215">
        <v>2951.36</v>
      </c>
      <c r="L48" s="215">
        <v>2951.36</v>
      </c>
      <c r="M48" s="215">
        <v>2951.36</v>
      </c>
      <c r="N48" s="215">
        <v>2951.36</v>
      </c>
      <c r="O48" s="215">
        <v>2951.36</v>
      </c>
      <c r="P48" s="215">
        <v>2951.36</v>
      </c>
      <c r="Q48" s="127">
        <f t="shared" ref="Q48:Q54" si="18">SUM(E48:P48)</f>
        <v>34967.760000000002</v>
      </c>
      <c r="R48" s="72">
        <v>6127.72</v>
      </c>
      <c r="S48" s="72">
        <v>5113.3599999999997</v>
      </c>
      <c r="T48" s="72">
        <v>5113.3599999999997</v>
      </c>
      <c r="U48" s="72">
        <v>4537.34</v>
      </c>
      <c r="V48" s="72">
        <v>4537.34</v>
      </c>
      <c r="W48" s="72">
        <v>3681.79</v>
      </c>
      <c r="X48" s="72">
        <v>2501.5300000000002</v>
      </c>
      <c r="Y48" s="72">
        <v>2187.58</v>
      </c>
      <c r="Z48" s="72">
        <v>5140</v>
      </c>
      <c r="AA48" s="72">
        <v>5140</v>
      </c>
      <c r="AB48" s="72">
        <v>5140</v>
      </c>
      <c r="AC48" s="72">
        <v>5140</v>
      </c>
      <c r="AD48" s="127">
        <f t="shared" si="16"/>
        <v>54360.02</v>
      </c>
      <c r="AE48" s="72">
        <f t="shared" si="17"/>
        <v>19392.259999999995</v>
      </c>
      <c r="AF48" s="192">
        <f t="shared" si="0"/>
        <v>0.35673754351083747</v>
      </c>
      <c r="AG48" s="129">
        <v>29052.459999999995</v>
      </c>
      <c r="AH48" s="129">
        <f t="shared" si="11"/>
        <v>-5915.3000000000065</v>
      </c>
      <c r="AI48" s="124"/>
    </row>
    <row r="49" spans="1:35">
      <c r="A49" s="105" t="s">
        <v>126</v>
      </c>
      <c r="B49" s="105" t="s">
        <v>641</v>
      </c>
      <c r="D49" s="105" t="s">
        <v>268</v>
      </c>
      <c r="E49" s="215">
        <v>221.28</v>
      </c>
      <c r="F49" s="215">
        <v>221.28</v>
      </c>
      <c r="G49" s="215">
        <v>221.28</v>
      </c>
      <c r="H49" s="215">
        <v>221.28</v>
      </c>
      <c r="I49" s="215">
        <v>221.28</v>
      </c>
      <c r="J49" s="215">
        <v>221.28</v>
      </c>
      <c r="K49" s="215">
        <v>227.04</v>
      </c>
      <c r="L49" s="215">
        <v>227.04</v>
      </c>
      <c r="M49" s="215">
        <v>227.04</v>
      </c>
      <c r="N49" s="215">
        <v>227.04</v>
      </c>
      <c r="O49" s="215">
        <v>227.04</v>
      </c>
      <c r="P49" s="215">
        <v>227.04</v>
      </c>
      <c r="Q49" s="127">
        <f t="shared" si="18"/>
        <v>2689.92</v>
      </c>
      <c r="R49" s="72">
        <v>360.45</v>
      </c>
      <c r="S49" s="72">
        <v>300.77999999999997</v>
      </c>
      <c r="T49" s="72">
        <v>300.77999999999997</v>
      </c>
      <c r="U49" s="72">
        <v>266.89999999999998</v>
      </c>
      <c r="V49" s="72">
        <v>266.89999999999998</v>
      </c>
      <c r="W49" s="72">
        <v>216.57</v>
      </c>
      <c r="X49" s="72">
        <v>192.42</v>
      </c>
      <c r="Y49" s="72">
        <v>168.27</v>
      </c>
      <c r="Z49" s="72">
        <v>312</v>
      </c>
      <c r="AA49" s="72">
        <v>312</v>
      </c>
      <c r="AB49" s="72">
        <v>312</v>
      </c>
      <c r="AC49" s="72">
        <v>312</v>
      </c>
      <c r="AD49" s="127">
        <f t="shared" si="16"/>
        <v>3321.07</v>
      </c>
      <c r="AE49" s="72">
        <f t="shared" si="17"/>
        <v>631.15000000000009</v>
      </c>
      <c r="AF49" s="192">
        <f t="shared" si="0"/>
        <v>0.19004417251066677</v>
      </c>
      <c r="AG49" s="129">
        <v>1786.9599999999998</v>
      </c>
      <c r="AH49" s="129">
        <f t="shared" si="11"/>
        <v>-902.96000000000026</v>
      </c>
      <c r="AI49" s="124"/>
    </row>
    <row r="50" spans="1:35">
      <c r="A50" s="105" t="s">
        <v>127</v>
      </c>
      <c r="B50" s="105" t="s">
        <v>641</v>
      </c>
      <c r="D50" s="105" t="s">
        <v>269</v>
      </c>
      <c r="E50" s="215">
        <v>53.099999999999994</v>
      </c>
      <c r="F50" s="215">
        <v>53.099999999999994</v>
      </c>
      <c r="G50" s="215">
        <v>53.099999999999994</v>
      </c>
      <c r="H50" s="215">
        <v>53.099999999999994</v>
      </c>
      <c r="I50" s="215">
        <v>53.099999999999994</v>
      </c>
      <c r="J50" s="215">
        <v>53.099999999999994</v>
      </c>
      <c r="K50" s="215">
        <v>54.5</v>
      </c>
      <c r="L50" s="215">
        <v>54.5</v>
      </c>
      <c r="M50" s="215">
        <v>54.5</v>
      </c>
      <c r="N50" s="215">
        <v>54.5</v>
      </c>
      <c r="O50" s="215">
        <v>54.5</v>
      </c>
      <c r="P50" s="215">
        <v>54.5</v>
      </c>
      <c r="Q50" s="127">
        <f t="shared" si="18"/>
        <v>645.6</v>
      </c>
      <c r="R50" s="72">
        <v>86.53</v>
      </c>
      <c r="S50" s="72">
        <v>72.209999999999994</v>
      </c>
      <c r="T50" s="72">
        <v>72.209999999999994</v>
      </c>
      <c r="U50" s="72">
        <v>64.08</v>
      </c>
      <c r="V50" s="72">
        <v>64.08</v>
      </c>
      <c r="W50" s="72">
        <v>52</v>
      </c>
      <c r="X50" s="72">
        <v>46.2</v>
      </c>
      <c r="Y50" s="72">
        <v>40.4</v>
      </c>
      <c r="Z50" s="72">
        <v>93</v>
      </c>
      <c r="AA50" s="72">
        <v>93</v>
      </c>
      <c r="AB50" s="72">
        <v>93</v>
      </c>
      <c r="AC50" s="72">
        <v>93</v>
      </c>
      <c r="AD50" s="127">
        <f t="shared" si="16"/>
        <v>869.70999999999992</v>
      </c>
      <c r="AE50" s="72">
        <f t="shared" si="17"/>
        <v>224.1099999999999</v>
      </c>
      <c r="AF50" s="192">
        <f t="shared" si="0"/>
        <v>0.25768359568131899</v>
      </c>
      <c r="AG50" s="129">
        <v>571.73</v>
      </c>
      <c r="AH50" s="129">
        <f t="shared" si="11"/>
        <v>-73.87</v>
      </c>
      <c r="AI50" s="124"/>
    </row>
    <row r="51" spans="1:35">
      <c r="A51" s="105" t="s">
        <v>128</v>
      </c>
      <c r="B51" s="105" t="s">
        <v>641</v>
      </c>
      <c r="D51" s="105" t="s">
        <v>270</v>
      </c>
      <c r="E51" s="215">
        <v>0</v>
      </c>
      <c r="F51" s="215">
        <v>0</v>
      </c>
      <c r="G51" s="215">
        <v>0</v>
      </c>
      <c r="H51" s="215">
        <v>0</v>
      </c>
      <c r="I51" s="215">
        <v>0</v>
      </c>
      <c r="J51" s="215">
        <v>0</v>
      </c>
      <c r="K51" s="215">
        <v>0</v>
      </c>
      <c r="L51" s="215">
        <v>0</v>
      </c>
      <c r="M51" s="215">
        <v>0</v>
      </c>
      <c r="N51" s="215">
        <v>0</v>
      </c>
      <c r="O51" s="215">
        <v>0</v>
      </c>
      <c r="P51" s="215">
        <v>0</v>
      </c>
      <c r="Q51" s="127">
        <f t="shared" si="18"/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72">
        <v>0</v>
      </c>
      <c r="AD51" s="127">
        <f t="shared" si="16"/>
        <v>0</v>
      </c>
      <c r="AE51" s="72">
        <f t="shared" si="17"/>
        <v>0</v>
      </c>
      <c r="AF51" s="192" t="e">
        <f t="shared" si="0"/>
        <v>#DIV/0!</v>
      </c>
      <c r="AG51" s="129">
        <v>1320.9199999999996</v>
      </c>
      <c r="AH51" s="129">
        <f t="shared" si="11"/>
        <v>1320.9199999999996</v>
      </c>
      <c r="AI51" s="124"/>
    </row>
    <row r="52" spans="1:35">
      <c r="A52" s="105" t="s">
        <v>129</v>
      </c>
      <c r="B52" s="105" t="s">
        <v>641</v>
      </c>
      <c r="D52" s="105" t="s">
        <v>271</v>
      </c>
      <c r="E52" s="215">
        <v>1953.86</v>
      </c>
      <c r="F52" s="215">
        <v>1953.86</v>
      </c>
      <c r="G52" s="215">
        <v>1953.86</v>
      </c>
      <c r="H52" s="215">
        <v>1953.86</v>
      </c>
      <c r="I52" s="215">
        <v>1953.86</v>
      </c>
      <c r="J52" s="215">
        <v>1953.86</v>
      </c>
      <c r="K52" s="215">
        <v>2270.31</v>
      </c>
      <c r="L52" s="215">
        <v>1953.86</v>
      </c>
      <c r="M52" s="215">
        <v>1953.86</v>
      </c>
      <c r="N52" s="215">
        <v>1953.86</v>
      </c>
      <c r="O52" s="215">
        <v>2270.31</v>
      </c>
      <c r="P52" s="215">
        <v>1953.86</v>
      </c>
      <c r="Q52" s="127">
        <f t="shared" si="18"/>
        <v>24079.22</v>
      </c>
      <c r="R52" s="72">
        <v>3497</v>
      </c>
      <c r="S52" s="72">
        <v>2900</v>
      </c>
      <c r="T52" s="72">
        <v>2900</v>
      </c>
      <c r="U52" s="72">
        <v>2561</v>
      </c>
      <c r="V52" s="72">
        <v>2561</v>
      </c>
      <c r="W52" s="72">
        <v>2058</v>
      </c>
      <c r="X52" s="72">
        <v>1729</v>
      </c>
      <c r="Y52" s="72">
        <v>1494</v>
      </c>
      <c r="Z52" s="72">
        <v>2506</v>
      </c>
      <c r="AA52" s="72">
        <v>2506</v>
      </c>
      <c r="AB52" s="72">
        <v>2506</v>
      </c>
      <c r="AC52" s="72">
        <v>2506</v>
      </c>
      <c r="AD52" s="127">
        <f t="shared" si="16"/>
        <v>29724</v>
      </c>
      <c r="AE52" s="72">
        <f t="shared" si="17"/>
        <v>5644.7799999999988</v>
      </c>
      <c r="AF52" s="192">
        <f t="shared" si="0"/>
        <v>0.18990647288386486</v>
      </c>
      <c r="AG52" s="129">
        <v>14985</v>
      </c>
      <c r="AH52" s="129">
        <f t="shared" si="11"/>
        <v>-9094.2200000000012</v>
      </c>
      <c r="AI52" s="124"/>
    </row>
    <row r="53" spans="1:35">
      <c r="A53" s="105" t="s">
        <v>130</v>
      </c>
      <c r="B53" s="105" t="s">
        <v>641</v>
      </c>
      <c r="D53" s="105" t="s">
        <v>272</v>
      </c>
      <c r="E53" s="215">
        <v>1069</v>
      </c>
      <c r="F53" s="215">
        <v>794</v>
      </c>
      <c r="G53" s="215">
        <v>817</v>
      </c>
      <c r="H53" s="215">
        <v>869</v>
      </c>
      <c r="I53" s="215">
        <v>901</v>
      </c>
      <c r="J53" s="215">
        <v>817</v>
      </c>
      <c r="K53" s="215">
        <v>817</v>
      </c>
      <c r="L53" s="215">
        <v>817</v>
      </c>
      <c r="M53" s="215">
        <v>817</v>
      </c>
      <c r="N53" s="215">
        <v>1122</v>
      </c>
      <c r="O53" s="215">
        <v>817</v>
      </c>
      <c r="P53" s="215">
        <v>817</v>
      </c>
      <c r="Q53" s="127">
        <f t="shared" si="18"/>
        <v>10474</v>
      </c>
      <c r="R53" s="72">
        <v>1251.42</v>
      </c>
      <c r="S53" s="72">
        <v>1356.29</v>
      </c>
      <c r="T53" s="72">
        <v>1826.95</v>
      </c>
      <c r="U53" s="72">
        <v>1500</v>
      </c>
      <c r="V53" s="72">
        <v>970.33</v>
      </c>
      <c r="W53" s="72">
        <v>835.35</v>
      </c>
      <c r="X53" s="72">
        <v>722.17</v>
      </c>
      <c r="Y53" s="72">
        <v>600.12</v>
      </c>
      <c r="Z53" s="72">
        <v>1905</v>
      </c>
      <c r="AA53" s="72">
        <v>1905</v>
      </c>
      <c r="AB53" s="72">
        <v>1905</v>
      </c>
      <c r="AC53" s="72">
        <v>1905</v>
      </c>
      <c r="AD53" s="127">
        <f t="shared" si="16"/>
        <v>16682.63</v>
      </c>
      <c r="AE53" s="72">
        <f t="shared" si="17"/>
        <v>6208.630000000001</v>
      </c>
      <c r="AF53" s="192">
        <f t="shared" si="0"/>
        <v>0.37216134386484628</v>
      </c>
      <c r="AG53" s="129">
        <v>15087.61</v>
      </c>
      <c r="AH53" s="129">
        <f t="shared" si="11"/>
        <v>4613.6100000000006</v>
      </c>
      <c r="AI53" s="124"/>
    </row>
    <row r="54" spans="1:35">
      <c r="A54" s="105" t="s">
        <v>670</v>
      </c>
      <c r="D54" s="105" t="s">
        <v>274</v>
      </c>
      <c r="E54" s="215">
        <v>0</v>
      </c>
      <c r="F54" s="215">
        <v>0</v>
      </c>
      <c r="G54" s="215">
        <v>0</v>
      </c>
      <c r="H54" s="215">
        <v>0</v>
      </c>
      <c r="I54" s="215">
        <v>0</v>
      </c>
      <c r="J54" s="215">
        <v>0</v>
      </c>
      <c r="K54" s="215">
        <v>0</v>
      </c>
      <c r="L54" s="215">
        <v>0</v>
      </c>
      <c r="M54" s="215">
        <v>0</v>
      </c>
      <c r="N54" s="215">
        <v>0</v>
      </c>
      <c r="O54" s="215">
        <v>0</v>
      </c>
      <c r="P54" s="215">
        <v>0</v>
      </c>
      <c r="Q54" s="127">
        <f t="shared" si="18"/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72">
        <v>0</v>
      </c>
      <c r="AD54" s="127">
        <f t="shared" si="16"/>
        <v>0</v>
      </c>
      <c r="AE54" s="72">
        <f t="shared" si="17"/>
        <v>0</v>
      </c>
      <c r="AF54" s="192" t="e">
        <f t="shared" si="0"/>
        <v>#DIV/0!</v>
      </c>
      <c r="AG54" s="129">
        <v>0</v>
      </c>
      <c r="AH54" s="129">
        <f t="shared" si="11"/>
        <v>0</v>
      </c>
      <c r="AI54" s="124"/>
    </row>
    <row r="55" spans="1:35">
      <c r="D55" s="109" t="s">
        <v>522</v>
      </c>
      <c r="E55" s="137">
        <f t="shared" ref="E55:AD55" si="19">SUM(E47:E54)</f>
        <v>13288.440000000002</v>
      </c>
      <c r="F55" s="137">
        <f t="shared" si="19"/>
        <v>13013.440000000002</v>
      </c>
      <c r="G55" s="137">
        <f t="shared" si="19"/>
        <v>13036.440000000002</v>
      </c>
      <c r="H55" s="137">
        <f t="shared" si="19"/>
        <v>13088.440000000002</v>
      </c>
      <c r="I55" s="137">
        <f t="shared" si="19"/>
        <v>13120.440000000002</v>
      </c>
      <c r="J55" s="137">
        <f t="shared" si="19"/>
        <v>13036.440000000002</v>
      </c>
      <c r="K55" s="137">
        <f t="shared" si="19"/>
        <v>13652.570000000002</v>
      </c>
      <c r="L55" s="137">
        <f t="shared" si="19"/>
        <v>13336.120000000003</v>
      </c>
      <c r="M55" s="137">
        <f t="shared" si="19"/>
        <v>13336.120000000003</v>
      </c>
      <c r="N55" s="137">
        <f t="shared" si="19"/>
        <v>13641.120000000003</v>
      </c>
      <c r="O55" s="137">
        <f t="shared" si="19"/>
        <v>13652.570000000002</v>
      </c>
      <c r="P55" s="137">
        <f t="shared" si="19"/>
        <v>13336.120000000003</v>
      </c>
      <c r="Q55" s="137">
        <f t="shared" si="19"/>
        <v>159538.26</v>
      </c>
      <c r="R55" s="137">
        <f t="shared" si="19"/>
        <v>22857.660000000003</v>
      </c>
      <c r="S55" s="137">
        <f t="shared" si="19"/>
        <v>19367.79</v>
      </c>
      <c r="T55" s="137">
        <f t="shared" si="19"/>
        <v>19838.45</v>
      </c>
      <c r="U55" s="137">
        <f t="shared" si="19"/>
        <v>17470.199999999997</v>
      </c>
      <c r="V55" s="137">
        <f t="shared" si="19"/>
        <v>16940.53</v>
      </c>
      <c r="W55" s="137">
        <f t="shared" si="19"/>
        <v>13774.140000000001</v>
      </c>
      <c r="X55" s="137">
        <f t="shared" si="19"/>
        <v>11348.95</v>
      </c>
      <c r="Y55" s="137">
        <f t="shared" si="19"/>
        <v>9875.2000000000007</v>
      </c>
      <c r="Z55" s="137">
        <f t="shared" si="19"/>
        <v>19785</v>
      </c>
      <c r="AA55" s="137">
        <f t="shared" si="19"/>
        <v>19785</v>
      </c>
      <c r="AB55" s="137">
        <f t="shared" si="19"/>
        <v>19785</v>
      </c>
      <c r="AC55" s="137">
        <f t="shared" si="19"/>
        <v>19785</v>
      </c>
      <c r="AD55" s="137">
        <f t="shared" si="19"/>
        <v>210612.91999999998</v>
      </c>
      <c r="AE55" s="136">
        <f t="shared" si="17"/>
        <v>51074.659999999974</v>
      </c>
      <c r="AF55" s="196">
        <f t="shared" si="0"/>
        <v>0.2425048757692547</v>
      </c>
      <c r="AG55" s="133">
        <v>123231.26</v>
      </c>
      <c r="AH55" s="129">
        <f t="shared" si="11"/>
        <v>-36307.000000000015</v>
      </c>
      <c r="AI55" s="124"/>
    </row>
    <row r="56" spans="1:35">
      <c r="D56" s="105" t="s">
        <v>154</v>
      </c>
      <c r="AF56" s="192"/>
      <c r="AG56" s="129"/>
      <c r="AH56" s="129">
        <f t="shared" si="11"/>
        <v>0</v>
      </c>
      <c r="AI56" s="124"/>
    </row>
    <row r="57" spans="1:35">
      <c r="A57" s="105" t="s">
        <v>131</v>
      </c>
      <c r="B57" s="105" t="s">
        <v>641</v>
      </c>
      <c r="D57" s="105" t="s">
        <v>276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215">
        <v>0</v>
      </c>
      <c r="O57" s="215">
        <v>0</v>
      </c>
      <c r="P57" s="215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72">
        <v>0</v>
      </c>
      <c r="AD57" s="127">
        <f t="shared" ref="AD57:AD65" si="20">SUM(R57:AC57)</f>
        <v>0</v>
      </c>
      <c r="AE57" s="72">
        <f t="shared" ref="AE57:AE67" si="21">AD57-Q57</f>
        <v>0</v>
      </c>
      <c r="AF57" s="192" t="e">
        <f t="shared" si="0"/>
        <v>#DIV/0!</v>
      </c>
      <c r="AG57" s="129">
        <v>0</v>
      </c>
      <c r="AH57" s="129">
        <f t="shared" si="11"/>
        <v>0</v>
      </c>
      <c r="AI57" s="124"/>
    </row>
    <row r="58" spans="1:35">
      <c r="A58" s="105" t="s">
        <v>132</v>
      </c>
      <c r="B58" s="105" t="s">
        <v>641</v>
      </c>
      <c r="D58" s="105" t="s">
        <v>277</v>
      </c>
      <c r="E58" s="215">
        <v>0</v>
      </c>
      <c r="F58" s="215">
        <v>0</v>
      </c>
      <c r="G58" s="215">
        <v>0</v>
      </c>
      <c r="H58" s="215">
        <v>0</v>
      </c>
      <c r="I58" s="215">
        <v>0</v>
      </c>
      <c r="J58" s="215">
        <v>0</v>
      </c>
      <c r="K58" s="215">
        <v>0</v>
      </c>
      <c r="L58" s="215">
        <v>0</v>
      </c>
      <c r="M58" s="215">
        <v>0</v>
      </c>
      <c r="N58" s="215">
        <v>0</v>
      </c>
      <c r="O58" s="215">
        <v>0</v>
      </c>
      <c r="P58" s="215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72">
        <v>0</v>
      </c>
      <c r="AD58" s="127">
        <f t="shared" si="20"/>
        <v>0</v>
      </c>
      <c r="AE58" s="72">
        <f t="shared" si="21"/>
        <v>0</v>
      </c>
      <c r="AF58" s="192" t="e">
        <f t="shared" si="0"/>
        <v>#DIV/0!</v>
      </c>
      <c r="AG58" s="129">
        <v>0</v>
      </c>
      <c r="AH58" s="129">
        <f t="shared" si="11"/>
        <v>0</v>
      </c>
      <c r="AI58" s="124"/>
    </row>
    <row r="59" spans="1:35">
      <c r="A59" s="105" t="s">
        <v>133</v>
      </c>
      <c r="B59" s="105" t="s">
        <v>641</v>
      </c>
      <c r="D59" s="105" t="s">
        <v>278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215">
        <v>0</v>
      </c>
      <c r="O59" s="215">
        <v>0</v>
      </c>
      <c r="P59" s="215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72">
        <v>0</v>
      </c>
      <c r="AD59" s="127">
        <f t="shared" si="20"/>
        <v>0</v>
      </c>
      <c r="AE59" s="72">
        <f t="shared" si="21"/>
        <v>0</v>
      </c>
      <c r="AF59" s="192" t="e">
        <f t="shared" si="0"/>
        <v>#DIV/0!</v>
      </c>
      <c r="AG59" s="129">
        <v>0</v>
      </c>
      <c r="AH59" s="129">
        <f t="shared" si="11"/>
        <v>0</v>
      </c>
      <c r="AI59" s="124"/>
    </row>
    <row r="60" spans="1:35">
      <c r="A60" s="105" t="s">
        <v>134</v>
      </c>
      <c r="B60" s="105" t="s">
        <v>641</v>
      </c>
      <c r="D60" s="105" t="s">
        <v>279</v>
      </c>
      <c r="E60" s="215">
        <v>0</v>
      </c>
      <c r="F60" s="215">
        <v>0</v>
      </c>
      <c r="G60" s="215">
        <v>0</v>
      </c>
      <c r="H60" s="215">
        <v>0</v>
      </c>
      <c r="I60" s="215">
        <v>0</v>
      </c>
      <c r="J60" s="215">
        <v>0</v>
      </c>
      <c r="K60" s="215">
        <v>0</v>
      </c>
      <c r="L60" s="215">
        <v>0</v>
      </c>
      <c r="M60" s="215">
        <v>0</v>
      </c>
      <c r="N60" s="215">
        <v>0</v>
      </c>
      <c r="O60" s="215">
        <v>0</v>
      </c>
      <c r="P60" s="215">
        <v>0</v>
      </c>
      <c r="Q60" s="127">
        <f>SUM(E60:P60)</f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72">
        <v>0</v>
      </c>
      <c r="AD60" s="127">
        <f t="shared" si="20"/>
        <v>0</v>
      </c>
      <c r="AE60" s="72">
        <f t="shared" si="21"/>
        <v>0</v>
      </c>
      <c r="AF60" s="192" t="e">
        <f t="shared" si="0"/>
        <v>#DIV/0!</v>
      </c>
      <c r="AG60" s="129">
        <v>0</v>
      </c>
      <c r="AH60" s="129">
        <f t="shared" si="11"/>
        <v>0</v>
      </c>
      <c r="AI60" s="124"/>
    </row>
    <row r="61" spans="1:35">
      <c r="A61" s="105" t="s">
        <v>135</v>
      </c>
      <c r="B61" s="105" t="s">
        <v>641</v>
      </c>
      <c r="D61" s="105" t="s">
        <v>280</v>
      </c>
      <c r="E61" s="215">
        <v>158.98000000000002</v>
      </c>
      <c r="F61" s="215">
        <v>158.98000000000002</v>
      </c>
      <c r="G61" s="215">
        <v>158.98000000000002</v>
      </c>
      <c r="H61" s="215">
        <v>158.98000000000002</v>
      </c>
      <c r="I61" s="215">
        <v>158.98000000000002</v>
      </c>
      <c r="J61" s="215">
        <v>158.98000000000002</v>
      </c>
      <c r="K61" s="215">
        <v>158.98000000000002</v>
      </c>
      <c r="L61" s="215">
        <v>158.98000000000002</v>
      </c>
      <c r="M61" s="215">
        <v>158.98000000000002</v>
      </c>
      <c r="N61" s="215">
        <v>158.98000000000002</v>
      </c>
      <c r="O61" s="215">
        <v>158.98000000000002</v>
      </c>
      <c r="P61" s="215">
        <v>158.98000000000002</v>
      </c>
      <c r="Q61" s="127">
        <f>SUM(E61:P61)</f>
        <v>1907.7600000000002</v>
      </c>
      <c r="R61" s="72">
        <v>207.36</v>
      </c>
      <c r="S61" s="72">
        <v>190.1</v>
      </c>
      <c r="T61" s="72">
        <v>188.51</v>
      </c>
      <c r="U61" s="72">
        <v>188.51</v>
      </c>
      <c r="V61" s="72">
        <v>177.07</v>
      </c>
      <c r="W61" s="72">
        <v>158.08000000000001</v>
      </c>
      <c r="X61" s="72">
        <v>179.81</v>
      </c>
      <c r="Y61" s="72">
        <v>137.12</v>
      </c>
      <c r="Z61" s="72">
        <v>284</v>
      </c>
      <c r="AA61" s="72">
        <v>284</v>
      </c>
      <c r="AB61" s="72">
        <v>284</v>
      </c>
      <c r="AC61" s="72">
        <v>284</v>
      </c>
      <c r="AD61" s="127">
        <f t="shared" si="20"/>
        <v>2562.56</v>
      </c>
      <c r="AE61" s="72">
        <f t="shared" si="21"/>
        <v>654.79999999999973</v>
      </c>
      <c r="AF61" s="192">
        <f t="shared" si="0"/>
        <v>0.25552572427572418</v>
      </c>
      <c r="AG61" s="129">
        <v>6141.05</v>
      </c>
      <c r="AH61" s="129">
        <f t="shared" si="11"/>
        <v>4233.29</v>
      </c>
      <c r="AI61" s="124"/>
    </row>
    <row r="62" spans="1:35">
      <c r="A62" s="105" t="s">
        <v>281</v>
      </c>
      <c r="B62" s="105" t="s">
        <v>641</v>
      </c>
      <c r="D62" s="105" t="s">
        <v>282</v>
      </c>
      <c r="E62" s="164">
        <v>1098</v>
      </c>
      <c r="F62" s="164">
        <v>1010</v>
      </c>
      <c r="G62" s="164">
        <v>1023</v>
      </c>
      <c r="H62" s="164">
        <v>1154</v>
      </c>
      <c r="I62" s="164">
        <v>1194</v>
      </c>
      <c r="J62" s="164">
        <v>1132</v>
      </c>
      <c r="K62" s="164">
        <v>1137</v>
      </c>
      <c r="L62" s="164">
        <v>1161</v>
      </c>
      <c r="M62" s="164">
        <v>1161</v>
      </c>
      <c r="N62" s="164">
        <v>1167</v>
      </c>
      <c r="O62" s="164">
        <v>1083</v>
      </c>
      <c r="P62" s="164">
        <v>1080</v>
      </c>
      <c r="Q62" s="127">
        <f>SUM(E62:P62)</f>
        <v>13400</v>
      </c>
      <c r="R62" s="72">
        <v>16251.79</v>
      </c>
      <c r="S62" s="72">
        <v>3122.62</v>
      </c>
      <c r="T62" s="72">
        <v>1950.49</v>
      </c>
      <c r="U62" s="72">
        <v>2305.85</v>
      </c>
      <c r="V62" s="72">
        <v>3849.12</v>
      </c>
      <c r="W62" s="72">
        <v>2460.7600000000002</v>
      </c>
      <c r="X62" s="72">
        <v>1817.78</v>
      </c>
      <c r="Y62" s="72">
        <v>2124.33</v>
      </c>
      <c r="Z62" s="72">
        <v>12195</v>
      </c>
      <c r="AA62" s="72">
        <v>11596</v>
      </c>
      <c r="AB62" s="72">
        <v>10846</v>
      </c>
      <c r="AC62" s="72">
        <v>10848</v>
      </c>
      <c r="AD62" s="127">
        <f t="shared" si="20"/>
        <v>79367.739999999991</v>
      </c>
      <c r="AE62" s="72">
        <f t="shared" si="21"/>
        <v>65967.739999999991</v>
      </c>
      <c r="AF62" s="192">
        <f t="shared" si="0"/>
        <v>0.8311656600024141</v>
      </c>
      <c r="AG62" s="129">
        <v>78382.329999999987</v>
      </c>
      <c r="AH62" s="129">
        <f t="shared" si="11"/>
        <v>64982.329999999987</v>
      </c>
      <c r="AI62" s="124"/>
    </row>
    <row r="63" spans="1:35">
      <c r="A63" s="105" t="s">
        <v>137</v>
      </c>
      <c r="B63" s="105" t="s">
        <v>641</v>
      </c>
      <c r="D63" s="105" t="s">
        <v>283</v>
      </c>
      <c r="E63" s="164">
        <v>9701.36</v>
      </c>
      <c r="F63" s="164">
        <v>8187.36</v>
      </c>
      <c r="G63" s="164">
        <v>8186.74</v>
      </c>
      <c r="H63" s="164">
        <v>8285.74</v>
      </c>
      <c r="I63" s="164">
        <v>8922.36</v>
      </c>
      <c r="J63" s="164">
        <v>8309.76</v>
      </c>
      <c r="K63" s="164">
        <v>8266.76</v>
      </c>
      <c r="L63" s="164">
        <v>8260.76</v>
      </c>
      <c r="M63" s="164">
        <v>8304.76</v>
      </c>
      <c r="N63" s="164">
        <v>9572.7900000000009</v>
      </c>
      <c r="O63" s="164">
        <v>8264.74</v>
      </c>
      <c r="P63" s="164">
        <v>8258.74</v>
      </c>
      <c r="Q63" s="127">
        <f>SUM(E63:P63)</f>
        <v>102521.87</v>
      </c>
      <c r="R63" s="72">
        <v>16185.42</v>
      </c>
      <c r="S63" s="72">
        <v>12088.92</v>
      </c>
      <c r="T63" s="72">
        <v>11692.72</v>
      </c>
      <c r="U63" s="72">
        <v>11178.71</v>
      </c>
      <c r="V63" s="72">
        <v>7427.62</v>
      </c>
      <c r="W63" s="72">
        <v>7502.18</v>
      </c>
      <c r="X63" s="72">
        <v>8253.43</v>
      </c>
      <c r="Y63" s="72">
        <v>6667.96</v>
      </c>
      <c r="Z63" s="72">
        <v>24438</v>
      </c>
      <c r="AA63" s="72">
        <v>27126</v>
      </c>
      <c r="AB63" s="72">
        <v>24764</v>
      </c>
      <c r="AC63" s="72">
        <v>24764</v>
      </c>
      <c r="AD63" s="127">
        <f t="shared" si="20"/>
        <v>182088.96000000002</v>
      </c>
      <c r="AE63" s="72">
        <f t="shared" si="21"/>
        <v>79567.090000000026</v>
      </c>
      <c r="AF63" s="192">
        <f t="shared" si="0"/>
        <v>0.43696822695895465</v>
      </c>
      <c r="AG63" s="129">
        <v>299159.51</v>
      </c>
      <c r="AH63" s="129">
        <f t="shared" si="11"/>
        <v>196637.64</v>
      </c>
      <c r="AI63" s="124"/>
    </row>
    <row r="64" spans="1:35">
      <c r="A64" s="105" t="s">
        <v>138</v>
      </c>
      <c r="B64" s="105" t="s">
        <v>641</v>
      </c>
      <c r="D64" s="105" t="s">
        <v>472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72">
        <v>0</v>
      </c>
      <c r="AD64" s="127">
        <f t="shared" si="20"/>
        <v>0</v>
      </c>
      <c r="AE64" s="72">
        <f t="shared" si="21"/>
        <v>0</v>
      </c>
      <c r="AF64" s="192" t="e">
        <f t="shared" si="0"/>
        <v>#DIV/0!</v>
      </c>
      <c r="AG64" s="129">
        <v>0</v>
      </c>
      <c r="AH64" s="129">
        <f t="shared" si="11"/>
        <v>0</v>
      </c>
      <c r="AI64" s="124"/>
    </row>
    <row r="65" spans="1:35">
      <c r="A65" s="105" t="s">
        <v>140</v>
      </c>
      <c r="B65" s="105" t="s">
        <v>641</v>
      </c>
      <c r="D65" s="105" t="s">
        <v>473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127">
        <f t="shared" si="20"/>
        <v>0</v>
      </c>
      <c r="AE65" s="72">
        <f t="shared" si="21"/>
        <v>0</v>
      </c>
      <c r="AF65" s="192" t="e">
        <f t="shared" si="0"/>
        <v>#DIV/0!</v>
      </c>
      <c r="AG65" s="129">
        <v>0</v>
      </c>
      <c r="AH65" s="129">
        <f t="shared" si="11"/>
        <v>0</v>
      </c>
      <c r="AI65" s="124"/>
    </row>
    <row r="66" spans="1:35">
      <c r="D66" s="109" t="s">
        <v>523</v>
      </c>
      <c r="E66" s="127">
        <f t="shared" ref="E66:AD66" si="22">SUM(E60:E63)</f>
        <v>10958.34</v>
      </c>
      <c r="F66" s="127">
        <f t="shared" si="22"/>
        <v>9356.34</v>
      </c>
      <c r="G66" s="127">
        <f t="shared" si="22"/>
        <v>9368.7199999999993</v>
      </c>
      <c r="H66" s="127">
        <f t="shared" si="22"/>
        <v>9598.7199999999993</v>
      </c>
      <c r="I66" s="127">
        <f t="shared" si="22"/>
        <v>10275.34</v>
      </c>
      <c r="J66" s="127">
        <f t="shared" si="22"/>
        <v>9600.74</v>
      </c>
      <c r="K66" s="127">
        <f t="shared" si="22"/>
        <v>9562.74</v>
      </c>
      <c r="L66" s="127">
        <f t="shared" si="22"/>
        <v>9580.74</v>
      </c>
      <c r="M66" s="127">
        <f t="shared" si="22"/>
        <v>9624.74</v>
      </c>
      <c r="N66" s="127">
        <f t="shared" si="22"/>
        <v>10898.77</v>
      </c>
      <c r="O66" s="127">
        <f t="shared" si="22"/>
        <v>9506.7199999999993</v>
      </c>
      <c r="P66" s="127">
        <f t="shared" si="22"/>
        <v>9497.7199999999993</v>
      </c>
      <c r="Q66" s="127">
        <f t="shared" si="22"/>
        <v>117829.62999999999</v>
      </c>
      <c r="R66" s="127">
        <f t="shared" si="22"/>
        <v>32644.57</v>
      </c>
      <c r="S66" s="127">
        <f t="shared" si="22"/>
        <v>15401.64</v>
      </c>
      <c r="T66" s="127">
        <f t="shared" si="22"/>
        <v>13831.72</v>
      </c>
      <c r="U66" s="127">
        <f t="shared" si="22"/>
        <v>13673.07</v>
      </c>
      <c r="V66" s="127">
        <f t="shared" si="22"/>
        <v>11453.81</v>
      </c>
      <c r="W66" s="127">
        <f t="shared" si="22"/>
        <v>10121.02</v>
      </c>
      <c r="X66" s="127">
        <f t="shared" si="22"/>
        <v>10251.02</v>
      </c>
      <c r="Y66" s="127">
        <f t="shared" si="22"/>
        <v>8929.41</v>
      </c>
      <c r="Z66" s="127">
        <f t="shared" si="22"/>
        <v>36917</v>
      </c>
      <c r="AA66" s="127">
        <f t="shared" si="22"/>
        <v>39006</v>
      </c>
      <c r="AB66" s="127">
        <f t="shared" si="22"/>
        <v>35894</v>
      </c>
      <c r="AC66" s="127">
        <f t="shared" si="22"/>
        <v>35896</v>
      </c>
      <c r="AD66" s="127">
        <f t="shared" si="22"/>
        <v>264019.26</v>
      </c>
      <c r="AE66" s="72">
        <f t="shared" si="21"/>
        <v>146189.63</v>
      </c>
      <c r="AF66" s="192">
        <f t="shared" si="0"/>
        <v>0.55370820295458745</v>
      </c>
      <c r="AG66" s="129">
        <v>383682.89</v>
      </c>
      <c r="AH66" s="129">
        <f t="shared" si="11"/>
        <v>265853.26</v>
      </c>
      <c r="AI66" s="124"/>
    </row>
    <row r="67" spans="1:35">
      <c r="D67" s="109" t="s">
        <v>524</v>
      </c>
      <c r="E67" s="127">
        <f t="shared" ref="E67:AD67" si="23">+E38+E45+E55+E66</f>
        <v>88128.81</v>
      </c>
      <c r="F67" s="127">
        <f t="shared" si="23"/>
        <v>72541.460000000006</v>
      </c>
      <c r="G67" s="127">
        <f t="shared" si="23"/>
        <v>73704.340000000011</v>
      </c>
      <c r="H67" s="127">
        <f t="shared" si="23"/>
        <v>76593.25</v>
      </c>
      <c r="I67" s="127">
        <f t="shared" si="23"/>
        <v>78915.64</v>
      </c>
      <c r="J67" s="127">
        <f t="shared" si="23"/>
        <v>73936.360000000015</v>
      </c>
      <c r="K67" s="127">
        <f t="shared" si="23"/>
        <v>74514.490000000005</v>
      </c>
      <c r="L67" s="127">
        <f t="shared" si="23"/>
        <v>74216.040000000008</v>
      </c>
      <c r="M67" s="127">
        <f t="shared" si="23"/>
        <v>74260.040000000008</v>
      </c>
      <c r="N67" s="127">
        <f t="shared" si="23"/>
        <v>91103.900000000009</v>
      </c>
      <c r="O67" s="127">
        <f t="shared" si="23"/>
        <v>74458.47</v>
      </c>
      <c r="P67" s="127">
        <f t="shared" si="23"/>
        <v>74133.02</v>
      </c>
      <c r="Q67" s="127">
        <f t="shared" si="23"/>
        <v>926505.82000000007</v>
      </c>
      <c r="R67" s="127">
        <f t="shared" si="23"/>
        <v>119987.75</v>
      </c>
      <c r="S67" s="127">
        <f t="shared" si="23"/>
        <v>97197.86</v>
      </c>
      <c r="T67" s="127">
        <f t="shared" si="23"/>
        <v>83908.11</v>
      </c>
      <c r="U67" s="127">
        <f t="shared" si="23"/>
        <v>78577.510000000009</v>
      </c>
      <c r="V67" s="127">
        <f t="shared" si="23"/>
        <v>76198.539999999994</v>
      </c>
      <c r="W67" s="127">
        <f t="shared" si="23"/>
        <v>59183.979999999996</v>
      </c>
      <c r="X67" s="127">
        <f t="shared" si="23"/>
        <v>54501.69</v>
      </c>
      <c r="Y67" s="127">
        <f t="shared" si="23"/>
        <v>76024.42</v>
      </c>
      <c r="Z67" s="127">
        <f t="shared" si="23"/>
        <v>122441.33</v>
      </c>
      <c r="AA67" s="127">
        <f t="shared" si="23"/>
        <v>192731.33000000002</v>
      </c>
      <c r="AB67" s="127">
        <f t="shared" si="23"/>
        <v>133443.33000000002</v>
      </c>
      <c r="AC67" s="127">
        <f t="shared" si="23"/>
        <v>114132.33</v>
      </c>
      <c r="AD67" s="127">
        <f t="shared" si="23"/>
        <v>1208328.18</v>
      </c>
      <c r="AE67" s="72">
        <f t="shared" si="21"/>
        <v>281822.35999999987</v>
      </c>
      <c r="AF67" s="192">
        <f t="shared" si="0"/>
        <v>0.23323329263081483</v>
      </c>
      <c r="AG67" s="129">
        <v>1144402.3400000001</v>
      </c>
      <c r="AH67" s="129">
        <f t="shared" si="11"/>
        <v>217896.52000000002</v>
      </c>
      <c r="AI67" s="124"/>
    </row>
    <row r="68" spans="1:35">
      <c r="D68" s="105" t="s">
        <v>154</v>
      </c>
      <c r="AF68" s="192"/>
      <c r="AG68" s="129"/>
      <c r="AH68" s="129">
        <f t="shared" si="11"/>
        <v>0</v>
      </c>
      <c r="AI68" s="124"/>
    </row>
    <row r="69" spans="1:35" s="109" customFormat="1">
      <c r="A69" s="109" t="s">
        <v>141</v>
      </c>
      <c r="B69" s="109" t="s">
        <v>641</v>
      </c>
      <c r="D69" s="109" t="s">
        <v>142</v>
      </c>
      <c r="E69" s="215">
        <v>7</v>
      </c>
      <c r="F69" s="215">
        <v>7</v>
      </c>
      <c r="G69" s="215">
        <v>7</v>
      </c>
      <c r="H69" s="215">
        <v>7</v>
      </c>
      <c r="I69" s="215">
        <v>7</v>
      </c>
      <c r="J69" s="215">
        <v>7</v>
      </c>
      <c r="K69" s="215">
        <v>7</v>
      </c>
      <c r="L69" s="215">
        <v>7</v>
      </c>
      <c r="M69" s="215">
        <v>7</v>
      </c>
      <c r="N69" s="215">
        <v>7</v>
      </c>
      <c r="O69" s="215">
        <v>7</v>
      </c>
      <c r="P69" s="215">
        <v>7</v>
      </c>
      <c r="Q69" s="127">
        <f>SUM(E69:P69)/12</f>
        <v>7</v>
      </c>
      <c r="R69" s="127">
        <v>11</v>
      </c>
      <c r="S69" s="127">
        <v>10</v>
      </c>
      <c r="T69" s="127">
        <v>10</v>
      </c>
      <c r="U69" s="127">
        <v>10</v>
      </c>
      <c r="V69" s="127">
        <v>9</v>
      </c>
      <c r="W69" s="127">
        <v>8</v>
      </c>
      <c r="X69" s="127">
        <v>9</v>
      </c>
      <c r="Y69" s="127">
        <v>7</v>
      </c>
      <c r="Z69" s="127">
        <v>12</v>
      </c>
      <c r="AA69" s="127">
        <v>12</v>
      </c>
      <c r="AB69" s="127">
        <v>12</v>
      </c>
      <c r="AC69" s="127">
        <v>12</v>
      </c>
      <c r="AD69" s="127">
        <f>SUM(R69:AC69)/12</f>
        <v>10.166666666666666</v>
      </c>
      <c r="AE69" s="127">
        <f>AD69-Q69</f>
        <v>3.1666666666666661</v>
      </c>
      <c r="AF69" s="132">
        <f t="shared" si="0"/>
        <v>0.31147540983606553</v>
      </c>
      <c r="AG69" s="129">
        <v>19.666666666666668</v>
      </c>
      <c r="AH69" s="129">
        <f t="shared" si="11"/>
        <v>12.666666666666668</v>
      </c>
      <c r="AI69" s="124"/>
    </row>
    <row r="70" spans="1:35">
      <c r="AH70" s="129">
        <f t="shared" si="11"/>
        <v>0</v>
      </c>
      <c r="AI70" s="124"/>
    </row>
    <row r="71" spans="1:35">
      <c r="Q71" s="127">
        <f>Q67/Q69</f>
        <v>132357.9742857143</v>
      </c>
      <c r="AD71" s="127">
        <f>AD67/AD69</f>
        <v>118851.95213114754</v>
      </c>
      <c r="AI71" s="124"/>
    </row>
    <row r="73" spans="1:35">
      <c r="D73" s="151" t="s">
        <v>292</v>
      </c>
      <c r="E73" s="72">
        <v>96950</v>
      </c>
      <c r="F73" s="72">
        <v>96950</v>
      </c>
      <c r="G73" s="72">
        <v>67865</v>
      </c>
      <c r="H73" s="72">
        <v>67865</v>
      </c>
      <c r="I73" s="72">
        <v>67865</v>
      </c>
      <c r="J73" s="72">
        <v>67865</v>
      </c>
      <c r="K73" s="72">
        <v>96950</v>
      </c>
      <c r="L73" s="72">
        <v>96950</v>
      </c>
      <c r="M73" s="72">
        <v>67865</v>
      </c>
      <c r="N73" s="72">
        <v>96950</v>
      </c>
      <c r="O73" s="72">
        <v>67865</v>
      </c>
      <c r="P73" s="72">
        <v>96950</v>
      </c>
      <c r="Q73" s="127">
        <f t="shared" ref="Q73:Q75" si="24">SUM(E73:P73)</f>
        <v>988890</v>
      </c>
    </row>
    <row r="74" spans="1:35">
      <c r="D74" s="152" t="s">
        <v>366</v>
      </c>
      <c r="E74" s="136">
        <v>18304.32</v>
      </c>
      <c r="F74" s="136">
        <v>15023.16</v>
      </c>
      <c r="G74" s="136">
        <v>15490.32</v>
      </c>
      <c r="H74" s="136">
        <v>15561.21</v>
      </c>
      <c r="I74" s="136">
        <v>15829.16</v>
      </c>
      <c r="J74" s="136">
        <v>15744.14</v>
      </c>
      <c r="K74" s="136">
        <v>15733.380000000001</v>
      </c>
      <c r="L74" s="136">
        <v>15739.14</v>
      </c>
      <c r="M74" s="136">
        <v>15752.130000000001</v>
      </c>
      <c r="N74" s="136">
        <v>16552.589999999997</v>
      </c>
      <c r="O74" s="136">
        <v>15732.17</v>
      </c>
      <c r="P74" s="136">
        <v>15729.53</v>
      </c>
      <c r="Q74" s="127">
        <f t="shared" si="24"/>
        <v>191191.25</v>
      </c>
    </row>
    <row r="75" spans="1:35">
      <c r="D75" s="151" t="s">
        <v>367</v>
      </c>
      <c r="E75" s="136">
        <v>64163.510000000009</v>
      </c>
      <c r="F75" s="136">
        <v>49099.55</v>
      </c>
      <c r="G75" s="136">
        <v>49220.39</v>
      </c>
      <c r="H75" s="136">
        <v>53406.140000000007</v>
      </c>
      <c r="I75" s="136">
        <v>58115.590000000004</v>
      </c>
      <c r="J75" s="136">
        <v>50872.570000000007</v>
      </c>
      <c r="K75" s="136">
        <v>49922.000000000015</v>
      </c>
      <c r="L75" s="136">
        <v>50014.240000000005</v>
      </c>
      <c r="M75" s="136">
        <v>50078.250000000007</v>
      </c>
      <c r="N75" s="136">
        <v>64928.150000000009</v>
      </c>
      <c r="O75" s="136">
        <v>49770.210000000014</v>
      </c>
      <c r="P75" s="136">
        <v>49750.850000000013</v>
      </c>
      <c r="Q75" s="127">
        <f t="shared" si="24"/>
        <v>639341.44999999995</v>
      </c>
    </row>
    <row r="76" spans="1:35">
      <c r="D76" s="109" t="s">
        <v>476</v>
      </c>
      <c r="E76" s="117">
        <f>SUM(E73:E75)</f>
        <v>179417.83000000002</v>
      </c>
      <c r="F76" s="117">
        <f t="shared" ref="F76:Q76" si="25">SUM(F73:F75)</f>
        <v>161072.71000000002</v>
      </c>
      <c r="G76" s="117">
        <f t="shared" si="25"/>
        <v>132575.71000000002</v>
      </c>
      <c r="H76" s="117">
        <f t="shared" si="25"/>
        <v>136832.35</v>
      </c>
      <c r="I76" s="117">
        <f t="shared" si="25"/>
        <v>141809.75</v>
      </c>
      <c r="J76" s="117">
        <f t="shared" si="25"/>
        <v>134481.71000000002</v>
      </c>
      <c r="K76" s="117">
        <f t="shared" si="25"/>
        <v>162605.38</v>
      </c>
      <c r="L76" s="117">
        <f t="shared" si="25"/>
        <v>162703.38</v>
      </c>
      <c r="M76" s="117">
        <f t="shared" si="25"/>
        <v>133695.38</v>
      </c>
      <c r="N76" s="117">
        <f t="shared" si="25"/>
        <v>178430.74</v>
      </c>
      <c r="O76" s="117">
        <f t="shared" si="25"/>
        <v>133367.38</v>
      </c>
      <c r="P76" s="117">
        <f t="shared" si="25"/>
        <v>162430.38</v>
      </c>
      <c r="Q76" s="117">
        <f t="shared" si="25"/>
        <v>1819422.7</v>
      </c>
    </row>
  </sheetData>
  <phoneticPr fontId="7" type="noConversion"/>
  <dataValidations count="135">
    <dataValidation type="textLength" errorStyle="information" allowBlank="1" showInputMessage="1" showErrorMessage="1" error="XLBVal:6=8_x000d__x000a_" sqref="W69">
      <formula1>0</formula1>
      <formula2>300</formula2>
    </dataValidation>
    <dataValidation type="textLength" errorStyle="information" allowBlank="1" showInputMessage="1" showErrorMessage="1" error="XLBVal:6=10_x000d__x000a_" sqref="S69:U69">
      <formula1>0</formula1>
      <formula2>300</formula2>
    </dataValidation>
    <dataValidation type="textLength" errorStyle="information" allowBlank="1" showInputMessage="1" showErrorMessage="1" error="XLBVal:6=1669.61_x000d__x000a_" sqref="U44">
      <formula1>0</formula1>
      <formula2>300</formula2>
    </dataValidation>
    <dataValidation type="textLength" errorStyle="information" allowBlank="1" showInputMessage="1" showErrorMessage="1" error="XLBVal:6=2606.94_x000d__x000a_" sqref="W40">
      <formula1>0</formula1>
      <formula2>300</formula2>
    </dataValidation>
    <dataValidation type="textLength" errorStyle="information" allowBlank="1" showInputMessage="1" showErrorMessage="1" error="XLBVal:6=5743.72_x000d__x000a_" sqref="S36">
      <formula1>0</formula1>
      <formula2>300</formula2>
    </dataValidation>
    <dataValidation type="textLength" errorStyle="information" allowBlank="1" showInputMessage="1" showErrorMessage="1" error="XLBVal:6=0_x000d__x000a_" sqref="U22">
      <formula1>0</formula1>
      <formula2>300</formula2>
    </dataValidation>
    <dataValidation type="textLength" errorStyle="information" allowBlank="1" showInputMessage="1" showErrorMessage="1" error="XLBVal:6=420_x000d__x000a_" sqref="U21">
      <formula1>0</formula1>
      <formula2>300</formula2>
    </dataValidation>
    <dataValidation type="textLength" errorStyle="information" allowBlank="1" showInputMessage="1" showErrorMessage="1" error="XLBVal:6=912.38_x000d__x000a_" sqref="T21">
      <formula1>0</formula1>
      <formula2>300</formula2>
    </dataValidation>
    <dataValidation type="textLength" errorStyle="information" allowBlank="1" showInputMessage="1" showErrorMessage="1" error="XLBVal:6=1050_x000d__x000a_" sqref="S21">
      <formula1>0</formula1>
      <formula2>300</formula2>
    </dataValidation>
    <dataValidation type="textLength" errorStyle="information" allowBlank="1" showInputMessage="1" showErrorMessage="1" error="XLBVal:6=34143_x000d__x000a_" sqref="E36:E37 E40:P44 E47:P54 E57:P61 E69:P69">
      <formula1>0</formula1>
      <formula2>300</formula2>
    </dataValidation>
    <dataValidation type="textLength" errorStyle="information" allowBlank="1" showInputMessage="1" showErrorMessage="1" error="XLBVal:6=800_x000d__x000a_" sqref="W44">
      <formula1>0</formula1>
      <formula2>300</formula2>
    </dataValidation>
    <dataValidation type="textLength" errorStyle="information" allowBlank="1" showInputMessage="1" showErrorMessage="1" error="XLBVal:6=1400_x000d__x000a_" sqref="R44">
      <formula1>0</formula1>
      <formula2>300</formula2>
    </dataValidation>
    <dataValidation type="textLength" errorStyle="information" allowBlank="1" showInputMessage="1" showErrorMessage="1" error="XLBVal:6=4181.55_x000d__x000a_" sqref="W41">
      <formula1>0</formula1>
      <formula2>300</formula2>
    </dataValidation>
    <dataValidation type="textLength" errorStyle="information" allowBlank="1" showInputMessage="1" showErrorMessage="1" error="XLBVal:6=5118.71_x000d__x000a_" sqref="V41">
      <formula1>0</formula1>
      <formula2>300</formula2>
    </dataValidation>
    <dataValidation type="textLength" errorStyle="information" allowBlank="1" showInputMessage="1" showErrorMessage="1" error="XLBVal:6=5803.22_x000d__x000a_" sqref="U41">
      <formula1>0</formula1>
      <formula2>300</formula2>
    </dataValidation>
    <dataValidation type="textLength" errorStyle="information" allowBlank="1" showInputMessage="1" showErrorMessage="1" error="XLBVal:6=4946.61_x000d__x000a_" sqref="R40">
      <formula1>0</formula1>
      <formula2>300</formula2>
    </dataValidation>
    <dataValidation type="textLength" errorStyle="information" allowBlank="1" showInputMessage="1" showErrorMessage="1" error="XLBVal:6=174.76_x000d__x000a_" sqref="V24">
      <formula1>0</formula1>
      <formula2>300</formula2>
    </dataValidation>
    <dataValidation type="textLength" errorStyle="information" allowBlank="1" showInputMessage="1" showErrorMessage="1" error="XLBVal:6=79820.21_x000d__x000a_" sqref="AC11">
      <formula1>0</formula1>
      <formula2>300</formula2>
    </dataValidation>
    <dataValidation type="textLength" errorStyle="information" allowBlank="1" showInputMessage="1" showErrorMessage="1" error="XLBVal:6=61980.72_x000d__x000a_" sqref="AB11">
      <formula1>0</formula1>
      <formula2>300</formula2>
    </dataValidation>
    <dataValidation type="textLength" errorStyle="information" allowBlank="1" showInputMessage="1" showErrorMessage="1" error="XLBVal:6=35232.44_x000d__x000a_" sqref="AA11">
      <formula1>0</formula1>
      <formula2>300</formula2>
    </dataValidation>
    <dataValidation type="textLength" errorStyle="information" allowBlank="1" showInputMessage="1" showErrorMessage="1" error="XLBVal:6=26754.76_x000d__x000a_" sqref="Z11">
      <formula1>0</formula1>
      <formula2>300</formula2>
    </dataValidation>
    <dataValidation type="textLength" errorStyle="information" allowBlank="1" showInputMessage="1" showErrorMessage="1" error="XLBVal:6=15000_x000d__x000a_" sqref="F36:P37">
      <formula1>0</formula1>
      <formula2>300</formula2>
    </dataValidation>
    <dataValidation type="textLength" errorStyle="information" allowBlank="1" showInputMessage="1" showErrorMessage="1" error="XLBVal:6=137177.82_x000d__x000a_" sqref="Y11">
      <formula1>0</formula1>
      <formula2>300</formula2>
    </dataValidation>
    <dataValidation type="textLength" errorStyle="information" allowBlank="1" showInputMessage="1" showErrorMessage="1" error="XLBVal:6=207.36_x000d__x000a_" sqref="R61">
      <formula1>0</formula1>
      <formula2>300</formula2>
    </dataValidation>
    <dataValidation type="textLength" errorStyle="information" allowBlank="1" showInputMessage="1" showErrorMessage="1" error="XLBVal:6=1251.42_x000d__x000a_" sqref="R53">
      <formula1>0</formula1>
      <formula2>300</formula2>
    </dataValidation>
    <dataValidation type="textLength" errorStyle="information" allowBlank="1" showInputMessage="1" showErrorMessage="1" error="XLBVal:6=2900_x000d__x000a_" sqref="S52:T52">
      <formula1>0</formula1>
      <formula2>300</formula2>
    </dataValidation>
    <dataValidation type="textLength" errorStyle="information" allowBlank="1" showInputMessage="1" showErrorMessage="1" error="XLBVal:6=72.21_x000d__x000a_" sqref="S50:T50">
      <formula1>0</formula1>
      <formula2>300</formula2>
    </dataValidation>
    <dataValidation type="textLength" errorStyle="information" allowBlank="1" showInputMessage="1" showErrorMessage="1" error="XLBVal:6=64.08_x000d__x000a_" sqref="U50:V50">
      <formula1>0</formula1>
      <formula2>300</formula2>
    </dataValidation>
    <dataValidation type="textLength" errorStyle="information" allowBlank="1" showInputMessage="1" showErrorMessage="1" error="XLBVal:6=300.78_x000d__x000a_" sqref="S49:T49">
      <formula1>0</formula1>
      <formula2>300</formula2>
    </dataValidation>
    <dataValidation type="textLength" errorStyle="information" allowBlank="1" showInputMessage="1" showErrorMessage="1" error="XLBVal:6=266.9_x000d__x000a_" sqref="U49:V49">
      <formula1>0</formula1>
      <formula2>300</formula2>
    </dataValidation>
    <dataValidation type="textLength" errorStyle="information" allowBlank="1" showInputMessage="1" showErrorMessage="1" error="XLBVal:6=5113.36_x000d__x000a_" sqref="S48:T48">
      <formula1>0</formula1>
      <formula2>300</formula2>
    </dataValidation>
    <dataValidation type="textLength" errorStyle="information" allowBlank="1" showInputMessage="1" showErrorMessage="1" error="XLBVal:6=4537.34_x000d__x000a_" sqref="U48:V48">
      <formula1>0</formula1>
      <formula2>300</formula2>
    </dataValidation>
    <dataValidation type="textLength" errorStyle="information" allowBlank="1" showInputMessage="1" showErrorMessage="1" error="XLBVal:6=9625.15_x000d__x000a_" sqref="S47:T47">
      <formula1>0</formula1>
      <formula2>300</formula2>
    </dataValidation>
    <dataValidation type="textLength" errorStyle="information" allowBlank="1" showInputMessage="1" showErrorMessage="1" error="XLBVal:6=1518.87_x000d__x000a_" sqref="V44">
      <formula1>0</formula1>
      <formula2>300</formula2>
    </dataValidation>
    <dataValidation type="textLength" errorStyle="information" allowBlank="1" showInputMessage="1" showErrorMessage="1" error="XLBVal:6=1600_x000d__x000a_" sqref="S44:T44">
      <formula1>0</formula1>
      <formula2>300</formula2>
    </dataValidation>
    <dataValidation type="textLength" errorStyle="information" allowBlank="1" showInputMessage="1" showErrorMessage="1" error="XLBVal:6=3688.86_x000d__x000a_" sqref="W42">
      <formula1>0</formula1>
      <formula2>300</formula2>
    </dataValidation>
    <dataValidation type="textLength" errorStyle="information" allowBlank="1" showInputMessage="1" showErrorMessage="1" error="XLBVal:6=5570_x000d__x000a_" sqref="V42">
      <formula1>0</formula1>
      <formula2>300</formula2>
    </dataValidation>
    <dataValidation type="textLength" errorStyle="information" allowBlank="1" showInputMessage="1" showErrorMessage="1" error="XLBVal:6=4793.55_x000d__x000a_" sqref="U42">
      <formula1>0</formula1>
      <formula2>300</formula2>
    </dataValidation>
    <dataValidation type="textLength" errorStyle="information" allowBlank="1" showInputMessage="1" showErrorMessage="1" error="XLBVal:6=5288.62_x000d__x000a_" sqref="T42">
      <formula1>0</formula1>
      <formula2>300</formula2>
    </dataValidation>
    <dataValidation type="textLength" errorStyle="information" allowBlank="1" showInputMessage="1" showErrorMessage="1" error="XLBVal:6=5211.38_x000d__x000a_" sqref="S42">
      <formula1>0</formula1>
      <formula2>300</formula2>
    </dataValidation>
    <dataValidation type="textLength" errorStyle="information" allowBlank="1" showInputMessage="1" showErrorMessage="1" error="XLBVal:6=10393.98_x000d__x000a_" sqref="S41">
      <formula1>0</formula1>
      <formula2>300</formula2>
    </dataValidation>
    <dataValidation type="textLength" errorStyle="information" allowBlank="1" showInputMessage="1" showErrorMessage="1" error="XLBVal:6=4796.62_x000d__x000a_" sqref="V40">
      <formula1>0</formula1>
      <formula2>300</formula2>
    </dataValidation>
    <dataValidation type="textLength" errorStyle="information" allowBlank="1" showInputMessage="1" showErrorMessage="1" error="XLBVal:6=3448.32_x000d__x000a_" sqref="U40">
      <formula1>0</formula1>
      <formula2>300</formula2>
    </dataValidation>
    <dataValidation type="textLength" errorStyle="information" allowBlank="1" showInputMessage="1" showErrorMessage="1" error="XLBVal:6=12024.23_x000d__x000a_" sqref="S40">
      <formula1>0</formula1>
      <formula2>300</formula2>
    </dataValidation>
    <dataValidation type="textLength" errorStyle="information" allowBlank="1" showInputMessage="1" showErrorMessage="1" error="XLBVal:6=12600_x000d__x000a_" sqref="R36">
      <formula1>0</formula1>
      <formula2>300</formula2>
    </dataValidation>
    <dataValidation type="textLength" errorStyle="information" allowBlank="1" showInputMessage="1" showErrorMessage="1" error="XLBVal:6=5800_x000d__x000a_" sqref="T36:V36">
      <formula1>0</formula1>
      <formula2>300</formula2>
    </dataValidation>
    <dataValidation type="textLength" errorStyle="information" allowBlank="1" showInputMessage="1" showErrorMessage="1" error="XLBVal:6=17619.34_x000d__x000a_" sqref="S24">
      <formula1>0</formula1>
      <formula2>300</formula2>
    </dataValidation>
    <dataValidation type="textLength" errorStyle="information" allowBlank="1" showInputMessage="1" showErrorMessage="1" error="XLBVal:6=2358_x000d__x000a_" sqref="R22:T22">
      <formula1>0</formula1>
      <formula2>300</formula2>
    </dataValidation>
    <dataValidation type="textLength" errorStyle="information" allowBlank="1" showInputMessage="1" showErrorMessage="1" error="XLBVal:6=806.19_x000d__x000a_" sqref="R21">
      <formula1>0</formula1>
      <formula2>300</formula2>
    </dataValidation>
    <dataValidation type="textLength" errorStyle="information" allowBlank="1" showInputMessage="1" showErrorMessage="1" error="XLBVal:6=149777.95_x000d__x000a_" sqref="R17">
      <formula1>0</formula1>
      <formula2>300</formula2>
    </dataValidation>
    <dataValidation type="textLength" errorStyle="information" allowBlank="1" showInputMessage="1" showErrorMessage="1" error="XLBVal:6=169944.13_x000d__x000a_" sqref="W11">
      <formula1>0</formula1>
      <formula2>300</formula2>
    </dataValidation>
    <dataValidation type="textLength" errorStyle="information" allowBlank="1" showInputMessage="1" showErrorMessage="1" error="XLBVal:6=280216.67_x000d__x000a_" sqref="V11">
      <formula1>0</formula1>
      <formula2>300</formula2>
    </dataValidation>
    <dataValidation type="textLength" errorStyle="information" allowBlank="1" showInputMessage="1" showErrorMessage="1" error="XLBVal:6=292447.62_x000d__x000a_" sqref="U11">
      <formula1>0</formula1>
      <formula2>300</formula2>
    </dataValidation>
    <dataValidation type="textLength" errorStyle="information" allowBlank="1" showInputMessage="1" showErrorMessage="1" error="XLBVal:6=284277.63_x000d__x000a_" sqref="T11">
      <formula1>0</formula1>
      <formula2>300</formula2>
    </dataValidation>
    <dataValidation type="textLength" errorStyle="information" allowBlank="1" showInputMessage="1" showErrorMessage="1" error="XLBVal:6=455474.4_x000d__x000a_" sqref="S11">
      <formula1>0</formula1>
      <formula2>300</formula2>
    </dataValidation>
    <dataValidation type="textLength" errorStyle="information" allowBlank="1" showInputMessage="1" showErrorMessage="1" error="XLBVal:6=369556.03_x000d__x000a_" sqref="R11">
      <formula1>0</formula1>
      <formula2>300</formula2>
    </dataValidation>
    <dataValidation type="textLength" errorStyle="information" allowBlank="1" showInputMessage="1" showErrorMessage="1" error="XLBVal:6=3497_x000d__x000a_" sqref="R52">
      <formula1>0</formula1>
      <formula2>300</formula2>
    </dataValidation>
    <dataValidation type="textLength" errorStyle="information" allowBlank="1" showInputMessage="1" showErrorMessage="1" error="XLBVal:6=86.53_x000d__x000a_" sqref="R50">
      <formula1>0</formula1>
      <formula2>300</formula2>
    </dataValidation>
    <dataValidation type="textLength" errorStyle="information" allowBlank="1" showInputMessage="1" showErrorMessage="1" error="XLBVal:6=360.45_x000d__x000a_" sqref="R49">
      <formula1>0</formula1>
      <formula2>300</formula2>
    </dataValidation>
    <dataValidation type="textLength" errorStyle="information" allowBlank="1" showInputMessage="1" showErrorMessage="1" error="XLBVal:6=6127.72_x000d__x000a_" sqref="R48">
      <formula1>0</formula1>
      <formula2>300</formula2>
    </dataValidation>
    <dataValidation type="textLength" errorStyle="information" allowBlank="1" showInputMessage="1" showErrorMessage="1" error="XLBVal:6=11534.54_x000d__x000a_" sqref="R47">
      <formula1>0</formula1>
      <formula2>300</formula2>
    </dataValidation>
    <dataValidation type="textLength" errorStyle="information" allowBlank="1" showInputMessage="1" showErrorMessage="1" error="XLBVal:6=6527.42_x000d__x000a_" sqref="R42">
      <formula1>0</formula1>
      <formula2>300</formula2>
    </dataValidation>
    <dataValidation type="textLength" errorStyle="information" allowBlank="1" showInputMessage="1" showErrorMessage="1" error="XLBVal:6=28586.94_x000d__x000a_" sqref="R37">
      <formula1>0</formula1>
      <formula2>300</formula2>
    </dataValidation>
    <dataValidation type="textLength" errorStyle="information" allowBlank="1" showInputMessage="1" showErrorMessage="1" error="XLBVal:6=11_x000d__x000a_" sqref="R69">
      <formula1>0</formula1>
      <formula2>300</formula2>
    </dataValidation>
    <dataValidation type="textLength" errorStyle="information" allowBlank="1" showInputMessage="1" showErrorMessage="1" error="XLBVal:6=10424.55_x000d__x000a_" sqref="R41">
      <formula1>0</formula1>
      <formula2>300</formula2>
    </dataValidation>
    <dataValidation type="textLength" errorStyle="information" allowBlank="1" showInputMessage="1" showErrorMessage="1" error="XLBVal:6=190776.23_x000d__x000a_" sqref="X11 X17:AC30 X36:AC37 X40:AC44 X69:AC69 X57:AC65 X47:AC54">
      <formula1>0</formula1>
      <formula2>300</formula2>
    </dataValidation>
    <dataValidation type="textLength" errorStyle="information" allowBlank="1" showInputMessage="1" showErrorMessage="1" error="XLBVal:6=6930.43_x000d__x000a_" sqref="W47">
      <formula1>0</formula1>
      <formula2>300</formula2>
    </dataValidation>
    <dataValidation type="textLength" errorStyle="information" allowBlank="1" showInputMessage="1" showErrorMessage="1" error="XLBVal:6=140830.17_x000d__x000a_" sqref="U17">
      <formula1>0</formula1>
      <formula2>300</formula2>
    </dataValidation>
    <dataValidation type="textLength" errorStyle="information" allowBlank="1" showInputMessage="1" showErrorMessage="1" error="XLBVal:6=8733.23_x000d__x000a_" sqref="T41">
      <formula1>0</formula1>
      <formula2>300</formula2>
    </dataValidation>
    <dataValidation type="textLength" errorStyle="information" allowBlank="1" showInputMessage="1" showErrorMessage="1" error="XLBVal:6=450.07_x000d__x000a_" sqref="V21">
      <formula1>0</formula1>
      <formula2>300</formula2>
    </dataValidation>
    <dataValidation type="textLength" errorStyle="information" allowBlank="1" showInputMessage="1" showErrorMessage="1" error="XLBVal:6=216.57_x000d__x000a_" sqref="W49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7502.18_x000d__x000a_" sqref="W63">
      <formula1>0</formula1>
      <formula2>300</formula2>
    </dataValidation>
    <dataValidation type="textLength" errorStyle="information" allowBlank="1" showInputMessage="1" showErrorMessage="1" error="XLBVal:6=7427.62_x000d__x000a_" sqref="V63">
      <formula1>0</formula1>
      <formula2>300</formula2>
    </dataValidation>
    <dataValidation type="textLength" errorStyle="information" allowBlank="1" showInputMessage="1" showErrorMessage="1" error="XLBVal:6=11178.71_x000d__x000a_" sqref="U63">
      <formula1>0</formula1>
      <formula2>300</formula2>
    </dataValidation>
    <dataValidation type="textLength" errorStyle="information" allowBlank="1" showInputMessage="1" showErrorMessage="1" error="XLBVal:6=11692.72_x000d__x000a_" sqref="T63">
      <formula1>0</formula1>
      <formula2>300</formula2>
    </dataValidation>
    <dataValidation type="textLength" errorStyle="information" allowBlank="1" showInputMessage="1" showErrorMessage="1" error="XLBVal:6=12088.92_x000d__x000a_" sqref="S63">
      <formula1>0</formula1>
      <formula2>300</formula2>
    </dataValidation>
    <dataValidation type="textLength" errorStyle="information" allowBlank="1" showInputMessage="1" showErrorMessage="1" error="XLBVal:6=16185.42_x000d__x000a_" sqref="R63">
      <formula1>0</formula1>
      <formula2>300</formula2>
    </dataValidation>
    <dataValidation type="textLength" errorStyle="information" allowBlank="1" showInputMessage="1" showErrorMessage="1" error="XLBVal:6=2460.76_x000d__x000a_" sqref="W62">
      <formula1>0</formula1>
      <formula2>300</formula2>
    </dataValidation>
    <dataValidation type="textLength" errorStyle="information" allowBlank="1" showInputMessage="1" showErrorMessage="1" error="XLBVal:6=3849.12_x000d__x000a_" sqref="V62">
      <formula1>0</formula1>
      <formula2>300</formula2>
    </dataValidation>
    <dataValidation type="textLength" errorStyle="information" allowBlank="1" showInputMessage="1" showErrorMessage="1" error="XLBVal:6=2305.85_x000d__x000a_" sqref="U62">
      <formula1>0</formula1>
      <formula2>300</formula2>
    </dataValidation>
    <dataValidation type="textLength" errorStyle="information" allowBlank="1" showInputMessage="1" showErrorMessage="1" error="XLBVal:6=1950.49_x000d__x000a_" sqref="T62">
      <formula1>0</formula1>
      <formula2>300</formula2>
    </dataValidation>
    <dataValidation type="textLength" errorStyle="information" allowBlank="1" showInputMessage="1" showErrorMessage="1" error="XLBVal:6=3122.62_x000d__x000a_" sqref="S62">
      <formula1>0</formula1>
      <formula2>300</formula2>
    </dataValidation>
    <dataValidation type="textLength" errorStyle="information" allowBlank="1" showInputMessage="1" showErrorMessage="1" error="XLBVal:6=16251.79_x000d__x000a_" sqref="R62">
      <formula1>0</formula1>
      <formula2>300</formula2>
    </dataValidation>
    <dataValidation type="textLength" errorStyle="information" allowBlank="1" showInputMessage="1" showErrorMessage="1" error="XLBVal:6=158.08_x000d__x000a_" sqref="W61">
      <formula1>0</formula1>
      <formula2>300</formula2>
    </dataValidation>
    <dataValidation type="textLength" errorStyle="information" allowBlank="1" showInputMessage="1" showErrorMessage="1" error="XLBVal:6=177.07_x000d__x000a_" sqref="V61">
      <formula1>0</formula1>
      <formula2>300</formula2>
    </dataValidation>
    <dataValidation type="textLength" errorStyle="information" allowBlank="1" showInputMessage="1" showErrorMessage="1" error="XLBVal:6=188.51_x000d__x000a_" sqref="T61:U61">
      <formula1>0</formula1>
      <formula2>300</formula2>
    </dataValidation>
    <dataValidation type="textLength" errorStyle="information" allowBlank="1" showInputMessage="1" showErrorMessage="1" error="XLBVal:6=190.1_x000d__x000a_" sqref="S61">
      <formula1>0</formula1>
      <formula2>300</formula2>
    </dataValidation>
    <dataValidation type="textLength" errorStyle="information" allowBlank="1" showInputMessage="1" showErrorMessage="1" error="XLBVal:6=835.35_x000d__x000a_" sqref="W53">
      <formula1>0</formula1>
      <formula2>300</formula2>
    </dataValidation>
    <dataValidation type="textLength" errorStyle="information" allowBlank="1" showInputMessage="1" showErrorMessage="1" error="XLBVal:6=970.33_x000d__x000a_" sqref="V53">
      <formula1>0</formula1>
      <formula2>300</formula2>
    </dataValidation>
    <dataValidation type="textLength" errorStyle="information" allowBlank="1" showInputMessage="1" showErrorMessage="1" error="XLBVal:6=1500_x000d__x000a_" sqref="U53">
      <formula1>0</formula1>
      <formula2>300</formula2>
    </dataValidation>
    <dataValidation type="textLength" errorStyle="information" allowBlank="1" showInputMessage="1" showErrorMessage="1" error="XLBVal:6=1826.95_x000d__x000a_" sqref="T53">
      <formula1>0</formula1>
      <formula2>300</formula2>
    </dataValidation>
    <dataValidation type="textLength" errorStyle="information" allowBlank="1" showInputMessage="1" showErrorMessage="1" error="XLBVal:6=1356.29_x000d__x000a_" sqref="S53">
      <formula1>0</formula1>
      <formula2>300</formula2>
    </dataValidation>
    <dataValidation type="textLength" errorStyle="information" allowBlank="1" showInputMessage="1" showErrorMessage="1" error="XLBVal:6=2058_x000d__x000a_" sqref="W52">
      <formula1>0</formula1>
      <formula2>300</formula2>
    </dataValidation>
    <dataValidation type="textLength" errorStyle="information" allowBlank="1" showInputMessage="1" showErrorMessage="1" error="XLBVal:6=2561_x000d__x000a_" sqref="U52:V52">
      <formula1>0</formula1>
      <formula2>300</formula2>
    </dataValidation>
    <dataValidation type="textLength" errorStyle="information" allowBlank="1" showInputMessage="1" showErrorMessage="1" error="XLBVal:6=52_x000d__x000a_" sqref="W50">
      <formula1>0</formula1>
      <formula2>300</formula2>
    </dataValidation>
    <dataValidation type="textLength" errorStyle="information" allowBlank="1" showInputMessage="1" showErrorMessage="1" error="XLBVal:6=3681.79_x000d__x000a_" sqref="W48">
      <formula1>0</formula1>
      <formula2>300</formula2>
    </dataValidation>
    <dataValidation type="textLength" errorStyle="information" allowBlank="1" showInputMessage="1" showErrorMessage="1" error="XLBVal:6=8540.88_x000d__x000a_" sqref="U47:V47">
      <formula1>0</formula1>
      <formula2>300</formula2>
    </dataValidation>
    <dataValidation type="textLength" errorStyle="information" allowBlank="1" showInputMessage="1" showErrorMessage="1" error="XLBVal:6=24011.47_x000d__x000a_" sqref="W37">
      <formula1>0</formula1>
      <formula2>300</formula2>
    </dataValidation>
    <dataValidation type="textLength" errorStyle="information" allowBlank="1" showInputMessage="1" showErrorMessage="1" error="XLBVal:6=25000_x000d__x000a_" sqref="V37">
      <formula1>0</formula1>
      <formula2>300</formula2>
    </dataValidation>
    <dataValidation type="textLength" errorStyle="information" allowBlank="1" showInputMessage="1" showErrorMessage="1" error="XLBVal:6=25919.54_x000d__x000a_" sqref="U37">
      <formula1>0</formula1>
      <formula2>300</formula2>
    </dataValidation>
    <dataValidation type="textLength" errorStyle="information" allowBlank="1" showInputMessage="1" showErrorMessage="1" error="XLBVal:6=28816.09_x000d__x000a_" sqref="T37">
      <formula1>0</formula1>
      <formula2>300</formula2>
    </dataValidation>
    <dataValidation type="textLength" errorStyle="information" allowBlank="1" showInputMessage="1" showErrorMessage="1" error="XLBVal:6=27455.12_x000d__x000a_" sqref="S37">
      <formula1>0</formula1>
      <formula2>300</formula2>
    </dataValidation>
    <dataValidation type="textLength" errorStyle="information" allowBlank="1" showInputMessage="1" showErrorMessage="1" error="XLBVal:6=197685.51_x000d__x000a_" sqref="W30">
      <formula1>0</formula1>
      <formula2>300</formula2>
    </dataValidation>
    <dataValidation type="textLength" errorStyle="information" allowBlank="1" showInputMessage="1" showErrorMessage="1" error="XLBVal:6=177798.74_x000d__x000a_" sqref="V30">
      <formula1>0</formula1>
      <formula2>300</formula2>
    </dataValidation>
    <dataValidation type="textLength" errorStyle="information" allowBlank="1" showInputMessage="1" showErrorMessage="1" error="XLBVal:6=201295.73_x000d__x000a_" sqref="U30">
      <formula1>0</formula1>
      <formula2>300</formula2>
    </dataValidation>
    <dataValidation type="textLength" errorStyle="information" allowBlank="1" showInputMessage="1" showErrorMessage="1" error="XLBVal:6=185050.17_x000d__x000a_" sqref="T30">
      <formula1>0</formula1>
      <formula2>300</formula2>
    </dataValidation>
    <dataValidation type="textLength" errorStyle="information" allowBlank="1" showInputMessage="1" showErrorMessage="1" error="XLBVal:6=378263.64_x000d__x000a_" sqref="S30">
      <formula1>0</formula1>
      <formula2>300</formula2>
    </dataValidation>
    <dataValidation type="textLength" errorStyle="information" allowBlank="1" showInputMessage="1" showErrorMessage="1" error="XLBVal:6=272784.86_x000d__x000a_" sqref="R30">
      <formula1>0</formula1>
      <formula2>300</formula2>
    </dataValidation>
    <dataValidation type="textLength" errorStyle="information" allowBlank="1" showInputMessage="1" showErrorMessage="1" error="XLBVal:6=23_x000d__x000a_" sqref="R28:W28">
      <formula1>0</formula1>
      <formula2>300</formula2>
    </dataValidation>
    <dataValidation type="textLength" errorStyle="information" allowBlank="1" showInputMessage="1" showErrorMessage="1" error="XLBVal:6=692.39_x000d__x000a_" sqref="W27">
      <formula1>0</formula1>
      <formula2>300</formula2>
    </dataValidation>
    <dataValidation type="textLength" errorStyle="information" allowBlank="1" showInputMessage="1" showErrorMessage="1" error="XLBVal:6=241.86_x000d__x000a_" sqref="V27">
      <formula1>0</formula1>
      <formula2>300</formula2>
    </dataValidation>
    <dataValidation type="textLength" errorStyle="information" allowBlank="1" showInputMessage="1" showErrorMessage="1" error="XLBVal:6=727.4_x000d__x000a_" sqref="U27">
      <formula1>0</formula1>
      <formula2>300</formula2>
    </dataValidation>
    <dataValidation type="textLength" errorStyle="information" allowBlank="1" showInputMessage="1" showErrorMessage="1" error="XLBVal:6=863.99_x000d__x000a_" sqref="T27">
      <formula1>0</formula1>
      <formula2>300</formula2>
    </dataValidation>
    <dataValidation type="textLength" errorStyle="information" allowBlank="1" showInputMessage="1" showErrorMessage="1" error="XLBVal:6=1334.97_x000d__x000a_" sqref="S27">
      <formula1>0</formula1>
      <formula2>300</formula2>
    </dataValidation>
    <dataValidation type="textLength" errorStyle="information" allowBlank="1" showInputMessage="1" showErrorMessage="1" error="XLBVal:6=1284.05_x000d__x000a_" sqref="R27">
      <formula1>0</formula1>
      <formula2>300</formula2>
    </dataValidation>
    <dataValidation type="textLength" errorStyle="information" allowBlank="1" showInputMessage="1" showErrorMessage="1" error="XLBVal:6=1334.08_x000d__x000a_" sqref="W26">
      <formula1>0</formula1>
      <formula2>300</formula2>
    </dataValidation>
    <dataValidation type="textLength" errorStyle="information" allowBlank="1" showInputMessage="1" showErrorMessage="1" error="XLBVal:6=5898.93_x000d__x000a_" sqref="V26">
      <formula1>0</formula1>
      <formula2>300</formula2>
    </dataValidation>
    <dataValidation type="textLength" errorStyle="information" allowBlank="1" showInputMessage="1" showErrorMessage="1" error="XLBVal:6=2818.32_x000d__x000a_" sqref="U26">
      <formula1>0</formula1>
      <formula2>300</formula2>
    </dataValidation>
    <dataValidation type="textLength" errorStyle="information" allowBlank="1" showInputMessage="1" showErrorMessage="1" error="XLBVal:6=2013.4_x000d__x000a_" sqref="T26">
      <formula1>0</formula1>
      <formula2>300</formula2>
    </dataValidation>
    <dataValidation type="textLength" errorStyle="information" allowBlank="1" showInputMessage="1" showErrorMessage="1" error="XLBVal:6=3862.18_x000d__x000a_" sqref="S26">
      <formula1>0</formula1>
      <formula2>300</formula2>
    </dataValidation>
    <dataValidation type="textLength" errorStyle="information" allowBlank="1" showInputMessage="1" showErrorMessage="1" error="XLBVal:6=4447.46_x000d__x000a_" sqref="R26">
      <formula1>0</formula1>
      <formula2>300</formula2>
    </dataValidation>
    <dataValidation type="textLength" errorStyle="information" allowBlank="1" showInputMessage="1" showErrorMessage="1" error="XLBVal:6=21846.59_x000d__x000a_" sqref="W20">
      <formula1>0</formula1>
      <formula2>300</formula2>
    </dataValidation>
    <dataValidation type="textLength" errorStyle="information" allowBlank="1" showInputMessage="1" showErrorMessage="1" error="XLBVal:6=18549.62_x000d__x000a_" sqref="V20">
      <formula1>0</formula1>
      <formula2>300</formula2>
    </dataValidation>
    <dataValidation type="textLength" errorStyle="information" allowBlank="1" showInputMessage="1" showErrorMessage="1" error="XLBVal:6=23628.47_x000d__x000a_" sqref="U20">
      <formula1>0</formula1>
      <formula2>300</formula2>
    </dataValidation>
    <dataValidation type="textLength" errorStyle="information" allowBlank="1" showInputMessage="1" showErrorMessage="1" error="XLBVal:6=29087.59_x000d__x000a_" sqref="T20">
      <formula1>0</formula1>
      <formula2>300</formula2>
    </dataValidation>
    <dataValidation type="textLength" errorStyle="information" allowBlank="1" showInputMessage="1" showErrorMessage="1" error="XLBVal:6=27800.49_x000d__x000a_" sqref="S20">
      <formula1>0</formula1>
      <formula2>300</formula2>
    </dataValidation>
    <dataValidation type="textLength" errorStyle="information" allowBlank="1" showInputMessage="1" showErrorMessage="1" error="XLBVal:6=127553.47_x000d__x000a_" sqref="R20">
      <formula1>0</formula1>
      <formula2>300</formula2>
    </dataValidation>
    <dataValidation type="textLength" errorStyle="information" allowBlank="1" showInputMessage="1" showErrorMessage="1" error="XLBVal:6=137585.69_x000d__x000a_" sqref="W17">
      <formula1>0</formula1>
      <formula2>300</formula2>
    </dataValidation>
    <dataValidation type="textLength" errorStyle="information" allowBlank="1" showInputMessage="1" showErrorMessage="1" error="XLBVal:6=153179.38_x000d__x000a_" sqref="V17">
      <formula1>0</formula1>
      <formula2>300</formula2>
    </dataValidation>
    <dataValidation type="textLength" errorStyle="information" allowBlank="1" showInputMessage="1" showErrorMessage="1" error="XLBVal:6=150681.61_x000d__x000a_" sqref="T17">
      <formula1>0</formula1>
      <formula2>300</formula2>
    </dataValidation>
    <dataValidation type="textLength" errorStyle="information" allowBlank="1" showInputMessage="1" showErrorMessage="1" error="XLBVal:6=330718.88_x000d__x000a_" sqref="S17">
      <formula1>0</formula1>
      <formula2>300</formula2>
    </dataValidation>
    <dataValidation type="textLength" errorStyle="information" allowBlank="1" showInputMessage="1" showErrorMessage="1" error="XLBVal:6=1187.09_x000d__x000a_" sqref="E28:P30 E18:P26">
      <formula1>0</formula1>
      <formula2>300</formula2>
    </dataValidation>
    <dataValidation type="textLength" errorStyle="information" allowBlank="1" showInputMessage="1" showErrorMessage="1" error="XLBVal:6=9_x000d__x000a_" sqref="V69">
      <formula1>0</formula1>
      <formula2>300</formula2>
    </dataValidation>
    <dataValidation type="textLength" errorStyle="information" allowBlank="1" showInputMessage="1" showErrorMessage="1" error="XLBVal:2=0_x000d__x000a_" sqref="T24:U24 T40 E9:J10 W21 E64:J65 R64:W65 W36 R51:W51 R24:R25 S25:V25 R29:W29 W24:W25 R43:W43 R57:W60 R9:AC10 R54:W54 R23:W23 R18:W19 V22:W22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AI89"/>
  <sheetViews>
    <sheetView view="pageBreakPreview" zoomScaleNormal="100" zoomScaleSheetLayoutView="100" workbookViewId="0">
      <pane xSplit="5" ySplit="7" topLeftCell="O8" activePane="bottomRight" state="frozen"/>
      <selection activeCell="AP43" sqref="AP43"/>
      <selection pane="topRight" activeCell="AP43" sqref="AP43"/>
      <selection pane="bottomLeft" activeCell="AP43" sqref="AP43"/>
      <selection pane="bottomRight" activeCell="Q19" sqref="Q19"/>
    </sheetView>
  </sheetViews>
  <sheetFormatPr defaultColWidth="9" defaultRowHeight="14.25" outlineLevelCol="2"/>
  <cols>
    <col min="1" max="3" width="9" style="105" hidden="1" customWidth="1" outlineLevel="1"/>
    <col min="4" max="4" width="51.375" style="105" customWidth="1" collapsed="1"/>
    <col min="5" max="7" width="14.75" style="72" bestFit="1" customWidth="1"/>
    <col min="8" max="8" width="13.5" style="72" bestFit="1" customWidth="1"/>
    <col min="9" max="9" width="14.75" style="72" bestFit="1" customWidth="1"/>
    <col min="10" max="10" width="14.125" style="72" bestFit="1" customWidth="1"/>
    <col min="11" max="12" width="14.75" style="72" bestFit="1" customWidth="1"/>
    <col min="13" max="13" width="13.5" style="72" bestFit="1" customWidth="1"/>
    <col min="14" max="16" width="14.75" style="72" bestFit="1" customWidth="1"/>
    <col min="17" max="17" width="18.5" style="127" bestFit="1" customWidth="1"/>
    <col min="18" max="24" width="18.375" style="72" hidden="1" customWidth="1" outlineLevel="1"/>
    <col min="25" max="29" width="18.25" style="72" hidden="1" customWidth="1" outlineLevel="2"/>
    <col min="30" max="30" width="14.5" style="127" customWidth="1" collapsed="1"/>
    <col min="31" max="31" width="15.75" style="72" bestFit="1" customWidth="1"/>
    <col min="32" max="32" width="10.5" style="105" customWidth="1"/>
    <col min="33" max="33" width="18.25" style="109" hidden="1" customWidth="1"/>
    <col min="34" max="34" width="15" style="175" hidden="1" customWidth="1"/>
    <col min="35" max="35" width="15" style="105" bestFit="1" customWidth="1"/>
    <col min="36" max="16384" width="9" style="105"/>
  </cols>
  <sheetData>
    <row r="1" spans="1:35" s="100" customFormat="1">
      <c r="A1" s="100" t="s">
        <v>118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  <c r="AH1" s="260"/>
    </row>
    <row r="2" spans="1:35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  <c r="AH2" s="260"/>
    </row>
    <row r="3" spans="1:35">
      <c r="D3" s="105" t="s">
        <v>718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</row>
    <row r="4" spans="1:35" s="100" customFormat="1" ht="18">
      <c r="C4" s="18">
        <f>+'2025 Summay'!$D$7</f>
        <v>2025</v>
      </c>
      <c r="D4" s="18">
        <f>+'2025 Summay'!$D$7</f>
        <v>2025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>
        <v>18761.990000000002</v>
      </c>
      <c r="S4" s="101">
        <v>17780.969999999998</v>
      </c>
      <c r="T4" s="101">
        <v>21422.06</v>
      </c>
      <c r="U4" s="101">
        <v>14085.960000000003</v>
      </c>
      <c r="V4" s="101">
        <v>21059.359999999997</v>
      </c>
      <c r="W4" s="101">
        <v>28465.06</v>
      </c>
      <c r="X4" s="101"/>
      <c r="Y4" s="183"/>
      <c r="Z4" s="183"/>
      <c r="AA4" s="183"/>
      <c r="AB4" s="183"/>
      <c r="AC4" s="183"/>
      <c r="AD4" s="172"/>
      <c r="AE4" s="101"/>
      <c r="AG4" s="103"/>
      <c r="AH4" s="260"/>
    </row>
    <row r="5" spans="1:35" s="100" customFormat="1">
      <c r="D5" s="100" t="s">
        <v>154</v>
      </c>
      <c r="E5" s="155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83"/>
      <c r="Z5" s="183"/>
      <c r="AA5" s="183"/>
      <c r="AB5" s="183"/>
      <c r="AC5" s="183"/>
      <c r="AD5" s="172"/>
      <c r="AE5" s="101"/>
      <c r="AG5" s="103"/>
      <c r="AH5" s="260"/>
    </row>
    <row r="6" spans="1:35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  <c r="AH6" s="260"/>
    </row>
    <row r="7" spans="1:35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5">
      <c r="D8" s="105" t="s">
        <v>682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7"/>
      <c r="AG8" s="129"/>
    </row>
    <row r="9" spans="1:35">
      <c r="A9" s="105" t="s">
        <v>719</v>
      </c>
      <c r="B9" s="105" t="s">
        <v>644</v>
      </c>
      <c r="C9" s="105" t="s">
        <v>720</v>
      </c>
      <c r="D9" s="105" t="s">
        <v>721</v>
      </c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117">
        <f t="shared" ref="Q9:Q14" si="0">SUM(E9:P9)</f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72">
        <v>0</v>
      </c>
      <c r="AD9" s="127">
        <f t="shared" ref="AD9:AD14" si="1">SUM(R9:AC9)</f>
        <v>0</v>
      </c>
      <c r="AE9" s="72">
        <f t="shared" ref="AE9:AE14" si="2">Q9-AD9</f>
        <v>0</v>
      </c>
      <c r="AG9" s="129">
        <v>29466.019999999997</v>
      </c>
      <c r="AH9" s="251">
        <f t="shared" ref="AH9:AH15" si="3">Q9-AG9</f>
        <v>-29466.019999999997</v>
      </c>
    </row>
    <row r="10" spans="1:35">
      <c r="A10" s="105" t="s">
        <v>719</v>
      </c>
      <c r="B10" s="105" t="s">
        <v>644</v>
      </c>
      <c r="C10" s="105" t="s">
        <v>722</v>
      </c>
      <c r="D10" s="105" t="s">
        <v>723</v>
      </c>
      <c r="E10" s="261"/>
      <c r="F10" s="261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117">
        <f t="shared" si="0"/>
        <v>0</v>
      </c>
      <c r="R10" s="72">
        <v>126431.4</v>
      </c>
      <c r="S10" s="72">
        <v>186615.36</v>
      </c>
      <c r="T10" s="72">
        <v>91846.1</v>
      </c>
      <c r="U10" s="72">
        <v>88236.06</v>
      </c>
      <c r="V10" s="72">
        <v>93103.47</v>
      </c>
      <c r="W10" s="72">
        <v>70473.64</v>
      </c>
      <c r="X10" s="72">
        <v>71424.460000000006</v>
      </c>
      <c r="Y10" s="72">
        <v>95162.559999999998</v>
      </c>
      <c r="Z10" s="72">
        <v>95917</v>
      </c>
      <c r="AA10" s="72">
        <v>120593</v>
      </c>
      <c r="AB10" s="72">
        <v>121192</v>
      </c>
      <c r="AC10" s="72">
        <v>166569</v>
      </c>
      <c r="AD10" s="127">
        <f t="shared" si="1"/>
        <v>1327564.05</v>
      </c>
      <c r="AE10" s="72">
        <f t="shared" si="2"/>
        <v>-1327564.05</v>
      </c>
      <c r="AF10" s="192">
        <f>AE10/AD10</f>
        <v>-1</v>
      </c>
      <c r="AG10" s="129">
        <v>2000109.3199999998</v>
      </c>
      <c r="AH10" s="251">
        <f t="shared" si="3"/>
        <v>-2000109.3199999998</v>
      </c>
      <c r="AI10" s="124"/>
    </row>
    <row r="11" spans="1:35">
      <c r="A11" s="105" t="s">
        <v>719</v>
      </c>
      <c r="B11" s="105" t="s">
        <v>644</v>
      </c>
      <c r="C11" s="105" t="s">
        <v>724</v>
      </c>
      <c r="D11" s="105" t="s">
        <v>673</v>
      </c>
      <c r="E11" s="257"/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117">
        <f t="shared" si="0"/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72">
        <v>0</v>
      </c>
      <c r="AD11" s="127">
        <f t="shared" si="1"/>
        <v>0</v>
      </c>
      <c r="AE11" s="72">
        <f t="shared" si="2"/>
        <v>0</v>
      </c>
      <c r="AF11" s="192" t="e">
        <f>AE11/AD11</f>
        <v>#DIV/0!</v>
      </c>
      <c r="AG11" s="129">
        <v>36009.39</v>
      </c>
      <c r="AH11" s="251">
        <f t="shared" si="3"/>
        <v>-36009.39</v>
      </c>
      <c r="AI11" s="124"/>
    </row>
    <row r="12" spans="1:35">
      <c r="A12" s="105" t="s">
        <v>719</v>
      </c>
      <c r="B12" s="105" t="s">
        <v>644</v>
      </c>
      <c r="C12" s="105" t="s">
        <v>725</v>
      </c>
      <c r="D12" s="105" t="s">
        <v>726</v>
      </c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117">
        <f t="shared" si="0"/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72">
        <v>0</v>
      </c>
      <c r="AD12" s="127">
        <f t="shared" si="1"/>
        <v>0</v>
      </c>
      <c r="AE12" s="72">
        <f t="shared" si="2"/>
        <v>0</v>
      </c>
      <c r="AG12" s="129">
        <v>0</v>
      </c>
      <c r="AH12" s="251">
        <f t="shared" si="3"/>
        <v>0</v>
      </c>
      <c r="AI12" s="124"/>
    </row>
    <row r="13" spans="1:35">
      <c r="A13" s="105" t="s">
        <v>719</v>
      </c>
      <c r="B13" s="105" t="s">
        <v>644</v>
      </c>
      <c r="C13" s="105" t="s">
        <v>727</v>
      </c>
      <c r="D13" s="105" t="s">
        <v>728</v>
      </c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117">
        <f t="shared" si="0"/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  <c r="Z13" s="72">
        <v>0</v>
      </c>
      <c r="AA13" s="72">
        <v>0</v>
      </c>
      <c r="AB13" s="72">
        <v>0</v>
      </c>
      <c r="AC13" s="72">
        <v>0</v>
      </c>
      <c r="AD13" s="127">
        <f t="shared" si="1"/>
        <v>0</v>
      </c>
      <c r="AE13" s="72">
        <f t="shared" si="2"/>
        <v>0</v>
      </c>
      <c r="AF13" s="192" t="e">
        <f>AE13/AD13</f>
        <v>#DIV/0!</v>
      </c>
      <c r="AG13" s="129">
        <v>0</v>
      </c>
      <c r="AH13" s="251">
        <f t="shared" si="3"/>
        <v>0</v>
      </c>
      <c r="AI13" s="124"/>
    </row>
    <row r="14" spans="1:35">
      <c r="A14" s="105" t="s">
        <v>729</v>
      </c>
      <c r="B14" s="105" t="s">
        <v>644</v>
      </c>
      <c r="D14" s="105" t="s">
        <v>730</v>
      </c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117">
        <f t="shared" si="0"/>
        <v>0</v>
      </c>
      <c r="R14" s="72">
        <v>11240.9</v>
      </c>
      <c r="S14" s="72">
        <v>19685.37</v>
      </c>
      <c r="T14" s="72">
        <v>8853.7000000000007</v>
      </c>
      <c r="U14" s="72">
        <v>6973.2</v>
      </c>
      <c r="V14" s="72">
        <v>9770.5</v>
      </c>
      <c r="W14" s="72">
        <v>7564.5</v>
      </c>
      <c r="X14" s="72">
        <v>6457.7</v>
      </c>
      <c r="Y14" s="72">
        <v>10126.1</v>
      </c>
      <c r="Z14" s="72">
        <v>9591.7000000000007</v>
      </c>
      <c r="AA14" s="72">
        <v>12059.300000000001</v>
      </c>
      <c r="AB14" s="72">
        <v>12119.2</v>
      </c>
      <c r="AC14" s="72">
        <v>16656.900000000001</v>
      </c>
      <c r="AD14" s="127">
        <f t="shared" si="1"/>
        <v>131099.07</v>
      </c>
      <c r="AE14" s="72">
        <f t="shared" si="2"/>
        <v>-131099.07</v>
      </c>
      <c r="AF14" s="192">
        <f t="shared" ref="AF14:AF82" si="4">AE14/AD14</f>
        <v>-1</v>
      </c>
      <c r="AG14" s="129">
        <v>151128.59999999998</v>
      </c>
      <c r="AH14" s="251">
        <f t="shared" si="3"/>
        <v>-151128.59999999998</v>
      </c>
      <c r="AI14" s="124"/>
    </row>
    <row r="15" spans="1:35">
      <c r="D15" s="109" t="s">
        <v>500</v>
      </c>
      <c r="E15" s="117">
        <f t="shared" ref="E15:AE15" si="5">SUM(E9:E14)</f>
        <v>0</v>
      </c>
      <c r="F15" s="117">
        <f t="shared" si="5"/>
        <v>0</v>
      </c>
      <c r="G15" s="117">
        <f t="shared" si="5"/>
        <v>0</v>
      </c>
      <c r="H15" s="117">
        <f t="shared" si="5"/>
        <v>0</v>
      </c>
      <c r="I15" s="117">
        <f t="shared" si="5"/>
        <v>0</v>
      </c>
      <c r="J15" s="117">
        <f t="shared" si="5"/>
        <v>0</v>
      </c>
      <c r="K15" s="117">
        <f t="shared" si="5"/>
        <v>0</v>
      </c>
      <c r="L15" s="117">
        <f t="shared" si="5"/>
        <v>0</v>
      </c>
      <c r="M15" s="117">
        <f t="shared" si="5"/>
        <v>0</v>
      </c>
      <c r="N15" s="117">
        <f t="shared" si="5"/>
        <v>0</v>
      </c>
      <c r="O15" s="117">
        <f t="shared" si="5"/>
        <v>0</v>
      </c>
      <c r="P15" s="117">
        <f t="shared" si="5"/>
        <v>0</v>
      </c>
      <c r="Q15" s="117">
        <f t="shared" si="5"/>
        <v>0</v>
      </c>
      <c r="R15" s="127">
        <f t="shared" si="5"/>
        <v>137672.29999999999</v>
      </c>
      <c r="S15" s="127">
        <f t="shared" si="5"/>
        <v>206300.72999999998</v>
      </c>
      <c r="T15" s="127">
        <f t="shared" si="5"/>
        <v>100699.8</v>
      </c>
      <c r="U15" s="127">
        <f t="shared" si="5"/>
        <v>95209.26</v>
      </c>
      <c r="V15" s="127">
        <f t="shared" si="5"/>
        <v>102873.97</v>
      </c>
      <c r="W15" s="127">
        <f t="shared" si="5"/>
        <v>78038.14</v>
      </c>
      <c r="X15" s="127">
        <f t="shared" si="5"/>
        <v>77882.16</v>
      </c>
      <c r="Y15" s="127">
        <f t="shared" si="5"/>
        <v>105288.66</v>
      </c>
      <c r="Z15" s="127">
        <f t="shared" si="5"/>
        <v>105508.7</v>
      </c>
      <c r="AA15" s="127">
        <f t="shared" si="5"/>
        <v>132652.29999999999</v>
      </c>
      <c r="AB15" s="127">
        <f t="shared" si="5"/>
        <v>133311.20000000001</v>
      </c>
      <c r="AC15" s="127">
        <f t="shared" si="5"/>
        <v>183225.9</v>
      </c>
      <c r="AD15" s="127">
        <f t="shared" si="5"/>
        <v>1458663.12</v>
      </c>
      <c r="AE15" s="127">
        <f t="shared" si="5"/>
        <v>-1458663.12</v>
      </c>
      <c r="AF15" s="192">
        <f t="shared" si="4"/>
        <v>-1</v>
      </c>
      <c r="AG15" s="129">
        <v>2216713.3299999996</v>
      </c>
      <c r="AH15" s="251">
        <f t="shared" si="3"/>
        <v>-2216713.3299999996</v>
      </c>
      <c r="AI15" s="124"/>
    </row>
    <row r="16" spans="1:35">
      <c r="D16" s="105" t="s">
        <v>154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7"/>
      <c r="AF16" s="192"/>
      <c r="AG16" s="129"/>
      <c r="AI16" s="124"/>
    </row>
    <row r="17" spans="1:35">
      <c r="D17" s="105" t="s">
        <v>671</v>
      </c>
      <c r="E17" s="262"/>
      <c r="F17" s="262"/>
      <c r="G17" s="262"/>
      <c r="H17" s="262"/>
      <c r="I17" s="262"/>
      <c r="J17" s="262"/>
      <c r="K17" s="116"/>
      <c r="L17" s="116"/>
      <c r="M17" s="116"/>
      <c r="N17" s="116"/>
      <c r="O17" s="116"/>
      <c r="P17" s="116"/>
      <c r="Q17" s="117"/>
      <c r="AF17" s="192"/>
      <c r="AG17" s="129"/>
      <c r="AI17" s="124"/>
    </row>
    <row r="18" spans="1:35">
      <c r="A18" s="105" t="s">
        <v>731</v>
      </c>
      <c r="B18" s="105" t="s">
        <v>644</v>
      </c>
      <c r="C18" s="105" t="s">
        <v>722</v>
      </c>
      <c r="D18" s="105" t="s">
        <v>672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7">
        <f>SUM(E18:P18)</f>
        <v>0</v>
      </c>
      <c r="R18" s="72">
        <v>6037.55</v>
      </c>
      <c r="S18" s="72">
        <v>9229.15</v>
      </c>
      <c r="T18" s="72">
        <v>3978.72</v>
      </c>
      <c r="U18" s="72">
        <v>3116.12</v>
      </c>
      <c r="V18" s="72">
        <v>5953.24</v>
      </c>
      <c r="W18" s="72">
        <v>3840.2</v>
      </c>
      <c r="X18" s="72">
        <v>3636.18</v>
      </c>
      <c r="Y18" s="72">
        <v>5443.48</v>
      </c>
      <c r="Z18" s="72">
        <v>7287</v>
      </c>
      <c r="AA18" s="72">
        <v>7356</v>
      </c>
      <c r="AB18" s="72">
        <v>7402</v>
      </c>
      <c r="AC18" s="72">
        <v>11726.820000000003</v>
      </c>
      <c r="AD18" s="127">
        <f>SUM(R18:AC18)</f>
        <v>75006.460000000006</v>
      </c>
      <c r="AE18" s="72">
        <f>AD18-Q18</f>
        <v>75006.460000000006</v>
      </c>
      <c r="AF18" s="192">
        <f t="shared" si="4"/>
        <v>1</v>
      </c>
      <c r="AG18" s="129">
        <v>93702.510000000009</v>
      </c>
      <c r="AH18" s="251">
        <f t="shared" ref="AH18:AH81" si="6">AG18-Q18</f>
        <v>93702.510000000009</v>
      </c>
      <c r="AI18" s="124"/>
    </row>
    <row r="19" spans="1:35">
      <c r="A19" s="105" t="s">
        <v>731</v>
      </c>
      <c r="B19" s="105" t="s">
        <v>644</v>
      </c>
      <c r="C19" s="105" t="s">
        <v>724</v>
      </c>
      <c r="D19" s="105" t="s">
        <v>673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7">
        <f>SUM(E19:P19)</f>
        <v>0</v>
      </c>
      <c r="R19" s="72">
        <v>991.38</v>
      </c>
      <c r="S19" s="72">
        <v>1074.06</v>
      </c>
      <c r="T19" s="72">
        <v>1464.92</v>
      </c>
      <c r="U19" s="72">
        <v>336.01</v>
      </c>
      <c r="V19" s="72">
        <v>0</v>
      </c>
      <c r="W19" s="72">
        <v>71.16</v>
      </c>
      <c r="X19" s="72">
        <v>0</v>
      </c>
      <c r="Y19" s="72">
        <v>0</v>
      </c>
      <c r="Z19" s="72">
        <v>2409</v>
      </c>
      <c r="AA19" s="72">
        <v>5780</v>
      </c>
      <c r="AB19" s="72">
        <v>5780</v>
      </c>
      <c r="AC19" s="72">
        <v>8799</v>
      </c>
      <c r="AD19" s="127">
        <f>SUM(R19:AC19)</f>
        <v>26705.53</v>
      </c>
      <c r="AE19" s="72">
        <f>AD19-Q19</f>
        <v>26705.53</v>
      </c>
      <c r="AF19" s="192">
        <f t="shared" si="4"/>
        <v>1</v>
      </c>
      <c r="AG19" s="129">
        <v>35733.490000000005</v>
      </c>
      <c r="AH19" s="251">
        <f t="shared" si="6"/>
        <v>35733.490000000005</v>
      </c>
      <c r="AI19" s="124"/>
    </row>
    <row r="20" spans="1:35">
      <c r="D20" s="109" t="s">
        <v>676</v>
      </c>
      <c r="E20" s="117">
        <f t="shared" ref="E20:AE20" si="7">SUM(E18:E19)</f>
        <v>0</v>
      </c>
      <c r="F20" s="117">
        <f t="shared" si="7"/>
        <v>0</v>
      </c>
      <c r="G20" s="117">
        <f t="shared" si="7"/>
        <v>0</v>
      </c>
      <c r="H20" s="117">
        <f t="shared" si="7"/>
        <v>0</v>
      </c>
      <c r="I20" s="117">
        <f t="shared" si="7"/>
        <v>0</v>
      </c>
      <c r="J20" s="117">
        <f t="shared" si="7"/>
        <v>0</v>
      </c>
      <c r="K20" s="117">
        <f t="shared" si="7"/>
        <v>0</v>
      </c>
      <c r="L20" s="117">
        <f t="shared" si="7"/>
        <v>0</v>
      </c>
      <c r="M20" s="117">
        <f t="shared" si="7"/>
        <v>0</v>
      </c>
      <c r="N20" s="117">
        <f t="shared" si="7"/>
        <v>0</v>
      </c>
      <c r="O20" s="117">
        <f t="shared" si="7"/>
        <v>0</v>
      </c>
      <c r="P20" s="117">
        <f t="shared" si="7"/>
        <v>0</v>
      </c>
      <c r="Q20" s="117">
        <f t="shared" si="7"/>
        <v>0</v>
      </c>
      <c r="R20" s="127">
        <f t="shared" si="7"/>
        <v>7028.93</v>
      </c>
      <c r="S20" s="127">
        <f t="shared" si="7"/>
        <v>10303.209999999999</v>
      </c>
      <c r="T20" s="127">
        <f t="shared" si="7"/>
        <v>5443.6399999999994</v>
      </c>
      <c r="U20" s="127">
        <f t="shared" si="7"/>
        <v>3452.13</v>
      </c>
      <c r="V20" s="127">
        <f t="shared" si="7"/>
        <v>5953.24</v>
      </c>
      <c r="W20" s="127">
        <f t="shared" si="7"/>
        <v>3911.3599999999997</v>
      </c>
      <c r="X20" s="127">
        <f t="shared" si="7"/>
        <v>3636.18</v>
      </c>
      <c r="Y20" s="127">
        <f t="shared" si="7"/>
        <v>5443.48</v>
      </c>
      <c r="Z20" s="127">
        <f t="shared" si="7"/>
        <v>9696</v>
      </c>
      <c r="AA20" s="127">
        <f t="shared" si="7"/>
        <v>13136</v>
      </c>
      <c r="AB20" s="127">
        <f t="shared" si="7"/>
        <v>13182</v>
      </c>
      <c r="AC20" s="127">
        <f t="shared" si="7"/>
        <v>20525.820000000003</v>
      </c>
      <c r="AD20" s="127">
        <f t="shared" si="7"/>
        <v>101711.99</v>
      </c>
      <c r="AE20" s="127">
        <f t="shared" si="7"/>
        <v>101711.99</v>
      </c>
      <c r="AF20" s="192">
        <f t="shared" si="4"/>
        <v>1</v>
      </c>
      <c r="AG20" s="129">
        <v>129436.00000000001</v>
      </c>
      <c r="AH20" s="251">
        <f t="shared" si="6"/>
        <v>129436.00000000001</v>
      </c>
      <c r="AI20" s="124"/>
    </row>
    <row r="21" spans="1:35"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7"/>
      <c r="AF21" s="192"/>
      <c r="AG21" s="129"/>
      <c r="AH21" s="251">
        <f t="shared" si="6"/>
        <v>0</v>
      </c>
      <c r="AI21" s="124"/>
    </row>
    <row r="22" spans="1:35" s="109" customFormat="1">
      <c r="D22" s="109" t="s">
        <v>289</v>
      </c>
      <c r="E22" s="117">
        <f t="shared" ref="E22:P22" si="8">E80</f>
        <v>0</v>
      </c>
      <c r="F22" s="117">
        <f t="shared" si="8"/>
        <v>0</v>
      </c>
      <c r="G22" s="117">
        <f t="shared" si="8"/>
        <v>0</v>
      </c>
      <c r="H22" s="117">
        <f t="shared" si="8"/>
        <v>0</v>
      </c>
      <c r="I22" s="117">
        <f t="shared" si="8"/>
        <v>0</v>
      </c>
      <c r="J22" s="117">
        <f t="shared" si="8"/>
        <v>0</v>
      </c>
      <c r="K22" s="117">
        <f t="shared" si="8"/>
        <v>0</v>
      </c>
      <c r="L22" s="117">
        <f t="shared" si="8"/>
        <v>0</v>
      </c>
      <c r="M22" s="117">
        <f t="shared" si="8"/>
        <v>0</v>
      </c>
      <c r="N22" s="117">
        <f t="shared" si="8"/>
        <v>0</v>
      </c>
      <c r="O22" s="117">
        <f t="shared" si="8"/>
        <v>0</v>
      </c>
      <c r="P22" s="117">
        <f t="shared" si="8"/>
        <v>0</v>
      </c>
      <c r="Q22" s="117">
        <f>SUM(E22:P22)</f>
        <v>0</v>
      </c>
      <c r="R22" s="127">
        <f t="shared" ref="R22:AC22" si="9">R80</f>
        <v>88137.33</v>
      </c>
      <c r="S22" s="127">
        <f t="shared" si="9"/>
        <v>105672.25</v>
      </c>
      <c r="T22" s="127">
        <f t="shared" si="9"/>
        <v>73827.789999999994</v>
      </c>
      <c r="U22" s="127">
        <f t="shared" si="9"/>
        <v>81866.989999999991</v>
      </c>
      <c r="V22" s="127">
        <f t="shared" si="9"/>
        <v>80428.929999999993</v>
      </c>
      <c r="W22" s="127">
        <f t="shared" si="9"/>
        <v>74577.42</v>
      </c>
      <c r="X22" s="127">
        <f t="shared" si="9"/>
        <v>73773.84</v>
      </c>
      <c r="Y22" s="127">
        <f t="shared" si="9"/>
        <v>80959.5</v>
      </c>
      <c r="Z22" s="127">
        <f t="shared" si="9"/>
        <v>106056.33</v>
      </c>
      <c r="AA22" s="127">
        <f t="shared" si="9"/>
        <v>120798.33</v>
      </c>
      <c r="AB22" s="127">
        <f t="shared" si="9"/>
        <v>110384.33</v>
      </c>
      <c r="AC22" s="127">
        <f t="shared" si="9"/>
        <v>117516.33</v>
      </c>
      <c r="AD22" s="127">
        <f>SUM(R22:AC22)</f>
        <v>1113999.3699999999</v>
      </c>
      <c r="AE22" s="127">
        <f>AD22-Q22</f>
        <v>1113999.3699999999</v>
      </c>
      <c r="AF22" s="132">
        <f t="shared" si="4"/>
        <v>1</v>
      </c>
      <c r="AG22" s="129">
        <v>1501002.16</v>
      </c>
      <c r="AH22" s="251">
        <f t="shared" si="6"/>
        <v>1501002.16</v>
      </c>
      <c r="AI22" s="124"/>
    </row>
    <row r="23" spans="1:35">
      <c r="D23" s="105" t="s">
        <v>154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7"/>
      <c r="AF23" s="192"/>
      <c r="AG23" s="129"/>
      <c r="AH23" s="251">
        <f t="shared" si="6"/>
        <v>0</v>
      </c>
      <c r="AI23" s="124"/>
    </row>
    <row r="24" spans="1:35">
      <c r="D24" s="105" t="s">
        <v>502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7"/>
      <c r="AF24" s="192"/>
      <c r="AG24" s="129"/>
      <c r="AH24" s="251">
        <f t="shared" si="6"/>
        <v>0</v>
      </c>
      <c r="AI24" s="124"/>
    </row>
    <row r="25" spans="1:35" ht="12.75" customHeight="1">
      <c r="A25" s="105" t="s">
        <v>732</v>
      </c>
      <c r="B25" s="105" t="s">
        <v>644</v>
      </c>
      <c r="D25" s="105" t="s">
        <v>425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7">
        <f>SUM(E25:P25)</f>
        <v>0</v>
      </c>
      <c r="R25" s="72">
        <v>218.63</v>
      </c>
      <c r="S25" s="72">
        <v>221.55</v>
      </c>
      <c r="T25" s="72">
        <v>179.54</v>
      </c>
      <c r="U25" s="72">
        <v>83.43</v>
      </c>
      <c r="V25" s="72">
        <v>780.64</v>
      </c>
      <c r="W25" s="72">
        <v>382.08</v>
      </c>
      <c r="X25" s="72">
        <v>674.38</v>
      </c>
      <c r="Y25" s="72">
        <v>675.8</v>
      </c>
      <c r="Z25" s="72">
        <v>301</v>
      </c>
      <c r="AA25" s="72">
        <v>301</v>
      </c>
      <c r="AB25" s="72">
        <v>301</v>
      </c>
      <c r="AC25" s="72">
        <v>306</v>
      </c>
      <c r="AD25" s="127">
        <f t="shared" ref="AD25:AD43" si="10">SUM(R25:AC25)</f>
        <v>4425.05</v>
      </c>
      <c r="AE25" s="72">
        <f>AD25-Q25</f>
        <v>4425.05</v>
      </c>
      <c r="AF25" s="192">
        <f>AE25/AD25</f>
        <v>1</v>
      </c>
      <c r="AG25" s="129">
        <v>6345.59</v>
      </c>
      <c r="AH25" s="251">
        <f t="shared" si="6"/>
        <v>6345.59</v>
      </c>
      <c r="AI25" s="124"/>
    </row>
    <row r="26" spans="1:35">
      <c r="A26" s="105" t="s">
        <v>687</v>
      </c>
      <c r="B26" s="105" t="s">
        <v>644</v>
      </c>
      <c r="D26" s="105" t="s">
        <v>144</v>
      </c>
      <c r="E26" s="263">
        <f>+E86+E87+E88</f>
        <v>0</v>
      </c>
      <c r="F26" s="263">
        <f t="shared" ref="F26:P26" si="11">+F86+F87+F88</f>
        <v>0</v>
      </c>
      <c r="G26" s="263">
        <f t="shared" si="11"/>
        <v>0</v>
      </c>
      <c r="H26" s="263">
        <f t="shared" si="11"/>
        <v>0</v>
      </c>
      <c r="I26" s="263">
        <f t="shared" si="11"/>
        <v>0</v>
      </c>
      <c r="J26" s="263">
        <f t="shared" si="11"/>
        <v>0</v>
      </c>
      <c r="K26" s="263">
        <f t="shared" si="11"/>
        <v>0</v>
      </c>
      <c r="L26" s="263">
        <f t="shared" si="11"/>
        <v>0</v>
      </c>
      <c r="M26" s="263">
        <f t="shared" si="11"/>
        <v>0</v>
      </c>
      <c r="N26" s="263">
        <f t="shared" si="11"/>
        <v>0</v>
      </c>
      <c r="O26" s="263">
        <f t="shared" si="11"/>
        <v>0</v>
      </c>
      <c r="P26" s="263">
        <f t="shared" si="11"/>
        <v>0</v>
      </c>
      <c r="Q26" s="117">
        <f>SUM(E26:P26)</f>
        <v>0</v>
      </c>
      <c r="R26" s="72">
        <v>8897.26</v>
      </c>
      <c r="S26" s="72">
        <v>8017</v>
      </c>
      <c r="T26" s="72">
        <v>11589.15</v>
      </c>
      <c r="U26" s="72">
        <v>9677.77</v>
      </c>
      <c r="V26" s="72">
        <v>16808.16</v>
      </c>
      <c r="W26" s="72">
        <v>22258.47</v>
      </c>
      <c r="X26" s="72">
        <v>18844.97</v>
      </c>
      <c r="Y26" s="72">
        <v>14680.99</v>
      </c>
      <c r="Z26" s="72">
        <v>11279</v>
      </c>
      <c r="AA26" s="72">
        <v>11279</v>
      </c>
      <c r="AB26" s="72">
        <v>11279</v>
      </c>
      <c r="AC26" s="72">
        <v>11279</v>
      </c>
      <c r="AD26" s="127">
        <f t="shared" si="10"/>
        <v>155889.77000000002</v>
      </c>
      <c r="AE26" s="72">
        <f t="shared" ref="AE26:AE44" si="12">AD26-Q26</f>
        <v>155889.77000000002</v>
      </c>
      <c r="AF26" s="192">
        <f t="shared" si="4"/>
        <v>1</v>
      </c>
      <c r="AG26" s="129">
        <v>13377.839999999998</v>
      </c>
      <c r="AH26" s="251">
        <f t="shared" si="6"/>
        <v>13377.839999999998</v>
      </c>
      <c r="AI26" s="124"/>
    </row>
    <row r="27" spans="1:35">
      <c r="A27" s="105" t="s">
        <v>688</v>
      </c>
      <c r="B27" s="105" t="s">
        <v>644</v>
      </c>
      <c r="D27" s="105" t="s">
        <v>184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7">
        <f>SUM(E27:P27)</f>
        <v>0</v>
      </c>
      <c r="R27" s="72">
        <v>0</v>
      </c>
      <c r="S27" s="72">
        <v>0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127">
        <f t="shared" si="10"/>
        <v>0</v>
      </c>
      <c r="AE27" s="72">
        <f>AD27-Q27</f>
        <v>0</v>
      </c>
      <c r="AF27" s="192" t="e">
        <f>AE27/AD27</f>
        <v>#DIV/0!</v>
      </c>
      <c r="AG27" s="129">
        <v>1334.1</v>
      </c>
      <c r="AH27" s="251">
        <f t="shared" si="6"/>
        <v>1334.1</v>
      </c>
      <c r="AI27" s="124"/>
    </row>
    <row r="28" spans="1:35">
      <c r="A28" s="105" t="s">
        <v>733</v>
      </c>
      <c r="B28" s="105" t="s">
        <v>644</v>
      </c>
      <c r="D28" s="105" t="s">
        <v>186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7">
        <f>SUM(E28:P28)</f>
        <v>0</v>
      </c>
      <c r="R28" s="72">
        <v>0</v>
      </c>
      <c r="S28" s="72">
        <v>172.56</v>
      </c>
      <c r="T28" s="72">
        <v>86.28</v>
      </c>
      <c r="U28" s="72">
        <v>86.28</v>
      </c>
      <c r="V28" s="72">
        <v>86.28</v>
      </c>
      <c r="W28" s="72">
        <v>86.28</v>
      </c>
      <c r="X28" s="72">
        <v>86.28</v>
      </c>
      <c r="Y28" s="72">
        <v>86.28</v>
      </c>
      <c r="Z28" s="72">
        <v>90</v>
      </c>
      <c r="AA28" s="72">
        <v>90</v>
      </c>
      <c r="AB28" s="72">
        <v>90</v>
      </c>
      <c r="AC28" s="72">
        <v>90</v>
      </c>
      <c r="AD28" s="127">
        <f t="shared" si="10"/>
        <v>1050.2399999999998</v>
      </c>
      <c r="AE28" s="72">
        <f t="shared" si="12"/>
        <v>1050.2399999999998</v>
      </c>
      <c r="AF28" s="192">
        <f t="shared" si="4"/>
        <v>1</v>
      </c>
      <c r="AG28" s="129">
        <v>900</v>
      </c>
      <c r="AH28" s="251">
        <f t="shared" si="6"/>
        <v>900</v>
      </c>
      <c r="AI28" s="124"/>
    </row>
    <row r="29" spans="1:35">
      <c r="A29" s="105" t="s">
        <v>187</v>
      </c>
      <c r="B29" s="105" t="s">
        <v>644</v>
      </c>
      <c r="D29" s="105" t="s">
        <v>188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35">
        <f t="shared" ref="Q29:Q43" si="13">SUM(E29:P29)</f>
        <v>0</v>
      </c>
      <c r="R29" s="136">
        <v>1287.0999999999999</v>
      </c>
      <c r="S29" s="136">
        <v>500</v>
      </c>
      <c r="T29" s="136">
        <v>1991.42</v>
      </c>
      <c r="U29" s="136">
        <v>1285.5999999999999</v>
      </c>
      <c r="V29" s="136">
        <v>1400.83</v>
      </c>
      <c r="W29" s="136">
        <v>867.3</v>
      </c>
      <c r="X29" s="72">
        <v>1568.79</v>
      </c>
      <c r="Y29" s="72">
        <v>2033.82</v>
      </c>
      <c r="Z29" s="72">
        <v>1078</v>
      </c>
      <c r="AA29" s="72">
        <v>1649</v>
      </c>
      <c r="AB29" s="72">
        <v>1179</v>
      </c>
      <c r="AC29" s="72">
        <v>2929</v>
      </c>
      <c r="AD29" s="137">
        <f t="shared" si="10"/>
        <v>17769.86</v>
      </c>
      <c r="AE29" s="136">
        <f t="shared" si="12"/>
        <v>17769.86</v>
      </c>
      <c r="AF29" s="196">
        <f t="shared" si="4"/>
        <v>1</v>
      </c>
      <c r="AG29" s="133">
        <v>69087.23</v>
      </c>
      <c r="AH29" s="251">
        <f t="shared" si="6"/>
        <v>69087.23</v>
      </c>
      <c r="AI29" s="124"/>
    </row>
    <row r="30" spans="1:35">
      <c r="A30" s="105" t="s">
        <v>689</v>
      </c>
      <c r="B30" s="105" t="s">
        <v>644</v>
      </c>
      <c r="D30" s="105" t="s">
        <v>202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7">
        <f t="shared" si="13"/>
        <v>0</v>
      </c>
      <c r="R30" s="72">
        <v>240</v>
      </c>
      <c r="S30" s="72">
        <v>373.74</v>
      </c>
      <c r="T30" s="72">
        <v>240</v>
      </c>
      <c r="U30" s="72">
        <v>514.99</v>
      </c>
      <c r="V30" s="72">
        <v>240</v>
      </c>
      <c r="W30" s="72">
        <v>480</v>
      </c>
      <c r="X30" s="72">
        <v>160</v>
      </c>
      <c r="Y30" s="72">
        <v>240</v>
      </c>
      <c r="Z30" s="72">
        <v>500</v>
      </c>
      <c r="AA30" s="72">
        <v>500</v>
      </c>
      <c r="AB30" s="72">
        <v>500</v>
      </c>
      <c r="AC30" s="72">
        <v>500</v>
      </c>
      <c r="AD30" s="127">
        <f t="shared" si="10"/>
        <v>4488.7299999999996</v>
      </c>
      <c r="AE30" s="72">
        <f t="shared" si="12"/>
        <v>4488.7299999999996</v>
      </c>
      <c r="AF30" s="192">
        <f t="shared" si="4"/>
        <v>1</v>
      </c>
      <c r="AG30" s="129">
        <v>1831.8600000000001</v>
      </c>
      <c r="AH30" s="251">
        <f t="shared" si="6"/>
        <v>1831.8600000000001</v>
      </c>
      <c r="AI30" s="124"/>
    </row>
    <row r="31" spans="1:35">
      <c r="A31" s="105" t="s">
        <v>197</v>
      </c>
      <c r="B31" s="105" t="s">
        <v>644</v>
      </c>
      <c r="D31" s="105" t="s">
        <v>305</v>
      </c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7">
        <f t="shared" si="13"/>
        <v>0</v>
      </c>
      <c r="R31" s="72">
        <v>0</v>
      </c>
      <c r="S31" s="72">
        <v>218.46</v>
      </c>
      <c r="T31" s="72">
        <v>0</v>
      </c>
      <c r="U31" s="72">
        <v>580</v>
      </c>
      <c r="V31" s="72">
        <v>647.26</v>
      </c>
      <c r="W31" s="72">
        <v>1097.3499999999999</v>
      </c>
      <c r="X31" s="72">
        <v>32</v>
      </c>
      <c r="Y31" s="72">
        <v>145.63999999999999</v>
      </c>
      <c r="Z31" s="72">
        <v>233</v>
      </c>
      <c r="AA31" s="72">
        <v>233</v>
      </c>
      <c r="AB31" s="72">
        <v>233</v>
      </c>
      <c r="AC31" s="72">
        <v>233</v>
      </c>
      <c r="AD31" s="127">
        <f t="shared" si="10"/>
        <v>3652.7099999999996</v>
      </c>
      <c r="AE31" s="72">
        <f t="shared" si="12"/>
        <v>3652.7099999999996</v>
      </c>
      <c r="AF31" s="192">
        <f t="shared" si="4"/>
        <v>1</v>
      </c>
      <c r="AG31" s="129">
        <v>4114.13</v>
      </c>
      <c r="AH31" s="251">
        <f t="shared" si="6"/>
        <v>4114.13</v>
      </c>
      <c r="AI31" s="124"/>
    </row>
    <row r="32" spans="1:35">
      <c r="A32" s="105" t="s">
        <v>692</v>
      </c>
      <c r="B32" s="105" t="s">
        <v>644</v>
      </c>
      <c r="D32" s="105" t="s">
        <v>204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7">
        <f t="shared" si="13"/>
        <v>0</v>
      </c>
      <c r="R32" s="72">
        <v>2942</v>
      </c>
      <c r="S32" s="72">
        <v>2942</v>
      </c>
      <c r="T32" s="72">
        <v>2942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127">
        <f t="shared" si="10"/>
        <v>8826</v>
      </c>
      <c r="AE32" s="72">
        <f t="shared" si="12"/>
        <v>8826</v>
      </c>
      <c r="AF32" s="192">
        <f t="shared" si="4"/>
        <v>1</v>
      </c>
      <c r="AG32" s="129">
        <v>23850.04</v>
      </c>
      <c r="AH32" s="251">
        <f t="shared" si="6"/>
        <v>23850.04</v>
      </c>
      <c r="AI32" s="124"/>
    </row>
    <row r="33" spans="1:35">
      <c r="A33" s="105" t="s">
        <v>734</v>
      </c>
      <c r="B33" s="105" t="s">
        <v>644</v>
      </c>
      <c r="D33" s="105" t="s">
        <v>735</v>
      </c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7">
        <f t="shared" si="13"/>
        <v>0</v>
      </c>
      <c r="R33" s="72">
        <v>0</v>
      </c>
      <c r="S33" s="72">
        <v>0</v>
      </c>
      <c r="T33" s="72">
        <v>0</v>
      </c>
      <c r="U33" s="72">
        <v>0</v>
      </c>
      <c r="V33" s="72">
        <v>0</v>
      </c>
      <c r="W33" s="72">
        <v>0</v>
      </c>
      <c r="X33" s="72">
        <v>0</v>
      </c>
      <c r="Y33" s="72">
        <v>0</v>
      </c>
      <c r="Z33" s="72">
        <v>0</v>
      </c>
      <c r="AA33" s="72">
        <v>0</v>
      </c>
      <c r="AB33" s="72">
        <v>0</v>
      </c>
      <c r="AC33" s="72">
        <v>0</v>
      </c>
      <c r="AD33" s="127">
        <f t="shared" si="10"/>
        <v>0</v>
      </c>
      <c r="AE33" s="72">
        <f t="shared" si="12"/>
        <v>0</v>
      </c>
      <c r="AF33" s="192" t="e">
        <f t="shared" si="4"/>
        <v>#DIV/0!</v>
      </c>
      <c r="AG33" s="129">
        <v>0</v>
      </c>
      <c r="AH33" s="251">
        <f t="shared" si="6"/>
        <v>0</v>
      </c>
      <c r="AI33" s="124"/>
    </row>
    <row r="34" spans="1:35">
      <c r="A34" s="105" t="s">
        <v>717</v>
      </c>
      <c r="B34" s="105" t="s">
        <v>644</v>
      </c>
      <c r="D34" s="105" t="s">
        <v>208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7">
        <f>SUM(E34:P34)</f>
        <v>0</v>
      </c>
      <c r="R34" s="72">
        <v>620.84</v>
      </c>
      <c r="S34" s="72">
        <v>271.56</v>
      </c>
      <c r="T34" s="72">
        <v>816.96</v>
      </c>
      <c r="U34" s="72">
        <v>39.82</v>
      </c>
      <c r="V34" s="72">
        <v>39.82</v>
      </c>
      <c r="W34" s="72">
        <v>39.82</v>
      </c>
      <c r="X34" s="72">
        <v>39.82</v>
      </c>
      <c r="Y34" s="72">
        <v>79.650000000000006</v>
      </c>
      <c r="Z34" s="72">
        <v>300</v>
      </c>
      <c r="AA34" s="72">
        <v>300</v>
      </c>
      <c r="AB34" s="72">
        <v>300</v>
      </c>
      <c r="AC34" s="72">
        <v>300</v>
      </c>
      <c r="AD34" s="127">
        <f t="shared" si="10"/>
        <v>3148.29</v>
      </c>
      <c r="AE34" s="72">
        <f>AD34-Q34</f>
        <v>3148.29</v>
      </c>
      <c r="AF34" s="192">
        <f>AE34/AD34</f>
        <v>1</v>
      </c>
      <c r="AG34" s="129">
        <v>27294.36</v>
      </c>
      <c r="AH34" s="251">
        <f t="shared" si="6"/>
        <v>27294.36</v>
      </c>
      <c r="AI34" s="124"/>
    </row>
    <row r="35" spans="1:35">
      <c r="A35" s="105" t="s">
        <v>199</v>
      </c>
      <c r="B35" s="105" t="s">
        <v>644</v>
      </c>
      <c r="D35" s="105" t="s">
        <v>200</v>
      </c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7">
        <f t="shared" si="13"/>
        <v>0</v>
      </c>
      <c r="R35" s="72">
        <v>1666</v>
      </c>
      <c r="S35" s="72">
        <v>1666</v>
      </c>
      <c r="T35" s="72">
        <v>1666</v>
      </c>
      <c r="U35" s="72">
        <v>0</v>
      </c>
      <c r="V35" s="72">
        <v>0</v>
      </c>
      <c r="W35" s="72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127">
        <f t="shared" si="10"/>
        <v>4998</v>
      </c>
      <c r="AE35" s="72">
        <f t="shared" si="12"/>
        <v>4998</v>
      </c>
      <c r="AF35" s="192">
        <f t="shared" si="4"/>
        <v>1</v>
      </c>
      <c r="AG35" s="129">
        <v>0</v>
      </c>
      <c r="AH35" s="251">
        <f t="shared" si="6"/>
        <v>0</v>
      </c>
      <c r="AI35" s="124"/>
    </row>
    <row r="36" spans="1:35">
      <c r="A36" s="105" t="s">
        <v>693</v>
      </c>
      <c r="B36" s="105" t="s">
        <v>644</v>
      </c>
      <c r="D36" s="105" t="s">
        <v>450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7">
        <f t="shared" si="13"/>
        <v>0</v>
      </c>
      <c r="R36" s="72">
        <v>114.36</v>
      </c>
      <c r="S36" s="72">
        <v>114.36</v>
      </c>
      <c r="T36" s="72">
        <v>114.36</v>
      </c>
      <c r="U36" s="72">
        <v>114.36</v>
      </c>
      <c r="V36" s="72">
        <v>114.38</v>
      </c>
      <c r="W36" s="72">
        <v>54.2</v>
      </c>
      <c r="X36" s="72">
        <v>54.2</v>
      </c>
      <c r="Y36" s="72">
        <v>54.2</v>
      </c>
      <c r="Z36" s="72">
        <v>106</v>
      </c>
      <c r="AA36" s="72">
        <v>106</v>
      </c>
      <c r="AB36" s="72">
        <v>106</v>
      </c>
      <c r="AC36" s="72">
        <v>113</v>
      </c>
      <c r="AD36" s="127">
        <f t="shared" si="10"/>
        <v>1165.42</v>
      </c>
      <c r="AE36" s="72">
        <f t="shared" si="12"/>
        <v>1165.42</v>
      </c>
      <c r="AF36" s="192">
        <f t="shared" si="4"/>
        <v>1</v>
      </c>
      <c r="AG36" s="129">
        <v>2014.9399999999998</v>
      </c>
      <c r="AH36" s="251">
        <f t="shared" si="6"/>
        <v>2014.9399999999998</v>
      </c>
      <c r="AI36" s="124"/>
    </row>
    <row r="37" spans="1:35">
      <c r="A37" s="105" t="s">
        <v>690</v>
      </c>
      <c r="B37" s="105" t="s">
        <v>644</v>
      </c>
      <c r="D37" s="105" t="s">
        <v>210</v>
      </c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7">
        <f t="shared" si="13"/>
        <v>0</v>
      </c>
      <c r="R37" s="72">
        <v>0</v>
      </c>
      <c r="S37" s="72">
        <v>0</v>
      </c>
      <c r="T37" s="72">
        <v>0</v>
      </c>
      <c r="U37" s="72">
        <v>0</v>
      </c>
      <c r="V37" s="72">
        <v>0</v>
      </c>
      <c r="W37" s="72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72">
        <v>0</v>
      </c>
      <c r="AD37" s="127">
        <f t="shared" si="10"/>
        <v>0</v>
      </c>
      <c r="AE37" s="72">
        <f t="shared" si="12"/>
        <v>0</v>
      </c>
      <c r="AF37" s="192" t="e">
        <f t="shared" si="4"/>
        <v>#DIV/0!</v>
      </c>
      <c r="AG37" s="129">
        <v>0</v>
      </c>
      <c r="AH37" s="251">
        <f t="shared" si="6"/>
        <v>0</v>
      </c>
      <c r="AI37" s="124"/>
    </row>
    <row r="38" spans="1:35">
      <c r="A38" s="105" t="s">
        <v>694</v>
      </c>
      <c r="B38" s="105" t="s">
        <v>644</v>
      </c>
      <c r="D38" s="105" t="s">
        <v>212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35">
        <f t="shared" si="13"/>
        <v>0</v>
      </c>
      <c r="R38" s="136">
        <v>128.6</v>
      </c>
      <c r="S38" s="136">
        <v>346.19</v>
      </c>
      <c r="T38" s="136">
        <v>0</v>
      </c>
      <c r="U38" s="136">
        <v>109.09</v>
      </c>
      <c r="V38" s="136">
        <v>0</v>
      </c>
      <c r="W38" s="136">
        <v>1336.43</v>
      </c>
      <c r="X38" s="72">
        <v>1472.23</v>
      </c>
      <c r="Y38" s="72">
        <v>235</v>
      </c>
      <c r="Z38" s="72">
        <v>1849</v>
      </c>
      <c r="AA38" s="72">
        <v>1849</v>
      </c>
      <c r="AB38" s="72">
        <v>1849</v>
      </c>
      <c r="AC38" s="72">
        <v>1851</v>
      </c>
      <c r="AD38" s="137">
        <f t="shared" si="10"/>
        <v>11025.54</v>
      </c>
      <c r="AE38" s="136">
        <f t="shared" si="12"/>
        <v>11025.54</v>
      </c>
      <c r="AF38" s="196">
        <f t="shared" si="4"/>
        <v>1</v>
      </c>
      <c r="AG38" s="133">
        <v>36140.29</v>
      </c>
      <c r="AH38" s="251">
        <f t="shared" si="6"/>
        <v>36140.29</v>
      </c>
      <c r="AI38" s="124"/>
    </row>
    <row r="39" spans="1:35">
      <c r="A39" s="105" t="s">
        <v>709</v>
      </c>
      <c r="B39" s="105" t="s">
        <v>644</v>
      </c>
      <c r="D39" s="105" t="s">
        <v>214</v>
      </c>
      <c r="E39" s="176">
        <f>Laundry!E144</f>
        <v>0</v>
      </c>
      <c r="F39" s="176">
        <f>Laundry!F144</f>
        <v>0</v>
      </c>
      <c r="G39" s="176">
        <f>Laundry!G144</f>
        <v>0</v>
      </c>
      <c r="H39" s="176">
        <f>Laundry!H144</f>
        <v>0</v>
      </c>
      <c r="I39" s="176">
        <f>Laundry!I144</f>
        <v>0</v>
      </c>
      <c r="J39" s="176">
        <f>Laundry!J144</f>
        <v>0</v>
      </c>
      <c r="K39" s="176">
        <f>Laundry!K144</f>
        <v>0</v>
      </c>
      <c r="L39" s="176">
        <f>Laundry!L144</f>
        <v>0</v>
      </c>
      <c r="M39" s="176">
        <f>Laundry!M144</f>
        <v>0</v>
      </c>
      <c r="N39" s="176">
        <f>Laundry!N144</f>
        <v>0</v>
      </c>
      <c r="O39" s="176">
        <f>Laundry!O144</f>
        <v>0</v>
      </c>
      <c r="P39" s="176">
        <f>Laundry!P144</f>
        <v>0</v>
      </c>
      <c r="Q39" s="117">
        <f t="shared" si="13"/>
        <v>0</v>
      </c>
      <c r="R39" s="72">
        <v>2274.59</v>
      </c>
      <c r="S39" s="72">
        <v>2544.7800000000002</v>
      </c>
      <c r="T39" s="72">
        <v>1468.79</v>
      </c>
      <c r="U39" s="72">
        <v>1320.1</v>
      </c>
      <c r="V39" s="72">
        <v>554.26</v>
      </c>
      <c r="W39" s="72">
        <v>1776.13</v>
      </c>
      <c r="X39" s="72">
        <v>1224.45</v>
      </c>
      <c r="Y39" s="72">
        <v>1534.02</v>
      </c>
      <c r="Z39" s="72">
        <v>2203</v>
      </c>
      <c r="AA39" s="72">
        <v>2464</v>
      </c>
      <c r="AB39" s="72">
        <v>2070</v>
      </c>
      <c r="AC39" s="72">
        <v>2117</v>
      </c>
      <c r="AD39" s="127">
        <f t="shared" si="10"/>
        <v>21551.120000000003</v>
      </c>
      <c r="AE39" s="72">
        <f t="shared" si="12"/>
        <v>21551.120000000003</v>
      </c>
      <c r="AF39" s="192">
        <f t="shared" si="4"/>
        <v>1</v>
      </c>
      <c r="AG39" s="129">
        <v>18057.909999999996</v>
      </c>
      <c r="AH39" s="251">
        <f t="shared" si="6"/>
        <v>18057.909999999996</v>
      </c>
      <c r="AI39" s="124"/>
    </row>
    <row r="40" spans="1:35">
      <c r="A40" s="105" t="s">
        <v>696</v>
      </c>
      <c r="B40" s="105" t="s">
        <v>644</v>
      </c>
      <c r="D40" s="105" t="s">
        <v>216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7">
        <f t="shared" si="13"/>
        <v>0</v>
      </c>
      <c r="R40" s="72">
        <v>85.74</v>
      </c>
      <c r="S40" s="72">
        <v>87</v>
      </c>
      <c r="T40" s="72">
        <v>97.2</v>
      </c>
      <c r="U40" s="72">
        <v>82.1</v>
      </c>
      <c r="V40" s="72">
        <v>86.9</v>
      </c>
      <c r="W40" s="72">
        <v>87</v>
      </c>
      <c r="X40" s="72">
        <v>87</v>
      </c>
      <c r="Y40" s="72">
        <v>87</v>
      </c>
      <c r="Z40" s="72">
        <v>233</v>
      </c>
      <c r="AA40" s="72">
        <v>233</v>
      </c>
      <c r="AB40" s="72">
        <v>233</v>
      </c>
      <c r="AC40" s="72">
        <v>233</v>
      </c>
      <c r="AD40" s="127">
        <f t="shared" si="10"/>
        <v>1631.94</v>
      </c>
      <c r="AE40" s="72">
        <f t="shared" si="12"/>
        <v>1631.94</v>
      </c>
      <c r="AF40" s="192">
        <f t="shared" si="4"/>
        <v>1</v>
      </c>
      <c r="AG40" s="129">
        <v>4633.3499999999995</v>
      </c>
      <c r="AH40" s="251">
        <f t="shared" si="6"/>
        <v>4633.3499999999995</v>
      </c>
      <c r="AI40" s="124"/>
    </row>
    <row r="41" spans="1:35">
      <c r="A41" s="105" t="s">
        <v>219</v>
      </c>
      <c r="B41" s="105" t="s">
        <v>644</v>
      </c>
      <c r="D41" s="105" t="s">
        <v>220</v>
      </c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7">
        <f>SUM(E41:P41)</f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AD41" s="127">
        <f>SUM(R41:AC41)</f>
        <v>0</v>
      </c>
      <c r="AE41" s="72">
        <f>AD41-Q41</f>
        <v>0</v>
      </c>
      <c r="AF41" s="192" t="e">
        <f>AE41/AD41</f>
        <v>#DIV/0!</v>
      </c>
      <c r="AG41" s="129">
        <v>4633.3499999999995</v>
      </c>
      <c r="AH41" s="251">
        <f t="shared" si="6"/>
        <v>4633.3499999999995</v>
      </c>
      <c r="AI41" s="124"/>
    </row>
    <row r="42" spans="1:35">
      <c r="A42" s="105" t="s">
        <v>697</v>
      </c>
      <c r="B42" s="105" t="s">
        <v>644</v>
      </c>
      <c r="D42" s="105" t="s">
        <v>218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7">
        <f t="shared" si="13"/>
        <v>0</v>
      </c>
      <c r="R42" s="72">
        <v>286.87</v>
      </c>
      <c r="S42" s="72">
        <v>305.77</v>
      </c>
      <c r="T42" s="72">
        <v>230.36</v>
      </c>
      <c r="U42" s="72">
        <v>192.42</v>
      </c>
      <c r="V42" s="72">
        <v>300.83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127">
        <f t="shared" si="10"/>
        <v>1316.25</v>
      </c>
      <c r="AE42" s="72">
        <f t="shared" si="12"/>
        <v>1316.25</v>
      </c>
      <c r="AF42" s="192">
        <f t="shared" si="4"/>
        <v>1</v>
      </c>
      <c r="AG42" s="129">
        <v>1724.3300000000002</v>
      </c>
      <c r="AH42" s="251">
        <f t="shared" si="6"/>
        <v>1724.3300000000002</v>
      </c>
      <c r="AI42" s="124"/>
    </row>
    <row r="43" spans="1:35">
      <c r="A43" s="105" t="s">
        <v>698</v>
      </c>
      <c r="B43" s="105" t="s">
        <v>644</v>
      </c>
      <c r="D43" s="105" t="s">
        <v>222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7">
        <f t="shared" si="13"/>
        <v>0</v>
      </c>
      <c r="R43" s="72">
        <v>96.9</v>
      </c>
      <c r="S43" s="72">
        <v>48</v>
      </c>
      <c r="T43" s="72">
        <v>0</v>
      </c>
      <c r="U43" s="72">
        <v>0</v>
      </c>
      <c r="V43" s="72">
        <v>0</v>
      </c>
      <c r="W43" s="72">
        <v>0</v>
      </c>
      <c r="X43" s="72">
        <v>373.86</v>
      </c>
      <c r="Y43" s="72">
        <v>0</v>
      </c>
      <c r="Z43" s="72">
        <v>300</v>
      </c>
      <c r="AA43" s="72">
        <v>300</v>
      </c>
      <c r="AB43" s="72">
        <v>300</v>
      </c>
      <c r="AC43" s="72">
        <v>300</v>
      </c>
      <c r="AD43" s="127">
        <f t="shared" si="10"/>
        <v>1718.76</v>
      </c>
      <c r="AE43" s="72">
        <f t="shared" si="12"/>
        <v>1718.76</v>
      </c>
      <c r="AF43" s="192">
        <f t="shared" si="4"/>
        <v>1</v>
      </c>
      <c r="AG43" s="129">
        <v>1296.8600000000001</v>
      </c>
      <c r="AH43" s="251">
        <f t="shared" si="6"/>
        <v>1296.8600000000001</v>
      </c>
      <c r="AI43" s="124"/>
    </row>
    <row r="44" spans="1:35">
      <c r="D44" s="105" t="s">
        <v>507</v>
      </c>
      <c r="E44" s="117">
        <f t="shared" ref="E44:AD44" si="14">SUM(E25:E43)</f>
        <v>0</v>
      </c>
      <c r="F44" s="117">
        <f t="shared" si="14"/>
        <v>0</v>
      </c>
      <c r="G44" s="117">
        <f t="shared" si="14"/>
        <v>0</v>
      </c>
      <c r="H44" s="117">
        <f t="shared" si="14"/>
        <v>0</v>
      </c>
      <c r="I44" s="117">
        <f t="shared" si="14"/>
        <v>0</v>
      </c>
      <c r="J44" s="117">
        <f t="shared" si="14"/>
        <v>0</v>
      </c>
      <c r="K44" s="117">
        <f t="shared" si="14"/>
        <v>0</v>
      </c>
      <c r="L44" s="117">
        <f t="shared" si="14"/>
        <v>0</v>
      </c>
      <c r="M44" s="117">
        <f t="shared" si="14"/>
        <v>0</v>
      </c>
      <c r="N44" s="117">
        <f t="shared" si="14"/>
        <v>0</v>
      </c>
      <c r="O44" s="117">
        <f t="shared" si="14"/>
        <v>0</v>
      </c>
      <c r="P44" s="117">
        <f t="shared" si="14"/>
        <v>0</v>
      </c>
      <c r="Q44" s="117">
        <f t="shared" si="14"/>
        <v>0</v>
      </c>
      <c r="R44" s="127">
        <f t="shared" si="14"/>
        <v>18858.890000000003</v>
      </c>
      <c r="S44" s="127">
        <f t="shared" si="14"/>
        <v>17828.969999999998</v>
      </c>
      <c r="T44" s="127">
        <f t="shared" si="14"/>
        <v>21422.06</v>
      </c>
      <c r="U44" s="127">
        <f t="shared" si="14"/>
        <v>14085.960000000003</v>
      </c>
      <c r="V44" s="127">
        <f t="shared" si="14"/>
        <v>21059.359999999997</v>
      </c>
      <c r="W44" s="127">
        <f t="shared" si="14"/>
        <v>28465.06</v>
      </c>
      <c r="X44" s="127">
        <f t="shared" si="14"/>
        <v>24617.980000000003</v>
      </c>
      <c r="Y44" s="127">
        <f t="shared" si="14"/>
        <v>19852.400000000001</v>
      </c>
      <c r="Z44" s="127">
        <f t="shared" si="14"/>
        <v>18472</v>
      </c>
      <c r="AA44" s="127">
        <f t="shared" si="14"/>
        <v>19304</v>
      </c>
      <c r="AB44" s="127">
        <f t="shared" si="14"/>
        <v>18440</v>
      </c>
      <c r="AC44" s="127">
        <f t="shared" si="14"/>
        <v>20251</v>
      </c>
      <c r="AD44" s="127">
        <f t="shared" si="14"/>
        <v>242657.68000000002</v>
      </c>
      <c r="AE44" s="72">
        <f t="shared" si="12"/>
        <v>242657.68000000002</v>
      </c>
      <c r="AF44" s="192">
        <f t="shared" si="4"/>
        <v>1</v>
      </c>
      <c r="AG44" s="129">
        <v>212002.83000000002</v>
      </c>
      <c r="AH44" s="251">
        <f t="shared" si="6"/>
        <v>212002.83000000002</v>
      </c>
      <c r="AI44" s="124"/>
    </row>
    <row r="45" spans="1:35">
      <c r="D45" s="105" t="s">
        <v>508</v>
      </c>
      <c r="E45" s="117">
        <f t="shared" ref="E45:AD45" si="15">E15-E20-E22-E44</f>
        <v>0</v>
      </c>
      <c r="F45" s="117">
        <f t="shared" si="15"/>
        <v>0</v>
      </c>
      <c r="G45" s="117">
        <f t="shared" si="15"/>
        <v>0</v>
      </c>
      <c r="H45" s="117">
        <f t="shared" si="15"/>
        <v>0</v>
      </c>
      <c r="I45" s="117">
        <f t="shared" si="15"/>
        <v>0</v>
      </c>
      <c r="J45" s="117">
        <f t="shared" si="15"/>
        <v>0</v>
      </c>
      <c r="K45" s="117">
        <f t="shared" si="15"/>
        <v>0</v>
      </c>
      <c r="L45" s="117">
        <f t="shared" si="15"/>
        <v>0</v>
      </c>
      <c r="M45" s="117">
        <f t="shared" si="15"/>
        <v>0</v>
      </c>
      <c r="N45" s="117">
        <f t="shared" si="15"/>
        <v>0</v>
      </c>
      <c r="O45" s="117">
        <f t="shared" si="15"/>
        <v>0</v>
      </c>
      <c r="P45" s="117">
        <f t="shared" si="15"/>
        <v>0</v>
      </c>
      <c r="Q45" s="117">
        <f t="shared" si="15"/>
        <v>0</v>
      </c>
      <c r="R45" s="127">
        <f t="shared" si="15"/>
        <v>23647.149999999991</v>
      </c>
      <c r="S45" s="127">
        <f t="shared" si="15"/>
        <v>72496.299999999988</v>
      </c>
      <c r="T45" s="127">
        <f t="shared" si="15"/>
        <v>6.3100000000085856</v>
      </c>
      <c r="U45" s="127">
        <f t="shared" si="15"/>
        <v>-4195.8200000000033</v>
      </c>
      <c r="V45" s="127">
        <f t="shared" si="15"/>
        <v>-4567.559999999994</v>
      </c>
      <c r="W45" s="127">
        <f t="shared" si="15"/>
        <v>-28915.7</v>
      </c>
      <c r="X45" s="127">
        <f t="shared" si="15"/>
        <v>-24145.839999999989</v>
      </c>
      <c r="Y45" s="127">
        <f t="shared" si="15"/>
        <v>-966.71999999999389</v>
      </c>
      <c r="Z45" s="127">
        <f t="shared" si="15"/>
        <v>-28715.630000000005</v>
      </c>
      <c r="AA45" s="127">
        <f t="shared" si="15"/>
        <v>-20586.030000000013</v>
      </c>
      <c r="AB45" s="127">
        <f t="shared" si="15"/>
        <v>-8695.1299999999901</v>
      </c>
      <c r="AC45" s="127">
        <f t="shared" si="15"/>
        <v>24932.749999999985</v>
      </c>
      <c r="AD45" s="127">
        <f t="shared" si="15"/>
        <v>294.08000000022002</v>
      </c>
      <c r="AE45" s="72">
        <f>Q45-AD45</f>
        <v>-294.08000000022002</v>
      </c>
      <c r="AF45" s="192">
        <f t="shared" si="4"/>
        <v>-1</v>
      </c>
      <c r="AG45" s="129">
        <v>374272.33999999968</v>
      </c>
      <c r="AH45" s="251">
        <f t="shared" si="6"/>
        <v>374272.33999999968</v>
      </c>
      <c r="AI45" s="124"/>
    </row>
    <row r="46" spans="1:35">
      <c r="D46" s="105" t="s">
        <v>154</v>
      </c>
      <c r="E46" s="262" t="e">
        <f>E45/E15</f>
        <v>#DIV/0!</v>
      </c>
      <c r="F46" s="262" t="e">
        <f t="shared" ref="F46:Q46" si="16">F45/F15</f>
        <v>#DIV/0!</v>
      </c>
      <c r="G46" s="262" t="e">
        <f t="shared" si="16"/>
        <v>#DIV/0!</v>
      </c>
      <c r="H46" s="262" t="e">
        <f t="shared" si="16"/>
        <v>#DIV/0!</v>
      </c>
      <c r="I46" s="262" t="e">
        <f t="shared" si="16"/>
        <v>#DIV/0!</v>
      </c>
      <c r="J46" s="262" t="e">
        <f t="shared" si="16"/>
        <v>#DIV/0!</v>
      </c>
      <c r="K46" s="262" t="e">
        <f t="shared" si="16"/>
        <v>#DIV/0!</v>
      </c>
      <c r="L46" s="262" t="e">
        <f t="shared" si="16"/>
        <v>#DIV/0!</v>
      </c>
      <c r="M46" s="262" t="e">
        <f t="shared" si="16"/>
        <v>#DIV/0!</v>
      </c>
      <c r="N46" s="262" t="e">
        <f t="shared" si="16"/>
        <v>#DIV/0!</v>
      </c>
      <c r="O46" s="262" t="e">
        <f t="shared" si="16"/>
        <v>#DIV/0!</v>
      </c>
      <c r="P46" s="262" t="e">
        <f t="shared" si="16"/>
        <v>#DIV/0!</v>
      </c>
      <c r="Q46" s="262" t="e">
        <f t="shared" si="16"/>
        <v>#DIV/0!</v>
      </c>
      <c r="AD46" s="264">
        <f>AD45/AD15</f>
        <v>2.0160926533894954E-4</v>
      </c>
      <c r="AE46" s="264">
        <f>AE45/AE15</f>
        <v>2.0160926533894954E-4</v>
      </c>
      <c r="AF46" s="192"/>
      <c r="AG46" s="129"/>
      <c r="AH46" s="251" t="e">
        <f t="shared" si="6"/>
        <v>#DIV/0!</v>
      </c>
      <c r="AI46" s="124"/>
    </row>
    <row r="47" spans="1:35">
      <c r="D47" s="105" t="s">
        <v>516</v>
      </c>
      <c r="E47" s="262"/>
      <c r="F47" s="262"/>
      <c r="G47" s="262"/>
      <c r="H47" s="262"/>
      <c r="I47" s="262"/>
      <c r="J47" s="262"/>
      <c r="K47" s="116"/>
      <c r="L47" s="116"/>
      <c r="M47" s="116"/>
      <c r="N47" s="116"/>
      <c r="O47" s="116"/>
      <c r="P47" s="116"/>
      <c r="Q47" s="117"/>
      <c r="AF47" s="192"/>
      <c r="AG47" s="129"/>
      <c r="AH47" s="251">
        <f t="shared" si="6"/>
        <v>0</v>
      </c>
      <c r="AI47" s="124"/>
    </row>
    <row r="48" spans="1:35">
      <c r="D48" s="105" t="s">
        <v>517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7"/>
      <c r="AF48" s="192"/>
      <c r="AG48" s="129"/>
      <c r="AH48" s="251">
        <f t="shared" si="6"/>
        <v>0</v>
      </c>
      <c r="AI48" s="124"/>
    </row>
    <row r="49" spans="1:35">
      <c r="A49" s="105" t="s">
        <v>248</v>
      </c>
      <c r="B49" s="105" t="s">
        <v>644</v>
      </c>
      <c r="D49" s="105" t="s">
        <v>250</v>
      </c>
      <c r="E49" s="265">
        <v>0</v>
      </c>
      <c r="F49" s="116">
        <v>0</v>
      </c>
      <c r="G49" s="116">
        <v>0</v>
      </c>
      <c r="H49" s="116">
        <v>0</v>
      </c>
      <c r="I49" s="116">
        <v>0</v>
      </c>
      <c r="J49" s="116">
        <v>0</v>
      </c>
      <c r="K49" s="116">
        <v>0</v>
      </c>
      <c r="L49" s="116">
        <v>0</v>
      </c>
      <c r="M49" s="116">
        <v>0</v>
      </c>
      <c r="N49" s="116">
        <v>0</v>
      </c>
      <c r="O49" s="116">
        <v>0</v>
      </c>
      <c r="P49" s="116">
        <v>0</v>
      </c>
      <c r="Q49" s="135">
        <f>SUM(E49:P49)</f>
        <v>0</v>
      </c>
      <c r="R49" s="136">
        <v>11000</v>
      </c>
      <c r="S49" s="136">
        <v>11000</v>
      </c>
      <c r="T49" s="136">
        <v>11000</v>
      </c>
      <c r="U49" s="136">
        <v>11000</v>
      </c>
      <c r="V49" s="136">
        <v>11000</v>
      </c>
      <c r="W49" s="136">
        <v>11000</v>
      </c>
      <c r="X49" s="72">
        <v>11000</v>
      </c>
      <c r="Y49" s="72">
        <v>11000</v>
      </c>
      <c r="Z49" s="72">
        <v>11000</v>
      </c>
      <c r="AA49" s="72">
        <v>11000</v>
      </c>
      <c r="AB49" s="72">
        <v>11000</v>
      </c>
      <c r="AC49" s="72">
        <v>11000</v>
      </c>
      <c r="AD49" s="137">
        <f>SUM(R49:AC49)</f>
        <v>132000</v>
      </c>
      <c r="AE49" s="136">
        <f>AD49-Q49</f>
        <v>132000</v>
      </c>
      <c r="AF49" s="196">
        <f t="shared" si="4"/>
        <v>1</v>
      </c>
      <c r="AG49" s="133">
        <v>149537.66</v>
      </c>
      <c r="AH49" s="251">
        <f t="shared" si="6"/>
        <v>149537.66</v>
      </c>
      <c r="AI49" s="124"/>
    </row>
    <row r="50" spans="1:35">
      <c r="A50" s="105" t="s">
        <v>251</v>
      </c>
      <c r="B50" s="105" t="s">
        <v>644</v>
      </c>
      <c r="D50" s="105" t="s">
        <v>468</v>
      </c>
      <c r="E50" s="265">
        <v>0</v>
      </c>
      <c r="F50" s="116">
        <v>0</v>
      </c>
      <c r="G50" s="116">
        <v>0</v>
      </c>
      <c r="H50" s="116">
        <v>0</v>
      </c>
      <c r="I50" s="116">
        <v>0</v>
      </c>
      <c r="J50" s="116">
        <v>0</v>
      </c>
      <c r="K50" s="116">
        <v>0</v>
      </c>
      <c r="L50" s="116">
        <v>0</v>
      </c>
      <c r="M50" s="116">
        <v>0</v>
      </c>
      <c r="N50" s="116">
        <v>0</v>
      </c>
      <c r="O50" s="116">
        <v>0</v>
      </c>
      <c r="P50" s="116">
        <v>0</v>
      </c>
      <c r="Q50" s="135">
        <f>SUM(E50:P50)</f>
        <v>0</v>
      </c>
      <c r="R50" s="72">
        <v>17600</v>
      </c>
      <c r="S50" s="72">
        <v>17600</v>
      </c>
      <c r="T50" s="72">
        <v>17600</v>
      </c>
      <c r="U50" s="72">
        <v>17600</v>
      </c>
      <c r="V50" s="72">
        <v>16607.2</v>
      </c>
      <c r="W50" s="72">
        <v>17600</v>
      </c>
      <c r="X50" s="72">
        <v>17600</v>
      </c>
      <c r="Y50" s="72">
        <v>17600</v>
      </c>
      <c r="Z50" s="72">
        <v>22986</v>
      </c>
      <c r="AA50" s="72">
        <v>22986</v>
      </c>
      <c r="AB50" s="72">
        <v>22986</v>
      </c>
      <c r="AC50" s="72">
        <v>22986</v>
      </c>
      <c r="AD50" s="127">
        <f>SUM(R50:AC50)</f>
        <v>231751.2</v>
      </c>
      <c r="AE50" s="72">
        <f>AD50-Q50</f>
        <v>231751.2</v>
      </c>
      <c r="AF50" s="192">
        <f t="shared" si="4"/>
        <v>1</v>
      </c>
      <c r="AG50" s="129">
        <v>371936.25</v>
      </c>
      <c r="AH50" s="251">
        <f t="shared" si="6"/>
        <v>371936.25</v>
      </c>
      <c r="AI50" s="124"/>
    </row>
    <row r="51" spans="1:35">
      <c r="D51" s="105" t="s">
        <v>520</v>
      </c>
      <c r="E51" s="117">
        <f t="shared" ref="E51:AD51" si="17">SUM(E49:E50)</f>
        <v>0</v>
      </c>
      <c r="F51" s="117">
        <f t="shared" si="17"/>
        <v>0</v>
      </c>
      <c r="G51" s="117">
        <f t="shared" si="17"/>
        <v>0</v>
      </c>
      <c r="H51" s="117">
        <f t="shared" si="17"/>
        <v>0</v>
      </c>
      <c r="I51" s="117">
        <f t="shared" si="17"/>
        <v>0</v>
      </c>
      <c r="J51" s="117">
        <f t="shared" si="17"/>
        <v>0</v>
      </c>
      <c r="K51" s="117">
        <f t="shared" si="17"/>
        <v>0</v>
      </c>
      <c r="L51" s="117">
        <f t="shared" si="17"/>
        <v>0</v>
      </c>
      <c r="M51" s="117">
        <f t="shared" si="17"/>
        <v>0</v>
      </c>
      <c r="N51" s="117">
        <f t="shared" si="17"/>
        <v>0</v>
      </c>
      <c r="O51" s="117">
        <f t="shared" si="17"/>
        <v>0</v>
      </c>
      <c r="P51" s="117">
        <f t="shared" si="17"/>
        <v>0</v>
      </c>
      <c r="Q51" s="117">
        <f t="shared" si="17"/>
        <v>0</v>
      </c>
      <c r="R51" s="127">
        <f t="shared" si="17"/>
        <v>28600</v>
      </c>
      <c r="S51" s="127">
        <f t="shared" si="17"/>
        <v>28600</v>
      </c>
      <c r="T51" s="127">
        <f t="shared" si="17"/>
        <v>28600</v>
      </c>
      <c r="U51" s="127">
        <f t="shared" si="17"/>
        <v>28600</v>
      </c>
      <c r="V51" s="127">
        <f t="shared" si="17"/>
        <v>27607.200000000001</v>
      </c>
      <c r="W51" s="127">
        <f t="shared" si="17"/>
        <v>28600</v>
      </c>
      <c r="X51" s="127">
        <f t="shared" si="17"/>
        <v>28600</v>
      </c>
      <c r="Y51" s="127">
        <f t="shared" si="17"/>
        <v>28600</v>
      </c>
      <c r="Z51" s="127">
        <f t="shared" si="17"/>
        <v>33986</v>
      </c>
      <c r="AA51" s="127">
        <f t="shared" si="17"/>
        <v>33986</v>
      </c>
      <c r="AB51" s="127">
        <f t="shared" si="17"/>
        <v>33986</v>
      </c>
      <c r="AC51" s="127">
        <f t="shared" si="17"/>
        <v>33986</v>
      </c>
      <c r="AD51" s="127">
        <f t="shared" si="17"/>
        <v>363751.2</v>
      </c>
      <c r="AE51" s="72">
        <f>AD51-Q51</f>
        <v>363751.2</v>
      </c>
      <c r="AF51" s="192">
        <f t="shared" si="4"/>
        <v>1</v>
      </c>
      <c r="AG51" s="129">
        <v>521473.91000000003</v>
      </c>
      <c r="AH51" s="251">
        <f t="shared" si="6"/>
        <v>521473.91000000003</v>
      </c>
      <c r="AI51" s="124"/>
    </row>
    <row r="52" spans="1:35">
      <c r="D52" s="105" t="s">
        <v>154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7"/>
      <c r="AF52" s="192" t="e">
        <f t="shared" si="4"/>
        <v>#DIV/0!</v>
      </c>
      <c r="AG52" s="129"/>
      <c r="AH52" s="251">
        <f t="shared" si="6"/>
        <v>0</v>
      </c>
      <c r="AI52" s="124"/>
    </row>
    <row r="53" spans="1:35">
      <c r="A53" s="105" t="s">
        <v>119</v>
      </c>
      <c r="B53" s="105" t="s">
        <v>644</v>
      </c>
      <c r="D53" s="105" t="s">
        <v>260</v>
      </c>
      <c r="E53" s="265">
        <v>0</v>
      </c>
      <c r="F53" s="265">
        <v>0</v>
      </c>
      <c r="G53" s="265">
        <v>0</v>
      </c>
      <c r="H53" s="265">
        <v>0</v>
      </c>
      <c r="I53" s="265">
        <v>0</v>
      </c>
      <c r="J53" s="265">
        <v>0</v>
      </c>
      <c r="K53" s="265">
        <v>0</v>
      </c>
      <c r="L53" s="265">
        <v>0</v>
      </c>
      <c r="M53" s="265">
        <v>0</v>
      </c>
      <c r="N53" s="265">
        <v>0</v>
      </c>
      <c r="O53" s="265">
        <v>0</v>
      </c>
      <c r="P53" s="265">
        <v>0</v>
      </c>
      <c r="Q53" s="117">
        <f>SUM(E53:P53)</f>
        <v>0</v>
      </c>
      <c r="R53" s="72">
        <v>1158.6600000000001</v>
      </c>
      <c r="S53" s="72">
        <v>5717.36</v>
      </c>
      <c r="T53" s="72">
        <v>0</v>
      </c>
      <c r="U53" s="72">
        <v>1710.39</v>
      </c>
      <c r="V53" s="72">
        <v>2427.63</v>
      </c>
      <c r="W53" s="72">
        <v>2041.41</v>
      </c>
      <c r="X53" s="72">
        <v>0</v>
      </c>
      <c r="Y53" s="72">
        <v>0</v>
      </c>
      <c r="Z53" s="72">
        <v>2600</v>
      </c>
      <c r="AA53" s="72">
        <v>7800</v>
      </c>
      <c r="AB53" s="72">
        <v>0</v>
      </c>
      <c r="AC53" s="72">
        <v>0</v>
      </c>
      <c r="AD53" s="127">
        <f>SUM(R53:AC53)</f>
        <v>23455.45</v>
      </c>
      <c r="AE53" s="72">
        <f t="shared" ref="AE53:AE58" si="18">AD53-Q53</f>
        <v>23455.45</v>
      </c>
      <c r="AF53" s="192">
        <f t="shared" si="4"/>
        <v>1</v>
      </c>
      <c r="AG53" s="129">
        <v>28940.170000000002</v>
      </c>
      <c r="AH53" s="251">
        <f t="shared" si="6"/>
        <v>28940.170000000002</v>
      </c>
      <c r="AI53" s="124"/>
    </row>
    <row r="54" spans="1:35">
      <c r="A54" s="105" t="s">
        <v>120</v>
      </c>
      <c r="B54" s="105" t="s">
        <v>644</v>
      </c>
      <c r="D54" s="105" t="s">
        <v>668</v>
      </c>
      <c r="E54" s="265">
        <v>0</v>
      </c>
      <c r="F54" s="265">
        <v>0</v>
      </c>
      <c r="G54" s="265">
        <v>0</v>
      </c>
      <c r="H54" s="265">
        <v>0</v>
      </c>
      <c r="I54" s="265">
        <v>0</v>
      </c>
      <c r="J54" s="265">
        <v>0</v>
      </c>
      <c r="K54" s="265">
        <v>0</v>
      </c>
      <c r="L54" s="265">
        <v>0</v>
      </c>
      <c r="M54" s="265">
        <v>0</v>
      </c>
      <c r="N54" s="265">
        <v>0</v>
      </c>
      <c r="O54" s="265">
        <v>0</v>
      </c>
      <c r="P54" s="265">
        <v>0</v>
      </c>
      <c r="Q54" s="117">
        <f>SUM(E54:P54)</f>
        <v>0</v>
      </c>
      <c r="R54" s="72">
        <v>7158.19</v>
      </c>
      <c r="S54" s="72">
        <v>7133.12</v>
      </c>
      <c r="T54" s="72">
        <v>7176.15</v>
      </c>
      <c r="U54" s="72">
        <v>4752.24</v>
      </c>
      <c r="V54" s="72">
        <v>4768.71</v>
      </c>
      <c r="W54" s="72">
        <v>4753.76</v>
      </c>
      <c r="X54" s="72">
        <v>4787.4399999999996</v>
      </c>
      <c r="Y54" s="72">
        <v>4773.8599999999997</v>
      </c>
      <c r="Z54" s="72">
        <v>5664.33</v>
      </c>
      <c r="AA54" s="72">
        <v>5664.33</v>
      </c>
      <c r="AB54" s="72">
        <v>5664.33</v>
      </c>
      <c r="AC54" s="72">
        <v>5664.33</v>
      </c>
      <c r="AD54" s="127">
        <f>SUM(R54:AC54)</f>
        <v>67960.790000000008</v>
      </c>
      <c r="AE54" s="72">
        <f t="shared" si="18"/>
        <v>67960.790000000008</v>
      </c>
      <c r="AF54" s="192">
        <f t="shared" si="4"/>
        <v>1</v>
      </c>
      <c r="AG54" s="129">
        <v>69916.569999999992</v>
      </c>
      <c r="AH54" s="251">
        <f t="shared" si="6"/>
        <v>69916.569999999992</v>
      </c>
      <c r="AI54" s="124"/>
    </row>
    <row r="55" spans="1:35">
      <c r="A55" s="105" t="s">
        <v>121</v>
      </c>
      <c r="B55" s="105" t="s">
        <v>644</v>
      </c>
      <c r="D55" s="105" t="s">
        <v>262</v>
      </c>
      <c r="E55" s="265">
        <v>0</v>
      </c>
      <c r="F55" s="265">
        <v>0</v>
      </c>
      <c r="G55" s="265">
        <v>0</v>
      </c>
      <c r="H55" s="265">
        <v>0</v>
      </c>
      <c r="I55" s="265">
        <v>0</v>
      </c>
      <c r="J55" s="265">
        <v>0</v>
      </c>
      <c r="K55" s="265">
        <v>0</v>
      </c>
      <c r="L55" s="265">
        <v>0</v>
      </c>
      <c r="M55" s="265">
        <v>0</v>
      </c>
      <c r="N55" s="265">
        <v>0</v>
      </c>
      <c r="O55" s="265">
        <v>0</v>
      </c>
      <c r="P55" s="265">
        <v>0</v>
      </c>
      <c r="Q55" s="117">
        <f>SUM(E55:P55)</f>
        <v>0</v>
      </c>
      <c r="R55" s="72">
        <v>3550</v>
      </c>
      <c r="S55" s="72">
        <v>3550</v>
      </c>
      <c r="T55" s="72">
        <v>3550</v>
      </c>
      <c r="U55" s="72">
        <v>3550</v>
      </c>
      <c r="V55" s="72">
        <v>3550</v>
      </c>
      <c r="W55" s="72">
        <v>3550</v>
      </c>
      <c r="X55" s="72">
        <v>3650</v>
      </c>
      <c r="Y55" s="72">
        <v>3650</v>
      </c>
      <c r="Z55" s="72">
        <v>5770</v>
      </c>
      <c r="AA55" s="72">
        <v>5870</v>
      </c>
      <c r="AB55" s="72">
        <v>5970</v>
      </c>
      <c r="AC55" s="72">
        <v>5970</v>
      </c>
      <c r="AD55" s="127">
        <f>SUM(R55:AC55)</f>
        <v>52180</v>
      </c>
      <c r="AE55" s="72">
        <f t="shared" si="18"/>
        <v>52180</v>
      </c>
      <c r="AF55" s="192">
        <f t="shared" si="4"/>
        <v>1</v>
      </c>
      <c r="AG55" s="129">
        <v>29700</v>
      </c>
      <c r="AH55" s="251">
        <f t="shared" si="6"/>
        <v>29700</v>
      </c>
      <c r="AI55" s="124"/>
    </row>
    <row r="56" spans="1:35">
      <c r="A56" s="105" t="s">
        <v>122</v>
      </c>
      <c r="B56" s="105" t="s">
        <v>644</v>
      </c>
      <c r="D56" s="105" t="s">
        <v>263</v>
      </c>
      <c r="E56" s="265">
        <v>0</v>
      </c>
      <c r="F56" s="265">
        <v>0</v>
      </c>
      <c r="G56" s="265">
        <v>0</v>
      </c>
      <c r="H56" s="265">
        <v>0</v>
      </c>
      <c r="I56" s="265">
        <v>0</v>
      </c>
      <c r="J56" s="265">
        <v>0</v>
      </c>
      <c r="K56" s="265">
        <v>0</v>
      </c>
      <c r="L56" s="265">
        <v>0</v>
      </c>
      <c r="M56" s="265">
        <v>0</v>
      </c>
      <c r="N56" s="265">
        <v>0</v>
      </c>
      <c r="O56" s="265">
        <v>0</v>
      </c>
      <c r="P56" s="265">
        <v>0</v>
      </c>
      <c r="Q56" s="117">
        <f>SUM(E56:P56)</f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72">
        <v>0</v>
      </c>
      <c r="AD56" s="127">
        <f>SUM(R56:AC56)</f>
        <v>0</v>
      </c>
      <c r="AE56" s="72">
        <f t="shared" si="18"/>
        <v>0</v>
      </c>
      <c r="AF56" s="192" t="e">
        <f t="shared" si="4"/>
        <v>#DIV/0!</v>
      </c>
      <c r="AG56" s="129">
        <v>0</v>
      </c>
      <c r="AH56" s="251">
        <f t="shared" si="6"/>
        <v>0</v>
      </c>
      <c r="AI56" s="124"/>
    </row>
    <row r="57" spans="1:35">
      <c r="A57" s="105" t="s">
        <v>123</v>
      </c>
      <c r="B57" s="105" t="s">
        <v>644</v>
      </c>
      <c r="D57" s="105" t="s">
        <v>264</v>
      </c>
      <c r="E57" s="265">
        <v>0</v>
      </c>
      <c r="F57" s="265">
        <v>0</v>
      </c>
      <c r="G57" s="265">
        <v>0</v>
      </c>
      <c r="H57" s="265">
        <v>0</v>
      </c>
      <c r="I57" s="265">
        <v>0</v>
      </c>
      <c r="J57" s="265">
        <v>0</v>
      </c>
      <c r="K57" s="265">
        <v>0</v>
      </c>
      <c r="L57" s="265">
        <v>0</v>
      </c>
      <c r="M57" s="265">
        <v>0</v>
      </c>
      <c r="N57" s="265">
        <v>0</v>
      </c>
      <c r="O57" s="265">
        <v>0</v>
      </c>
      <c r="P57" s="265">
        <v>0</v>
      </c>
      <c r="Q57" s="135">
        <f>SUM(E57:P57)</f>
        <v>0</v>
      </c>
      <c r="R57" s="136">
        <v>21935.8</v>
      </c>
      <c r="S57" s="136">
        <v>32665.78</v>
      </c>
      <c r="T57" s="136">
        <v>6129.2</v>
      </c>
      <c r="U57" s="136">
        <v>16119.8</v>
      </c>
      <c r="V57" s="136">
        <v>16738.7</v>
      </c>
      <c r="W57" s="136">
        <v>9327.5</v>
      </c>
      <c r="X57" s="72">
        <v>12334.74</v>
      </c>
      <c r="Y57" s="72">
        <v>19200</v>
      </c>
      <c r="Z57" s="72">
        <v>21925</v>
      </c>
      <c r="AA57" s="72">
        <v>30521</v>
      </c>
      <c r="AB57" s="72">
        <v>28870</v>
      </c>
      <c r="AC57" s="72">
        <v>36001</v>
      </c>
      <c r="AD57" s="137">
        <f>SUM(R57:AC57)</f>
        <v>251768.52000000002</v>
      </c>
      <c r="AE57" s="136">
        <f t="shared" si="18"/>
        <v>251768.52000000002</v>
      </c>
      <c r="AF57" s="196">
        <f t="shared" si="4"/>
        <v>1</v>
      </c>
      <c r="AG57" s="133">
        <v>301386.89</v>
      </c>
      <c r="AH57" s="251">
        <f t="shared" si="6"/>
        <v>301386.89</v>
      </c>
      <c r="AI57" s="124"/>
    </row>
    <row r="58" spans="1:35">
      <c r="D58" s="109" t="s">
        <v>521</v>
      </c>
      <c r="E58" s="117">
        <f t="shared" ref="E58:P58" si="19">SUM(E53:E57)</f>
        <v>0</v>
      </c>
      <c r="F58" s="117">
        <f t="shared" si="19"/>
        <v>0</v>
      </c>
      <c r="G58" s="117">
        <f t="shared" si="19"/>
        <v>0</v>
      </c>
      <c r="H58" s="117">
        <f t="shared" si="19"/>
        <v>0</v>
      </c>
      <c r="I58" s="117">
        <f t="shared" si="19"/>
        <v>0</v>
      </c>
      <c r="J58" s="117">
        <f t="shared" si="19"/>
        <v>0</v>
      </c>
      <c r="K58" s="117">
        <f t="shared" si="19"/>
        <v>0</v>
      </c>
      <c r="L58" s="117">
        <f t="shared" si="19"/>
        <v>0</v>
      </c>
      <c r="M58" s="117">
        <f t="shared" si="19"/>
        <v>0</v>
      </c>
      <c r="N58" s="117">
        <f t="shared" si="19"/>
        <v>0</v>
      </c>
      <c r="O58" s="117">
        <f t="shared" si="19"/>
        <v>0</v>
      </c>
      <c r="P58" s="117">
        <f t="shared" si="19"/>
        <v>0</v>
      </c>
      <c r="Q58" s="117">
        <f>SUM(Q53:Q57)</f>
        <v>0</v>
      </c>
      <c r="R58" s="127">
        <f t="shared" ref="R58:AD58" si="20">SUM(R53:R57)</f>
        <v>33802.65</v>
      </c>
      <c r="S58" s="127">
        <f t="shared" si="20"/>
        <v>49066.259999999995</v>
      </c>
      <c r="T58" s="127">
        <f t="shared" si="20"/>
        <v>16855.349999999999</v>
      </c>
      <c r="U58" s="127">
        <f t="shared" si="20"/>
        <v>26132.43</v>
      </c>
      <c r="V58" s="127">
        <f t="shared" si="20"/>
        <v>27485.040000000001</v>
      </c>
      <c r="W58" s="127">
        <f t="shared" si="20"/>
        <v>19672.669999999998</v>
      </c>
      <c r="X58" s="127">
        <f t="shared" si="20"/>
        <v>20772.18</v>
      </c>
      <c r="Y58" s="127">
        <f t="shared" si="20"/>
        <v>27623.86</v>
      </c>
      <c r="Z58" s="127">
        <f t="shared" si="20"/>
        <v>35959.33</v>
      </c>
      <c r="AA58" s="127">
        <f t="shared" si="20"/>
        <v>49855.33</v>
      </c>
      <c r="AB58" s="127">
        <f t="shared" si="20"/>
        <v>40504.33</v>
      </c>
      <c r="AC58" s="127">
        <f t="shared" si="20"/>
        <v>47635.33</v>
      </c>
      <c r="AD58" s="127">
        <f t="shared" si="20"/>
        <v>395364.76</v>
      </c>
      <c r="AE58" s="72">
        <f t="shared" si="18"/>
        <v>395364.76</v>
      </c>
      <c r="AF58" s="192">
        <f t="shared" si="4"/>
        <v>1</v>
      </c>
      <c r="AG58" s="129">
        <v>429943.63</v>
      </c>
      <c r="AH58" s="251">
        <f t="shared" si="6"/>
        <v>429943.63</v>
      </c>
      <c r="AI58" s="124"/>
    </row>
    <row r="59" spans="1:35">
      <c r="D59" s="105" t="s">
        <v>154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7"/>
      <c r="AF59" s="192"/>
      <c r="AG59" s="129"/>
      <c r="AH59" s="251">
        <f t="shared" si="6"/>
        <v>0</v>
      </c>
      <c r="AI59" s="124"/>
    </row>
    <row r="60" spans="1:35">
      <c r="A60" s="105" t="s">
        <v>124</v>
      </c>
      <c r="B60" s="105" t="s">
        <v>644</v>
      </c>
      <c r="D60" s="105" t="s">
        <v>266</v>
      </c>
      <c r="E60" s="265">
        <v>0</v>
      </c>
      <c r="F60" s="265">
        <v>0</v>
      </c>
      <c r="G60" s="265">
        <v>0</v>
      </c>
      <c r="H60" s="265">
        <v>0</v>
      </c>
      <c r="I60" s="265">
        <v>0</v>
      </c>
      <c r="J60" s="265">
        <v>0</v>
      </c>
      <c r="K60" s="265">
        <v>0</v>
      </c>
      <c r="L60" s="265">
        <v>0</v>
      </c>
      <c r="M60" s="265">
        <v>0</v>
      </c>
      <c r="N60" s="265">
        <v>0</v>
      </c>
      <c r="O60" s="265">
        <v>0</v>
      </c>
      <c r="P60" s="265">
        <v>0</v>
      </c>
      <c r="Q60" s="117">
        <f>SUM(E60:P60)</f>
        <v>0</v>
      </c>
      <c r="R60" s="72">
        <v>9164.6299999999992</v>
      </c>
      <c r="S60" s="72">
        <v>9164.6299999999992</v>
      </c>
      <c r="T60" s="72">
        <v>9164.6299999999992</v>
      </c>
      <c r="U60" s="72">
        <v>9164.6299999999992</v>
      </c>
      <c r="V60" s="72">
        <v>9164.6299999999992</v>
      </c>
      <c r="W60" s="72">
        <v>9164.6299999999992</v>
      </c>
      <c r="X60" s="72">
        <v>9164.6299999999992</v>
      </c>
      <c r="Y60" s="72">
        <v>9164.6299999999992</v>
      </c>
      <c r="Z60" s="72">
        <v>11736</v>
      </c>
      <c r="AA60" s="72">
        <v>11736</v>
      </c>
      <c r="AB60" s="72">
        <v>11736</v>
      </c>
      <c r="AC60" s="72">
        <v>11736</v>
      </c>
      <c r="AD60" s="127">
        <f t="shared" ref="AD60:AD67" si="21">SUM(R60:AC60)</f>
        <v>120261.04</v>
      </c>
      <c r="AE60" s="72">
        <f t="shared" ref="AE60:AE68" si="22">AD60-Q60</f>
        <v>120261.04</v>
      </c>
      <c r="AF60" s="192">
        <f t="shared" si="4"/>
        <v>1</v>
      </c>
      <c r="AG60" s="129">
        <v>131570.70000000001</v>
      </c>
      <c r="AH60" s="251">
        <f t="shared" si="6"/>
        <v>131570.70000000001</v>
      </c>
      <c r="AI60" s="124"/>
    </row>
    <row r="61" spans="1:35">
      <c r="A61" s="105" t="s">
        <v>125</v>
      </c>
      <c r="B61" s="105" t="s">
        <v>644</v>
      </c>
      <c r="D61" s="105" t="s">
        <v>267</v>
      </c>
      <c r="E61" s="265">
        <v>0</v>
      </c>
      <c r="F61" s="265">
        <v>0</v>
      </c>
      <c r="G61" s="265">
        <v>0</v>
      </c>
      <c r="H61" s="265">
        <v>0</v>
      </c>
      <c r="I61" s="265">
        <v>0</v>
      </c>
      <c r="J61" s="265">
        <v>0</v>
      </c>
      <c r="K61" s="265">
        <v>0</v>
      </c>
      <c r="L61" s="265">
        <v>0</v>
      </c>
      <c r="M61" s="265">
        <v>0</v>
      </c>
      <c r="N61" s="265">
        <v>0</v>
      </c>
      <c r="O61" s="265">
        <v>0</v>
      </c>
      <c r="P61" s="265">
        <v>0</v>
      </c>
      <c r="Q61" s="117">
        <f t="shared" ref="Q61:Q67" si="23">SUM(E61:P61)</f>
        <v>0</v>
      </c>
      <c r="R61" s="72">
        <v>4868.7</v>
      </c>
      <c r="S61" s="72">
        <v>4868.7</v>
      </c>
      <c r="T61" s="72">
        <v>4868.7</v>
      </c>
      <c r="U61" s="72">
        <v>4868.7</v>
      </c>
      <c r="V61" s="72">
        <v>4868.7</v>
      </c>
      <c r="W61" s="72">
        <v>4868.7</v>
      </c>
      <c r="X61" s="72">
        <v>3723.14</v>
      </c>
      <c r="Y61" s="72">
        <v>3723.14</v>
      </c>
      <c r="Z61" s="72">
        <v>6203</v>
      </c>
      <c r="AA61" s="72">
        <v>6203</v>
      </c>
      <c r="AB61" s="72">
        <v>6203</v>
      </c>
      <c r="AC61" s="72">
        <v>6203</v>
      </c>
      <c r="AD61" s="127">
        <f t="shared" si="21"/>
        <v>61470.48</v>
      </c>
      <c r="AE61" s="72">
        <f t="shared" si="22"/>
        <v>61470.48</v>
      </c>
      <c r="AF61" s="192">
        <f t="shared" si="4"/>
        <v>1</v>
      </c>
      <c r="AG61" s="129">
        <v>64184.850000000013</v>
      </c>
      <c r="AH61" s="251">
        <f t="shared" si="6"/>
        <v>64184.850000000013</v>
      </c>
      <c r="AI61" s="124"/>
    </row>
    <row r="62" spans="1:35">
      <c r="A62" s="105" t="s">
        <v>126</v>
      </c>
      <c r="B62" s="105" t="s">
        <v>644</v>
      </c>
      <c r="D62" s="105" t="s">
        <v>268</v>
      </c>
      <c r="E62" s="265">
        <v>0</v>
      </c>
      <c r="F62" s="265">
        <v>0</v>
      </c>
      <c r="G62" s="265">
        <v>0</v>
      </c>
      <c r="H62" s="265">
        <v>0</v>
      </c>
      <c r="I62" s="265">
        <v>0</v>
      </c>
      <c r="J62" s="265">
        <v>0</v>
      </c>
      <c r="K62" s="265">
        <v>0</v>
      </c>
      <c r="L62" s="265">
        <v>0</v>
      </c>
      <c r="M62" s="265">
        <v>0</v>
      </c>
      <c r="N62" s="265">
        <v>0</v>
      </c>
      <c r="O62" s="265">
        <v>0</v>
      </c>
      <c r="P62" s="265">
        <v>0</v>
      </c>
      <c r="Q62" s="117">
        <f t="shared" si="23"/>
        <v>0</v>
      </c>
      <c r="R62" s="72">
        <v>286.39999999999998</v>
      </c>
      <c r="S62" s="72">
        <v>286.39999999999998</v>
      </c>
      <c r="T62" s="72">
        <v>286.39999999999998</v>
      </c>
      <c r="U62" s="72">
        <v>286.39999999999998</v>
      </c>
      <c r="V62" s="72">
        <v>286.39999999999998</v>
      </c>
      <c r="W62" s="72">
        <v>286.39999999999998</v>
      </c>
      <c r="X62" s="72">
        <v>286.39999999999998</v>
      </c>
      <c r="Y62" s="72">
        <v>286.39999999999998</v>
      </c>
      <c r="Z62" s="72">
        <v>367</v>
      </c>
      <c r="AA62" s="72">
        <v>367</v>
      </c>
      <c r="AB62" s="72">
        <v>367</v>
      </c>
      <c r="AC62" s="72">
        <v>367</v>
      </c>
      <c r="AD62" s="127">
        <f t="shared" si="21"/>
        <v>3759.2000000000003</v>
      </c>
      <c r="AE62" s="72">
        <f t="shared" si="22"/>
        <v>3759.2000000000003</v>
      </c>
      <c r="AF62" s="192">
        <f t="shared" si="4"/>
        <v>1</v>
      </c>
      <c r="AG62" s="129">
        <v>3927.3899999999994</v>
      </c>
      <c r="AH62" s="251">
        <f t="shared" si="6"/>
        <v>3927.3899999999994</v>
      </c>
      <c r="AI62" s="124"/>
    </row>
    <row r="63" spans="1:35">
      <c r="A63" s="105" t="s">
        <v>127</v>
      </c>
      <c r="B63" s="105" t="s">
        <v>644</v>
      </c>
      <c r="D63" s="105" t="s">
        <v>269</v>
      </c>
      <c r="E63" s="265">
        <v>0</v>
      </c>
      <c r="F63" s="265">
        <v>0</v>
      </c>
      <c r="G63" s="265">
        <v>0</v>
      </c>
      <c r="H63" s="265">
        <v>0</v>
      </c>
      <c r="I63" s="265">
        <v>0</v>
      </c>
      <c r="J63" s="265">
        <v>0</v>
      </c>
      <c r="K63" s="265">
        <v>0</v>
      </c>
      <c r="L63" s="265">
        <v>0</v>
      </c>
      <c r="M63" s="265">
        <v>0</v>
      </c>
      <c r="N63" s="265">
        <v>0</v>
      </c>
      <c r="O63" s="265">
        <v>0</v>
      </c>
      <c r="P63" s="265">
        <v>0</v>
      </c>
      <c r="Q63" s="117">
        <f t="shared" si="23"/>
        <v>0</v>
      </c>
      <c r="R63" s="72">
        <v>68.73</v>
      </c>
      <c r="S63" s="72">
        <v>68.73</v>
      </c>
      <c r="T63" s="72">
        <v>68.73</v>
      </c>
      <c r="U63" s="72">
        <v>68.73</v>
      </c>
      <c r="V63" s="72">
        <v>68.73</v>
      </c>
      <c r="W63" s="72">
        <v>68.73</v>
      </c>
      <c r="X63" s="72">
        <v>68.73</v>
      </c>
      <c r="Y63" s="72">
        <v>68.73</v>
      </c>
      <c r="Z63" s="72">
        <v>101</v>
      </c>
      <c r="AA63" s="72">
        <v>101</v>
      </c>
      <c r="AB63" s="72">
        <v>101</v>
      </c>
      <c r="AC63" s="72">
        <v>101</v>
      </c>
      <c r="AD63" s="127">
        <f t="shared" si="21"/>
        <v>953.84</v>
      </c>
      <c r="AE63" s="72">
        <f t="shared" si="22"/>
        <v>953.84</v>
      </c>
      <c r="AF63" s="192">
        <f t="shared" si="4"/>
        <v>1</v>
      </c>
      <c r="AG63" s="129">
        <v>1256.79</v>
      </c>
      <c r="AH63" s="251">
        <f t="shared" si="6"/>
        <v>1256.79</v>
      </c>
      <c r="AI63" s="124"/>
    </row>
    <row r="64" spans="1:35">
      <c r="A64" s="105" t="s">
        <v>128</v>
      </c>
      <c r="B64" s="105" t="s">
        <v>644</v>
      </c>
      <c r="D64" s="105" t="s">
        <v>270</v>
      </c>
      <c r="E64" s="265">
        <v>0</v>
      </c>
      <c r="F64" s="265">
        <v>0</v>
      </c>
      <c r="G64" s="265">
        <v>0</v>
      </c>
      <c r="H64" s="265">
        <v>0</v>
      </c>
      <c r="I64" s="265">
        <v>0</v>
      </c>
      <c r="J64" s="265">
        <v>0</v>
      </c>
      <c r="K64" s="265">
        <v>0</v>
      </c>
      <c r="L64" s="265">
        <v>0</v>
      </c>
      <c r="M64" s="265">
        <v>0</v>
      </c>
      <c r="N64" s="265">
        <v>0</v>
      </c>
      <c r="O64" s="265">
        <v>0</v>
      </c>
      <c r="P64" s="265">
        <v>0</v>
      </c>
      <c r="Q64" s="117">
        <f t="shared" si="23"/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72">
        <v>0</v>
      </c>
      <c r="AD64" s="127">
        <f t="shared" si="21"/>
        <v>0</v>
      </c>
      <c r="AE64" s="72">
        <f t="shared" si="22"/>
        <v>0</v>
      </c>
      <c r="AF64" s="192" t="e">
        <f t="shared" si="4"/>
        <v>#DIV/0!</v>
      </c>
      <c r="AG64" s="129">
        <v>2580.7399999999998</v>
      </c>
      <c r="AH64" s="251">
        <f t="shared" si="6"/>
        <v>2580.7399999999998</v>
      </c>
      <c r="AI64" s="124"/>
    </row>
    <row r="65" spans="1:35">
      <c r="A65" s="105" t="s">
        <v>129</v>
      </c>
      <c r="B65" s="105" t="s">
        <v>644</v>
      </c>
      <c r="D65" s="105" t="s">
        <v>271</v>
      </c>
      <c r="E65" s="265">
        <v>0</v>
      </c>
      <c r="F65" s="265">
        <v>0</v>
      </c>
      <c r="G65" s="265">
        <v>0</v>
      </c>
      <c r="H65" s="265">
        <v>0</v>
      </c>
      <c r="I65" s="265">
        <v>0</v>
      </c>
      <c r="J65" s="265">
        <v>0</v>
      </c>
      <c r="K65" s="265">
        <v>0</v>
      </c>
      <c r="L65" s="265">
        <v>0</v>
      </c>
      <c r="M65" s="265">
        <v>0</v>
      </c>
      <c r="N65" s="265">
        <v>0</v>
      </c>
      <c r="O65" s="265">
        <v>0</v>
      </c>
      <c r="P65" s="265">
        <v>0</v>
      </c>
      <c r="Q65" s="117">
        <f t="shared" si="23"/>
        <v>0</v>
      </c>
      <c r="R65" s="72">
        <v>2863</v>
      </c>
      <c r="S65" s="72">
        <v>2863</v>
      </c>
      <c r="T65" s="72">
        <v>2863</v>
      </c>
      <c r="U65" s="72">
        <v>2863</v>
      </c>
      <c r="V65" s="72">
        <v>2863</v>
      </c>
      <c r="W65" s="72">
        <v>2863</v>
      </c>
      <c r="X65" s="72">
        <v>2863</v>
      </c>
      <c r="Y65" s="72">
        <v>2863</v>
      </c>
      <c r="Z65" s="72">
        <v>3144</v>
      </c>
      <c r="AA65" s="72">
        <v>3144</v>
      </c>
      <c r="AB65" s="72">
        <v>3144</v>
      </c>
      <c r="AC65" s="72">
        <v>3144</v>
      </c>
      <c r="AD65" s="127">
        <f t="shared" si="21"/>
        <v>35480</v>
      </c>
      <c r="AE65" s="72">
        <f t="shared" si="22"/>
        <v>35480</v>
      </c>
      <c r="AF65" s="192">
        <f t="shared" si="4"/>
        <v>1</v>
      </c>
      <c r="AG65" s="129">
        <v>34009</v>
      </c>
      <c r="AH65" s="251">
        <f t="shared" si="6"/>
        <v>34009</v>
      </c>
      <c r="AI65" s="124"/>
    </row>
    <row r="66" spans="1:35">
      <c r="A66" s="105" t="s">
        <v>130</v>
      </c>
      <c r="B66" s="105" t="s">
        <v>644</v>
      </c>
      <c r="D66" s="105" t="s">
        <v>272</v>
      </c>
      <c r="E66" s="265">
        <v>0</v>
      </c>
      <c r="F66" s="265">
        <v>0</v>
      </c>
      <c r="G66" s="265">
        <v>0</v>
      </c>
      <c r="H66" s="265">
        <v>0</v>
      </c>
      <c r="I66" s="265">
        <v>0</v>
      </c>
      <c r="J66" s="265">
        <v>0</v>
      </c>
      <c r="K66" s="265">
        <v>0</v>
      </c>
      <c r="L66" s="265">
        <v>0</v>
      </c>
      <c r="M66" s="265">
        <v>0</v>
      </c>
      <c r="N66" s="265">
        <v>0</v>
      </c>
      <c r="O66" s="265">
        <v>0</v>
      </c>
      <c r="P66" s="265">
        <v>0</v>
      </c>
      <c r="Q66" s="117">
        <f t="shared" si="23"/>
        <v>0</v>
      </c>
      <c r="R66" s="72">
        <v>934.61</v>
      </c>
      <c r="S66" s="72">
        <v>1020.98</v>
      </c>
      <c r="T66" s="72">
        <v>2174.8200000000002</v>
      </c>
      <c r="U66" s="72">
        <v>1104.67</v>
      </c>
      <c r="V66" s="72">
        <v>885.83</v>
      </c>
      <c r="W66" s="72">
        <v>1229.3</v>
      </c>
      <c r="X66" s="72">
        <v>872.32</v>
      </c>
      <c r="Y66" s="72">
        <v>645</v>
      </c>
      <c r="Z66" s="72">
        <v>1835</v>
      </c>
      <c r="AA66" s="72">
        <v>1835</v>
      </c>
      <c r="AB66" s="72">
        <v>1835</v>
      </c>
      <c r="AC66" s="72">
        <v>1835</v>
      </c>
      <c r="AD66" s="127">
        <f t="shared" si="21"/>
        <v>16207.53</v>
      </c>
      <c r="AE66" s="72">
        <f t="shared" si="22"/>
        <v>16207.53</v>
      </c>
      <c r="AF66" s="192">
        <f t="shared" si="4"/>
        <v>1</v>
      </c>
      <c r="AG66" s="129">
        <v>19552.41</v>
      </c>
      <c r="AH66" s="251">
        <f t="shared" si="6"/>
        <v>19552.41</v>
      </c>
      <c r="AI66" s="124"/>
    </row>
    <row r="67" spans="1:35">
      <c r="A67" s="105" t="s">
        <v>670</v>
      </c>
      <c r="D67" s="105" t="s">
        <v>274</v>
      </c>
      <c r="E67" s="265">
        <v>0</v>
      </c>
      <c r="F67" s="265">
        <v>0</v>
      </c>
      <c r="G67" s="265">
        <v>0</v>
      </c>
      <c r="H67" s="265">
        <v>0</v>
      </c>
      <c r="I67" s="265">
        <v>0</v>
      </c>
      <c r="J67" s="265">
        <v>0</v>
      </c>
      <c r="K67" s="265">
        <v>0</v>
      </c>
      <c r="L67" s="265">
        <v>0</v>
      </c>
      <c r="M67" s="265">
        <v>0</v>
      </c>
      <c r="N67" s="265">
        <v>0</v>
      </c>
      <c r="O67" s="265">
        <v>0</v>
      </c>
      <c r="P67" s="265">
        <v>0</v>
      </c>
      <c r="Q67" s="117">
        <f t="shared" si="23"/>
        <v>0</v>
      </c>
      <c r="R67" s="72">
        <v>0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127">
        <f t="shared" si="21"/>
        <v>0</v>
      </c>
      <c r="AE67" s="72">
        <f t="shared" si="22"/>
        <v>0</v>
      </c>
      <c r="AF67" s="192" t="e">
        <f t="shared" si="4"/>
        <v>#DIV/0!</v>
      </c>
      <c r="AG67" s="129">
        <v>0</v>
      </c>
      <c r="AH67" s="251">
        <f t="shared" si="6"/>
        <v>0</v>
      </c>
      <c r="AI67" s="124"/>
    </row>
    <row r="68" spans="1:35">
      <c r="D68" s="109" t="s">
        <v>522</v>
      </c>
      <c r="E68" s="117">
        <f t="shared" ref="E68:AD68" si="24">SUM(E60:E67)</f>
        <v>0</v>
      </c>
      <c r="F68" s="117">
        <f t="shared" si="24"/>
        <v>0</v>
      </c>
      <c r="G68" s="117">
        <f t="shared" si="24"/>
        <v>0</v>
      </c>
      <c r="H68" s="117">
        <f t="shared" si="24"/>
        <v>0</v>
      </c>
      <c r="I68" s="117">
        <f t="shared" si="24"/>
        <v>0</v>
      </c>
      <c r="J68" s="117">
        <f t="shared" si="24"/>
        <v>0</v>
      </c>
      <c r="K68" s="117">
        <f t="shared" si="24"/>
        <v>0</v>
      </c>
      <c r="L68" s="117">
        <f t="shared" si="24"/>
        <v>0</v>
      </c>
      <c r="M68" s="117">
        <f t="shared" si="24"/>
        <v>0</v>
      </c>
      <c r="N68" s="117">
        <f t="shared" si="24"/>
        <v>0</v>
      </c>
      <c r="O68" s="117">
        <f t="shared" si="24"/>
        <v>0</v>
      </c>
      <c r="P68" s="117">
        <f t="shared" si="24"/>
        <v>0</v>
      </c>
      <c r="Q68" s="117">
        <f t="shared" si="24"/>
        <v>0</v>
      </c>
      <c r="R68" s="127">
        <f t="shared" si="24"/>
        <v>18186.07</v>
      </c>
      <c r="S68" s="127">
        <f t="shared" si="24"/>
        <v>18272.439999999999</v>
      </c>
      <c r="T68" s="127">
        <f t="shared" si="24"/>
        <v>19426.28</v>
      </c>
      <c r="U68" s="127">
        <f t="shared" si="24"/>
        <v>18356.129999999997</v>
      </c>
      <c r="V68" s="127">
        <f t="shared" si="24"/>
        <v>18137.29</v>
      </c>
      <c r="W68" s="127">
        <f t="shared" si="24"/>
        <v>18480.759999999998</v>
      </c>
      <c r="X68" s="127">
        <f t="shared" si="24"/>
        <v>16978.219999999998</v>
      </c>
      <c r="Y68" s="127">
        <f t="shared" si="24"/>
        <v>16750.899999999998</v>
      </c>
      <c r="Z68" s="127">
        <f t="shared" si="24"/>
        <v>23386</v>
      </c>
      <c r="AA68" s="127">
        <f t="shared" si="24"/>
        <v>23386</v>
      </c>
      <c r="AB68" s="127">
        <f t="shared" si="24"/>
        <v>23386</v>
      </c>
      <c r="AC68" s="127">
        <f t="shared" si="24"/>
        <v>23386</v>
      </c>
      <c r="AD68" s="127">
        <f t="shared" si="24"/>
        <v>238132.09</v>
      </c>
      <c r="AE68" s="72">
        <f t="shared" si="22"/>
        <v>238132.09</v>
      </c>
      <c r="AF68" s="192">
        <f t="shared" si="4"/>
        <v>1</v>
      </c>
      <c r="AG68" s="129">
        <v>257081.88</v>
      </c>
      <c r="AH68" s="251">
        <f t="shared" si="6"/>
        <v>257081.88</v>
      </c>
      <c r="AI68" s="124"/>
    </row>
    <row r="69" spans="1:35">
      <c r="D69" s="105" t="s">
        <v>154</v>
      </c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7"/>
      <c r="AF69" s="192"/>
      <c r="AG69" s="129"/>
      <c r="AH69" s="251">
        <f t="shared" si="6"/>
        <v>0</v>
      </c>
      <c r="AI69" s="124"/>
    </row>
    <row r="70" spans="1:35">
      <c r="A70" s="105" t="s">
        <v>131</v>
      </c>
      <c r="B70" s="105" t="s">
        <v>644</v>
      </c>
      <c r="D70" s="105" t="s">
        <v>276</v>
      </c>
      <c r="E70" s="265">
        <v>0</v>
      </c>
      <c r="F70" s="265">
        <v>0</v>
      </c>
      <c r="G70" s="265">
        <v>0</v>
      </c>
      <c r="H70" s="265">
        <v>0</v>
      </c>
      <c r="I70" s="265">
        <v>0</v>
      </c>
      <c r="J70" s="265">
        <v>0</v>
      </c>
      <c r="K70" s="265">
        <v>0</v>
      </c>
      <c r="L70" s="265">
        <v>0</v>
      </c>
      <c r="M70" s="265">
        <v>0</v>
      </c>
      <c r="N70" s="265">
        <v>0</v>
      </c>
      <c r="O70" s="265">
        <v>0</v>
      </c>
      <c r="P70" s="265">
        <v>0</v>
      </c>
      <c r="Q70" s="117"/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127">
        <f t="shared" ref="AD70:AD78" si="25">SUM(R70:AC70)</f>
        <v>0</v>
      </c>
      <c r="AE70" s="72">
        <f t="shared" ref="AE70:AE80" si="26">AD70-Q70</f>
        <v>0</v>
      </c>
      <c r="AF70" s="192" t="e">
        <f t="shared" si="4"/>
        <v>#DIV/0!</v>
      </c>
      <c r="AG70" s="129">
        <v>0</v>
      </c>
      <c r="AH70" s="251">
        <f t="shared" si="6"/>
        <v>0</v>
      </c>
      <c r="AI70" s="124"/>
    </row>
    <row r="71" spans="1:35">
      <c r="A71" s="105" t="s">
        <v>132</v>
      </c>
      <c r="B71" s="105" t="s">
        <v>644</v>
      </c>
      <c r="D71" s="105" t="s">
        <v>277</v>
      </c>
      <c r="E71" s="265">
        <v>0</v>
      </c>
      <c r="F71" s="265">
        <v>0</v>
      </c>
      <c r="G71" s="265">
        <v>0</v>
      </c>
      <c r="H71" s="265">
        <v>0</v>
      </c>
      <c r="I71" s="265">
        <v>0</v>
      </c>
      <c r="J71" s="265">
        <v>0</v>
      </c>
      <c r="K71" s="265">
        <v>0</v>
      </c>
      <c r="L71" s="265">
        <v>0</v>
      </c>
      <c r="M71" s="265">
        <v>0</v>
      </c>
      <c r="N71" s="265">
        <v>0</v>
      </c>
      <c r="O71" s="265">
        <v>0</v>
      </c>
      <c r="P71" s="265">
        <v>0</v>
      </c>
      <c r="Q71" s="117"/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127">
        <f t="shared" si="25"/>
        <v>0</v>
      </c>
      <c r="AE71" s="72">
        <f t="shared" si="26"/>
        <v>0</v>
      </c>
      <c r="AF71" s="192" t="e">
        <f t="shared" si="4"/>
        <v>#DIV/0!</v>
      </c>
      <c r="AG71" s="129">
        <v>0</v>
      </c>
      <c r="AH71" s="251">
        <f t="shared" si="6"/>
        <v>0</v>
      </c>
      <c r="AI71" s="124"/>
    </row>
    <row r="72" spans="1:35">
      <c r="A72" s="105" t="s">
        <v>133</v>
      </c>
      <c r="B72" s="105" t="s">
        <v>644</v>
      </c>
      <c r="D72" s="105" t="s">
        <v>278</v>
      </c>
      <c r="E72" s="265">
        <v>0</v>
      </c>
      <c r="F72" s="265">
        <v>0</v>
      </c>
      <c r="G72" s="265">
        <v>0</v>
      </c>
      <c r="H72" s="265">
        <v>0</v>
      </c>
      <c r="I72" s="265">
        <v>0</v>
      </c>
      <c r="J72" s="265">
        <v>0</v>
      </c>
      <c r="K72" s="265">
        <v>0</v>
      </c>
      <c r="L72" s="265">
        <v>0</v>
      </c>
      <c r="M72" s="265">
        <v>0</v>
      </c>
      <c r="N72" s="265">
        <v>0</v>
      </c>
      <c r="O72" s="265">
        <v>0</v>
      </c>
      <c r="P72" s="265">
        <v>0</v>
      </c>
      <c r="Q72" s="117"/>
      <c r="R72" s="72">
        <v>0</v>
      </c>
      <c r="S72" s="72">
        <v>0</v>
      </c>
      <c r="T72" s="72">
        <v>0</v>
      </c>
      <c r="U72" s="72">
        <v>0</v>
      </c>
      <c r="V72" s="72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72">
        <v>0</v>
      </c>
      <c r="AD72" s="127">
        <f t="shared" si="25"/>
        <v>0</v>
      </c>
      <c r="AE72" s="72">
        <f t="shared" si="26"/>
        <v>0</v>
      </c>
      <c r="AF72" s="192" t="e">
        <f t="shared" si="4"/>
        <v>#DIV/0!</v>
      </c>
      <c r="AG72" s="129">
        <v>0</v>
      </c>
      <c r="AH72" s="251">
        <f t="shared" si="6"/>
        <v>0</v>
      </c>
      <c r="AI72" s="124"/>
    </row>
    <row r="73" spans="1:35">
      <c r="A73" s="105" t="s">
        <v>134</v>
      </c>
      <c r="B73" s="105" t="s">
        <v>644</v>
      </c>
      <c r="D73" s="105" t="s">
        <v>279</v>
      </c>
      <c r="E73" s="265">
        <v>0</v>
      </c>
      <c r="F73" s="265">
        <v>0</v>
      </c>
      <c r="G73" s="265">
        <v>0</v>
      </c>
      <c r="H73" s="265">
        <v>0</v>
      </c>
      <c r="I73" s="265">
        <v>0</v>
      </c>
      <c r="J73" s="265">
        <v>0</v>
      </c>
      <c r="K73" s="265">
        <v>0</v>
      </c>
      <c r="L73" s="265">
        <v>0</v>
      </c>
      <c r="M73" s="265">
        <v>0</v>
      </c>
      <c r="N73" s="265">
        <v>0</v>
      </c>
      <c r="O73" s="265">
        <v>0</v>
      </c>
      <c r="P73" s="265">
        <v>0</v>
      </c>
      <c r="Q73" s="117">
        <f>SUM(E73:P73)</f>
        <v>0</v>
      </c>
      <c r="R73" s="72">
        <v>133</v>
      </c>
      <c r="S73" s="72">
        <v>127</v>
      </c>
      <c r="T73" s="72">
        <v>136</v>
      </c>
      <c r="U73" s="72">
        <v>132</v>
      </c>
      <c r="V73" s="72">
        <v>136</v>
      </c>
      <c r="W73" s="72">
        <v>132</v>
      </c>
      <c r="X73" s="72">
        <v>136</v>
      </c>
      <c r="Y73" s="72">
        <v>136</v>
      </c>
      <c r="Z73" s="72">
        <v>133</v>
      </c>
      <c r="AA73" s="72">
        <v>133</v>
      </c>
      <c r="AB73" s="72">
        <v>133</v>
      </c>
      <c r="AC73" s="72">
        <v>133</v>
      </c>
      <c r="AD73" s="127">
        <f t="shared" si="25"/>
        <v>1600</v>
      </c>
      <c r="AE73" s="72">
        <f t="shared" si="26"/>
        <v>1600</v>
      </c>
      <c r="AF73" s="192">
        <f t="shared" si="4"/>
        <v>1</v>
      </c>
      <c r="AG73" s="129">
        <v>1401.45</v>
      </c>
      <c r="AH73" s="251">
        <f t="shared" si="6"/>
        <v>1401.45</v>
      </c>
      <c r="AI73" s="124"/>
    </row>
    <row r="74" spans="1:35">
      <c r="A74" s="105" t="s">
        <v>135</v>
      </c>
      <c r="B74" s="105" t="s">
        <v>644</v>
      </c>
      <c r="D74" s="105" t="s">
        <v>280</v>
      </c>
      <c r="E74" s="265">
        <v>0</v>
      </c>
      <c r="F74" s="265">
        <v>0</v>
      </c>
      <c r="G74" s="265">
        <v>0</v>
      </c>
      <c r="H74" s="265">
        <v>0</v>
      </c>
      <c r="I74" s="265">
        <v>0</v>
      </c>
      <c r="J74" s="265">
        <v>0</v>
      </c>
      <c r="K74" s="265">
        <v>0</v>
      </c>
      <c r="L74" s="265">
        <v>0</v>
      </c>
      <c r="M74" s="265">
        <v>0</v>
      </c>
      <c r="N74" s="265">
        <v>0</v>
      </c>
      <c r="O74" s="265">
        <v>0</v>
      </c>
      <c r="P74" s="265">
        <v>0</v>
      </c>
      <c r="Q74" s="117">
        <f>SUM(E74:P74)</f>
        <v>0</v>
      </c>
      <c r="R74" s="72">
        <v>113.11</v>
      </c>
      <c r="S74" s="72">
        <v>114.06</v>
      </c>
      <c r="T74" s="72">
        <v>113.11</v>
      </c>
      <c r="U74" s="72">
        <v>113.11</v>
      </c>
      <c r="V74" s="72">
        <v>118.04</v>
      </c>
      <c r="W74" s="72">
        <v>118.56</v>
      </c>
      <c r="X74" s="72">
        <v>119.88</v>
      </c>
      <c r="Y74" s="72">
        <v>117.53</v>
      </c>
      <c r="Z74" s="72">
        <v>132</v>
      </c>
      <c r="AA74" s="72">
        <v>132</v>
      </c>
      <c r="AB74" s="72">
        <v>132</v>
      </c>
      <c r="AC74" s="72">
        <v>132</v>
      </c>
      <c r="AD74" s="127">
        <f t="shared" si="25"/>
        <v>1455.4</v>
      </c>
      <c r="AE74" s="72">
        <f t="shared" si="26"/>
        <v>1455.4</v>
      </c>
      <c r="AF74" s="192">
        <f t="shared" si="4"/>
        <v>1</v>
      </c>
      <c r="AG74" s="129">
        <v>25181.059999999998</v>
      </c>
      <c r="AH74" s="251">
        <f t="shared" si="6"/>
        <v>25181.059999999998</v>
      </c>
      <c r="AI74" s="124"/>
    </row>
    <row r="75" spans="1:35">
      <c r="A75" s="105" t="s">
        <v>281</v>
      </c>
      <c r="B75" s="105" t="s">
        <v>644</v>
      </c>
      <c r="D75" s="105" t="s">
        <v>282</v>
      </c>
      <c r="E75" s="176">
        <v>0</v>
      </c>
      <c r="F75" s="176">
        <v>0</v>
      </c>
      <c r="G75" s="176">
        <v>0</v>
      </c>
      <c r="H75" s="176">
        <v>0</v>
      </c>
      <c r="I75" s="176">
        <v>0</v>
      </c>
      <c r="J75" s="176">
        <v>0</v>
      </c>
      <c r="K75" s="176">
        <v>0</v>
      </c>
      <c r="L75" s="176">
        <v>0</v>
      </c>
      <c r="M75" s="176">
        <v>0</v>
      </c>
      <c r="N75" s="176">
        <v>0</v>
      </c>
      <c r="O75" s="176">
        <v>0</v>
      </c>
      <c r="P75" s="176">
        <v>0</v>
      </c>
      <c r="Q75" s="117">
        <f>SUM(E75:P75)</f>
        <v>0</v>
      </c>
      <c r="R75" s="72">
        <v>1403.74</v>
      </c>
      <c r="S75" s="72">
        <v>2200.12</v>
      </c>
      <c r="T75" s="72">
        <v>1569.93</v>
      </c>
      <c r="U75" s="72">
        <v>1813.18</v>
      </c>
      <c r="V75" s="72">
        <v>1976.97</v>
      </c>
      <c r="W75" s="72">
        <v>1946.79</v>
      </c>
      <c r="X75" s="72">
        <v>1665.27</v>
      </c>
      <c r="Y75" s="72">
        <v>2003.36</v>
      </c>
      <c r="Z75" s="72">
        <v>3049</v>
      </c>
      <c r="AA75" s="72">
        <v>2899</v>
      </c>
      <c r="AB75" s="72">
        <v>2711</v>
      </c>
      <c r="AC75" s="72">
        <v>2712</v>
      </c>
      <c r="AD75" s="127">
        <f t="shared" si="25"/>
        <v>25950.36</v>
      </c>
      <c r="AE75" s="72">
        <f t="shared" si="26"/>
        <v>25950.36</v>
      </c>
      <c r="AF75" s="192">
        <f t="shared" si="4"/>
        <v>1</v>
      </c>
      <c r="AG75" s="129">
        <v>48449.770000000004</v>
      </c>
      <c r="AH75" s="251">
        <f t="shared" si="6"/>
        <v>48449.770000000004</v>
      </c>
      <c r="AI75" s="124"/>
    </row>
    <row r="76" spans="1:35">
      <c r="A76" s="105" t="s">
        <v>137</v>
      </c>
      <c r="B76" s="105" t="s">
        <v>644</v>
      </c>
      <c r="D76" s="105" t="s">
        <v>283</v>
      </c>
      <c r="E76" s="176">
        <v>0</v>
      </c>
      <c r="F76" s="176">
        <v>0</v>
      </c>
      <c r="G76" s="176">
        <v>0</v>
      </c>
      <c r="H76" s="176">
        <v>0</v>
      </c>
      <c r="I76" s="176">
        <v>0</v>
      </c>
      <c r="J76" s="176">
        <v>0</v>
      </c>
      <c r="K76" s="176">
        <v>0</v>
      </c>
      <c r="L76" s="176">
        <v>0</v>
      </c>
      <c r="M76" s="176">
        <v>0</v>
      </c>
      <c r="N76" s="176">
        <v>0</v>
      </c>
      <c r="O76" s="176">
        <v>0</v>
      </c>
      <c r="P76" s="176">
        <v>0</v>
      </c>
      <c r="Q76" s="117">
        <f>SUM(E76:P76)</f>
        <v>0</v>
      </c>
      <c r="R76" s="72">
        <v>5898.76</v>
      </c>
      <c r="S76" s="72">
        <v>7292.37</v>
      </c>
      <c r="T76" s="72">
        <v>7127.12</v>
      </c>
      <c r="U76" s="72">
        <v>6720.14</v>
      </c>
      <c r="V76" s="72">
        <v>4968.3900000000003</v>
      </c>
      <c r="W76" s="72">
        <v>5626.64</v>
      </c>
      <c r="X76" s="72">
        <v>5502.29</v>
      </c>
      <c r="Y76" s="72">
        <v>5727.85</v>
      </c>
      <c r="Z76" s="72">
        <v>9411</v>
      </c>
      <c r="AA76" s="72">
        <v>10407</v>
      </c>
      <c r="AB76" s="72">
        <v>9532</v>
      </c>
      <c r="AC76" s="72">
        <v>9532</v>
      </c>
      <c r="AD76" s="127">
        <f t="shared" si="25"/>
        <v>87745.56</v>
      </c>
      <c r="AE76" s="72">
        <f t="shared" si="26"/>
        <v>87745.56</v>
      </c>
      <c r="AF76" s="192">
        <f t="shared" si="4"/>
        <v>1</v>
      </c>
      <c r="AG76" s="129">
        <v>217470.45999999996</v>
      </c>
      <c r="AH76" s="251">
        <f t="shared" si="6"/>
        <v>217470.45999999996</v>
      </c>
      <c r="AI76" s="124"/>
    </row>
    <row r="77" spans="1:35">
      <c r="A77" s="105" t="s">
        <v>138</v>
      </c>
      <c r="B77" s="105" t="s">
        <v>644</v>
      </c>
      <c r="D77" s="105" t="s">
        <v>472</v>
      </c>
      <c r="E77" s="116">
        <v>0</v>
      </c>
      <c r="F77" s="116">
        <v>0</v>
      </c>
      <c r="G77" s="116">
        <v>0</v>
      </c>
      <c r="H77" s="116">
        <v>0</v>
      </c>
      <c r="I77" s="116">
        <v>0</v>
      </c>
      <c r="J77" s="116">
        <v>0</v>
      </c>
      <c r="K77" s="116">
        <v>0</v>
      </c>
      <c r="L77" s="116">
        <v>0</v>
      </c>
      <c r="M77" s="116">
        <v>0</v>
      </c>
      <c r="N77" s="116">
        <v>0</v>
      </c>
      <c r="O77" s="116">
        <v>0</v>
      </c>
      <c r="P77" s="116">
        <v>0</v>
      </c>
      <c r="Q77" s="117"/>
      <c r="R77" s="72">
        <v>0</v>
      </c>
      <c r="S77" s="72">
        <v>0</v>
      </c>
      <c r="T77" s="72">
        <v>0</v>
      </c>
      <c r="U77" s="72">
        <v>0</v>
      </c>
      <c r="V77" s="72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72">
        <v>0</v>
      </c>
      <c r="AD77" s="127">
        <f t="shared" si="25"/>
        <v>0</v>
      </c>
      <c r="AE77" s="72">
        <f t="shared" si="26"/>
        <v>0</v>
      </c>
      <c r="AF77" s="192" t="e">
        <f t="shared" si="4"/>
        <v>#DIV/0!</v>
      </c>
      <c r="AG77" s="129">
        <v>0</v>
      </c>
      <c r="AH77" s="251">
        <f t="shared" si="6"/>
        <v>0</v>
      </c>
      <c r="AI77" s="124"/>
    </row>
    <row r="78" spans="1:35">
      <c r="A78" s="105" t="s">
        <v>140</v>
      </c>
      <c r="B78" s="105" t="s">
        <v>644</v>
      </c>
      <c r="D78" s="105" t="s">
        <v>473</v>
      </c>
      <c r="E78" s="116">
        <v>0</v>
      </c>
      <c r="F78" s="116">
        <v>0</v>
      </c>
      <c r="G78" s="116">
        <v>0</v>
      </c>
      <c r="H78" s="116">
        <v>0</v>
      </c>
      <c r="I78" s="116">
        <v>0</v>
      </c>
      <c r="J78" s="116">
        <v>0</v>
      </c>
      <c r="K78" s="116">
        <v>0</v>
      </c>
      <c r="L78" s="116">
        <v>0</v>
      </c>
      <c r="M78" s="116">
        <v>0</v>
      </c>
      <c r="N78" s="116">
        <v>0</v>
      </c>
      <c r="O78" s="116">
        <v>0</v>
      </c>
      <c r="P78" s="116">
        <v>0</v>
      </c>
      <c r="Q78" s="117"/>
      <c r="R78" s="72">
        <v>0</v>
      </c>
      <c r="S78" s="72">
        <v>0</v>
      </c>
      <c r="T78" s="72">
        <v>0</v>
      </c>
      <c r="U78" s="72">
        <v>0</v>
      </c>
      <c r="V78" s="72">
        <v>0</v>
      </c>
      <c r="W78" s="72">
        <v>0</v>
      </c>
      <c r="X78" s="72">
        <v>0</v>
      </c>
      <c r="Y78" s="72">
        <v>0</v>
      </c>
      <c r="Z78" s="72">
        <v>0</v>
      </c>
      <c r="AA78" s="72">
        <v>0</v>
      </c>
      <c r="AB78" s="72">
        <v>0</v>
      </c>
      <c r="AC78" s="72">
        <v>0</v>
      </c>
      <c r="AD78" s="127">
        <f t="shared" si="25"/>
        <v>0</v>
      </c>
      <c r="AE78" s="72">
        <f t="shared" si="26"/>
        <v>0</v>
      </c>
      <c r="AF78" s="192" t="e">
        <f t="shared" si="4"/>
        <v>#DIV/0!</v>
      </c>
      <c r="AG78" s="129">
        <v>0</v>
      </c>
      <c r="AH78" s="251">
        <f t="shared" si="6"/>
        <v>0</v>
      </c>
      <c r="AI78" s="124"/>
    </row>
    <row r="79" spans="1:35">
      <c r="D79" s="109" t="s">
        <v>523</v>
      </c>
      <c r="E79" s="117">
        <f t="shared" ref="E79:AD79" si="27">SUM(E73:E76)</f>
        <v>0</v>
      </c>
      <c r="F79" s="117">
        <f t="shared" si="27"/>
        <v>0</v>
      </c>
      <c r="G79" s="117">
        <f t="shared" si="27"/>
        <v>0</v>
      </c>
      <c r="H79" s="117">
        <f t="shared" si="27"/>
        <v>0</v>
      </c>
      <c r="I79" s="117">
        <f t="shared" si="27"/>
        <v>0</v>
      </c>
      <c r="J79" s="117">
        <f t="shared" si="27"/>
        <v>0</v>
      </c>
      <c r="K79" s="117">
        <f t="shared" si="27"/>
        <v>0</v>
      </c>
      <c r="L79" s="117">
        <f t="shared" si="27"/>
        <v>0</v>
      </c>
      <c r="M79" s="117">
        <f t="shared" si="27"/>
        <v>0</v>
      </c>
      <c r="N79" s="117">
        <f t="shared" si="27"/>
        <v>0</v>
      </c>
      <c r="O79" s="117">
        <f t="shared" si="27"/>
        <v>0</v>
      </c>
      <c r="P79" s="117">
        <f t="shared" si="27"/>
        <v>0</v>
      </c>
      <c r="Q79" s="117">
        <f t="shared" si="27"/>
        <v>0</v>
      </c>
      <c r="R79" s="127">
        <f t="shared" si="27"/>
        <v>7548.6100000000006</v>
      </c>
      <c r="S79" s="127">
        <f t="shared" si="27"/>
        <v>9733.5499999999993</v>
      </c>
      <c r="T79" s="127">
        <f t="shared" si="27"/>
        <v>8946.16</v>
      </c>
      <c r="U79" s="127">
        <f t="shared" si="27"/>
        <v>8778.43</v>
      </c>
      <c r="V79" s="127">
        <f t="shared" si="27"/>
        <v>7199.4000000000005</v>
      </c>
      <c r="W79" s="127">
        <f t="shared" si="27"/>
        <v>7823.99</v>
      </c>
      <c r="X79" s="127">
        <f t="shared" si="27"/>
        <v>7423.4400000000005</v>
      </c>
      <c r="Y79" s="127">
        <f t="shared" si="27"/>
        <v>7984.74</v>
      </c>
      <c r="Z79" s="127">
        <f t="shared" si="27"/>
        <v>12725</v>
      </c>
      <c r="AA79" s="127">
        <f t="shared" si="27"/>
        <v>13571</v>
      </c>
      <c r="AB79" s="127">
        <f t="shared" si="27"/>
        <v>12508</v>
      </c>
      <c r="AC79" s="127">
        <f t="shared" si="27"/>
        <v>12509</v>
      </c>
      <c r="AD79" s="127">
        <f t="shared" si="27"/>
        <v>116751.32</v>
      </c>
      <c r="AE79" s="72">
        <f t="shared" si="26"/>
        <v>116751.32</v>
      </c>
      <c r="AF79" s="192">
        <f t="shared" si="4"/>
        <v>1</v>
      </c>
      <c r="AG79" s="129">
        <v>292502.74</v>
      </c>
      <c r="AH79" s="251">
        <f t="shared" si="6"/>
        <v>292502.74</v>
      </c>
      <c r="AI79" s="124"/>
    </row>
    <row r="80" spans="1:35">
      <c r="D80" s="109" t="s">
        <v>524</v>
      </c>
      <c r="E80" s="117">
        <f t="shared" ref="E80:AD80" si="28">+E51+E58+E68+E79</f>
        <v>0</v>
      </c>
      <c r="F80" s="117">
        <f t="shared" si="28"/>
        <v>0</v>
      </c>
      <c r="G80" s="117">
        <f t="shared" si="28"/>
        <v>0</v>
      </c>
      <c r="H80" s="117">
        <f t="shared" si="28"/>
        <v>0</v>
      </c>
      <c r="I80" s="117">
        <f t="shared" si="28"/>
        <v>0</v>
      </c>
      <c r="J80" s="117">
        <f t="shared" si="28"/>
        <v>0</v>
      </c>
      <c r="K80" s="117">
        <f t="shared" si="28"/>
        <v>0</v>
      </c>
      <c r="L80" s="117">
        <f t="shared" si="28"/>
        <v>0</v>
      </c>
      <c r="M80" s="117">
        <f t="shared" si="28"/>
        <v>0</v>
      </c>
      <c r="N80" s="117">
        <f t="shared" si="28"/>
        <v>0</v>
      </c>
      <c r="O80" s="117">
        <f t="shared" si="28"/>
        <v>0</v>
      </c>
      <c r="P80" s="117">
        <f t="shared" si="28"/>
        <v>0</v>
      </c>
      <c r="Q80" s="117">
        <f t="shared" si="28"/>
        <v>0</v>
      </c>
      <c r="R80" s="127">
        <f t="shared" si="28"/>
        <v>88137.33</v>
      </c>
      <c r="S80" s="127">
        <f t="shared" si="28"/>
        <v>105672.25</v>
      </c>
      <c r="T80" s="127">
        <f t="shared" si="28"/>
        <v>73827.789999999994</v>
      </c>
      <c r="U80" s="127">
        <f t="shared" si="28"/>
        <v>81866.989999999991</v>
      </c>
      <c r="V80" s="127">
        <f t="shared" si="28"/>
        <v>80428.929999999993</v>
      </c>
      <c r="W80" s="127">
        <f t="shared" si="28"/>
        <v>74577.42</v>
      </c>
      <c r="X80" s="127">
        <f t="shared" si="28"/>
        <v>73773.84</v>
      </c>
      <c r="Y80" s="127">
        <f t="shared" si="28"/>
        <v>80959.5</v>
      </c>
      <c r="Z80" s="127">
        <f t="shared" si="28"/>
        <v>106056.33</v>
      </c>
      <c r="AA80" s="127">
        <f t="shared" si="28"/>
        <v>120798.33</v>
      </c>
      <c r="AB80" s="127">
        <f t="shared" si="28"/>
        <v>110384.33</v>
      </c>
      <c r="AC80" s="127">
        <f t="shared" si="28"/>
        <v>117516.33</v>
      </c>
      <c r="AD80" s="127">
        <f t="shared" si="28"/>
        <v>1113999.3699999999</v>
      </c>
      <c r="AE80" s="72">
        <f t="shared" si="26"/>
        <v>1113999.3699999999</v>
      </c>
      <c r="AF80" s="192">
        <f t="shared" si="4"/>
        <v>1</v>
      </c>
      <c r="AG80" s="129">
        <v>1501002.16</v>
      </c>
      <c r="AH80" s="251">
        <f t="shared" si="6"/>
        <v>1501002.16</v>
      </c>
      <c r="AI80" s="124"/>
    </row>
    <row r="81" spans="1:35">
      <c r="D81" s="105" t="s">
        <v>154</v>
      </c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7"/>
      <c r="AF81" s="192"/>
      <c r="AG81" s="129"/>
      <c r="AH81" s="251">
        <f t="shared" si="6"/>
        <v>0</v>
      </c>
      <c r="AI81" s="124"/>
    </row>
    <row r="82" spans="1:35" s="109" customFormat="1">
      <c r="A82" s="109" t="s">
        <v>141</v>
      </c>
      <c r="B82" s="109" t="s">
        <v>644</v>
      </c>
      <c r="D82" s="109" t="s">
        <v>142</v>
      </c>
      <c r="E82" s="265">
        <v>0</v>
      </c>
      <c r="F82" s="265">
        <v>0</v>
      </c>
      <c r="G82" s="265">
        <v>0</v>
      </c>
      <c r="H82" s="265">
        <v>0</v>
      </c>
      <c r="I82" s="265">
        <v>0</v>
      </c>
      <c r="J82" s="265">
        <v>0</v>
      </c>
      <c r="K82" s="265">
        <v>0</v>
      </c>
      <c r="L82" s="265">
        <v>0</v>
      </c>
      <c r="M82" s="265">
        <v>0</v>
      </c>
      <c r="N82" s="265">
        <v>0</v>
      </c>
      <c r="O82" s="265">
        <v>0</v>
      </c>
      <c r="P82" s="265">
        <v>0</v>
      </c>
      <c r="Q82" s="117">
        <f>SUM(E82:P82)/12</f>
        <v>0</v>
      </c>
      <c r="R82" s="127">
        <v>6</v>
      </c>
      <c r="S82" s="127">
        <v>6</v>
      </c>
      <c r="T82" s="127">
        <v>6</v>
      </c>
      <c r="U82" s="127">
        <v>6</v>
      </c>
      <c r="V82" s="127">
        <v>6</v>
      </c>
      <c r="W82" s="127">
        <v>6</v>
      </c>
      <c r="X82" s="127">
        <v>6</v>
      </c>
      <c r="Y82" s="127">
        <v>6</v>
      </c>
      <c r="Z82" s="127">
        <v>9</v>
      </c>
      <c r="AA82" s="127">
        <v>9</v>
      </c>
      <c r="AB82" s="127">
        <v>9</v>
      </c>
      <c r="AC82" s="127">
        <v>9</v>
      </c>
      <c r="AD82" s="127">
        <f>SUM(R82:AC82)/12</f>
        <v>7</v>
      </c>
      <c r="AE82" s="127">
        <f>AD82-Q82</f>
        <v>7</v>
      </c>
      <c r="AF82" s="132">
        <f t="shared" si="4"/>
        <v>1</v>
      </c>
      <c r="AG82" s="129">
        <v>13.083333333333334</v>
      </c>
      <c r="AH82" s="129">
        <f>AG82-Q82</f>
        <v>13.083333333333334</v>
      </c>
      <c r="AI82" s="124"/>
    </row>
    <row r="83" spans="1:35">
      <c r="AH83" s="251">
        <f>AG83-Q83</f>
        <v>0</v>
      </c>
      <c r="AI83" s="124"/>
    </row>
    <row r="84" spans="1:35">
      <c r="Q84" s="127" t="e">
        <f>Q80/Q82</f>
        <v>#DIV/0!</v>
      </c>
      <c r="AD84" s="127">
        <f>AD80/AD82</f>
        <v>159142.76714285713</v>
      </c>
    </row>
    <row r="86" spans="1:35">
      <c r="D86" s="151" t="s">
        <v>292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72">
        <v>0</v>
      </c>
      <c r="L86" s="72">
        <v>0</v>
      </c>
      <c r="M86" s="72">
        <v>0</v>
      </c>
      <c r="N86" s="72">
        <v>0</v>
      </c>
      <c r="O86" s="72">
        <v>0</v>
      </c>
      <c r="P86" s="72">
        <v>0</v>
      </c>
      <c r="Q86" s="117">
        <f t="shared" ref="Q86:Q88" si="29">SUM(E86:P86)</f>
        <v>0</v>
      </c>
    </row>
    <row r="87" spans="1:35">
      <c r="D87" s="152" t="s">
        <v>366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0</v>
      </c>
      <c r="P87" s="136">
        <v>0</v>
      </c>
      <c r="Q87" s="117">
        <f t="shared" si="29"/>
        <v>0</v>
      </c>
    </row>
    <row r="88" spans="1:35">
      <c r="D88" s="151" t="s">
        <v>367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17">
        <f t="shared" si="29"/>
        <v>0</v>
      </c>
    </row>
    <row r="89" spans="1:35">
      <c r="D89" s="109" t="s">
        <v>476</v>
      </c>
      <c r="E89" s="117">
        <f>SUM(E86:E88)</f>
        <v>0</v>
      </c>
      <c r="F89" s="117">
        <f t="shared" ref="F89:Q89" si="30">SUM(F86:F88)</f>
        <v>0</v>
      </c>
      <c r="G89" s="117">
        <f t="shared" si="30"/>
        <v>0</v>
      </c>
      <c r="H89" s="117">
        <f t="shared" si="30"/>
        <v>0</v>
      </c>
      <c r="I89" s="117">
        <f t="shared" si="30"/>
        <v>0</v>
      </c>
      <c r="J89" s="117">
        <f t="shared" si="30"/>
        <v>0</v>
      </c>
      <c r="K89" s="117">
        <f t="shared" si="30"/>
        <v>0</v>
      </c>
      <c r="L89" s="117">
        <f t="shared" si="30"/>
        <v>0</v>
      </c>
      <c r="M89" s="117">
        <f t="shared" si="30"/>
        <v>0</v>
      </c>
      <c r="N89" s="117">
        <f t="shared" si="30"/>
        <v>0</v>
      </c>
      <c r="O89" s="117">
        <f t="shared" si="30"/>
        <v>0</v>
      </c>
      <c r="P89" s="117">
        <f t="shared" si="30"/>
        <v>0</v>
      </c>
      <c r="Q89" s="117">
        <f t="shared" si="30"/>
        <v>0</v>
      </c>
    </row>
  </sheetData>
  <phoneticPr fontId="7" type="noConversion"/>
  <dataValidations count="151">
    <dataValidation type="textLength" errorStyle="information" allowBlank="1" showInputMessage="1" showErrorMessage="1" error="XLBVal:6=7158.19_x000d__x000a_" sqref="R54">
      <formula1>0</formula1>
      <formula2>300</formula2>
    </dataValidation>
    <dataValidation type="textLength" errorStyle="information" allowBlank="1" showInputMessage="1" showErrorMessage="1" error="XLBVal:6=2041.41_x000d__x000a_" sqref="W53">
      <formula1>0</formula1>
      <formula2>300</formula2>
    </dataValidation>
    <dataValidation type="textLength" errorStyle="information" allowBlank="1" showInputMessage="1" showErrorMessage="1" error="XLBVal:6=82.1_x000d__x000a_" sqref="U40">
      <formula1>0</formula1>
      <formula2>300</formula2>
    </dataValidation>
    <dataValidation type="textLength" errorStyle="information" allowBlank="1" showInputMessage="1" showErrorMessage="1" error="XLBVal:6=54.2_x000d__x000a_" sqref="W36">
      <formula1>0</formula1>
      <formula2>300</formula2>
    </dataValidation>
    <dataValidation type="textLength" errorStyle="information" allowBlank="1" showInputMessage="1" showErrorMessage="1" error="XLBVal:6=114.38_x000d__x000a_" sqref="V36">
      <formula1>0</formula1>
      <formula2>300</formula2>
    </dataValidation>
    <dataValidation type="textLength" errorStyle="information" allowBlank="1" showInputMessage="1" showErrorMessage="1" error="XLBVal:6=816.96_x000d__x000a_" sqref="T34">
      <formula1>0</formula1>
      <formula2>300</formula2>
    </dataValidation>
    <dataValidation type="textLength" errorStyle="information" allowBlank="1" showInputMessage="1" showErrorMessage="1" error="XLBVal:6=0_x000d__x000a_" sqref="U32 U35">
      <formula1>0</formula1>
      <formula2>300</formula2>
    </dataValidation>
    <dataValidation type="textLength" errorStyle="information" allowBlank="1" showInputMessage="1" showErrorMessage="1" error="XLBVal:6=1097.35_x000d__x000a_" sqref="W31">
      <formula1>0</formula1>
      <formula2>300</formula2>
    </dataValidation>
    <dataValidation type="textLength" errorStyle="information" allowBlank="1" showInputMessage="1" showErrorMessage="1" error="XLBVal:6=647.26_x000d__x000a_" sqref="V31">
      <formula1>0</formula1>
      <formula2>300</formula2>
    </dataValidation>
    <dataValidation type="textLength" errorStyle="information" allowBlank="1" showInputMessage="1" showErrorMessage="1" error="XLBVal:6=580_x000d__x000a_" sqref="U31">
      <formula1>0</formula1>
      <formula2>300</formula2>
    </dataValidation>
    <dataValidation type="textLength" errorStyle="information" allowBlank="1" showInputMessage="1" showErrorMessage="1" error="XLBVal:6=867.3_x000d__x000a_" sqref="W29">
      <formula1>0</formula1>
      <formula2>300</formula2>
    </dataValidation>
    <dataValidation type="textLength" errorStyle="information" allowBlank="1" showInputMessage="1" showErrorMessage="1" error="XLBVal:6=86.28_x000d__x000a_" sqref="T28:W28">
      <formula1>0</formula1>
      <formula2>300</formula2>
    </dataValidation>
    <dataValidation type="textLength" errorStyle="information" allowBlank="1" showInputMessage="1" showErrorMessage="1" error="XLBVal:6=172.56_x000d__x000a_" sqref="S28">
      <formula1>0</formula1>
      <formula2>300</formula2>
    </dataValidation>
    <dataValidation type="textLength" errorStyle="information" allowBlank="1" showInputMessage="1" showErrorMessage="1" error="XLBVal:6=34143_x000d__x000a_" sqref="E49:E50 E53:P57 E60:P67 E70:P74 E82:P82">
      <formula1>0</formula1>
      <formula2>300</formula2>
    </dataValidation>
    <dataValidation type="textLength" errorStyle="information" allowBlank="1" showInputMessage="1" showErrorMessage="1" error="XLBVal:6=4753.76_x000d__x000a_" sqref="W54">
      <formula1>0</formula1>
      <formula2>300</formula2>
    </dataValidation>
    <dataValidation type="textLength" errorStyle="information" allowBlank="1" showInputMessage="1" showErrorMessage="1" error="XLBVal:6=4768.71_x000d__x000a_" sqref="V54">
      <formula1>0</formula1>
      <formula2>300</formula2>
    </dataValidation>
    <dataValidation type="textLength" errorStyle="information" allowBlank="1" showInputMessage="1" showErrorMessage="1" error="XLBVal:6=4752.24_x000d__x000a_" sqref="U54">
      <formula1>0</formula1>
      <formula2>300</formula2>
    </dataValidation>
    <dataValidation type="textLength" errorStyle="information" allowBlank="1" showInputMessage="1" showErrorMessage="1" error="XLBVal:6=1710.39_x000d__x000a_" sqref="U53">
      <formula1>0</formula1>
      <formula2>300</formula2>
    </dataValidation>
    <dataValidation type="textLength" errorStyle="information" allowBlank="1" showInputMessage="1" showErrorMessage="1" error="XLBVal:6=1158.66_x000d__x000a_" sqref="R53">
      <formula1>0</formula1>
      <formula2>300</formula2>
    </dataValidation>
    <dataValidation type="textLength" errorStyle="information" allowBlank="1" showInputMessage="1" showErrorMessage="1" error="XLBVal:6=192.42_x000d__x000a_" sqref="U42">
      <formula1>0</formula1>
      <formula2>300</formula2>
    </dataValidation>
    <dataValidation type="textLength" errorStyle="information" allowBlank="1" showInputMessage="1" showErrorMessage="1" error="XLBVal:6=286.87_x000d__x000a_" sqref="R42">
      <formula1>0</formula1>
      <formula2>300</formula2>
    </dataValidation>
    <dataValidation type="textLength" errorStyle="information" allowBlank="1" showInputMessage="1" showErrorMessage="1" error="XLBVal:6=97.2_x000d__x000a_" sqref="T40">
      <formula1>0</formula1>
      <formula2>300</formula2>
    </dataValidation>
    <dataValidation type="textLength" errorStyle="information" allowBlank="1" showInputMessage="1" showErrorMessage="1" error="XLBVal:6=85.74_x000d__x000a_" sqref="R40">
      <formula1>0</formula1>
      <formula2>300</formula2>
    </dataValidation>
    <dataValidation type="textLength" errorStyle="information" allowBlank="1" showInputMessage="1" showErrorMessage="1" error="XLBVal:6=1666_x000d__x000a_" sqref="R35:T35">
      <formula1>0</formula1>
      <formula2>300</formula2>
    </dataValidation>
    <dataValidation type="textLength" errorStyle="information" allowBlank="1" showInputMessage="1" showErrorMessage="1" error="XLBVal:6=514.99_x000d__x000a_" sqref="U30">
      <formula1>0</formula1>
      <formula2>300</formula2>
    </dataValidation>
    <dataValidation type="textLength" errorStyle="information" allowBlank="1" showInputMessage="1" showErrorMessage="1" error="XLBVal:6=11589.15_x000d__x000a_" sqref="T26">
      <formula1>0</formula1>
      <formula2>300</formula2>
    </dataValidation>
    <dataValidation type="textLength" errorStyle="information" allowBlank="1" showInputMessage="1" showErrorMessage="1" error="XLBVal:6=10742.68_x000d__x000a_" sqref="S26">
      <formula1>0</formula1>
      <formula2>300</formula2>
    </dataValidation>
    <dataValidation type="textLength" errorStyle="information" allowBlank="1" showInputMessage="1" showErrorMessage="1" error="XLBVal:6=6171.58_x000d__x000a_" sqref="R26">
      <formula1>0</formula1>
      <formula2>300</formula2>
    </dataValidation>
    <dataValidation type="textLength" errorStyle="information" allowBlank="1" showInputMessage="1" showErrorMessage="1" error="XLBVal:6=83.43_x000d__x000a_" sqref="U25">
      <formula1>0</formula1>
      <formula2>300</formula2>
    </dataValidation>
    <dataValidation type="textLength" errorStyle="information" allowBlank="1" showInputMessage="1" showErrorMessage="1" error="XLBVal:6=179.54_x000d__x000a_" sqref="T25">
      <formula1>0</formula1>
      <formula2>300</formula2>
    </dataValidation>
    <dataValidation type="textLength" errorStyle="information" allowBlank="1" showInputMessage="1" showErrorMessage="1" error="XLBVal:6=336.01_x000d__x000a_" sqref="U19">
      <formula1>0</formula1>
      <formula2>300</formula2>
    </dataValidation>
    <dataValidation type="textLength" errorStyle="information" allowBlank="1" showInputMessage="1" showErrorMessage="1" error="XLBVal:6=3116.12_x000d__x000a_" sqref="U18">
      <formula1>0</formula1>
      <formula2>300</formula2>
    </dataValidation>
    <dataValidation type="textLength" errorStyle="information" allowBlank="1" showInputMessage="1" showErrorMessage="1" error="XLBVal:6=6973.2_x000d__x000a_" sqref="U14">
      <formula1>0</formula1>
      <formula2>300</formula2>
    </dataValidation>
    <dataValidation type="textLength" errorStyle="information" allowBlank="1" showInputMessage="1" showErrorMessage="1" error="XLBVal:6=17428.85_x000d__x000a_" sqref="AC14">
      <formula1>0</formula1>
      <formula2>300</formula2>
    </dataValidation>
    <dataValidation type="textLength" errorStyle="information" allowBlank="1" showInputMessage="1" showErrorMessage="1" error="XLBVal:6=174283.67_x000d__x000a_" sqref="AC10">
      <formula1>0</formula1>
      <formula2>300</formula2>
    </dataValidation>
    <dataValidation type="textLength" errorStyle="information" allowBlank="1" showInputMessage="1" showErrorMessage="1" error="XLBVal:6=11663.7_x000d__x000a_" sqref="AB14">
      <formula1>0</formula1>
      <formula2>300</formula2>
    </dataValidation>
    <dataValidation type="textLength" errorStyle="information" allowBlank="1" showInputMessage="1" showErrorMessage="1" error="XLBVal:6=9587_x000d__x000a_" sqref="AA14">
      <formula1>0</formula1>
      <formula2>300</formula2>
    </dataValidation>
    <dataValidation type="textLength" errorStyle="information" allowBlank="1" showInputMessage="1" showErrorMessage="1" error="XLBVal:6=116633.7_x000d__x000a_" sqref="AB10">
      <formula1>0</formula1>
      <formula2>300</formula2>
    </dataValidation>
    <dataValidation type="textLength" errorStyle="information" allowBlank="1" showInputMessage="1" showErrorMessage="1" error="XLBVal:6=95874.5_x000d__x000a_" sqref="AA10">
      <formula1>0</formula1>
      <formula2>300</formula2>
    </dataValidation>
    <dataValidation type="textLength" errorStyle="information" allowBlank="1" showInputMessage="1" showErrorMessage="1" error="XLBVal:6=15000_x000d__x000a_" sqref="F49:P50">
      <formula1>0</formula1>
      <formula2>300</formula2>
    </dataValidation>
    <dataValidation type="textLength" errorStyle="information" allowBlank="1" showInputMessage="1" showErrorMessage="1" error="XLBVal:6=5173.5_x000d__x000a_" sqref="Y14">
      <formula1>0</formula1>
      <formula2>300</formula2>
    </dataValidation>
    <dataValidation type="textLength" errorStyle="information" allowBlank="1" showInputMessage="1" showErrorMessage="1" error="XLBVal:6=51734.5_x000d__x000a_" sqref="Y10">
      <formula1>0</formula1>
      <formula2>300</formula2>
    </dataValidation>
    <dataValidation type="textLength" errorStyle="information" allowBlank="1" showInputMessage="1" showErrorMessage="1" error="XLBVal:6=1229.3_x000d__x000a_" sqref="W66">
      <formula1>0</formula1>
      <formula2>300</formula2>
    </dataValidation>
    <dataValidation type="textLength" errorStyle="information" allowBlank="1" showInputMessage="1" showErrorMessage="1" error="XLBVal:6=885.83_x000d__x000a_" sqref="V66">
      <formula1>0</formula1>
      <formula2>300</formula2>
    </dataValidation>
    <dataValidation type="textLength" errorStyle="information" allowBlank="1" showInputMessage="1" showErrorMessage="1" error="XLBVal:6=1104.67_x000d__x000a_" sqref="U66">
      <formula1>0</formula1>
      <formula2>300</formula2>
    </dataValidation>
    <dataValidation type="textLength" errorStyle="information" allowBlank="1" showInputMessage="1" showErrorMessage="1" error="XLBVal:6=2174.82_x000d__x000a_" sqref="T66">
      <formula1>0</formula1>
      <formula2>300</formula2>
    </dataValidation>
    <dataValidation type="textLength" errorStyle="information" allowBlank="1" showInputMessage="1" showErrorMessage="1" error="XLBVal:6=1020.98_x000d__x000a_" sqref="S66">
      <formula1>0</formula1>
      <formula2>300</formula2>
    </dataValidation>
    <dataValidation type="textLength" errorStyle="information" allowBlank="1" showInputMessage="1" showErrorMessage="1" error="XLBVal:6=934.61_x000d__x000a_" sqref="R66">
      <formula1>0</formula1>
      <formula2>300</formula2>
    </dataValidation>
    <dataValidation type="textLength" errorStyle="information" allowBlank="1" showInputMessage="1" showErrorMessage="1" error="XLBVal:6=21935.8_x000d__x000a_" sqref="R57">
      <formula1>0</formula1>
      <formula2>300</formula2>
    </dataValidation>
    <dataValidation type="textLength" errorStyle="information" allowBlank="1" showInputMessage="1" showErrorMessage="1" error="XLBVal:6=2427.63_x000d__x000a_" sqref="V53">
      <formula1>0</formula1>
      <formula2>300</formula2>
    </dataValidation>
    <dataValidation type="textLength" errorStyle="information" allowBlank="1" showInputMessage="1" showErrorMessage="1" error="XLBVal:6=5717.36_x000d__x000a_" sqref="S53">
      <formula1>0</formula1>
      <formula2>300</formula2>
    </dataValidation>
    <dataValidation type="textLength" errorStyle="information" allowBlank="1" showInputMessage="1" showErrorMessage="1" error="XLBVal:6=218.46_x000d__x000a_" sqref="S31">
      <formula1>0</formula1>
      <formula2>300</formula2>
    </dataValidation>
    <dataValidation type="textLength" errorStyle="information" allowBlank="1" showInputMessage="1" showErrorMessage="1" error="XLBVal:6=48_x000d__x000a_" sqref="S43">
      <formula1>0</formula1>
      <formula2>300</formula2>
    </dataValidation>
    <dataValidation type="textLength" errorStyle="information" allowBlank="1" showInputMessage="1" showErrorMessage="1" error="XLBVal:6=96.9_x000d__x000a_" sqref="R43">
      <formula1>0</formula1>
      <formula2>300</formula2>
    </dataValidation>
    <dataValidation type="textLength" errorStyle="information" allowBlank="1" showInputMessage="1" showErrorMessage="1" error="XLBVal:6=300.83_x000d__x000a_" sqref="V42">
      <formula1>0</formula1>
      <formula2>300</formula2>
    </dataValidation>
    <dataValidation type="textLength" errorStyle="information" allowBlank="1" showInputMessage="1" showErrorMessage="1" error="XLBVal:6=230.36_x000d__x000a_" sqref="T42">
      <formula1>0</formula1>
      <formula2>300</formula2>
    </dataValidation>
    <dataValidation type="textLength" errorStyle="information" allowBlank="1" showInputMessage="1" showErrorMessage="1" error="XLBVal:6=305.77_x000d__x000a_" sqref="S42">
      <formula1>0</formula1>
      <formula2>300</formula2>
    </dataValidation>
    <dataValidation type="textLength" errorStyle="information" allowBlank="1" showInputMessage="1" showErrorMessage="1" error="XLBVal:6=87_x000d__x000a_" sqref="W40 S40">
      <formula1>0</formula1>
      <formula2>300</formula2>
    </dataValidation>
    <dataValidation type="textLength" errorStyle="information" allowBlank="1" showInputMessage="1" showErrorMessage="1" error="XLBVal:6=128.6_x000d__x000a_" sqref="R38">
      <formula1>0</formula1>
      <formula2>300</formula2>
    </dataValidation>
    <dataValidation type="textLength" errorStyle="information" allowBlank="1" showInputMessage="1" showErrorMessage="1" error="XLBVal:6=39.82_x000d__x000a_" sqref="U34:W34">
      <formula1>0</formula1>
      <formula2>300</formula2>
    </dataValidation>
    <dataValidation type="textLength" errorStyle="information" allowBlank="1" showInputMessage="1" showErrorMessage="1" error="XLBVal:6=271.56_x000d__x000a_" sqref="S34">
      <formula1>0</formula1>
      <formula2>300</formula2>
    </dataValidation>
    <dataValidation type="textLength" errorStyle="information" allowBlank="1" showInputMessage="1" showErrorMessage="1" error="XLBVal:6=620.84_x000d__x000a_" sqref="R34">
      <formula1>0</formula1>
      <formula2>300</formula2>
    </dataValidation>
    <dataValidation type="textLength" errorStyle="information" allowBlank="1" showInputMessage="1" showErrorMessage="1" error="XLBVal:6=2942_x000d__x000a_" sqref="R32:T32">
      <formula1>0</formula1>
      <formula2>300</formula2>
    </dataValidation>
    <dataValidation type="textLength" errorStyle="information" allowBlank="1" showInputMessage="1" showErrorMessage="1" error="XLBVal:6=480_x000d__x000a_" sqref="W30">
      <formula1>0</formula1>
      <formula2>300</formula2>
    </dataValidation>
    <dataValidation type="textLength" errorStyle="information" allowBlank="1" showInputMessage="1" showErrorMessage="1" error="XLBVal:6=373.74_x000d__x000a_" sqref="S30">
      <formula1>0</formula1>
      <formula2>300</formula2>
    </dataValidation>
    <dataValidation type="textLength" errorStyle="information" allowBlank="1" showInputMessage="1" showErrorMessage="1" error="XLBVal:6=240_x000d__x000a_" sqref="R30 V30 T30">
      <formula1>0</formula1>
      <formula2>300</formula2>
    </dataValidation>
    <dataValidation type="textLength" errorStyle="information" allowBlank="1" showInputMessage="1" showErrorMessage="1" error="XLBVal:6=1400.83_x000d__x000a_" sqref="V29">
      <formula1>0</formula1>
      <formula2>300</formula2>
    </dataValidation>
    <dataValidation type="textLength" errorStyle="information" allowBlank="1" showInputMessage="1" showErrorMessage="1" error="XLBVal:6=1285.6_x000d__x000a_" sqref="U29">
      <formula1>0</formula1>
      <formula2>300</formula2>
    </dataValidation>
    <dataValidation type="textLength" errorStyle="information" allowBlank="1" showInputMessage="1" showErrorMessage="1" error="XLBVal:6=1991.42_x000d__x000a_" sqref="T29">
      <formula1>0</formula1>
      <formula2>300</formula2>
    </dataValidation>
    <dataValidation type="textLength" errorStyle="information" allowBlank="1" showInputMessage="1" showErrorMessage="1" error="XLBVal:6=500_x000d__x000a_" sqref="S29">
      <formula1>0</formula1>
      <formula2>300</formula2>
    </dataValidation>
    <dataValidation type="textLength" errorStyle="information" allowBlank="1" showInputMessage="1" showErrorMessage="1" error="XLBVal:6=1287.1_x000d__x000a_" sqref="R29">
      <formula1>0</formula1>
      <formula2>300</formula2>
    </dataValidation>
    <dataValidation type="textLength" errorStyle="information" allowBlank="1" showInputMessage="1" showErrorMessage="1" error="XLBVal:6=16808.16_x000d__x000a_" sqref="V26">
      <formula1>0</formula1>
      <formula2>300</formula2>
    </dataValidation>
    <dataValidation type="textLength" errorStyle="information" allowBlank="1" showInputMessage="1" showErrorMessage="1" error="XLBVal:6=9677.77_x000d__x000a_" sqref="U26">
      <formula1>0</formula1>
      <formula2>300</formula2>
    </dataValidation>
    <dataValidation type="textLength" errorStyle="information" allowBlank="1" showInputMessage="1" showErrorMessage="1" error="XLBVal:6=382.08_x000d__x000a_" sqref="W25">
      <formula1>0</formula1>
      <formula2>300</formula2>
    </dataValidation>
    <dataValidation type="textLength" errorStyle="information" allowBlank="1" showInputMessage="1" showErrorMessage="1" error="XLBVal:6=780.64_x000d__x000a_" sqref="V25">
      <formula1>0</formula1>
      <formula2>300</formula2>
    </dataValidation>
    <dataValidation type="textLength" errorStyle="information" allowBlank="1" showInputMessage="1" showErrorMessage="1" error="XLBVal:6=221.55_x000d__x000a_" sqref="S25">
      <formula1>0</formula1>
      <formula2>300</formula2>
    </dataValidation>
    <dataValidation type="textLength" errorStyle="information" allowBlank="1" showInputMessage="1" showErrorMessage="1" error="XLBVal:6=218.63_x000d__x000a_" sqref="R25">
      <formula1>0</formula1>
      <formula2>300</formula2>
    </dataValidation>
    <dataValidation type="textLength" errorStyle="information" allowBlank="1" showInputMessage="1" showErrorMessage="1" error="XLBVal:6=71.16_x000d__x000a_" sqref="W19">
      <formula1>0</formula1>
      <formula2>300</formula2>
    </dataValidation>
    <dataValidation type="textLength" errorStyle="information" allowBlank="1" showInputMessage="1" showErrorMessage="1" error="XLBVal:6=1464.92_x000d__x000a_" sqref="T19">
      <formula1>0</formula1>
      <formula2>300</formula2>
    </dataValidation>
    <dataValidation type="textLength" errorStyle="information" allowBlank="1" showInputMessage="1" showErrorMessage="1" error="XLBVal:6=1074.06_x000d__x000a_" sqref="S19">
      <formula1>0</formula1>
      <formula2>300</formula2>
    </dataValidation>
    <dataValidation type="textLength" errorStyle="information" allowBlank="1" showInputMessage="1" showErrorMessage="1" error="XLBVal:6=3840.2_x000d__x000a_" sqref="W18">
      <formula1>0</formula1>
      <formula2>300</formula2>
    </dataValidation>
    <dataValidation type="textLength" errorStyle="information" allowBlank="1" showInputMessage="1" showErrorMessage="1" error="XLBVal:6=5953.24_x000d__x000a_" sqref="V18">
      <formula1>0</formula1>
      <formula2>300</formula2>
    </dataValidation>
    <dataValidation type="textLength" errorStyle="information" allowBlank="1" showInputMessage="1" showErrorMessage="1" error="XLBVal:6=3978.72_x000d__x000a_" sqref="T18">
      <formula1>0</formula1>
      <formula2>300</formula2>
    </dataValidation>
    <dataValidation type="textLength" errorStyle="information" allowBlank="1" showInputMessage="1" showErrorMessage="1" error="XLBVal:6=9229.15_x000d__x000a_" sqref="S18">
      <formula1>0</formula1>
      <formula2>300</formula2>
    </dataValidation>
    <dataValidation type="textLength" errorStyle="information" allowBlank="1" showInputMessage="1" showErrorMessage="1" error="XLBVal:6=6037.55_x000d__x000a_" sqref="R18">
      <formula1>0</formula1>
      <formula2>300</formula2>
    </dataValidation>
    <dataValidation type="textLength" errorStyle="information" allowBlank="1" showInputMessage="1" showErrorMessage="1" error="XLBVal:6=7564.5_x000d__x000a_" sqref="W14">
      <formula1>0</formula1>
      <formula2>300</formula2>
    </dataValidation>
    <dataValidation type="textLength" errorStyle="information" allowBlank="1" showInputMessage="1" showErrorMessage="1" error="XLBVal:6=9770.5_x000d__x000a_" sqref="V14">
      <formula1>0</formula1>
      <formula2>300</formula2>
    </dataValidation>
    <dataValidation type="textLength" errorStyle="information" allowBlank="1" showInputMessage="1" showErrorMessage="1" error="XLBVal:6=8853.7_x000d__x000a_" sqref="T14">
      <formula1>0</formula1>
      <formula2>300</formula2>
    </dataValidation>
    <dataValidation type="textLength" errorStyle="information" allowBlank="1" showInputMessage="1" showErrorMessage="1" error="XLBVal:6=19685.37_x000d__x000a_" sqref="S14">
      <formula1>0</formula1>
      <formula2>300</formula2>
    </dataValidation>
    <dataValidation type="textLength" errorStyle="information" allowBlank="1" showInputMessage="1" showErrorMessage="1" error="XLBVal:6=11240.9_x000d__x000a_" sqref="R14">
      <formula1>0</formula1>
      <formula2>300</formula2>
    </dataValidation>
    <dataValidation type="textLength" errorStyle="information" allowBlank="1" showInputMessage="1" showErrorMessage="1" error="XLBVal:6=70473.64_x000d__x000a_" sqref="W10">
      <formula1>0</formula1>
      <formula2>300</formula2>
    </dataValidation>
    <dataValidation type="textLength" errorStyle="information" allowBlank="1" showInputMessage="1" showErrorMessage="1" error="XLBVal:6=93103.47_x000d__x000a_" sqref="V10">
      <formula1>0</formula1>
      <formula2>300</formula2>
    </dataValidation>
    <dataValidation type="textLength" errorStyle="information" allowBlank="1" showInputMessage="1" showErrorMessage="1" error="XLBVal:6=88236.06_x000d__x000a_" sqref="U10">
      <formula1>0</formula1>
      <formula2>300</formula2>
    </dataValidation>
    <dataValidation type="textLength" errorStyle="information" allowBlank="1" showInputMessage="1" showErrorMessage="1" error="XLBVal:6=91846.1_x000d__x000a_" sqref="T10">
      <formula1>0</formula1>
      <formula2>300</formula2>
    </dataValidation>
    <dataValidation type="textLength" errorStyle="information" allowBlank="1" showInputMessage="1" showErrorMessage="1" error="XLBVal:6=186615.36_x000d__x000a_" sqref="S10">
      <formula1>0</formula1>
      <formula2>300</formula2>
    </dataValidation>
    <dataValidation type="textLength" errorStyle="information" allowBlank="1" showInputMessage="1" showErrorMessage="1" error="XLBVal:6=126431.4_x000d__x000a_" sqref="R10">
      <formula1>0</formula1>
      <formula2>300</formula2>
    </dataValidation>
    <dataValidation type="textLength" errorStyle="information" allowBlank="1" showInputMessage="1" showErrorMessage="1" error="XLBVal:6=2863_x000d__x000a_" sqref="R65:W65">
      <formula1>0</formula1>
      <formula2>300</formula2>
    </dataValidation>
    <dataValidation type="textLength" errorStyle="information" allowBlank="1" showInputMessage="1" showErrorMessage="1" error="XLBVal:6=68.73_x000d__x000a_" sqref="R63:W63">
      <formula1>0</formula1>
      <formula2>300</formula2>
    </dataValidation>
    <dataValidation type="textLength" errorStyle="information" allowBlank="1" showInputMessage="1" showErrorMessage="1" error="XLBVal:6=286.4_x000d__x000a_" sqref="R62:W62">
      <formula1>0</formula1>
      <formula2>300</formula2>
    </dataValidation>
    <dataValidation type="textLength" errorStyle="information" allowBlank="1" showInputMessage="1" showErrorMessage="1" error="XLBVal:6=4868.7_x000d__x000a_" sqref="R61:W61">
      <formula1>0</formula1>
      <formula2>300</formula2>
    </dataValidation>
    <dataValidation type="textLength" errorStyle="information" allowBlank="1" showInputMessage="1" showErrorMessage="1" error="XLBVal:6=9164.63_x000d__x000a_" sqref="R60:W60">
      <formula1>0</formula1>
      <formula2>300</formula2>
    </dataValidation>
    <dataValidation type="textLength" errorStyle="information" allowBlank="1" showInputMessage="1" showErrorMessage="1" error="XLBVal:6=3550_x000d__x000a_" sqref="R55:W55">
      <formula1>0</formula1>
      <formula2>300</formula2>
    </dataValidation>
    <dataValidation type="textLength" errorStyle="information" allowBlank="1" showInputMessage="1" showErrorMessage="1" error="XLBVal:6=86.9_x000d__x000a_" sqref="V40">
      <formula1>0</formula1>
      <formula2>300</formula2>
    </dataValidation>
    <dataValidation type="textLength" errorStyle="information" allowBlank="1" showInputMessage="1" showErrorMessage="1" error="XLBVal:6=22258.47_x000d__x000a_" sqref="W26">
      <formula1>0</formula1>
      <formula2>300</formula2>
    </dataValidation>
    <dataValidation type="textLength" errorStyle="information" allowBlank="1" showInputMessage="1" showErrorMessage="1" error="XLBVal:6=7133.12_x000d__x000a_" sqref="S54">
      <formula1>0</formula1>
      <formula2>300</formula2>
    </dataValidation>
    <dataValidation type="textLength" errorStyle="information" allowBlank="1" showInputMessage="1" showErrorMessage="1" error="XLBVal:6=991.38_x000d__x000a_" sqref="R19">
      <formula1>0</formula1>
      <formula2>300</formula2>
    </dataValidation>
    <dataValidation type="textLength" errorStyle="information" allowBlank="1" showInputMessage="1" showErrorMessage="1" error="XLBVal:6=22979_x000d__x000a_" sqref="X14">
      <formula1>0</formula1>
      <formula2>300</formula2>
    </dataValidation>
    <dataValidation type="textLength" errorStyle="information" allowBlank="1" showInputMessage="1" showErrorMessage="1" error="XLBVal:6=229984.88_x000d__x000a_" sqref="X10">
      <formula1>0</formula1>
      <formula2>300</formula2>
    </dataValidation>
    <dataValidation type="textLength" errorStyle="information" allowBlank="1" showInputMessage="1" showErrorMessage="1" error="XLBVal:6=7176.15_x000d__x000a_" sqref="T54">
      <formula1>0</formula1>
      <formula2>300</formula2>
    </dataValidation>
    <dataValidation type="textLength" errorStyle="information" allowBlank="1" showInputMessage="1" showErrorMessage="1" error="XLBVal:6=346.19_x000d__x000a_" sqref="S38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5626.64_x000d__x000a_" sqref="W76">
      <formula1>0</formula1>
      <formula2>300</formula2>
    </dataValidation>
    <dataValidation type="textLength" errorStyle="information" allowBlank="1" showInputMessage="1" showErrorMessage="1" error="XLBVal:6=4968.39_x000d__x000a_" sqref="V76">
      <formula1>0</formula1>
      <formula2>300</formula2>
    </dataValidation>
    <dataValidation type="textLength" errorStyle="information" allowBlank="1" showInputMessage="1" showErrorMessage="1" error="XLBVal:6=6720.14_x000d__x000a_" sqref="U76">
      <formula1>0</formula1>
      <formula2>300</formula2>
    </dataValidation>
    <dataValidation type="textLength" errorStyle="information" allowBlank="1" showInputMessage="1" showErrorMessage="1" error="XLBVal:6=7127.12_x000d__x000a_" sqref="T76">
      <formula1>0</formula1>
      <formula2>300</formula2>
    </dataValidation>
    <dataValidation type="textLength" errorStyle="information" allowBlank="1" showInputMessage="1" showErrorMessage="1" error="XLBVal:6=7292.37_x000d__x000a_" sqref="S76">
      <formula1>0</formula1>
      <formula2>300</formula2>
    </dataValidation>
    <dataValidation type="textLength" errorStyle="information" allowBlank="1" showInputMessage="1" showErrorMessage="1" error="XLBVal:6=5898.76_x000d__x000a_" sqref="R76">
      <formula1>0</formula1>
      <formula2>300</formula2>
    </dataValidation>
    <dataValidation type="textLength" errorStyle="information" allowBlank="1" showInputMessage="1" showErrorMessage="1" error="XLBVal:6=1946.79_x000d__x000a_" sqref="W75">
      <formula1>0</formula1>
      <formula2>300</formula2>
    </dataValidation>
    <dataValidation type="textLength" errorStyle="information" allowBlank="1" showInputMessage="1" showErrorMessage="1" error="XLBVal:6=1976.97_x000d__x000a_" sqref="V75">
      <formula1>0</formula1>
      <formula2>300</formula2>
    </dataValidation>
    <dataValidation type="textLength" errorStyle="information" allowBlank="1" showInputMessage="1" showErrorMessage="1" error="XLBVal:6=1813.18_x000d__x000a_" sqref="U75">
      <formula1>0</formula1>
      <formula2>300</formula2>
    </dataValidation>
    <dataValidation type="textLength" errorStyle="information" allowBlank="1" showInputMessage="1" showErrorMessage="1" error="XLBVal:6=1569.93_x000d__x000a_" sqref="T75">
      <formula1>0</formula1>
      <formula2>300</formula2>
    </dataValidation>
    <dataValidation type="textLength" errorStyle="information" allowBlank="1" showInputMessage="1" showErrorMessage="1" error="XLBVal:6=2200.12_x000d__x000a_" sqref="S75">
      <formula1>0</formula1>
      <formula2>300</formula2>
    </dataValidation>
    <dataValidation type="textLength" errorStyle="information" allowBlank="1" showInputMessage="1" showErrorMessage="1" error="XLBVal:6=1403.74_x000d__x000a_" sqref="R75">
      <formula1>0</formula1>
      <formula2>300</formula2>
    </dataValidation>
    <dataValidation type="textLength" errorStyle="information" allowBlank="1" showInputMessage="1" showErrorMessage="1" error="XLBVal:6=118.56_x000d__x000a_" sqref="W74">
      <formula1>0</formula1>
      <formula2>300</formula2>
    </dataValidation>
    <dataValidation type="textLength" errorStyle="information" allowBlank="1" showInputMessage="1" showErrorMessage="1" error="XLBVal:6=118.04_x000d__x000a_" sqref="V74">
      <formula1>0</formula1>
      <formula2>300</formula2>
    </dataValidation>
    <dataValidation type="textLength" errorStyle="information" allowBlank="1" showInputMessage="1" showErrorMessage="1" error="XLBVal:6=113.11_x000d__x000a_" sqref="R74 T74:U74">
      <formula1>0</formula1>
      <formula2>300</formula2>
    </dataValidation>
    <dataValidation type="textLength" errorStyle="information" allowBlank="1" showInputMessage="1" showErrorMessage="1" error="XLBVal:6=114.06_x000d__x000a_" sqref="S74">
      <formula1>0</formula1>
      <formula2>300</formula2>
    </dataValidation>
    <dataValidation type="textLength" errorStyle="information" allowBlank="1" showInputMessage="1" showErrorMessage="1" error="XLBVal:6=132_x000d__x000a_" sqref="W73 U73">
      <formula1>0</formula1>
      <formula2>300</formula2>
    </dataValidation>
    <dataValidation type="textLength" errorStyle="information" allowBlank="1" showInputMessage="1" showErrorMessage="1" error="XLBVal:6=127_x000d__x000a_" sqref="S73">
      <formula1>0</formula1>
      <formula2>300</formula2>
    </dataValidation>
    <dataValidation type="textLength" errorStyle="information" allowBlank="1" showInputMessage="1" showErrorMessage="1" error="XLBVal:6=133_x000d__x000a_" sqref="R73">
      <formula1>0</formula1>
      <formula2>300</formula2>
    </dataValidation>
    <dataValidation type="textLength" errorStyle="information" allowBlank="1" showInputMessage="1" showErrorMessage="1" error="XLBVal:6=9327.5_x000d__x000a_" sqref="W57">
      <formula1>0</formula1>
      <formula2>300</formula2>
    </dataValidation>
    <dataValidation type="textLength" errorStyle="information" allowBlank="1" showInputMessage="1" showErrorMessage="1" error="XLBVal:6=16738.7_x000d__x000a_" sqref="V57">
      <formula1>0</formula1>
      <formula2>300</formula2>
    </dataValidation>
    <dataValidation type="textLength" errorStyle="information" allowBlank="1" showInputMessage="1" showErrorMessage="1" error="XLBVal:6=16119.8_x000d__x000a_" sqref="U57">
      <formula1>0</formula1>
      <formula2>300</formula2>
    </dataValidation>
    <dataValidation type="textLength" errorStyle="information" allowBlank="1" showInputMessage="1" showErrorMessage="1" error="XLBVal:6=6129.2_x000d__x000a_" sqref="T57">
      <formula1>0</formula1>
      <formula2>300</formula2>
    </dataValidation>
    <dataValidation type="textLength" errorStyle="information" allowBlank="1" showInputMessage="1" showErrorMessage="1" error="XLBVal:6=32665.78_x000d__x000a_" sqref="S57">
      <formula1>0</formula1>
      <formula2>300</formula2>
    </dataValidation>
    <dataValidation type="textLength" errorStyle="information" allowBlank="1" showInputMessage="1" showErrorMessage="1" error="XLBVal:6=16607.2_x000d__x000a_" sqref="V50">
      <formula1>0</formula1>
      <formula2>300</formula2>
    </dataValidation>
    <dataValidation type="textLength" errorStyle="information" allowBlank="1" showInputMessage="1" showErrorMessage="1" error="XLBVal:6=17600_x000d__x000a_" sqref="W50 R50:U50">
      <formula1>0</formula1>
      <formula2>300</formula2>
    </dataValidation>
    <dataValidation type="textLength" errorStyle="information" allowBlank="1" showInputMessage="1" showErrorMessage="1" error="XLBVal:6=11000_x000d__x000a_" sqref="R49:W49">
      <formula1>0</formula1>
      <formula2>300</formula2>
    </dataValidation>
    <dataValidation type="textLength" errorStyle="information" allowBlank="1" showInputMessage="1" showErrorMessage="1" error="XLBVal:6=1776.13_x000d__x000a_" sqref="W39">
      <formula1>0</formula1>
      <formula2>300</formula2>
    </dataValidation>
    <dataValidation type="textLength" errorStyle="information" allowBlank="1" showInputMessage="1" showErrorMessage="1" error="XLBVal:6=554.26_x000d__x000a_" sqref="V39">
      <formula1>0</formula1>
      <formula2>300</formula2>
    </dataValidation>
    <dataValidation type="textLength" errorStyle="information" allowBlank="1" showInputMessage="1" showErrorMessage="1" error="XLBVal:6=1320.1_x000d__x000a_" sqref="U39">
      <formula1>0</formula1>
      <formula2>300</formula2>
    </dataValidation>
    <dataValidation type="textLength" errorStyle="information" allowBlank="1" showInputMessage="1" showErrorMessage="1" error="XLBVal:6=1468.79_x000d__x000a_" sqref="T39">
      <formula1>0</formula1>
      <formula2>300</formula2>
    </dataValidation>
    <dataValidation type="textLength" errorStyle="information" allowBlank="1" showInputMessage="1" showErrorMessage="1" error="XLBVal:6=2544.78_x000d__x000a_" sqref="S39">
      <formula1>0</formula1>
      <formula2>300</formula2>
    </dataValidation>
    <dataValidation type="textLength" errorStyle="information" allowBlank="1" showInputMessage="1" showErrorMessage="1" error="XLBVal:6=2274.59_x000d__x000a_" sqref="R39">
      <formula1>0</formula1>
      <formula2>300</formula2>
    </dataValidation>
    <dataValidation type="textLength" errorStyle="information" allowBlank="1" showInputMessage="1" showErrorMessage="1" error="XLBVal:6=1336.43_x000d__x000a_" sqref="W38">
      <formula1>0</formula1>
      <formula2>300</formula2>
    </dataValidation>
    <dataValidation type="textLength" errorStyle="information" allowBlank="1" showInputMessage="1" showErrorMessage="1" error="XLBVal:6=114.36_x000d__x000a_" sqref="R36:U36">
      <formula1>0</formula1>
      <formula2>300</formula2>
    </dataValidation>
    <dataValidation type="textLength" errorStyle="information" allowBlank="1" showInputMessage="1" showErrorMessage="1" error="XLBVal:6=109.09_x000d__x000a_" sqref="U38">
      <formula1>0</formula1>
      <formula2>300</formula2>
    </dataValidation>
    <dataValidation type="textLength" errorStyle="information" allowBlank="1" showInputMessage="1" showErrorMessage="1" error="XLBVal:6=11272.95_x000d__x000a_" sqref="E18:P19 E40:P43 E25:P25 E27:P38">
      <formula1>0</formula1>
      <formula2>300</formula2>
    </dataValidation>
    <dataValidation type="textLength" errorStyle="information" allowBlank="1" showInputMessage="1" showErrorMessage="1" error="XLBVal:6=6_x000d__x000a_" sqref="R82:W82">
      <formula1>0</formula1>
      <formula2>300</formula2>
    </dataValidation>
    <dataValidation type="textLength" errorStyle="information" allowBlank="1" showInputMessage="1" showErrorMessage="1" error="XLBVal:6=136_x000d__x000a_" sqref="T73 V73">
      <formula1>0</formula1>
      <formula2>300</formula2>
    </dataValidation>
    <dataValidation type="textLength" errorStyle="information" allowBlank="1" showInputMessage="1" showErrorMessage="1" error="XLBVal:2=0_x000d__x000a_" sqref="E9:P9 Z10 G10:P13 Z14 T53 X53:AC55 R37:AC37 X82:AC82 E77:J78 E14:P14 X34:AC36 X38:AC40 R64:AC64 E11:F13 V35:W35 R70:W72 R33:AC33 R9:AC9 X18:AC19 X65:AC66 R77:W78 T38 R56:AC56 X49:AC50 X57:AC57 R31 T31 X25:AC32 R67:AC67 X60:AC63 X70:AC78 T43:V43 R28 R27:W27 V19 R11:AC13 W42:AC43 V32:W32 R41:AC41 V38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AH84"/>
  <sheetViews>
    <sheetView view="pageBreakPreview" topLeftCell="D1" zoomScaleNormal="100" zoomScaleSheetLayoutView="100" workbookViewId="0">
      <pane xSplit="2" ySplit="7" topLeftCell="L11" activePane="bottomRight" state="frozen"/>
      <selection activeCell="AP43" sqref="AP43"/>
      <selection pane="topRight" activeCell="AP43" sqref="AP43"/>
      <selection pane="bottomLeft" activeCell="AP43" sqref="AP43"/>
      <selection pane="bottomRight" activeCell="P64" sqref="P64"/>
    </sheetView>
  </sheetViews>
  <sheetFormatPr defaultColWidth="9" defaultRowHeight="14.25" outlineLevelCol="2"/>
  <cols>
    <col min="1" max="3" width="9" style="105" hidden="1" customWidth="1" outlineLevel="1"/>
    <col min="4" max="4" width="49.625" style="105" customWidth="1" collapsed="1"/>
    <col min="5" max="16" width="15.75" style="72" bestFit="1" customWidth="1"/>
    <col min="17" max="17" width="17" style="127" bestFit="1" customWidth="1"/>
    <col min="18" max="24" width="18.375" style="72" hidden="1" customWidth="1" outlineLevel="1"/>
    <col min="25" max="29" width="18.25" style="72" hidden="1" customWidth="1" outlineLevel="2"/>
    <col min="30" max="30" width="13.25" style="127" customWidth="1" collapsed="1"/>
    <col min="31" max="31" width="15" style="72" bestFit="1" customWidth="1"/>
    <col min="32" max="32" width="10.5" style="105" customWidth="1"/>
    <col min="33" max="33" width="17" style="109" hidden="1" customWidth="1"/>
    <col min="34" max="34" width="13.875" style="175" hidden="1" customWidth="1"/>
    <col min="35" max="16384" width="9" style="105"/>
  </cols>
  <sheetData>
    <row r="1" spans="1:34" s="100" customFormat="1">
      <c r="A1" s="100" t="s">
        <v>118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  <c r="AH1" s="260"/>
    </row>
    <row r="2" spans="1:34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  <c r="AH2" s="260"/>
    </row>
    <row r="3" spans="1:34">
      <c r="D3" s="105" t="s">
        <v>736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</row>
    <row r="4" spans="1:34" s="100" customFormat="1" ht="18">
      <c r="C4" s="18">
        <f>+'2025 Summay'!$D$7</f>
        <v>2025</v>
      </c>
      <c r="D4" s="18">
        <f>+'2025 Summay'!$D$7</f>
        <v>2025</v>
      </c>
      <c r="E4" s="155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83"/>
      <c r="Z4" s="183"/>
      <c r="AA4" s="183"/>
      <c r="AB4" s="183"/>
      <c r="AC4" s="183"/>
      <c r="AD4" s="172"/>
      <c r="AE4" s="101"/>
      <c r="AG4" s="103"/>
      <c r="AH4" s="260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83"/>
      <c r="Z5" s="183"/>
      <c r="AA5" s="183"/>
      <c r="AB5" s="183"/>
      <c r="AC5" s="183"/>
      <c r="AD5" s="172"/>
      <c r="AE5" s="101"/>
      <c r="AG5" s="103"/>
      <c r="AH5" s="260"/>
    </row>
    <row r="6" spans="1:34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  <c r="AH6" s="260"/>
    </row>
    <row r="7" spans="1:34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4">
      <c r="D8" s="105" t="s">
        <v>682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AG8" s="129"/>
    </row>
    <row r="9" spans="1:34">
      <c r="A9" s="105" t="s">
        <v>737</v>
      </c>
      <c r="B9" s="105" t="s">
        <v>647</v>
      </c>
      <c r="C9" s="105" t="s">
        <v>738</v>
      </c>
      <c r="D9" s="105" t="s">
        <v>674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7">
        <f>SUM(E9:P9)</f>
        <v>0</v>
      </c>
      <c r="R9" s="72">
        <v>12.49</v>
      </c>
      <c r="S9" s="72">
        <v>5.25</v>
      </c>
      <c r="T9" s="72">
        <v>5.59</v>
      </c>
      <c r="U9" s="72">
        <v>4.5599999999999996</v>
      </c>
      <c r="V9" s="72">
        <v>2.46</v>
      </c>
      <c r="W9" s="72">
        <v>6.62</v>
      </c>
      <c r="X9" s="72">
        <v>77.37</v>
      </c>
      <c r="Y9" s="72">
        <v>7.84</v>
      </c>
      <c r="Z9" s="72">
        <v>0</v>
      </c>
      <c r="AA9" s="72">
        <v>0</v>
      </c>
      <c r="AB9" s="72">
        <v>0</v>
      </c>
      <c r="AC9" s="72">
        <v>0</v>
      </c>
      <c r="AD9" s="127">
        <f>SUM(R9:AC9)</f>
        <v>122.18</v>
      </c>
      <c r="AE9" s="72">
        <f>Q9-AD9</f>
        <v>-122.18</v>
      </c>
      <c r="AG9" s="129">
        <v>184.73999999999998</v>
      </c>
    </row>
    <row r="10" spans="1:34">
      <c r="A10" s="105" t="s">
        <v>737</v>
      </c>
      <c r="B10" s="105" t="s">
        <v>647</v>
      </c>
      <c r="C10" s="105" t="s">
        <v>739</v>
      </c>
      <c r="D10" s="105" t="s">
        <v>675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7">
        <f>SUM(E10:P10)</f>
        <v>0</v>
      </c>
      <c r="R10" s="72">
        <v>41.84</v>
      </c>
      <c r="S10" s="72">
        <v>3.88</v>
      </c>
      <c r="T10" s="72">
        <v>-5.42</v>
      </c>
      <c r="U10" s="72">
        <v>-4.5599999999999996</v>
      </c>
      <c r="V10" s="72">
        <v>1.25</v>
      </c>
      <c r="W10" s="72">
        <v>-7.01</v>
      </c>
      <c r="X10" s="72">
        <v>338.88</v>
      </c>
      <c r="Y10" s="72">
        <v>-3.2</v>
      </c>
      <c r="Z10" s="72">
        <v>0</v>
      </c>
      <c r="AA10" s="72">
        <v>0</v>
      </c>
      <c r="AB10" s="72">
        <v>0</v>
      </c>
      <c r="AC10" s="72">
        <v>0</v>
      </c>
      <c r="AD10" s="127">
        <f>SUM(R10:AC10)</f>
        <v>365.66</v>
      </c>
      <c r="AE10" s="72">
        <f>Q10-AD10</f>
        <v>-365.66</v>
      </c>
      <c r="AF10" s="192">
        <f>AE10/AD10</f>
        <v>-1</v>
      </c>
      <c r="AG10" s="129">
        <v>1203.3499999999999</v>
      </c>
      <c r="AH10" s="251">
        <f>Q10-AG10</f>
        <v>-1203.3499999999999</v>
      </c>
    </row>
    <row r="11" spans="1:34">
      <c r="D11" s="109" t="s">
        <v>500</v>
      </c>
      <c r="E11" s="117">
        <f t="shared" ref="E11:AE11" si="0">SUM(E9:E10)</f>
        <v>0</v>
      </c>
      <c r="F11" s="117">
        <f t="shared" si="0"/>
        <v>0</v>
      </c>
      <c r="G11" s="117">
        <f t="shared" si="0"/>
        <v>0</v>
      </c>
      <c r="H11" s="117">
        <f t="shared" si="0"/>
        <v>0</v>
      </c>
      <c r="I11" s="117">
        <f t="shared" si="0"/>
        <v>0</v>
      </c>
      <c r="J11" s="117">
        <f t="shared" si="0"/>
        <v>0</v>
      </c>
      <c r="K11" s="117">
        <f t="shared" si="0"/>
        <v>0</v>
      </c>
      <c r="L11" s="117">
        <f t="shared" si="0"/>
        <v>0</v>
      </c>
      <c r="M11" s="117">
        <f t="shared" si="0"/>
        <v>0</v>
      </c>
      <c r="N11" s="117">
        <f t="shared" si="0"/>
        <v>0</v>
      </c>
      <c r="O11" s="117">
        <f t="shared" si="0"/>
        <v>0</v>
      </c>
      <c r="P11" s="117">
        <f t="shared" si="0"/>
        <v>0</v>
      </c>
      <c r="Q11" s="117">
        <f t="shared" si="0"/>
        <v>0</v>
      </c>
      <c r="R11" s="127">
        <f t="shared" si="0"/>
        <v>54.330000000000005</v>
      </c>
      <c r="S11" s="127">
        <f t="shared" si="0"/>
        <v>9.129999999999999</v>
      </c>
      <c r="T11" s="127">
        <f t="shared" si="0"/>
        <v>0.16999999999999993</v>
      </c>
      <c r="U11" s="127">
        <f t="shared" si="0"/>
        <v>0</v>
      </c>
      <c r="V11" s="127">
        <f t="shared" si="0"/>
        <v>3.71</v>
      </c>
      <c r="W11" s="127">
        <f t="shared" si="0"/>
        <v>-0.38999999999999968</v>
      </c>
      <c r="X11" s="127">
        <f t="shared" si="0"/>
        <v>416.25</v>
      </c>
      <c r="Y11" s="127">
        <f t="shared" si="0"/>
        <v>4.6399999999999997</v>
      </c>
      <c r="Z11" s="127">
        <f t="shared" si="0"/>
        <v>0</v>
      </c>
      <c r="AA11" s="127">
        <f t="shared" si="0"/>
        <v>0</v>
      </c>
      <c r="AB11" s="127">
        <f t="shared" si="0"/>
        <v>0</v>
      </c>
      <c r="AC11" s="127">
        <f t="shared" si="0"/>
        <v>0</v>
      </c>
      <c r="AD11" s="127">
        <f t="shared" si="0"/>
        <v>487.84000000000003</v>
      </c>
      <c r="AE11" s="127">
        <f t="shared" si="0"/>
        <v>-487.84000000000003</v>
      </c>
      <c r="AF11" s="192">
        <f t="shared" ref="AF11:AF73" si="1">AE11/AD11</f>
        <v>-1</v>
      </c>
      <c r="AG11" s="129">
        <v>1388.09</v>
      </c>
    </row>
    <row r="12" spans="1:34">
      <c r="D12" s="105" t="s">
        <v>154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7"/>
      <c r="AF12" s="192"/>
      <c r="AG12" s="129"/>
    </row>
    <row r="13" spans="1:34">
      <c r="D13" s="105" t="s">
        <v>671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7"/>
      <c r="AF13" s="192"/>
      <c r="AG13" s="129"/>
    </row>
    <row r="14" spans="1:34">
      <c r="A14" s="105" t="s">
        <v>731</v>
      </c>
      <c r="B14" s="105" t="s">
        <v>647</v>
      </c>
      <c r="C14" s="105" t="s">
        <v>738</v>
      </c>
      <c r="D14" s="105" t="s">
        <v>674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>
        <f>SUM(E14:P14)</f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  <c r="Z14" s="72">
        <v>0</v>
      </c>
      <c r="AA14" s="72">
        <v>0</v>
      </c>
      <c r="AB14" s="72">
        <v>0</v>
      </c>
      <c r="AC14" s="72">
        <v>0</v>
      </c>
      <c r="AD14" s="127">
        <f>SUM(R14:AC14)</f>
        <v>0</v>
      </c>
      <c r="AE14" s="72">
        <f>AD14-Q14</f>
        <v>0</v>
      </c>
      <c r="AF14" s="192" t="e">
        <f t="shared" si="1"/>
        <v>#DIV/0!</v>
      </c>
      <c r="AG14" s="129">
        <v>0</v>
      </c>
    </row>
    <row r="15" spans="1:34">
      <c r="A15" s="105" t="s">
        <v>731</v>
      </c>
      <c r="B15" s="105" t="s">
        <v>647</v>
      </c>
      <c r="C15" s="105" t="s">
        <v>739</v>
      </c>
      <c r="D15" s="105" t="s">
        <v>675</v>
      </c>
      <c r="E15" s="116">
        <v>9203</v>
      </c>
      <c r="F15" s="116">
        <v>9203</v>
      </c>
      <c r="G15" s="116">
        <v>9203</v>
      </c>
      <c r="H15" s="116">
        <v>9203</v>
      </c>
      <c r="I15" s="116">
        <v>9203</v>
      </c>
      <c r="J15" s="116">
        <v>9203</v>
      </c>
      <c r="K15" s="116">
        <v>9203</v>
      </c>
      <c r="L15" s="116">
        <v>9203</v>
      </c>
      <c r="M15" s="116">
        <v>9203</v>
      </c>
      <c r="N15" s="116">
        <v>9203</v>
      </c>
      <c r="O15" s="116">
        <v>9203</v>
      </c>
      <c r="P15" s="116">
        <v>9203</v>
      </c>
      <c r="Q15" s="117">
        <f>SUM(E15:P15)</f>
        <v>110436</v>
      </c>
      <c r="R15" s="72">
        <v>9313.11</v>
      </c>
      <c r="S15" s="72">
        <v>6947.72</v>
      </c>
      <c r="T15" s="72">
        <v>8093.62</v>
      </c>
      <c r="U15" s="72">
        <v>10645.09</v>
      </c>
      <c r="V15" s="72">
        <v>10342.35</v>
      </c>
      <c r="W15" s="72">
        <v>9576.27</v>
      </c>
      <c r="X15" s="72">
        <v>9961.44</v>
      </c>
      <c r="Y15" s="72">
        <v>5837.23</v>
      </c>
      <c r="Z15" s="72">
        <v>9500</v>
      </c>
      <c r="AA15" s="72">
        <v>9500</v>
      </c>
      <c r="AB15" s="72">
        <v>9500</v>
      </c>
      <c r="AC15" s="72">
        <v>9500</v>
      </c>
      <c r="AD15" s="127">
        <f>SUM(R15:AC15)</f>
        <v>108716.83</v>
      </c>
      <c r="AE15" s="72">
        <f>AD15-Q15</f>
        <v>-1719.1699999999983</v>
      </c>
      <c r="AF15" s="192">
        <f t="shared" si="1"/>
        <v>-1.5813283003192773E-2</v>
      </c>
      <c r="AG15" s="129">
        <v>115821.76999999999</v>
      </c>
      <c r="AH15" s="251">
        <f t="shared" ref="AH15:AH77" si="2">AG15-Q15</f>
        <v>5385.7699999999895</v>
      </c>
    </row>
    <row r="16" spans="1:34">
      <c r="D16" s="109" t="s">
        <v>676</v>
      </c>
      <c r="E16" s="117">
        <f t="shared" ref="E16:AE16" si="3">SUM(E14:E15)</f>
        <v>9203</v>
      </c>
      <c r="F16" s="117">
        <f t="shared" si="3"/>
        <v>9203</v>
      </c>
      <c r="G16" s="117">
        <f t="shared" si="3"/>
        <v>9203</v>
      </c>
      <c r="H16" s="117">
        <f t="shared" si="3"/>
        <v>9203</v>
      </c>
      <c r="I16" s="117">
        <f t="shared" si="3"/>
        <v>9203</v>
      </c>
      <c r="J16" s="117">
        <f t="shared" si="3"/>
        <v>9203</v>
      </c>
      <c r="K16" s="117">
        <f t="shared" si="3"/>
        <v>9203</v>
      </c>
      <c r="L16" s="117">
        <f t="shared" si="3"/>
        <v>9203</v>
      </c>
      <c r="M16" s="117">
        <f t="shared" si="3"/>
        <v>9203</v>
      </c>
      <c r="N16" s="117">
        <f t="shared" si="3"/>
        <v>9203</v>
      </c>
      <c r="O16" s="117">
        <f t="shared" si="3"/>
        <v>9203</v>
      </c>
      <c r="P16" s="117">
        <f t="shared" si="3"/>
        <v>9203</v>
      </c>
      <c r="Q16" s="117">
        <f t="shared" si="3"/>
        <v>110436</v>
      </c>
      <c r="R16" s="127">
        <f t="shared" si="3"/>
        <v>9313.11</v>
      </c>
      <c r="S16" s="127">
        <f t="shared" si="3"/>
        <v>6947.72</v>
      </c>
      <c r="T16" s="127">
        <f t="shared" si="3"/>
        <v>8093.62</v>
      </c>
      <c r="U16" s="127">
        <f t="shared" si="3"/>
        <v>10645.09</v>
      </c>
      <c r="V16" s="127">
        <f t="shared" si="3"/>
        <v>10342.35</v>
      </c>
      <c r="W16" s="127">
        <f t="shared" si="3"/>
        <v>9576.27</v>
      </c>
      <c r="X16" s="127">
        <f t="shared" si="3"/>
        <v>9961.44</v>
      </c>
      <c r="Y16" s="127">
        <f t="shared" si="3"/>
        <v>5837.23</v>
      </c>
      <c r="Z16" s="127">
        <f t="shared" si="3"/>
        <v>9500</v>
      </c>
      <c r="AA16" s="127">
        <f t="shared" si="3"/>
        <v>9500</v>
      </c>
      <c r="AB16" s="127">
        <f t="shared" si="3"/>
        <v>9500</v>
      </c>
      <c r="AC16" s="127">
        <f t="shared" si="3"/>
        <v>9500</v>
      </c>
      <c r="AD16" s="127">
        <f t="shared" si="3"/>
        <v>108716.83</v>
      </c>
      <c r="AE16" s="127">
        <f t="shared" si="3"/>
        <v>-1719.1699999999983</v>
      </c>
      <c r="AF16" s="192">
        <f t="shared" si="1"/>
        <v>-1.5813283003192773E-2</v>
      </c>
      <c r="AG16" s="129">
        <v>115821.76999999999</v>
      </c>
      <c r="AH16" s="251">
        <f t="shared" si="2"/>
        <v>5385.7699999999895</v>
      </c>
    </row>
    <row r="17" spans="1:34"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/>
      <c r="AF17" s="192"/>
      <c r="AG17" s="129"/>
      <c r="AH17" s="251">
        <f t="shared" si="2"/>
        <v>0</v>
      </c>
    </row>
    <row r="18" spans="1:34" s="109" customFormat="1">
      <c r="D18" s="109" t="s">
        <v>289</v>
      </c>
      <c r="E18" s="117">
        <f t="shared" ref="E18:P18" si="4">E75</f>
        <v>28965.34</v>
      </c>
      <c r="F18" s="117">
        <f t="shared" si="4"/>
        <v>23934.239999999998</v>
      </c>
      <c r="G18" s="117">
        <f t="shared" si="4"/>
        <v>24284.68</v>
      </c>
      <c r="H18" s="117">
        <f t="shared" si="4"/>
        <v>25994.269999999997</v>
      </c>
      <c r="I18" s="117">
        <f t="shared" si="4"/>
        <v>26591.94</v>
      </c>
      <c r="J18" s="117">
        <f t="shared" si="4"/>
        <v>25198.720000000001</v>
      </c>
      <c r="K18" s="117">
        <f t="shared" si="4"/>
        <v>25373.530000000002</v>
      </c>
      <c r="L18" s="117">
        <f t="shared" si="4"/>
        <v>25249.640000000003</v>
      </c>
      <c r="M18" s="117">
        <f t="shared" si="4"/>
        <v>25271.640000000003</v>
      </c>
      <c r="N18" s="117">
        <f t="shared" si="4"/>
        <v>29643.13</v>
      </c>
      <c r="O18" s="117">
        <f t="shared" si="4"/>
        <v>25372.020000000004</v>
      </c>
      <c r="P18" s="117">
        <f t="shared" si="4"/>
        <v>25248.130000000005</v>
      </c>
      <c r="Q18" s="117">
        <f>SUM(E18:P18)</f>
        <v>311127.28000000003</v>
      </c>
      <c r="R18" s="127">
        <f t="shared" ref="R18:AC18" si="5">R75</f>
        <v>27519.95</v>
      </c>
      <c r="S18" s="127">
        <f t="shared" si="5"/>
        <v>29845.96</v>
      </c>
      <c r="T18" s="127">
        <f t="shared" si="5"/>
        <v>25467.899999999998</v>
      </c>
      <c r="U18" s="127">
        <f t="shared" si="5"/>
        <v>26053.199999999997</v>
      </c>
      <c r="V18" s="127">
        <f t="shared" si="5"/>
        <v>24514.59</v>
      </c>
      <c r="W18" s="127">
        <f t="shared" si="5"/>
        <v>25544.989999999998</v>
      </c>
      <c r="X18" s="127">
        <f t="shared" si="5"/>
        <v>21330.080000000002</v>
      </c>
      <c r="Y18" s="127">
        <f t="shared" si="5"/>
        <v>22642.34</v>
      </c>
      <c r="Z18" s="127">
        <f t="shared" si="5"/>
        <v>37100.67</v>
      </c>
      <c r="AA18" s="127">
        <f t="shared" si="5"/>
        <v>43177.67</v>
      </c>
      <c r="AB18" s="127">
        <f t="shared" si="5"/>
        <v>34742.67</v>
      </c>
      <c r="AC18" s="127">
        <f t="shared" si="5"/>
        <v>34742.67</v>
      </c>
      <c r="AD18" s="127">
        <f>SUM(R18:AC18)</f>
        <v>352682.68999999994</v>
      </c>
      <c r="AE18" s="127">
        <f>AD18-Q18</f>
        <v>41555.409999999916</v>
      </c>
      <c r="AF18" s="132">
        <f t="shared" si="1"/>
        <v>0.11782662199837458</v>
      </c>
      <c r="AG18" s="129">
        <v>539538.33000000007</v>
      </c>
      <c r="AH18" s="129">
        <f t="shared" si="2"/>
        <v>228411.05000000005</v>
      </c>
    </row>
    <row r="19" spans="1:34">
      <c r="D19" s="105" t="s">
        <v>154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7"/>
      <c r="AF19" s="192"/>
      <c r="AG19" s="129"/>
      <c r="AH19" s="251">
        <f t="shared" si="2"/>
        <v>0</v>
      </c>
    </row>
    <row r="20" spans="1:34">
      <c r="D20" s="105" t="s">
        <v>502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7"/>
      <c r="AF20" s="192"/>
      <c r="AG20" s="129"/>
      <c r="AH20" s="251">
        <f t="shared" si="2"/>
        <v>0</v>
      </c>
    </row>
    <row r="21" spans="1:34">
      <c r="A21" s="105" t="s">
        <v>732</v>
      </c>
      <c r="B21" s="105" t="s">
        <v>647</v>
      </c>
      <c r="D21" s="105" t="s">
        <v>425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7">
        <f>SUM(E21:P21)</f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127">
        <f t="shared" ref="AD21:AD38" si="6">SUM(R21:AC21)</f>
        <v>0</v>
      </c>
      <c r="AE21" s="72">
        <f t="shared" ref="AE21:AE40" si="7">AD21-Q21</f>
        <v>0</v>
      </c>
      <c r="AF21" s="192" t="e">
        <f>AE21/AD21</f>
        <v>#DIV/0!</v>
      </c>
      <c r="AG21" s="129">
        <v>0</v>
      </c>
      <c r="AH21" s="251">
        <f t="shared" si="2"/>
        <v>0</v>
      </c>
    </row>
    <row r="22" spans="1:34">
      <c r="A22" s="105" t="s">
        <v>687</v>
      </c>
      <c r="B22" s="105" t="s">
        <v>647</v>
      </c>
      <c r="D22" s="105" t="s">
        <v>144</v>
      </c>
      <c r="E22" s="176">
        <f>+E81+E82+E83</f>
        <v>40012.269999999997</v>
      </c>
      <c r="F22" s="176">
        <f t="shared" ref="F22:P22" si="8">+F81+F82+F83</f>
        <v>31724.479999999996</v>
      </c>
      <c r="G22" s="176">
        <f t="shared" si="8"/>
        <v>31782.479999999996</v>
      </c>
      <c r="H22" s="176">
        <f t="shared" si="8"/>
        <v>33182.44</v>
      </c>
      <c r="I22" s="176">
        <f t="shared" si="8"/>
        <v>35971.360000000001</v>
      </c>
      <c r="J22" s="176">
        <f t="shared" si="8"/>
        <v>31869.479999999996</v>
      </c>
      <c r="K22" s="176">
        <f t="shared" si="8"/>
        <v>32525.809999999998</v>
      </c>
      <c r="L22" s="176">
        <f t="shared" si="8"/>
        <v>32517.809999999998</v>
      </c>
      <c r="M22" s="176">
        <f t="shared" si="8"/>
        <v>32575.809999999998</v>
      </c>
      <c r="N22" s="176">
        <f t="shared" si="8"/>
        <v>37821.17</v>
      </c>
      <c r="O22" s="176">
        <f t="shared" si="8"/>
        <v>32598.809999999998</v>
      </c>
      <c r="P22" s="176">
        <f t="shared" si="8"/>
        <v>32590.809999999998</v>
      </c>
      <c r="Q22" s="117">
        <f>SUM(E22:P22)</f>
        <v>405172.72999999992</v>
      </c>
      <c r="R22" s="72">
        <v>36716.54</v>
      </c>
      <c r="S22" s="72">
        <v>49825.5</v>
      </c>
      <c r="T22" s="72">
        <v>43822.36</v>
      </c>
      <c r="U22" s="72">
        <v>25465.73</v>
      </c>
      <c r="V22" s="72">
        <v>28592.2</v>
      </c>
      <c r="W22" s="72">
        <v>34613.620000000003</v>
      </c>
      <c r="X22" s="72">
        <v>35770.300000000003</v>
      </c>
      <c r="Y22" s="72">
        <v>36200.06</v>
      </c>
      <c r="Z22" s="72">
        <v>15078</v>
      </c>
      <c r="AA22" s="72">
        <v>15078</v>
      </c>
      <c r="AB22" s="72">
        <v>15078</v>
      </c>
      <c r="AC22" s="72">
        <v>15078</v>
      </c>
      <c r="AD22" s="127">
        <f t="shared" si="6"/>
        <v>351318.31</v>
      </c>
      <c r="AE22" s="72">
        <f t="shared" si="7"/>
        <v>-53854.419999999925</v>
      </c>
      <c r="AF22" s="192">
        <f t="shared" si="1"/>
        <v>-0.15329238034874962</v>
      </c>
      <c r="AG22" s="129">
        <v>8376.0400000000009</v>
      </c>
      <c r="AH22" s="251">
        <f t="shared" si="2"/>
        <v>-396796.68999999994</v>
      </c>
    </row>
    <row r="23" spans="1:34">
      <c r="A23" s="105" t="s">
        <v>688</v>
      </c>
      <c r="B23" s="105" t="s">
        <v>647</v>
      </c>
      <c r="D23" s="105" t="s">
        <v>184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7">
        <f>SUM(E23:P23)</f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127">
        <f t="shared" si="6"/>
        <v>0</v>
      </c>
      <c r="AE23" s="72">
        <f t="shared" si="7"/>
        <v>0</v>
      </c>
      <c r="AF23" s="192" t="e">
        <f t="shared" si="1"/>
        <v>#DIV/0!</v>
      </c>
      <c r="AG23" s="129">
        <v>0</v>
      </c>
      <c r="AH23" s="251">
        <f t="shared" si="2"/>
        <v>0</v>
      </c>
    </row>
    <row r="24" spans="1:34">
      <c r="A24" s="105" t="s">
        <v>733</v>
      </c>
      <c r="B24" s="105" t="s">
        <v>647</v>
      </c>
      <c r="D24" s="105" t="s">
        <v>186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7">
        <f>SUM(E24:P24)</f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72">
        <v>0</v>
      </c>
      <c r="AD24" s="127">
        <f t="shared" si="6"/>
        <v>0</v>
      </c>
      <c r="AE24" s="72">
        <f t="shared" si="7"/>
        <v>0</v>
      </c>
      <c r="AF24" s="192" t="e">
        <f t="shared" si="1"/>
        <v>#DIV/0!</v>
      </c>
      <c r="AG24" s="129">
        <v>0</v>
      </c>
      <c r="AH24" s="251">
        <f t="shared" si="2"/>
        <v>0</v>
      </c>
    </row>
    <row r="25" spans="1:34">
      <c r="A25" s="105" t="s">
        <v>187</v>
      </c>
      <c r="B25" s="105" t="s">
        <v>647</v>
      </c>
      <c r="D25" s="105" t="s">
        <v>188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7">
        <f t="shared" ref="Q25:Q38" si="9">SUM(E25:P25)</f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72">
        <v>0</v>
      </c>
      <c r="AD25" s="127">
        <f t="shared" si="6"/>
        <v>0</v>
      </c>
      <c r="AE25" s="72">
        <f t="shared" si="7"/>
        <v>0</v>
      </c>
      <c r="AF25" s="192" t="e">
        <f t="shared" si="1"/>
        <v>#DIV/0!</v>
      </c>
      <c r="AG25" s="129">
        <v>0</v>
      </c>
      <c r="AH25" s="251">
        <f t="shared" si="2"/>
        <v>0</v>
      </c>
    </row>
    <row r="26" spans="1:34">
      <c r="A26" s="105" t="s">
        <v>689</v>
      </c>
      <c r="B26" s="105" t="s">
        <v>647</v>
      </c>
      <c r="D26" s="105" t="s">
        <v>202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7">
        <f t="shared" si="9"/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72">
        <v>0</v>
      </c>
      <c r="AD26" s="127">
        <f t="shared" si="6"/>
        <v>0</v>
      </c>
      <c r="AE26" s="72">
        <f t="shared" si="7"/>
        <v>0</v>
      </c>
      <c r="AF26" s="192" t="e">
        <f t="shared" si="1"/>
        <v>#DIV/0!</v>
      </c>
      <c r="AG26" s="129">
        <v>0</v>
      </c>
      <c r="AH26" s="251">
        <f t="shared" si="2"/>
        <v>0</v>
      </c>
    </row>
    <row r="27" spans="1:34">
      <c r="A27" s="105" t="s">
        <v>197</v>
      </c>
      <c r="B27" s="105" t="s">
        <v>647</v>
      </c>
      <c r="D27" s="105" t="s">
        <v>305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7">
        <f t="shared" si="9"/>
        <v>0</v>
      </c>
      <c r="R27" s="72">
        <v>0</v>
      </c>
      <c r="S27" s="72">
        <v>0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127">
        <f t="shared" si="6"/>
        <v>0</v>
      </c>
      <c r="AE27" s="72">
        <f t="shared" si="7"/>
        <v>0</v>
      </c>
      <c r="AF27" s="192" t="e">
        <f t="shared" si="1"/>
        <v>#DIV/0!</v>
      </c>
      <c r="AG27" s="129">
        <v>0</v>
      </c>
      <c r="AH27" s="251">
        <f t="shared" si="2"/>
        <v>0</v>
      </c>
    </row>
    <row r="28" spans="1:34">
      <c r="A28" s="105" t="s">
        <v>692</v>
      </c>
      <c r="B28" s="105" t="s">
        <v>647</v>
      </c>
      <c r="D28" s="105" t="s">
        <v>204</v>
      </c>
      <c r="E28" s="116">
        <v>221</v>
      </c>
      <c r="F28" s="116">
        <v>221</v>
      </c>
      <c r="G28" s="116">
        <v>221</v>
      </c>
      <c r="H28" s="116">
        <v>221</v>
      </c>
      <c r="I28" s="116">
        <v>221</v>
      </c>
      <c r="J28" s="116">
        <v>221</v>
      </c>
      <c r="K28" s="116">
        <v>221</v>
      </c>
      <c r="L28" s="116">
        <v>221</v>
      </c>
      <c r="M28" s="116">
        <v>221</v>
      </c>
      <c r="N28" s="116">
        <v>221</v>
      </c>
      <c r="O28" s="116">
        <v>221</v>
      </c>
      <c r="P28" s="116">
        <v>221</v>
      </c>
      <c r="Q28" s="117">
        <f t="shared" si="9"/>
        <v>2652</v>
      </c>
      <c r="R28" s="72">
        <v>242</v>
      </c>
      <c r="S28" s="72">
        <v>242</v>
      </c>
      <c r="T28" s="72">
        <v>242</v>
      </c>
      <c r="U28" s="72">
        <v>0</v>
      </c>
      <c r="V28" s="72">
        <v>0</v>
      </c>
      <c r="W28" s="72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127">
        <f t="shared" si="6"/>
        <v>726</v>
      </c>
      <c r="AE28" s="72">
        <f t="shared" si="7"/>
        <v>-1926</v>
      </c>
      <c r="AF28" s="192">
        <f t="shared" si="1"/>
        <v>-2.6528925619834709</v>
      </c>
      <c r="AG28" s="129">
        <v>4566.74</v>
      </c>
      <c r="AH28" s="251">
        <f t="shared" si="2"/>
        <v>1914.7399999999998</v>
      </c>
    </row>
    <row r="29" spans="1:34">
      <c r="A29" s="105" t="s">
        <v>734</v>
      </c>
      <c r="B29" s="105" t="s">
        <v>647</v>
      </c>
      <c r="D29" s="105" t="s">
        <v>735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7">
        <f t="shared" si="9"/>
        <v>0</v>
      </c>
      <c r="R29" s="72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127">
        <f t="shared" si="6"/>
        <v>0</v>
      </c>
      <c r="AE29" s="72">
        <f t="shared" si="7"/>
        <v>0</v>
      </c>
      <c r="AF29" s="192" t="e">
        <f t="shared" si="1"/>
        <v>#DIV/0!</v>
      </c>
      <c r="AG29" s="129">
        <v>0</v>
      </c>
      <c r="AH29" s="251">
        <f t="shared" si="2"/>
        <v>0</v>
      </c>
    </row>
    <row r="30" spans="1:34">
      <c r="A30" s="105" t="s">
        <v>717</v>
      </c>
      <c r="B30" s="105" t="s">
        <v>647</v>
      </c>
      <c r="D30" s="105" t="s">
        <v>208</v>
      </c>
      <c r="E30" s="116">
        <v>80</v>
      </c>
      <c r="F30" s="116">
        <v>80</v>
      </c>
      <c r="G30" s="116">
        <v>80</v>
      </c>
      <c r="H30" s="116">
        <v>80</v>
      </c>
      <c r="I30" s="116">
        <v>80</v>
      </c>
      <c r="J30" s="116">
        <v>80</v>
      </c>
      <c r="K30" s="116">
        <v>80</v>
      </c>
      <c r="L30" s="116">
        <v>80</v>
      </c>
      <c r="M30" s="116">
        <v>80</v>
      </c>
      <c r="N30" s="116">
        <v>80</v>
      </c>
      <c r="O30" s="116">
        <v>80</v>
      </c>
      <c r="P30" s="116">
        <v>80</v>
      </c>
      <c r="Q30" s="117">
        <f t="shared" si="9"/>
        <v>960</v>
      </c>
      <c r="R30" s="72">
        <v>79.650000000000006</v>
      </c>
      <c r="S30" s="72">
        <v>79.650000000000006</v>
      </c>
      <c r="T30" s="72">
        <v>79.650000000000006</v>
      </c>
      <c r="U30" s="72">
        <v>79.650000000000006</v>
      </c>
      <c r="V30" s="72">
        <v>79.650000000000006</v>
      </c>
      <c r="W30" s="72">
        <v>79.650000000000006</v>
      </c>
      <c r="X30" s="72">
        <v>79.650000000000006</v>
      </c>
      <c r="Y30" s="72">
        <v>79.650000000000006</v>
      </c>
      <c r="Z30" s="72">
        <v>79.650000000000006</v>
      </c>
      <c r="AA30" s="72">
        <v>79.650000000000006</v>
      </c>
      <c r="AB30" s="72">
        <v>79.650000000000006</v>
      </c>
      <c r="AC30" s="72">
        <v>79.650000000000006</v>
      </c>
      <c r="AD30" s="127">
        <f t="shared" si="6"/>
        <v>955.79999999999984</v>
      </c>
      <c r="AE30" s="72">
        <f t="shared" si="7"/>
        <v>-4.2000000000001592</v>
      </c>
      <c r="AF30" s="192">
        <f t="shared" si="1"/>
        <v>-4.3942247332079513E-3</v>
      </c>
      <c r="AG30" s="129">
        <v>0</v>
      </c>
      <c r="AH30" s="251">
        <f t="shared" si="2"/>
        <v>-960</v>
      </c>
    </row>
    <row r="31" spans="1:34">
      <c r="A31" s="105" t="s">
        <v>199</v>
      </c>
      <c r="B31" s="105" t="s">
        <v>647</v>
      </c>
      <c r="D31" s="105" t="s">
        <v>200</v>
      </c>
      <c r="E31" s="116"/>
      <c r="F31" s="116"/>
      <c r="G31" s="116"/>
      <c r="H31" s="116"/>
      <c r="I31" s="116"/>
      <c r="J31" s="116"/>
      <c r="K31" s="126"/>
      <c r="L31" s="126"/>
      <c r="M31" s="126"/>
      <c r="N31" s="126"/>
      <c r="O31" s="126"/>
      <c r="P31" s="126"/>
      <c r="Q31" s="117">
        <f t="shared" si="9"/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127">
        <f t="shared" si="6"/>
        <v>0</v>
      </c>
      <c r="AE31" s="72">
        <f t="shared" si="7"/>
        <v>0</v>
      </c>
      <c r="AF31" s="192" t="e">
        <f t="shared" si="1"/>
        <v>#DIV/0!</v>
      </c>
      <c r="AG31" s="129">
        <v>0</v>
      </c>
      <c r="AH31" s="251">
        <f t="shared" si="2"/>
        <v>0</v>
      </c>
    </row>
    <row r="32" spans="1:34">
      <c r="A32" s="105" t="s">
        <v>693</v>
      </c>
      <c r="B32" s="105" t="s">
        <v>647</v>
      </c>
      <c r="D32" s="105" t="s">
        <v>450</v>
      </c>
      <c r="E32" s="116"/>
      <c r="F32" s="116"/>
      <c r="G32" s="116"/>
      <c r="H32" s="116"/>
      <c r="I32" s="116"/>
      <c r="J32" s="116"/>
      <c r="K32" s="126"/>
      <c r="L32" s="126"/>
      <c r="M32" s="126"/>
      <c r="N32" s="126"/>
      <c r="O32" s="126"/>
      <c r="P32" s="126"/>
      <c r="Q32" s="117">
        <f t="shared" si="9"/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127">
        <f t="shared" si="6"/>
        <v>0</v>
      </c>
      <c r="AE32" s="72">
        <f t="shared" si="7"/>
        <v>0</v>
      </c>
      <c r="AF32" s="192" t="e">
        <f t="shared" si="1"/>
        <v>#DIV/0!</v>
      </c>
      <c r="AG32" s="129">
        <v>0</v>
      </c>
      <c r="AH32" s="251">
        <f t="shared" si="2"/>
        <v>0</v>
      </c>
    </row>
    <row r="33" spans="1:34">
      <c r="A33" s="105" t="s">
        <v>690</v>
      </c>
      <c r="B33" s="105" t="s">
        <v>647</v>
      </c>
      <c r="D33" s="105" t="s">
        <v>210</v>
      </c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7">
        <f t="shared" si="9"/>
        <v>0</v>
      </c>
      <c r="R33" s="72">
        <v>0</v>
      </c>
      <c r="S33" s="72">
        <v>0</v>
      </c>
      <c r="T33" s="72">
        <v>0</v>
      </c>
      <c r="U33" s="72">
        <v>0</v>
      </c>
      <c r="V33" s="72">
        <v>0</v>
      </c>
      <c r="W33" s="72">
        <v>0</v>
      </c>
      <c r="X33" s="72">
        <v>0</v>
      </c>
      <c r="Y33" s="72">
        <v>0</v>
      </c>
      <c r="Z33" s="72">
        <v>0</v>
      </c>
      <c r="AA33" s="72">
        <v>0</v>
      </c>
      <c r="AB33" s="72">
        <v>0</v>
      </c>
      <c r="AC33" s="72">
        <v>0</v>
      </c>
      <c r="AD33" s="127">
        <f t="shared" si="6"/>
        <v>0</v>
      </c>
      <c r="AE33" s="72">
        <f t="shared" si="7"/>
        <v>0</v>
      </c>
      <c r="AF33" s="192" t="e">
        <f t="shared" si="1"/>
        <v>#DIV/0!</v>
      </c>
      <c r="AG33" s="129">
        <v>0</v>
      </c>
      <c r="AH33" s="251">
        <f t="shared" si="2"/>
        <v>0</v>
      </c>
    </row>
    <row r="34" spans="1:34">
      <c r="A34" s="105" t="s">
        <v>694</v>
      </c>
      <c r="B34" s="105" t="s">
        <v>647</v>
      </c>
      <c r="D34" s="105" t="s">
        <v>212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7">
        <f t="shared" si="9"/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2">
        <v>0</v>
      </c>
      <c r="Y34" s="72">
        <v>0</v>
      </c>
      <c r="Z34" s="72">
        <v>0</v>
      </c>
      <c r="AA34" s="72">
        <v>0</v>
      </c>
      <c r="AB34" s="72">
        <v>0</v>
      </c>
      <c r="AC34" s="72">
        <v>0</v>
      </c>
      <c r="AD34" s="127">
        <f t="shared" si="6"/>
        <v>0</v>
      </c>
      <c r="AE34" s="72">
        <f t="shared" si="7"/>
        <v>0</v>
      </c>
      <c r="AF34" s="192" t="e">
        <f t="shared" si="1"/>
        <v>#DIV/0!</v>
      </c>
      <c r="AG34" s="129">
        <v>0</v>
      </c>
      <c r="AH34" s="251">
        <f t="shared" si="2"/>
        <v>0</v>
      </c>
    </row>
    <row r="35" spans="1:34">
      <c r="A35" s="105" t="s">
        <v>709</v>
      </c>
      <c r="B35" s="105" t="s">
        <v>647</v>
      </c>
      <c r="D35" s="105" t="s">
        <v>214</v>
      </c>
      <c r="E35" s="176">
        <f>Laundry!E150</f>
        <v>271</v>
      </c>
      <c r="F35" s="176">
        <f>Laundry!F150</f>
        <v>247</v>
      </c>
      <c r="G35" s="176">
        <f>Laundry!G150</f>
        <v>250</v>
      </c>
      <c r="H35" s="176">
        <f>Laundry!H150</f>
        <v>257</v>
      </c>
      <c r="I35" s="176">
        <f>Laundry!I150</f>
        <v>264</v>
      </c>
      <c r="J35" s="176">
        <f>Laundry!J150</f>
        <v>252</v>
      </c>
      <c r="K35" s="176">
        <f>Laundry!K150</f>
        <v>269</v>
      </c>
      <c r="L35" s="176">
        <f>Laundry!L150</f>
        <v>268</v>
      </c>
      <c r="M35" s="176">
        <f>Laundry!M150</f>
        <v>259</v>
      </c>
      <c r="N35" s="176">
        <f>Laundry!N150</f>
        <v>294</v>
      </c>
      <c r="O35" s="176">
        <f>Laundry!O150</f>
        <v>260</v>
      </c>
      <c r="P35" s="176">
        <f>Laundry!P150</f>
        <v>259</v>
      </c>
      <c r="Q35" s="117">
        <f t="shared" si="9"/>
        <v>3150</v>
      </c>
      <c r="R35" s="72">
        <v>293.5</v>
      </c>
      <c r="S35" s="72">
        <v>292.02999999999997</v>
      </c>
      <c r="T35" s="72">
        <v>201.6</v>
      </c>
      <c r="U35" s="72">
        <v>188.59</v>
      </c>
      <c r="V35" s="72">
        <v>70.55</v>
      </c>
      <c r="W35" s="72">
        <v>240.84</v>
      </c>
      <c r="X35" s="72">
        <v>166.97</v>
      </c>
      <c r="Y35" s="72">
        <v>112.8</v>
      </c>
      <c r="Z35" s="72">
        <v>154</v>
      </c>
      <c r="AA35" s="72">
        <v>172</v>
      </c>
      <c r="AB35" s="72">
        <v>145</v>
      </c>
      <c r="AC35" s="72">
        <v>148</v>
      </c>
      <c r="AD35" s="127">
        <f t="shared" si="6"/>
        <v>2185.88</v>
      </c>
      <c r="AE35" s="72">
        <f t="shared" si="7"/>
        <v>-964.11999999999989</v>
      </c>
      <c r="AF35" s="192">
        <f t="shared" si="1"/>
        <v>-0.4410672132047504</v>
      </c>
      <c r="AG35" s="129">
        <v>861.75</v>
      </c>
      <c r="AH35" s="251">
        <f t="shared" si="2"/>
        <v>-2288.25</v>
      </c>
    </row>
    <row r="36" spans="1:34">
      <c r="A36" s="105" t="s">
        <v>696</v>
      </c>
      <c r="B36" s="105" t="s">
        <v>647</v>
      </c>
      <c r="D36" s="105" t="s">
        <v>216</v>
      </c>
      <c r="E36" s="116">
        <v>36</v>
      </c>
      <c r="F36" s="116">
        <v>36</v>
      </c>
      <c r="G36" s="116">
        <v>36</v>
      </c>
      <c r="H36" s="116">
        <v>36</v>
      </c>
      <c r="I36" s="116">
        <v>36</v>
      </c>
      <c r="J36" s="116">
        <v>36</v>
      </c>
      <c r="K36" s="116">
        <v>36</v>
      </c>
      <c r="L36" s="116">
        <v>36</v>
      </c>
      <c r="M36" s="116">
        <v>36</v>
      </c>
      <c r="N36" s="116">
        <v>36</v>
      </c>
      <c r="O36" s="116">
        <v>36</v>
      </c>
      <c r="P36" s="116">
        <v>36</v>
      </c>
      <c r="Q36" s="117">
        <f t="shared" si="9"/>
        <v>432</v>
      </c>
      <c r="R36" s="72">
        <v>31.1</v>
      </c>
      <c r="S36" s="72">
        <v>34.6</v>
      </c>
      <c r="T36" s="72">
        <v>34.299999999999997</v>
      </c>
      <c r="U36" s="72">
        <v>35.299999999999997</v>
      </c>
      <c r="V36" s="72">
        <v>35.299999999999997</v>
      </c>
      <c r="W36" s="72">
        <v>44.4</v>
      </c>
      <c r="X36" s="72">
        <v>38.6</v>
      </c>
      <c r="Y36" s="72">
        <v>33.299999999999997</v>
      </c>
      <c r="Z36" s="72">
        <v>44.4</v>
      </c>
      <c r="AA36" s="72">
        <v>44.4</v>
      </c>
      <c r="AB36" s="72">
        <v>44.4</v>
      </c>
      <c r="AC36" s="72">
        <v>44.4</v>
      </c>
      <c r="AD36" s="127">
        <f t="shared" si="6"/>
        <v>464.49999999999994</v>
      </c>
      <c r="AE36" s="72">
        <f t="shared" si="7"/>
        <v>32.499999999999943</v>
      </c>
      <c r="AF36" s="192">
        <f t="shared" si="1"/>
        <v>6.9967707212055863E-2</v>
      </c>
      <c r="AG36" s="129">
        <v>0</v>
      </c>
      <c r="AH36" s="251">
        <f t="shared" si="2"/>
        <v>-432</v>
      </c>
    </row>
    <row r="37" spans="1:34">
      <c r="A37" s="105" t="s">
        <v>697</v>
      </c>
      <c r="B37" s="105" t="s">
        <v>647</v>
      </c>
      <c r="D37" s="105" t="s">
        <v>218</v>
      </c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7">
        <f t="shared" si="9"/>
        <v>0</v>
      </c>
      <c r="R37" s="72">
        <v>0</v>
      </c>
      <c r="S37" s="72">
        <v>0</v>
      </c>
      <c r="T37" s="72">
        <v>0</v>
      </c>
      <c r="U37" s="72">
        <v>0</v>
      </c>
      <c r="V37" s="72">
        <v>0</v>
      </c>
      <c r="W37" s="72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72">
        <v>0</v>
      </c>
      <c r="AD37" s="127">
        <f t="shared" si="6"/>
        <v>0</v>
      </c>
      <c r="AE37" s="72">
        <f t="shared" si="7"/>
        <v>0</v>
      </c>
      <c r="AF37" s="192" t="e">
        <f t="shared" si="1"/>
        <v>#DIV/0!</v>
      </c>
      <c r="AG37" s="129">
        <v>0</v>
      </c>
      <c r="AH37" s="251">
        <f t="shared" si="2"/>
        <v>0</v>
      </c>
    </row>
    <row r="38" spans="1:34">
      <c r="A38" s="105" t="s">
        <v>698</v>
      </c>
      <c r="B38" s="105" t="s">
        <v>647</v>
      </c>
      <c r="D38" s="105" t="s">
        <v>222</v>
      </c>
      <c r="E38" s="116">
        <v>5607</v>
      </c>
      <c r="F38" s="116">
        <v>5607</v>
      </c>
      <c r="G38" s="116">
        <v>5607</v>
      </c>
      <c r="H38" s="116">
        <v>5607</v>
      </c>
      <c r="I38" s="116">
        <v>5607</v>
      </c>
      <c r="J38" s="116">
        <v>5607</v>
      </c>
      <c r="K38" s="116">
        <v>5607</v>
      </c>
      <c r="L38" s="116">
        <v>5607</v>
      </c>
      <c r="M38" s="116">
        <v>5607</v>
      </c>
      <c r="N38" s="116">
        <v>5607</v>
      </c>
      <c r="O38" s="116">
        <v>5607</v>
      </c>
      <c r="P38" s="116">
        <v>5607</v>
      </c>
      <c r="Q38" s="117">
        <f t="shared" si="9"/>
        <v>67284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72">
        <v>0</v>
      </c>
      <c r="AD38" s="127">
        <f t="shared" si="6"/>
        <v>0</v>
      </c>
      <c r="AE38" s="72">
        <f t="shared" si="7"/>
        <v>-67284</v>
      </c>
      <c r="AF38" s="192" t="e">
        <f t="shared" si="1"/>
        <v>#DIV/0!</v>
      </c>
      <c r="AG38" s="129">
        <v>0</v>
      </c>
      <c r="AH38" s="251">
        <f t="shared" si="2"/>
        <v>-67284</v>
      </c>
    </row>
    <row r="39" spans="1:34">
      <c r="D39" s="109" t="s">
        <v>507</v>
      </c>
      <c r="E39" s="117">
        <f t="shared" ref="E39:AD39" si="10">SUM(E21:E38)</f>
        <v>46227.27</v>
      </c>
      <c r="F39" s="117">
        <f t="shared" si="10"/>
        <v>37915.479999999996</v>
      </c>
      <c r="G39" s="117">
        <f t="shared" si="10"/>
        <v>37976.479999999996</v>
      </c>
      <c r="H39" s="117">
        <f t="shared" si="10"/>
        <v>39383.440000000002</v>
      </c>
      <c r="I39" s="117">
        <f t="shared" si="10"/>
        <v>42179.360000000001</v>
      </c>
      <c r="J39" s="117">
        <f t="shared" si="10"/>
        <v>38065.479999999996</v>
      </c>
      <c r="K39" s="117">
        <f t="shared" si="10"/>
        <v>38738.81</v>
      </c>
      <c r="L39" s="117">
        <f t="shared" si="10"/>
        <v>38729.81</v>
      </c>
      <c r="M39" s="117">
        <f t="shared" si="10"/>
        <v>38778.81</v>
      </c>
      <c r="N39" s="117">
        <f t="shared" si="10"/>
        <v>44059.17</v>
      </c>
      <c r="O39" s="117">
        <f t="shared" si="10"/>
        <v>38802.81</v>
      </c>
      <c r="P39" s="117">
        <f t="shared" si="10"/>
        <v>38793.81</v>
      </c>
      <c r="Q39" s="117">
        <f t="shared" si="10"/>
        <v>479650.72999999992</v>
      </c>
      <c r="R39" s="127">
        <f t="shared" si="10"/>
        <v>37362.79</v>
      </c>
      <c r="S39" s="127">
        <f t="shared" si="10"/>
        <v>50473.78</v>
      </c>
      <c r="T39" s="127">
        <f t="shared" si="10"/>
        <v>44379.91</v>
      </c>
      <c r="U39" s="127">
        <f t="shared" si="10"/>
        <v>25769.27</v>
      </c>
      <c r="V39" s="127">
        <f t="shared" si="10"/>
        <v>28777.7</v>
      </c>
      <c r="W39" s="127">
        <f t="shared" si="10"/>
        <v>34978.51</v>
      </c>
      <c r="X39" s="127">
        <f t="shared" si="10"/>
        <v>36055.520000000004</v>
      </c>
      <c r="Y39" s="127">
        <f t="shared" si="10"/>
        <v>36425.810000000005</v>
      </c>
      <c r="Z39" s="127">
        <f t="shared" si="10"/>
        <v>15356.05</v>
      </c>
      <c r="AA39" s="127">
        <f t="shared" si="10"/>
        <v>15374.05</v>
      </c>
      <c r="AB39" s="127">
        <f t="shared" si="10"/>
        <v>15347.05</v>
      </c>
      <c r="AC39" s="127">
        <f t="shared" si="10"/>
        <v>15350.05</v>
      </c>
      <c r="AD39" s="127">
        <f t="shared" si="10"/>
        <v>355650.49</v>
      </c>
      <c r="AE39" s="72">
        <f t="shared" si="7"/>
        <v>-124000.23999999993</v>
      </c>
      <c r="AF39" s="192">
        <f t="shared" si="1"/>
        <v>-0.34865758233596117</v>
      </c>
      <c r="AG39" s="129">
        <v>13804.53</v>
      </c>
      <c r="AH39" s="251">
        <f t="shared" si="2"/>
        <v>-465846.1999999999</v>
      </c>
    </row>
    <row r="40" spans="1:34">
      <c r="D40" s="109" t="s">
        <v>508</v>
      </c>
      <c r="E40" s="117">
        <f t="shared" ref="E40:AD40" si="11">E11-E16-E18-E39</f>
        <v>-84395.609999999986</v>
      </c>
      <c r="F40" s="117">
        <f t="shared" si="11"/>
        <v>-71052.72</v>
      </c>
      <c r="G40" s="117">
        <f t="shared" si="11"/>
        <v>-71464.160000000003</v>
      </c>
      <c r="H40" s="117">
        <f t="shared" si="11"/>
        <v>-74580.709999999992</v>
      </c>
      <c r="I40" s="117">
        <f t="shared" si="11"/>
        <v>-77974.3</v>
      </c>
      <c r="J40" s="117">
        <f t="shared" si="11"/>
        <v>-72467.199999999997</v>
      </c>
      <c r="K40" s="117">
        <f t="shared" si="11"/>
        <v>-73315.34</v>
      </c>
      <c r="L40" s="117">
        <f t="shared" si="11"/>
        <v>-73182.45</v>
      </c>
      <c r="M40" s="117">
        <f t="shared" si="11"/>
        <v>-73253.45</v>
      </c>
      <c r="N40" s="117">
        <f t="shared" si="11"/>
        <v>-82905.3</v>
      </c>
      <c r="O40" s="117">
        <f t="shared" si="11"/>
        <v>-73377.83</v>
      </c>
      <c r="P40" s="117">
        <f t="shared" si="11"/>
        <v>-73244.94</v>
      </c>
      <c r="Q40" s="117">
        <f t="shared" si="11"/>
        <v>-901214.01</v>
      </c>
      <c r="R40" s="127">
        <f t="shared" si="11"/>
        <v>-74141.52</v>
      </c>
      <c r="S40" s="127">
        <f t="shared" si="11"/>
        <v>-87258.33</v>
      </c>
      <c r="T40" s="127">
        <f t="shared" si="11"/>
        <v>-77941.260000000009</v>
      </c>
      <c r="U40" s="127">
        <f t="shared" si="11"/>
        <v>-62467.56</v>
      </c>
      <c r="V40" s="127">
        <f t="shared" si="11"/>
        <v>-63630.930000000008</v>
      </c>
      <c r="W40" s="127">
        <f t="shared" si="11"/>
        <v>-70100.160000000003</v>
      </c>
      <c r="X40" s="127">
        <f t="shared" si="11"/>
        <v>-66930.790000000008</v>
      </c>
      <c r="Y40" s="127">
        <f t="shared" si="11"/>
        <v>-64900.740000000005</v>
      </c>
      <c r="Z40" s="127">
        <f t="shared" si="11"/>
        <v>-61956.72</v>
      </c>
      <c r="AA40" s="127">
        <f t="shared" si="11"/>
        <v>-68051.72</v>
      </c>
      <c r="AB40" s="127">
        <f t="shared" si="11"/>
        <v>-59589.72</v>
      </c>
      <c r="AC40" s="127">
        <f t="shared" si="11"/>
        <v>-59592.72</v>
      </c>
      <c r="AD40" s="127">
        <f t="shared" si="11"/>
        <v>-816562.16999999993</v>
      </c>
      <c r="AE40" s="72">
        <f t="shared" si="7"/>
        <v>84651.840000000084</v>
      </c>
      <c r="AF40" s="192"/>
      <c r="AG40" s="129">
        <v>-667776.54</v>
      </c>
      <c r="AH40" s="251">
        <f t="shared" si="2"/>
        <v>233437.46999999997</v>
      </c>
    </row>
    <row r="41" spans="1:34">
      <c r="D41" s="105" t="s">
        <v>154</v>
      </c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AF41" s="192"/>
      <c r="AG41" s="129"/>
      <c r="AH41" s="251">
        <f t="shared" si="2"/>
        <v>0</v>
      </c>
    </row>
    <row r="42" spans="1:34">
      <c r="D42" s="105" t="s">
        <v>516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AF42" s="192"/>
      <c r="AG42" s="129"/>
      <c r="AH42" s="251">
        <f t="shared" si="2"/>
        <v>0</v>
      </c>
    </row>
    <row r="43" spans="1:34">
      <c r="D43" s="105" t="s">
        <v>517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AF43" s="192"/>
      <c r="AG43" s="129"/>
      <c r="AH43" s="251">
        <f t="shared" si="2"/>
        <v>0</v>
      </c>
    </row>
    <row r="44" spans="1:34">
      <c r="A44" s="105" t="s">
        <v>248</v>
      </c>
      <c r="B44" s="105" t="s">
        <v>647</v>
      </c>
      <c r="D44" s="105" t="s">
        <v>250</v>
      </c>
      <c r="E44" s="265">
        <v>4250</v>
      </c>
      <c r="F44" s="116">
        <v>4250</v>
      </c>
      <c r="G44" s="116">
        <v>4271.25</v>
      </c>
      <c r="H44" s="116">
        <v>4271.25</v>
      </c>
      <c r="I44" s="116">
        <v>4271.25</v>
      </c>
      <c r="J44" s="116">
        <v>5552.63</v>
      </c>
      <c r="K44" s="116">
        <v>5552.63</v>
      </c>
      <c r="L44" s="116">
        <v>5552.63</v>
      </c>
      <c r="M44" s="116">
        <v>5552.63</v>
      </c>
      <c r="N44" s="116">
        <v>5552.63</v>
      </c>
      <c r="O44" s="116">
        <v>5552.63</v>
      </c>
      <c r="P44" s="116">
        <v>5552.63</v>
      </c>
      <c r="Q44" s="117">
        <f>SUM(E44:P44)</f>
        <v>60182.159999999989</v>
      </c>
      <c r="R44" s="72">
        <v>5000</v>
      </c>
      <c r="S44" s="72">
        <v>5000</v>
      </c>
      <c r="T44" s="72">
        <v>5000</v>
      </c>
      <c r="U44" s="72">
        <v>5000</v>
      </c>
      <c r="V44" s="72">
        <v>5000</v>
      </c>
      <c r="W44" s="72">
        <v>5000</v>
      </c>
      <c r="X44" s="72">
        <v>5000</v>
      </c>
      <c r="Y44" s="72">
        <v>5000</v>
      </c>
      <c r="Z44" s="72">
        <v>5000</v>
      </c>
      <c r="AA44" s="72">
        <v>5000</v>
      </c>
      <c r="AB44" s="72">
        <v>5000</v>
      </c>
      <c r="AC44" s="72">
        <v>5000</v>
      </c>
      <c r="AD44" s="127">
        <f>SUM(R44:AC44)</f>
        <v>60000</v>
      </c>
      <c r="AE44" s="251">
        <f>AD44-Q44</f>
        <v>-182.15999999998894</v>
      </c>
      <c r="AF44" s="192">
        <f t="shared" si="1"/>
        <v>-3.0359999999998158E-3</v>
      </c>
      <c r="AG44" s="129">
        <v>53860.380000000005</v>
      </c>
      <c r="AH44" s="251">
        <f t="shared" si="2"/>
        <v>-6321.7799999999843</v>
      </c>
    </row>
    <row r="45" spans="1:34">
      <c r="A45" s="105" t="s">
        <v>251</v>
      </c>
      <c r="B45" s="105" t="s">
        <v>647</v>
      </c>
      <c r="D45" s="105" t="s">
        <v>468</v>
      </c>
      <c r="E45" s="265">
        <v>6460</v>
      </c>
      <c r="F45" s="116">
        <v>6460</v>
      </c>
      <c r="G45" s="116">
        <v>6783</v>
      </c>
      <c r="H45" s="116">
        <v>6783</v>
      </c>
      <c r="I45" s="116">
        <v>6783</v>
      </c>
      <c r="J45" s="116">
        <v>6783</v>
      </c>
      <c r="K45" s="116">
        <v>6783</v>
      </c>
      <c r="L45" s="116">
        <v>6783</v>
      </c>
      <c r="M45" s="116">
        <v>6783</v>
      </c>
      <c r="N45" s="116">
        <v>6783</v>
      </c>
      <c r="O45" s="116">
        <v>6783</v>
      </c>
      <c r="P45" s="116">
        <v>6783</v>
      </c>
      <c r="Q45" s="135">
        <f>SUM(E45:P45)</f>
        <v>80750</v>
      </c>
      <c r="R45" s="72">
        <v>6800</v>
      </c>
      <c r="S45" s="72">
        <v>6800</v>
      </c>
      <c r="T45" s="72">
        <v>6731.03</v>
      </c>
      <c r="U45" s="72">
        <v>6800</v>
      </c>
      <c r="V45" s="72">
        <v>6800</v>
      </c>
      <c r="W45" s="72">
        <v>6800</v>
      </c>
      <c r="X45" s="72">
        <v>6260.23</v>
      </c>
      <c r="Y45" s="72">
        <v>5972.42</v>
      </c>
      <c r="Z45" s="72">
        <v>6800</v>
      </c>
      <c r="AA45" s="72">
        <v>6800</v>
      </c>
      <c r="AB45" s="72">
        <v>6800</v>
      </c>
      <c r="AC45" s="72">
        <v>6800</v>
      </c>
      <c r="AD45" s="127">
        <f>SUM(R45:AC45)</f>
        <v>80163.679999999993</v>
      </c>
      <c r="AE45" s="251">
        <f>AD45-Q45</f>
        <v>-586.32000000000698</v>
      </c>
      <c r="AF45" s="192">
        <f t="shared" si="1"/>
        <v>-7.3140354834010492E-3</v>
      </c>
      <c r="AG45" s="129">
        <v>179923.33000000002</v>
      </c>
      <c r="AH45" s="251">
        <f t="shared" si="2"/>
        <v>99173.330000000016</v>
      </c>
    </row>
    <row r="46" spans="1:34">
      <c r="D46" s="105" t="s">
        <v>520</v>
      </c>
      <c r="E46" s="117">
        <f t="shared" ref="E46:AD46" si="12">SUM(E44:E45)</f>
        <v>10710</v>
      </c>
      <c r="F46" s="117">
        <f t="shared" si="12"/>
        <v>10710</v>
      </c>
      <c r="G46" s="117">
        <f t="shared" si="12"/>
        <v>11054.25</v>
      </c>
      <c r="H46" s="117">
        <f t="shared" si="12"/>
        <v>11054.25</v>
      </c>
      <c r="I46" s="117">
        <f t="shared" si="12"/>
        <v>11054.25</v>
      </c>
      <c r="J46" s="117">
        <f t="shared" si="12"/>
        <v>12335.630000000001</v>
      </c>
      <c r="K46" s="117">
        <f t="shared" si="12"/>
        <v>12335.630000000001</v>
      </c>
      <c r="L46" s="117">
        <f t="shared" si="12"/>
        <v>12335.630000000001</v>
      </c>
      <c r="M46" s="117">
        <f t="shared" si="12"/>
        <v>12335.630000000001</v>
      </c>
      <c r="N46" s="117">
        <f t="shared" si="12"/>
        <v>12335.630000000001</v>
      </c>
      <c r="O46" s="117">
        <f t="shared" si="12"/>
        <v>12335.630000000001</v>
      </c>
      <c r="P46" s="117">
        <f t="shared" si="12"/>
        <v>12335.630000000001</v>
      </c>
      <c r="Q46" s="117">
        <f t="shared" si="12"/>
        <v>140932.15999999997</v>
      </c>
      <c r="R46" s="127">
        <f t="shared" si="12"/>
        <v>11800</v>
      </c>
      <c r="S46" s="127">
        <f t="shared" si="12"/>
        <v>11800</v>
      </c>
      <c r="T46" s="127">
        <f t="shared" si="12"/>
        <v>11731.029999999999</v>
      </c>
      <c r="U46" s="127">
        <f t="shared" si="12"/>
        <v>11800</v>
      </c>
      <c r="V46" s="127">
        <f t="shared" si="12"/>
        <v>11800</v>
      </c>
      <c r="W46" s="127">
        <f t="shared" si="12"/>
        <v>11800</v>
      </c>
      <c r="X46" s="127">
        <f t="shared" si="12"/>
        <v>11260.23</v>
      </c>
      <c r="Y46" s="127">
        <f t="shared" si="12"/>
        <v>10972.42</v>
      </c>
      <c r="Z46" s="127">
        <f t="shared" si="12"/>
        <v>11800</v>
      </c>
      <c r="AA46" s="127">
        <f t="shared" si="12"/>
        <v>11800</v>
      </c>
      <c r="AB46" s="127">
        <f t="shared" si="12"/>
        <v>11800</v>
      </c>
      <c r="AC46" s="127">
        <f t="shared" si="12"/>
        <v>11800</v>
      </c>
      <c r="AD46" s="127">
        <f t="shared" si="12"/>
        <v>140163.68</v>
      </c>
      <c r="AE46" s="251">
        <f>AD46-Q46</f>
        <v>-768.47999999998137</v>
      </c>
      <c r="AF46" s="192">
        <f t="shared" si="1"/>
        <v>-5.4827327592995665E-3</v>
      </c>
      <c r="AG46" s="129">
        <v>233783.71000000002</v>
      </c>
      <c r="AH46" s="251">
        <f t="shared" si="2"/>
        <v>92851.550000000047</v>
      </c>
    </row>
    <row r="47" spans="1:34">
      <c r="D47" s="105" t="s">
        <v>154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7"/>
      <c r="AF47" s="192" t="e">
        <f t="shared" si="1"/>
        <v>#DIV/0!</v>
      </c>
      <c r="AG47" s="129"/>
      <c r="AH47" s="251">
        <f t="shared" si="2"/>
        <v>0</v>
      </c>
    </row>
    <row r="48" spans="1:34">
      <c r="A48" s="105" t="s">
        <v>119</v>
      </c>
      <c r="B48" s="105" t="s">
        <v>647</v>
      </c>
      <c r="D48" s="105" t="s">
        <v>260</v>
      </c>
      <c r="E48" s="265">
        <v>4193.1000000000004</v>
      </c>
      <c r="F48" s="265">
        <v>0</v>
      </c>
      <c r="G48" s="265">
        <v>0</v>
      </c>
      <c r="H48" s="265">
        <v>1627.5900000000001</v>
      </c>
      <c r="I48" s="265">
        <v>1903.4499999999998</v>
      </c>
      <c r="J48" s="265">
        <v>0</v>
      </c>
      <c r="K48" s="265">
        <v>0</v>
      </c>
      <c r="L48" s="265">
        <v>0</v>
      </c>
      <c r="M48" s="265">
        <v>0</v>
      </c>
      <c r="N48" s="265">
        <v>3668.97</v>
      </c>
      <c r="O48" s="265">
        <v>0</v>
      </c>
      <c r="P48" s="265">
        <v>0</v>
      </c>
      <c r="Q48" s="117">
        <f>SUM(E48:P48)</f>
        <v>11393.11</v>
      </c>
      <c r="R48" s="72">
        <v>937.92</v>
      </c>
      <c r="S48" s="72">
        <v>4193.1000000000004</v>
      </c>
      <c r="T48" s="72">
        <v>0</v>
      </c>
      <c r="U48" s="72">
        <v>1627.59</v>
      </c>
      <c r="V48" s="72">
        <v>937.92</v>
      </c>
      <c r="W48" s="72">
        <v>1627.59</v>
      </c>
      <c r="X48" s="72">
        <v>0</v>
      </c>
      <c r="Y48" s="72">
        <v>0</v>
      </c>
      <c r="Z48" s="72">
        <v>2491</v>
      </c>
      <c r="AA48" s="72">
        <v>7473</v>
      </c>
      <c r="AB48" s="72">
        <v>0</v>
      </c>
      <c r="AC48" s="72">
        <v>0</v>
      </c>
      <c r="AD48" s="127">
        <f>SUM(R48:AC48)</f>
        <v>19288.120000000003</v>
      </c>
      <c r="AE48" s="72">
        <f t="shared" ref="AE48:AE53" si="13">AD48-Q48</f>
        <v>7895.010000000002</v>
      </c>
      <c r="AF48" s="192">
        <f t="shared" si="1"/>
        <v>0.40931983003009109</v>
      </c>
      <c r="AG48" s="129">
        <v>16569.18</v>
      </c>
      <c r="AH48" s="251">
        <f t="shared" si="2"/>
        <v>5176.07</v>
      </c>
    </row>
    <row r="49" spans="1:34">
      <c r="A49" s="105" t="s">
        <v>120</v>
      </c>
      <c r="B49" s="105" t="s">
        <v>647</v>
      </c>
      <c r="D49" s="105" t="s">
        <v>668</v>
      </c>
      <c r="E49" s="265">
        <v>1908.33</v>
      </c>
      <c r="F49" s="265">
        <v>1908.33</v>
      </c>
      <c r="G49" s="265">
        <v>1908.33</v>
      </c>
      <c r="H49" s="265">
        <v>1908.33</v>
      </c>
      <c r="I49" s="265">
        <v>1908.33</v>
      </c>
      <c r="J49" s="265">
        <v>2158.33</v>
      </c>
      <c r="K49" s="265">
        <v>2158.33</v>
      </c>
      <c r="L49" s="265">
        <v>2158.33</v>
      </c>
      <c r="M49" s="265">
        <v>2158.33</v>
      </c>
      <c r="N49" s="265">
        <v>2158.33</v>
      </c>
      <c r="O49" s="265">
        <v>2158.33</v>
      </c>
      <c r="P49" s="265">
        <v>2158.33</v>
      </c>
      <c r="Q49" s="117">
        <f>SUM(E49:P49)</f>
        <v>24649.960000000006</v>
      </c>
      <c r="R49" s="72">
        <v>2918.87</v>
      </c>
      <c r="S49" s="72">
        <v>2921.18</v>
      </c>
      <c r="T49" s="72">
        <v>2978.78</v>
      </c>
      <c r="U49" s="72">
        <v>1964.87</v>
      </c>
      <c r="V49" s="72">
        <v>1968.73</v>
      </c>
      <c r="W49" s="72">
        <v>1980.73</v>
      </c>
      <c r="X49" s="72">
        <v>1958.5</v>
      </c>
      <c r="Y49" s="72">
        <v>1963.08</v>
      </c>
      <c r="Z49" s="72">
        <v>1966.67</v>
      </c>
      <c r="AA49" s="72">
        <v>1966.67</v>
      </c>
      <c r="AB49" s="72">
        <v>1966.67</v>
      </c>
      <c r="AC49" s="72">
        <v>1966.67</v>
      </c>
      <c r="AD49" s="127">
        <f>SUM(R49:AC49)</f>
        <v>26521.419999999991</v>
      </c>
      <c r="AE49" s="72">
        <f t="shared" si="13"/>
        <v>1871.4599999999846</v>
      </c>
      <c r="AF49" s="192">
        <f t="shared" si="1"/>
        <v>7.056409498435548E-2</v>
      </c>
      <c r="AG49" s="129">
        <v>45002.91</v>
      </c>
      <c r="AH49" s="251">
        <f t="shared" si="2"/>
        <v>20352.949999999997</v>
      </c>
    </row>
    <row r="50" spans="1:34">
      <c r="A50" s="105" t="s">
        <v>121</v>
      </c>
      <c r="B50" s="105" t="s">
        <v>647</v>
      </c>
      <c r="D50" s="105" t="s">
        <v>262</v>
      </c>
      <c r="E50" s="265">
        <v>1790</v>
      </c>
      <c r="F50" s="265">
        <v>1790</v>
      </c>
      <c r="G50" s="265">
        <v>1790</v>
      </c>
      <c r="H50" s="265">
        <v>1790</v>
      </c>
      <c r="I50" s="265">
        <v>1790</v>
      </c>
      <c r="J50" s="265">
        <v>1390</v>
      </c>
      <c r="K50" s="265">
        <v>1390</v>
      </c>
      <c r="L50" s="265">
        <v>1390</v>
      </c>
      <c r="M50" s="265">
        <v>1390</v>
      </c>
      <c r="N50" s="265">
        <v>1390</v>
      </c>
      <c r="O50" s="265">
        <v>1390</v>
      </c>
      <c r="P50" s="265">
        <v>1390</v>
      </c>
      <c r="Q50" s="117">
        <f>SUM(E50:P50)</f>
        <v>18680</v>
      </c>
      <c r="R50" s="72">
        <v>1490</v>
      </c>
      <c r="S50" s="72">
        <v>1490</v>
      </c>
      <c r="T50" s="72">
        <v>1384.31</v>
      </c>
      <c r="U50" s="72">
        <v>1490</v>
      </c>
      <c r="V50" s="72">
        <v>1490</v>
      </c>
      <c r="W50" s="72">
        <v>1590</v>
      </c>
      <c r="X50" s="72">
        <v>1387.25</v>
      </c>
      <c r="Y50" s="72">
        <v>1390</v>
      </c>
      <c r="Z50" s="72">
        <v>1972</v>
      </c>
      <c r="AA50" s="72">
        <v>1972</v>
      </c>
      <c r="AB50" s="72">
        <v>1972</v>
      </c>
      <c r="AC50" s="72">
        <v>1972</v>
      </c>
      <c r="AD50" s="127">
        <f>SUM(R50:AC50)</f>
        <v>19599.559999999998</v>
      </c>
      <c r="AE50" s="72">
        <f t="shared" si="13"/>
        <v>919.55999999999767</v>
      </c>
      <c r="AF50" s="192">
        <f t="shared" si="1"/>
        <v>4.6917379777913271E-2</v>
      </c>
      <c r="AG50" s="129">
        <v>14320</v>
      </c>
      <c r="AH50" s="251">
        <f t="shared" si="2"/>
        <v>-4360</v>
      </c>
    </row>
    <row r="51" spans="1:34">
      <c r="A51" s="105" t="s">
        <v>122</v>
      </c>
      <c r="B51" s="105" t="s">
        <v>647</v>
      </c>
      <c r="D51" s="105" t="s">
        <v>263</v>
      </c>
      <c r="E51" s="265">
        <v>0</v>
      </c>
      <c r="F51" s="265">
        <v>0</v>
      </c>
      <c r="G51" s="265">
        <v>0</v>
      </c>
      <c r="H51" s="265">
        <v>0</v>
      </c>
      <c r="I51" s="265">
        <v>0</v>
      </c>
      <c r="J51" s="265">
        <v>0</v>
      </c>
      <c r="K51" s="265">
        <v>0</v>
      </c>
      <c r="L51" s="265">
        <v>0</v>
      </c>
      <c r="M51" s="265">
        <v>0</v>
      </c>
      <c r="N51" s="265">
        <v>0</v>
      </c>
      <c r="O51" s="265">
        <v>0</v>
      </c>
      <c r="P51" s="265">
        <v>0</v>
      </c>
      <c r="Q51" s="117">
        <f>SUM(E51:P51)</f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72">
        <v>0</v>
      </c>
      <c r="AD51" s="127">
        <f>SUM(R51:AC51)</f>
        <v>0</v>
      </c>
      <c r="AE51" s="72">
        <f t="shared" si="13"/>
        <v>0</v>
      </c>
      <c r="AF51" s="192" t="e">
        <f t="shared" si="1"/>
        <v>#DIV/0!</v>
      </c>
      <c r="AG51" s="129">
        <v>0</v>
      </c>
      <c r="AH51" s="251">
        <f t="shared" si="2"/>
        <v>0</v>
      </c>
    </row>
    <row r="52" spans="1:34">
      <c r="A52" s="105" t="s">
        <v>123</v>
      </c>
      <c r="B52" s="105" t="s">
        <v>647</v>
      </c>
      <c r="D52" s="105" t="s">
        <v>264</v>
      </c>
      <c r="E52" s="265">
        <v>0</v>
      </c>
      <c r="F52" s="265">
        <v>0</v>
      </c>
      <c r="G52" s="265">
        <v>0</v>
      </c>
      <c r="H52" s="265">
        <v>0</v>
      </c>
      <c r="I52" s="265">
        <v>0</v>
      </c>
      <c r="J52" s="265">
        <v>0</v>
      </c>
      <c r="K52" s="265">
        <v>0</v>
      </c>
      <c r="L52" s="265">
        <v>0</v>
      </c>
      <c r="M52" s="265">
        <v>0</v>
      </c>
      <c r="N52" s="265">
        <v>0</v>
      </c>
      <c r="O52" s="265">
        <v>0</v>
      </c>
      <c r="P52" s="265">
        <v>0</v>
      </c>
      <c r="Q52" s="117">
        <f>SUM(E52:P52)</f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220</v>
      </c>
      <c r="Z52" s="72">
        <v>0</v>
      </c>
      <c r="AA52" s="72">
        <v>0</v>
      </c>
      <c r="AB52" s="72">
        <v>0</v>
      </c>
      <c r="AC52" s="72">
        <v>0</v>
      </c>
      <c r="AD52" s="127">
        <f>SUM(R52:AC52)</f>
        <v>220</v>
      </c>
      <c r="AE52" s="72">
        <f t="shared" si="13"/>
        <v>220</v>
      </c>
      <c r="AF52" s="192">
        <f t="shared" si="1"/>
        <v>1</v>
      </c>
      <c r="AG52" s="129">
        <v>2949.3999999999992</v>
      </c>
      <c r="AH52" s="251">
        <f t="shared" si="2"/>
        <v>2949.3999999999992</v>
      </c>
    </row>
    <row r="53" spans="1:34">
      <c r="D53" s="109" t="s">
        <v>521</v>
      </c>
      <c r="E53" s="117">
        <f t="shared" ref="E53:AD53" si="14">SUM(E48:E52)</f>
        <v>7891.43</v>
      </c>
      <c r="F53" s="117">
        <f t="shared" si="14"/>
        <v>3698.33</v>
      </c>
      <c r="G53" s="117">
        <f t="shared" si="14"/>
        <v>3698.33</v>
      </c>
      <c r="H53" s="117">
        <f t="shared" si="14"/>
        <v>5325.92</v>
      </c>
      <c r="I53" s="117">
        <f t="shared" si="14"/>
        <v>5601.78</v>
      </c>
      <c r="J53" s="117">
        <f t="shared" si="14"/>
        <v>3548.33</v>
      </c>
      <c r="K53" s="117">
        <f t="shared" si="14"/>
        <v>3548.33</v>
      </c>
      <c r="L53" s="117">
        <f t="shared" si="14"/>
        <v>3548.33</v>
      </c>
      <c r="M53" s="117">
        <f t="shared" si="14"/>
        <v>3548.33</v>
      </c>
      <c r="N53" s="117">
        <f t="shared" si="14"/>
        <v>7217.2999999999993</v>
      </c>
      <c r="O53" s="117">
        <f t="shared" si="14"/>
        <v>3548.33</v>
      </c>
      <c r="P53" s="117">
        <f t="shared" si="14"/>
        <v>3548.33</v>
      </c>
      <c r="Q53" s="117">
        <f t="shared" si="14"/>
        <v>54723.070000000007</v>
      </c>
      <c r="R53" s="127">
        <f t="shared" si="14"/>
        <v>5346.79</v>
      </c>
      <c r="S53" s="127">
        <f t="shared" si="14"/>
        <v>8604.2800000000007</v>
      </c>
      <c r="T53" s="127">
        <f t="shared" si="14"/>
        <v>4363.09</v>
      </c>
      <c r="U53" s="127">
        <f t="shared" si="14"/>
        <v>5082.46</v>
      </c>
      <c r="V53" s="127">
        <f t="shared" si="14"/>
        <v>4396.6499999999996</v>
      </c>
      <c r="W53" s="127">
        <f t="shared" si="14"/>
        <v>5198.32</v>
      </c>
      <c r="X53" s="127">
        <f t="shared" si="14"/>
        <v>3345.75</v>
      </c>
      <c r="Y53" s="127">
        <f t="shared" si="14"/>
        <v>3573.08</v>
      </c>
      <c r="Z53" s="127">
        <f t="shared" si="14"/>
        <v>6429.67</v>
      </c>
      <c r="AA53" s="127">
        <f t="shared" si="14"/>
        <v>11411.67</v>
      </c>
      <c r="AB53" s="127">
        <f t="shared" si="14"/>
        <v>3938.67</v>
      </c>
      <c r="AC53" s="127">
        <f t="shared" si="14"/>
        <v>3938.67</v>
      </c>
      <c r="AD53" s="127">
        <f t="shared" si="14"/>
        <v>65629.099999999991</v>
      </c>
      <c r="AE53" s="72">
        <f t="shared" si="13"/>
        <v>10906.029999999984</v>
      </c>
      <c r="AF53" s="192">
        <f t="shared" si="1"/>
        <v>0.16617674171975519</v>
      </c>
      <c r="AG53" s="129">
        <v>78841.489999999991</v>
      </c>
      <c r="AH53" s="251">
        <f t="shared" si="2"/>
        <v>24118.419999999984</v>
      </c>
    </row>
    <row r="54" spans="1:34">
      <c r="D54" s="105" t="s">
        <v>154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7"/>
      <c r="AF54" s="192"/>
      <c r="AG54" s="129"/>
      <c r="AH54" s="251">
        <f t="shared" si="2"/>
        <v>0</v>
      </c>
    </row>
    <row r="55" spans="1:34">
      <c r="A55" s="105" t="s">
        <v>124</v>
      </c>
      <c r="B55" s="105" t="s">
        <v>647</v>
      </c>
      <c r="D55" s="105" t="s">
        <v>266</v>
      </c>
      <c r="E55" s="265">
        <v>2962.4300000000003</v>
      </c>
      <c r="F55" s="265">
        <v>2962.4300000000003</v>
      </c>
      <c r="G55" s="265">
        <v>2962.4300000000003</v>
      </c>
      <c r="H55" s="265">
        <v>2962.4300000000003</v>
      </c>
      <c r="I55" s="265">
        <v>2962.4300000000003</v>
      </c>
      <c r="J55" s="265">
        <v>2790.6800000000003</v>
      </c>
      <c r="K55" s="265">
        <v>2845.12</v>
      </c>
      <c r="L55" s="265">
        <v>2845.12</v>
      </c>
      <c r="M55" s="265">
        <v>2845.12</v>
      </c>
      <c r="N55" s="265">
        <v>2845.12</v>
      </c>
      <c r="O55" s="265">
        <v>2845.12</v>
      </c>
      <c r="P55" s="265">
        <v>2845.12</v>
      </c>
      <c r="Q55" s="117">
        <f>SUM(E55:P55)</f>
        <v>34673.549999999996</v>
      </c>
      <c r="R55" s="72">
        <v>2827.38</v>
      </c>
      <c r="S55" s="72">
        <v>2827.38</v>
      </c>
      <c r="T55" s="72">
        <v>2827.38</v>
      </c>
      <c r="U55" s="72">
        <v>2827.38</v>
      </c>
      <c r="V55" s="72">
        <v>2827.38</v>
      </c>
      <c r="W55" s="72">
        <v>2827.38</v>
      </c>
      <c r="X55" s="72">
        <v>2054.58</v>
      </c>
      <c r="Y55" s="72">
        <v>2827.38</v>
      </c>
      <c r="Z55" s="72">
        <v>4339</v>
      </c>
      <c r="AA55" s="72">
        <v>4339</v>
      </c>
      <c r="AB55" s="72">
        <v>4339</v>
      </c>
      <c r="AC55" s="72">
        <v>4339</v>
      </c>
      <c r="AD55" s="127">
        <f t="shared" ref="AD55:AD62" si="15">SUM(R55:AC55)</f>
        <v>39202.240000000005</v>
      </c>
      <c r="AE55" s="72">
        <f t="shared" ref="AE55:AE63" si="16">AD55-Q55</f>
        <v>4528.6900000000096</v>
      </c>
      <c r="AF55" s="192">
        <f t="shared" si="1"/>
        <v>0.11552120491074003</v>
      </c>
      <c r="AG55" s="129">
        <v>19020.670000000002</v>
      </c>
      <c r="AH55" s="251">
        <f t="shared" si="2"/>
        <v>-15652.879999999994</v>
      </c>
    </row>
    <row r="56" spans="1:34">
      <c r="A56" s="105" t="s">
        <v>125</v>
      </c>
      <c r="B56" s="105" t="s">
        <v>647</v>
      </c>
      <c r="D56" s="105" t="s">
        <v>267</v>
      </c>
      <c r="E56" s="265">
        <v>1200.06</v>
      </c>
      <c r="F56" s="265">
        <v>1200.06</v>
      </c>
      <c r="G56" s="265">
        <v>1200.06</v>
      </c>
      <c r="H56" s="265">
        <v>1200.06</v>
      </c>
      <c r="I56" s="265">
        <v>1200.06</v>
      </c>
      <c r="J56" s="265">
        <v>1130.29</v>
      </c>
      <c r="K56" s="265">
        <v>1148.98</v>
      </c>
      <c r="L56" s="265">
        <v>1148.98</v>
      </c>
      <c r="M56" s="265">
        <v>1148.98</v>
      </c>
      <c r="N56" s="265">
        <v>1148.98</v>
      </c>
      <c r="O56" s="265">
        <v>1148.98</v>
      </c>
      <c r="P56" s="265">
        <v>1148.98</v>
      </c>
      <c r="Q56" s="117">
        <f t="shared" ref="Q56:Q62" si="17">SUM(E56:P56)</f>
        <v>14024.469999999998</v>
      </c>
      <c r="R56" s="72">
        <v>1502.04</v>
      </c>
      <c r="S56" s="72">
        <v>1502.04</v>
      </c>
      <c r="T56" s="72">
        <v>1502.04</v>
      </c>
      <c r="U56" s="72">
        <v>1502.04</v>
      </c>
      <c r="V56" s="72">
        <v>1502.04</v>
      </c>
      <c r="W56" s="72">
        <v>1502.04</v>
      </c>
      <c r="X56" s="72">
        <v>834.67</v>
      </c>
      <c r="Y56" s="72">
        <v>1148.6199999999999</v>
      </c>
      <c r="Z56" s="72">
        <v>2428</v>
      </c>
      <c r="AA56" s="72">
        <v>2428</v>
      </c>
      <c r="AB56" s="72">
        <v>2428</v>
      </c>
      <c r="AC56" s="72">
        <v>2428</v>
      </c>
      <c r="AD56" s="127">
        <f t="shared" si="15"/>
        <v>20707.53</v>
      </c>
      <c r="AE56" s="72">
        <f t="shared" si="16"/>
        <v>6683.0600000000013</v>
      </c>
      <c r="AF56" s="192">
        <f t="shared" si="1"/>
        <v>0.32273573912484982</v>
      </c>
      <c r="AG56" s="129">
        <v>9270.6099999999988</v>
      </c>
      <c r="AH56" s="251">
        <f t="shared" si="2"/>
        <v>-4753.8599999999988</v>
      </c>
    </row>
    <row r="57" spans="1:34">
      <c r="A57" s="105" t="s">
        <v>126</v>
      </c>
      <c r="B57" s="105" t="s">
        <v>647</v>
      </c>
      <c r="D57" s="105" t="s">
        <v>268</v>
      </c>
      <c r="E57" s="265">
        <v>92.32</v>
      </c>
      <c r="F57" s="265">
        <v>92.32</v>
      </c>
      <c r="G57" s="265">
        <v>92.32</v>
      </c>
      <c r="H57" s="265">
        <v>92.32</v>
      </c>
      <c r="I57" s="265">
        <v>92.32</v>
      </c>
      <c r="J57" s="265">
        <v>86.95</v>
      </c>
      <c r="K57" s="265">
        <v>88.39</v>
      </c>
      <c r="L57" s="265">
        <v>88.39</v>
      </c>
      <c r="M57" s="265">
        <v>88.39</v>
      </c>
      <c r="N57" s="265">
        <v>88.39</v>
      </c>
      <c r="O57" s="265">
        <v>88.39</v>
      </c>
      <c r="P57" s="265">
        <v>88.39</v>
      </c>
      <c r="Q57" s="117">
        <f t="shared" si="17"/>
        <v>1078.8899999999999</v>
      </c>
      <c r="R57" s="72">
        <v>88.36</v>
      </c>
      <c r="S57" s="72">
        <v>88.36</v>
      </c>
      <c r="T57" s="72">
        <v>88.36</v>
      </c>
      <c r="U57" s="72">
        <v>88.36</v>
      </c>
      <c r="V57" s="72">
        <v>88.36</v>
      </c>
      <c r="W57" s="72">
        <v>88.36</v>
      </c>
      <c r="X57" s="72">
        <v>64.209999999999994</v>
      </c>
      <c r="Y57" s="72">
        <v>88.36</v>
      </c>
      <c r="Z57" s="72">
        <v>152</v>
      </c>
      <c r="AA57" s="72">
        <v>152</v>
      </c>
      <c r="AB57" s="72">
        <v>152</v>
      </c>
      <c r="AC57" s="72">
        <v>152</v>
      </c>
      <c r="AD57" s="127">
        <f t="shared" si="15"/>
        <v>1290.73</v>
      </c>
      <c r="AE57" s="72">
        <f t="shared" si="16"/>
        <v>211.84000000000015</v>
      </c>
      <c r="AF57" s="192">
        <f t="shared" si="1"/>
        <v>0.16412417779086264</v>
      </c>
      <c r="AG57" s="129">
        <v>568.26</v>
      </c>
      <c r="AH57" s="251">
        <f t="shared" si="2"/>
        <v>-510.62999999999988</v>
      </c>
    </row>
    <row r="58" spans="1:34">
      <c r="A58" s="105" t="s">
        <v>127</v>
      </c>
      <c r="B58" s="105" t="s">
        <v>647</v>
      </c>
      <c r="D58" s="105" t="s">
        <v>269</v>
      </c>
      <c r="E58" s="265">
        <v>22.16</v>
      </c>
      <c r="F58" s="265">
        <v>22.16</v>
      </c>
      <c r="G58" s="265">
        <v>22.16</v>
      </c>
      <c r="H58" s="265">
        <v>22.16</v>
      </c>
      <c r="I58" s="265">
        <v>22.16</v>
      </c>
      <c r="J58" s="265">
        <v>20.87</v>
      </c>
      <c r="K58" s="265">
        <v>21.22</v>
      </c>
      <c r="L58" s="265">
        <v>21.22</v>
      </c>
      <c r="M58" s="265">
        <v>21.22</v>
      </c>
      <c r="N58" s="265">
        <v>21.22</v>
      </c>
      <c r="O58" s="265">
        <v>21.22</v>
      </c>
      <c r="P58" s="265">
        <v>21.22</v>
      </c>
      <c r="Q58" s="117">
        <f t="shared" si="17"/>
        <v>258.99</v>
      </c>
      <c r="R58" s="72">
        <v>21.21</v>
      </c>
      <c r="S58" s="72">
        <v>21.21</v>
      </c>
      <c r="T58" s="72">
        <v>21.21</v>
      </c>
      <c r="U58" s="72">
        <v>21.21</v>
      </c>
      <c r="V58" s="72">
        <v>21.21</v>
      </c>
      <c r="W58" s="72">
        <v>21.21</v>
      </c>
      <c r="X58" s="72">
        <v>15.41</v>
      </c>
      <c r="Y58" s="72">
        <v>21.21</v>
      </c>
      <c r="Z58" s="72">
        <v>46</v>
      </c>
      <c r="AA58" s="72">
        <v>46</v>
      </c>
      <c r="AB58" s="72">
        <v>46</v>
      </c>
      <c r="AC58" s="72">
        <v>46</v>
      </c>
      <c r="AD58" s="127">
        <f t="shared" si="15"/>
        <v>347.88</v>
      </c>
      <c r="AE58" s="72">
        <f t="shared" si="16"/>
        <v>88.889999999999986</v>
      </c>
      <c r="AF58" s="192">
        <f t="shared" si="1"/>
        <v>0.25551914453259739</v>
      </c>
      <c r="AG58" s="129">
        <v>181.89</v>
      </c>
      <c r="AH58" s="251">
        <f t="shared" si="2"/>
        <v>-77.100000000000023</v>
      </c>
    </row>
    <row r="59" spans="1:34">
      <c r="A59" s="105" t="s">
        <v>128</v>
      </c>
      <c r="B59" s="105" t="s">
        <v>647</v>
      </c>
      <c r="D59" s="105" t="s">
        <v>270</v>
      </c>
      <c r="E59" s="265">
        <v>0</v>
      </c>
      <c r="F59" s="265">
        <v>0</v>
      </c>
      <c r="G59" s="265">
        <v>0</v>
      </c>
      <c r="H59" s="265">
        <v>0</v>
      </c>
      <c r="I59" s="265">
        <v>0</v>
      </c>
      <c r="J59" s="265">
        <v>0</v>
      </c>
      <c r="K59" s="265">
        <v>0</v>
      </c>
      <c r="L59" s="265">
        <v>0</v>
      </c>
      <c r="M59" s="265">
        <v>0</v>
      </c>
      <c r="N59" s="265">
        <v>0</v>
      </c>
      <c r="O59" s="265">
        <v>0</v>
      </c>
      <c r="P59" s="265">
        <v>0</v>
      </c>
      <c r="Q59" s="117">
        <f t="shared" si="17"/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72">
        <v>0</v>
      </c>
      <c r="AD59" s="127">
        <f t="shared" si="15"/>
        <v>0</v>
      </c>
      <c r="AE59" s="72">
        <f t="shared" si="16"/>
        <v>0</v>
      </c>
      <c r="AF59" s="192" t="e">
        <f t="shared" si="1"/>
        <v>#DIV/0!</v>
      </c>
      <c r="AG59" s="129">
        <v>388.96</v>
      </c>
      <c r="AH59" s="251">
        <f t="shared" si="2"/>
        <v>388.96</v>
      </c>
    </row>
    <row r="60" spans="1:34">
      <c r="A60" s="105" t="s">
        <v>129</v>
      </c>
      <c r="B60" s="105" t="s">
        <v>647</v>
      </c>
      <c r="D60" s="105" t="s">
        <v>271</v>
      </c>
      <c r="E60" s="265">
        <v>816.62</v>
      </c>
      <c r="F60" s="265">
        <v>816.62</v>
      </c>
      <c r="G60" s="265">
        <v>816.62</v>
      </c>
      <c r="H60" s="265">
        <v>816.62</v>
      </c>
      <c r="I60" s="265">
        <v>816.62</v>
      </c>
      <c r="J60" s="265">
        <v>762.95</v>
      </c>
      <c r="K60" s="265">
        <v>883.83999999999992</v>
      </c>
      <c r="L60" s="265">
        <v>762.95</v>
      </c>
      <c r="M60" s="265">
        <v>762.95</v>
      </c>
      <c r="N60" s="265">
        <v>762.95</v>
      </c>
      <c r="O60" s="265">
        <v>883.83999999999992</v>
      </c>
      <c r="P60" s="265">
        <v>762.95</v>
      </c>
      <c r="Q60" s="117">
        <f t="shared" si="17"/>
        <v>9665.5300000000007</v>
      </c>
      <c r="R60" s="72">
        <v>789</v>
      </c>
      <c r="S60" s="72">
        <v>789</v>
      </c>
      <c r="T60" s="72">
        <v>789</v>
      </c>
      <c r="U60" s="72">
        <v>789</v>
      </c>
      <c r="V60" s="72">
        <v>789</v>
      </c>
      <c r="W60" s="72">
        <v>789</v>
      </c>
      <c r="X60" s="72">
        <v>584</v>
      </c>
      <c r="Y60" s="72">
        <v>734</v>
      </c>
      <c r="Z60" s="72">
        <v>1114</v>
      </c>
      <c r="AA60" s="72">
        <v>1114</v>
      </c>
      <c r="AB60" s="72">
        <v>1114</v>
      </c>
      <c r="AC60" s="72">
        <v>1114</v>
      </c>
      <c r="AD60" s="127">
        <f t="shared" si="15"/>
        <v>10508</v>
      </c>
      <c r="AE60" s="72">
        <f t="shared" si="16"/>
        <v>842.46999999999935</v>
      </c>
      <c r="AF60" s="192">
        <f t="shared" si="1"/>
        <v>8.017415302626564E-2</v>
      </c>
      <c r="AG60" s="129">
        <v>5136</v>
      </c>
      <c r="AH60" s="251">
        <f t="shared" si="2"/>
        <v>-4529.5300000000007</v>
      </c>
    </row>
    <row r="61" spans="1:34">
      <c r="A61" s="105" t="s">
        <v>130</v>
      </c>
      <c r="B61" s="105" t="s">
        <v>647</v>
      </c>
      <c r="D61" s="105" t="s">
        <v>272</v>
      </c>
      <c r="E61" s="265">
        <v>372</v>
      </c>
      <c r="F61" s="265">
        <v>288</v>
      </c>
      <c r="G61" s="265">
        <v>295</v>
      </c>
      <c r="H61" s="265">
        <v>328</v>
      </c>
      <c r="I61" s="265">
        <v>333</v>
      </c>
      <c r="J61" s="265">
        <v>318</v>
      </c>
      <c r="K61" s="265">
        <v>318</v>
      </c>
      <c r="L61" s="265">
        <v>318</v>
      </c>
      <c r="M61" s="265">
        <v>318</v>
      </c>
      <c r="N61" s="265">
        <v>391</v>
      </c>
      <c r="O61" s="265">
        <v>318</v>
      </c>
      <c r="P61" s="265">
        <v>318</v>
      </c>
      <c r="Q61" s="117">
        <f t="shared" si="17"/>
        <v>3915</v>
      </c>
      <c r="R61" s="72">
        <v>279.56</v>
      </c>
      <c r="S61" s="72">
        <v>450.37</v>
      </c>
      <c r="T61" s="72">
        <v>537.94000000000005</v>
      </c>
      <c r="U61" s="72">
        <v>479.68</v>
      </c>
      <c r="V61" s="72">
        <v>493</v>
      </c>
      <c r="W61" s="72">
        <v>332.67</v>
      </c>
      <c r="X61" s="72">
        <v>258.55</v>
      </c>
      <c r="Y61" s="72">
        <v>248.05</v>
      </c>
      <c r="Z61" s="72">
        <v>730</v>
      </c>
      <c r="AA61" s="72">
        <v>730</v>
      </c>
      <c r="AB61" s="72">
        <v>730</v>
      </c>
      <c r="AC61" s="72">
        <v>730</v>
      </c>
      <c r="AD61" s="127">
        <f t="shared" si="15"/>
        <v>5999.8200000000006</v>
      </c>
      <c r="AE61" s="72">
        <f t="shared" si="16"/>
        <v>2084.8200000000006</v>
      </c>
      <c r="AF61" s="192">
        <f t="shared" si="1"/>
        <v>0.34748042441273247</v>
      </c>
      <c r="AG61" s="129">
        <v>6020.54</v>
      </c>
      <c r="AH61" s="251">
        <f t="shared" si="2"/>
        <v>2105.54</v>
      </c>
    </row>
    <row r="62" spans="1:34">
      <c r="A62" s="105" t="s">
        <v>670</v>
      </c>
      <c r="D62" s="105" t="s">
        <v>274</v>
      </c>
      <c r="E62" s="265">
        <v>0</v>
      </c>
      <c r="F62" s="265">
        <v>0</v>
      </c>
      <c r="G62" s="265">
        <v>0</v>
      </c>
      <c r="H62" s="265">
        <v>0</v>
      </c>
      <c r="I62" s="265">
        <v>0</v>
      </c>
      <c r="J62" s="265">
        <v>0</v>
      </c>
      <c r="K62" s="265">
        <v>0</v>
      </c>
      <c r="L62" s="265">
        <v>0</v>
      </c>
      <c r="M62" s="265">
        <v>0</v>
      </c>
      <c r="N62" s="265">
        <v>0</v>
      </c>
      <c r="O62" s="265">
        <v>0</v>
      </c>
      <c r="P62" s="265">
        <v>0</v>
      </c>
      <c r="Q62" s="117">
        <f t="shared" si="17"/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72">
        <v>0</v>
      </c>
      <c r="AD62" s="127">
        <f t="shared" si="15"/>
        <v>0</v>
      </c>
      <c r="AE62" s="72">
        <f t="shared" si="16"/>
        <v>0</v>
      </c>
      <c r="AF62" s="192" t="e">
        <f t="shared" si="1"/>
        <v>#DIV/0!</v>
      </c>
      <c r="AG62" s="129">
        <v>0</v>
      </c>
      <c r="AH62" s="251">
        <f t="shared" si="2"/>
        <v>0</v>
      </c>
    </row>
    <row r="63" spans="1:34">
      <c r="D63" s="109" t="s">
        <v>522</v>
      </c>
      <c r="E63" s="117">
        <f t="shared" ref="E63:AD63" si="18">SUM(E55:E62)</f>
        <v>5465.5899999999992</v>
      </c>
      <c r="F63" s="117">
        <f t="shared" si="18"/>
        <v>5381.5899999999992</v>
      </c>
      <c r="G63" s="117">
        <f t="shared" si="18"/>
        <v>5388.5899999999992</v>
      </c>
      <c r="H63" s="117">
        <f t="shared" si="18"/>
        <v>5421.5899999999992</v>
      </c>
      <c r="I63" s="117">
        <f t="shared" si="18"/>
        <v>5426.5899999999992</v>
      </c>
      <c r="J63" s="117">
        <f t="shared" si="18"/>
        <v>5109.74</v>
      </c>
      <c r="K63" s="117">
        <f t="shared" si="18"/>
        <v>5305.55</v>
      </c>
      <c r="L63" s="117">
        <f t="shared" si="18"/>
        <v>5184.66</v>
      </c>
      <c r="M63" s="117">
        <f t="shared" si="18"/>
        <v>5184.66</v>
      </c>
      <c r="N63" s="117">
        <f t="shared" si="18"/>
        <v>5257.66</v>
      </c>
      <c r="O63" s="117">
        <f t="shared" si="18"/>
        <v>5305.55</v>
      </c>
      <c r="P63" s="117">
        <f t="shared" si="18"/>
        <v>5184.66</v>
      </c>
      <c r="Q63" s="117">
        <f t="shared" si="18"/>
        <v>63616.429999999986</v>
      </c>
      <c r="R63" s="127">
        <f t="shared" si="18"/>
        <v>5507.55</v>
      </c>
      <c r="S63" s="127">
        <f t="shared" si="18"/>
        <v>5678.36</v>
      </c>
      <c r="T63" s="127">
        <f t="shared" si="18"/>
        <v>5765.93</v>
      </c>
      <c r="U63" s="127">
        <f t="shared" si="18"/>
        <v>5707.67</v>
      </c>
      <c r="V63" s="127">
        <f t="shared" si="18"/>
        <v>5720.99</v>
      </c>
      <c r="W63" s="127">
        <f t="shared" si="18"/>
        <v>5560.66</v>
      </c>
      <c r="X63" s="127">
        <f t="shared" si="18"/>
        <v>3811.42</v>
      </c>
      <c r="Y63" s="127">
        <f t="shared" si="18"/>
        <v>5067.62</v>
      </c>
      <c r="Z63" s="127">
        <f t="shared" si="18"/>
        <v>8809</v>
      </c>
      <c r="AA63" s="127">
        <f t="shared" si="18"/>
        <v>8809</v>
      </c>
      <c r="AB63" s="127">
        <f t="shared" si="18"/>
        <v>8809</v>
      </c>
      <c r="AC63" s="127">
        <f t="shared" si="18"/>
        <v>8809</v>
      </c>
      <c r="AD63" s="127">
        <f t="shared" si="18"/>
        <v>78056.200000000012</v>
      </c>
      <c r="AE63" s="72">
        <f t="shared" si="16"/>
        <v>14439.770000000026</v>
      </c>
      <c r="AF63" s="192">
        <f t="shared" si="1"/>
        <v>0.18499196732610637</v>
      </c>
      <c r="AG63" s="129">
        <v>40586.93</v>
      </c>
      <c r="AH63" s="251">
        <f t="shared" si="2"/>
        <v>-23029.499999999985</v>
      </c>
    </row>
    <row r="64" spans="1:34">
      <c r="D64" s="105" t="s">
        <v>154</v>
      </c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7"/>
      <c r="AF64" s="192"/>
      <c r="AG64" s="129"/>
      <c r="AH64" s="251">
        <f t="shared" si="2"/>
        <v>0</v>
      </c>
    </row>
    <row r="65" spans="1:34">
      <c r="A65" s="105" t="s">
        <v>131</v>
      </c>
      <c r="B65" s="105" t="s">
        <v>647</v>
      </c>
      <c r="D65" s="105" t="s">
        <v>276</v>
      </c>
      <c r="E65" s="265">
        <v>0</v>
      </c>
      <c r="F65" s="265">
        <v>0</v>
      </c>
      <c r="G65" s="265">
        <v>0</v>
      </c>
      <c r="H65" s="265">
        <v>0</v>
      </c>
      <c r="I65" s="265">
        <v>0</v>
      </c>
      <c r="J65" s="265">
        <v>0</v>
      </c>
      <c r="K65" s="265">
        <v>0</v>
      </c>
      <c r="L65" s="265">
        <v>0</v>
      </c>
      <c r="M65" s="265">
        <v>0</v>
      </c>
      <c r="N65" s="265">
        <v>0</v>
      </c>
      <c r="O65" s="265">
        <v>0</v>
      </c>
      <c r="P65" s="265">
        <v>0</v>
      </c>
      <c r="Q65" s="117"/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127">
        <f t="shared" ref="AD65:AD73" si="19">SUM(R65:AC65)</f>
        <v>0</v>
      </c>
      <c r="AE65" s="72">
        <f t="shared" ref="AE65:AE75" si="20">AD65-Q65</f>
        <v>0</v>
      </c>
      <c r="AF65" s="192" t="e">
        <f t="shared" si="1"/>
        <v>#DIV/0!</v>
      </c>
      <c r="AG65" s="129">
        <v>0</v>
      </c>
      <c r="AH65" s="251">
        <f t="shared" si="2"/>
        <v>0</v>
      </c>
    </row>
    <row r="66" spans="1:34">
      <c r="A66" s="105" t="s">
        <v>132</v>
      </c>
      <c r="B66" s="105" t="s">
        <v>647</v>
      </c>
      <c r="D66" s="105" t="s">
        <v>277</v>
      </c>
      <c r="E66" s="265">
        <v>0</v>
      </c>
      <c r="F66" s="265">
        <v>0</v>
      </c>
      <c r="G66" s="265">
        <v>0</v>
      </c>
      <c r="H66" s="265">
        <v>0</v>
      </c>
      <c r="I66" s="265">
        <v>0</v>
      </c>
      <c r="J66" s="265">
        <v>0</v>
      </c>
      <c r="K66" s="265">
        <v>0</v>
      </c>
      <c r="L66" s="265">
        <v>0</v>
      </c>
      <c r="M66" s="265">
        <v>0</v>
      </c>
      <c r="N66" s="265">
        <v>0</v>
      </c>
      <c r="O66" s="265">
        <v>0</v>
      </c>
      <c r="P66" s="265">
        <v>0</v>
      </c>
      <c r="Q66" s="117"/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127">
        <f t="shared" si="19"/>
        <v>0</v>
      </c>
      <c r="AE66" s="72">
        <f t="shared" si="20"/>
        <v>0</v>
      </c>
      <c r="AF66" s="192" t="e">
        <f t="shared" si="1"/>
        <v>#DIV/0!</v>
      </c>
      <c r="AG66" s="129">
        <v>0</v>
      </c>
      <c r="AH66" s="251">
        <f t="shared" si="2"/>
        <v>0</v>
      </c>
    </row>
    <row r="67" spans="1:34">
      <c r="A67" s="105" t="s">
        <v>133</v>
      </c>
      <c r="B67" s="105" t="s">
        <v>647</v>
      </c>
      <c r="D67" s="105" t="s">
        <v>278</v>
      </c>
      <c r="E67" s="265">
        <v>0</v>
      </c>
      <c r="F67" s="265">
        <v>0</v>
      </c>
      <c r="G67" s="265">
        <v>0</v>
      </c>
      <c r="H67" s="265">
        <v>0</v>
      </c>
      <c r="I67" s="265">
        <v>0</v>
      </c>
      <c r="J67" s="265">
        <v>0</v>
      </c>
      <c r="K67" s="265">
        <v>0</v>
      </c>
      <c r="L67" s="265">
        <v>0</v>
      </c>
      <c r="M67" s="265">
        <v>0</v>
      </c>
      <c r="N67" s="265">
        <v>0</v>
      </c>
      <c r="O67" s="265">
        <v>0</v>
      </c>
      <c r="P67" s="265">
        <v>0</v>
      </c>
      <c r="Q67" s="117"/>
      <c r="R67" s="72">
        <v>0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127">
        <f t="shared" si="19"/>
        <v>0</v>
      </c>
      <c r="AE67" s="72">
        <f t="shared" si="20"/>
        <v>0</v>
      </c>
      <c r="AF67" s="192" t="e">
        <f t="shared" si="1"/>
        <v>#DIV/0!</v>
      </c>
      <c r="AG67" s="129">
        <v>0</v>
      </c>
      <c r="AH67" s="251">
        <f t="shared" si="2"/>
        <v>0</v>
      </c>
    </row>
    <row r="68" spans="1:34">
      <c r="A68" s="105" t="s">
        <v>134</v>
      </c>
      <c r="B68" s="105" t="s">
        <v>647</v>
      </c>
      <c r="D68" s="105" t="s">
        <v>279</v>
      </c>
      <c r="E68" s="265">
        <v>0</v>
      </c>
      <c r="F68" s="265">
        <v>0</v>
      </c>
      <c r="G68" s="265">
        <v>0</v>
      </c>
      <c r="H68" s="265">
        <v>0</v>
      </c>
      <c r="I68" s="265">
        <v>0</v>
      </c>
      <c r="J68" s="265">
        <v>0</v>
      </c>
      <c r="K68" s="265">
        <v>0</v>
      </c>
      <c r="L68" s="265">
        <v>0</v>
      </c>
      <c r="M68" s="265">
        <v>0</v>
      </c>
      <c r="N68" s="265">
        <v>0</v>
      </c>
      <c r="O68" s="265">
        <v>0</v>
      </c>
      <c r="P68" s="265">
        <v>0</v>
      </c>
      <c r="Q68" s="117">
        <f>SUM(E68:P68)</f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127">
        <f t="shared" si="19"/>
        <v>0</v>
      </c>
      <c r="AE68" s="72">
        <f t="shared" si="20"/>
        <v>0</v>
      </c>
      <c r="AF68" s="192" t="e">
        <f t="shared" si="1"/>
        <v>#DIV/0!</v>
      </c>
      <c r="AG68" s="129">
        <v>0</v>
      </c>
      <c r="AH68" s="251">
        <f t="shared" si="2"/>
        <v>0</v>
      </c>
    </row>
    <row r="69" spans="1:34">
      <c r="A69" s="105" t="s">
        <v>135</v>
      </c>
      <c r="B69" s="105" t="s">
        <v>647</v>
      </c>
      <c r="D69" s="105" t="s">
        <v>280</v>
      </c>
      <c r="E69" s="265">
        <v>68.139999999999986</v>
      </c>
      <c r="F69" s="265">
        <v>68.139999999999986</v>
      </c>
      <c r="G69" s="265">
        <v>68.139999999999986</v>
      </c>
      <c r="H69" s="265">
        <v>68.139999999999986</v>
      </c>
      <c r="I69" s="265">
        <v>68.139999999999986</v>
      </c>
      <c r="J69" s="265">
        <v>68.139999999999986</v>
      </c>
      <c r="K69" s="265">
        <v>68.139999999999986</v>
      </c>
      <c r="L69" s="265">
        <v>68.139999999999986</v>
      </c>
      <c r="M69" s="265">
        <v>68.139999999999986</v>
      </c>
      <c r="N69" s="265">
        <v>68.139999999999986</v>
      </c>
      <c r="O69" s="265">
        <v>68.139999999999986</v>
      </c>
      <c r="P69" s="265">
        <v>68.14</v>
      </c>
      <c r="Q69" s="117">
        <f>SUM(E69:P69)</f>
        <v>817.67999999999984</v>
      </c>
      <c r="R69" s="72">
        <v>56.55</v>
      </c>
      <c r="S69" s="72">
        <v>57.03</v>
      </c>
      <c r="T69" s="72">
        <v>56.55</v>
      </c>
      <c r="U69" s="72">
        <v>56.55</v>
      </c>
      <c r="V69" s="72">
        <v>59.02</v>
      </c>
      <c r="W69" s="72">
        <v>59.28</v>
      </c>
      <c r="X69" s="72">
        <v>59.94</v>
      </c>
      <c r="Y69" s="72">
        <v>58.77</v>
      </c>
      <c r="Z69" s="72">
        <v>106</v>
      </c>
      <c r="AA69" s="72">
        <v>106</v>
      </c>
      <c r="AB69" s="72">
        <v>106</v>
      </c>
      <c r="AC69" s="72">
        <v>106</v>
      </c>
      <c r="AD69" s="127">
        <f t="shared" si="19"/>
        <v>887.69</v>
      </c>
      <c r="AE69" s="72">
        <f t="shared" si="20"/>
        <v>70.010000000000218</v>
      </c>
      <c r="AF69" s="192">
        <f t="shared" si="1"/>
        <v>7.8867622706125129E-2</v>
      </c>
      <c r="AG69" s="129">
        <v>2668.3</v>
      </c>
      <c r="AH69" s="251">
        <f t="shared" si="2"/>
        <v>1850.6200000000003</v>
      </c>
    </row>
    <row r="70" spans="1:34">
      <c r="A70" s="105" t="s">
        <v>281</v>
      </c>
      <c r="B70" s="105" t="s">
        <v>647</v>
      </c>
      <c r="D70" s="105" t="s">
        <v>282</v>
      </c>
      <c r="E70" s="176">
        <v>0</v>
      </c>
      <c r="F70" s="176">
        <v>0</v>
      </c>
      <c r="G70" s="176">
        <v>0</v>
      </c>
      <c r="H70" s="176">
        <v>0</v>
      </c>
      <c r="I70" s="176">
        <v>0</v>
      </c>
      <c r="J70" s="176">
        <v>0</v>
      </c>
      <c r="K70" s="176">
        <v>0</v>
      </c>
      <c r="L70" s="176">
        <v>0</v>
      </c>
      <c r="M70" s="176">
        <v>0</v>
      </c>
      <c r="N70" s="176">
        <v>0</v>
      </c>
      <c r="O70" s="176">
        <v>0</v>
      </c>
      <c r="P70" s="176">
        <v>0</v>
      </c>
      <c r="Q70" s="117">
        <f>SUM(E70:P70)</f>
        <v>0</v>
      </c>
      <c r="R70" s="72">
        <v>65.47</v>
      </c>
      <c r="S70" s="72">
        <v>79.61</v>
      </c>
      <c r="T70" s="72">
        <v>71.33</v>
      </c>
      <c r="U70" s="72">
        <v>72.27</v>
      </c>
      <c r="V70" s="72">
        <v>68</v>
      </c>
      <c r="W70" s="72">
        <v>125.64</v>
      </c>
      <c r="X70" s="72">
        <v>101.6</v>
      </c>
      <c r="Y70" s="72">
        <v>128.31</v>
      </c>
      <c r="Z70" s="72">
        <v>0</v>
      </c>
      <c r="AA70" s="72">
        <v>0</v>
      </c>
      <c r="AB70" s="72">
        <v>0</v>
      </c>
      <c r="AC70" s="72">
        <v>0</v>
      </c>
      <c r="AD70" s="127">
        <f t="shared" si="19"/>
        <v>712.23</v>
      </c>
      <c r="AE70" s="72">
        <f t="shared" si="20"/>
        <v>712.23</v>
      </c>
      <c r="AF70" s="192">
        <f t="shared" si="1"/>
        <v>1</v>
      </c>
      <c r="AG70" s="129">
        <v>41025.619999999995</v>
      </c>
      <c r="AH70" s="251">
        <f t="shared" si="2"/>
        <v>41025.619999999995</v>
      </c>
    </row>
    <row r="71" spans="1:34">
      <c r="A71" s="105" t="s">
        <v>137</v>
      </c>
      <c r="B71" s="105" t="s">
        <v>647</v>
      </c>
      <c r="D71" s="105" t="s">
        <v>283</v>
      </c>
      <c r="E71" s="176">
        <v>4830.18</v>
      </c>
      <c r="F71" s="176">
        <v>4076.18</v>
      </c>
      <c r="G71" s="176">
        <v>4075.37</v>
      </c>
      <c r="H71" s="176">
        <v>4124.37</v>
      </c>
      <c r="I71" s="176">
        <v>4441.18</v>
      </c>
      <c r="J71" s="176">
        <v>4136.88</v>
      </c>
      <c r="K71" s="176">
        <v>4115.88</v>
      </c>
      <c r="L71" s="176">
        <v>4112.88</v>
      </c>
      <c r="M71" s="176">
        <v>4134.88</v>
      </c>
      <c r="N71" s="176">
        <v>4764.3999999999996</v>
      </c>
      <c r="O71" s="176">
        <v>4114.37</v>
      </c>
      <c r="P71" s="176">
        <v>4111.37</v>
      </c>
      <c r="Q71" s="117">
        <f>SUM(E71:P71)</f>
        <v>51037.94</v>
      </c>
      <c r="R71" s="72">
        <v>4743.59</v>
      </c>
      <c r="S71" s="72">
        <v>3626.68</v>
      </c>
      <c r="T71" s="72">
        <v>3479.97</v>
      </c>
      <c r="U71" s="72">
        <v>3334.25</v>
      </c>
      <c r="V71" s="72">
        <v>2469.9299999999998</v>
      </c>
      <c r="W71" s="72">
        <v>2801.09</v>
      </c>
      <c r="X71" s="72">
        <v>2751.14</v>
      </c>
      <c r="Y71" s="72">
        <v>2842.14</v>
      </c>
      <c r="Z71" s="72">
        <v>9956</v>
      </c>
      <c r="AA71" s="72">
        <v>11051</v>
      </c>
      <c r="AB71" s="72">
        <v>10089</v>
      </c>
      <c r="AC71" s="72">
        <v>10089</v>
      </c>
      <c r="AD71" s="127">
        <f t="shared" si="19"/>
        <v>67233.789999999994</v>
      </c>
      <c r="AE71" s="72">
        <f t="shared" si="20"/>
        <v>16195.849999999991</v>
      </c>
      <c r="AF71" s="192">
        <f t="shared" si="1"/>
        <v>0.24088854726172648</v>
      </c>
      <c r="AG71" s="129">
        <v>142632.28</v>
      </c>
      <c r="AH71" s="251">
        <f t="shared" si="2"/>
        <v>91594.34</v>
      </c>
    </row>
    <row r="72" spans="1:34">
      <c r="A72" s="105" t="s">
        <v>138</v>
      </c>
      <c r="B72" s="105" t="s">
        <v>647</v>
      </c>
      <c r="D72" s="105" t="s">
        <v>472</v>
      </c>
      <c r="E72" s="116">
        <v>0</v>
      </c>
      <c r="F72" s="116">
        <v>0</v>
      </c>
      <c r="G72" s="116">
        <v>0</v>
      </c>
      <c r="H72" s="116">
        <v>0</v>
      </c>
      <c r="I72" s="116">
        <v>0</v>
      </c>
      <c r="J72" s="116">
        <v>0</v>
      </c>
      <c r="K72" s="116">
        <v>0</v>
      </c>
      <c r="L72" s="116">
        <v>0</v>
      </c>
      <c r="M72" s="116">
        <v>0</v>
      </c>
      <c r="N72" s="116">
        <v>0</v>
      </c>
      <c r="O72" s="116">
        <v>0</v>
      </c>
      <c r="P72" s="116">
        <v>0</v>
      </c>
      <c r="Q72" s="117"/>
      <c r="R72" s="72">
        <v>0</v>
      </c>
      <c r="S72" s="72">
        <v>0</v>
      </c>
      <c r="T72" s="72">
        <v>0</v>
      </c>
      <c r="U72" s="72">
        <v>0</v>
      </c>
      <c r="V72" s="72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72">
        <v>0</v>
      </c>
      <c r="AD72" s="127">
        <f t="shared" si="19"/>
        <v>0</v>
      </c>
      <c r="AE72" s="72">
        <f t="shared" si="20"/>
        <v>0</v>
      </c>
      <c r="AF72" s="192" t="e">
        <f t="shared" si="1"/>
        <v>#DIV/0!</v>
      </c>
      <c r="AG72" s="129">
        <v>0</v>
      </c>
      <c r="AH72" s="251">
        <f t="shared" si="2"/>
        <v>0</v>
      </c>
    </row>
    <row r="73" spans="1:34">
      <c r="A73" s="105" t="s">
        <v>140</v>
      </c>
      <c r="B73" s="105" t="s">
        <v>647</v>
      </c>
      <c r="D73" s="105" t="s">
        <v>473</v>
      </c>
      <c r="E73" s="116">
        <v>0</v>
      </c>
      <c r="F73" s="116">
        <v>0</v>
      </c>
      <c r="G73" s="116">
        <v>0</v>
      </c>
      <c r="H73" s="116">
        <v>0</v>
      </c>
      <c r="I73" s="116">
        <v>0</v>
      </c>
      <c r="J73" s="116">
        <v>0</v>
      </c>
      <c r="K73" s="116">
        <v>0</v>
      </c>
      <c r="L73" s="116">
        <v>0</v>
      </c>
      <c r="M73" s="116">
        <v>0</v>
      </c>
      <c r="N73" s="116">
        <v>0</v>
      </c>
      <c r="O73" s="116">
        <v>0</v>
      </c>
      <c r="P73" s="116">
        <v>0</v>
      </c>
      <c r="Q73" s="117"/>
      <c r="R73" s="72">
        <v>0</v>
      </c>
      <c r="S73" s="72">
        <v>0</v>
      </c>
      <c r="T73" s="72">
        <v>0</v>
      </c>
      <c r="U73" s="72">
        <v>0</v>
      </c>
      <c r="V73" s="72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72">
        <v>0</v>
      </c>
      <c r="AD73" s="127">
        <f t="shared" si="19"/>
        <v>0</v>
      </c>
      <c r="AE73" s="72">
        <f t="shared" si="20"/>
        <v>0</v>
      </c>
      <c r="AF73" s="192" t="e">
        <f t="shared" si="1"/>
        <v>#DIV/0!</v>
      </c>
      <c r="AG73" s="129">
        <v>0</v>
      </c>
      <c r="AH73" s="251">
        <f t="shared" si="2"/>
        <v>0</v>
      </c>
    </row>
    <row r="74" spans="1:34">
      <c r="D74" s="109" t="s">
        <v>523</v>
      </c>
      <c r="E74" s="117">
        <f t="shared" ref="E74:AD74" si="21">SUM(E68:E71)</f>
        <v>4898.3200000000006</v>
      </c>
      <c r="F74" s="117">
        <f t="shared" si="21"/>
        <v>4144.32</v>
      </c>
      <c r="G74" s="117">
        <f t="shared" si="21"/>
        <v>4143.51</v>
      </c>
      <c r="H74" s="117">
        <f t="shared" si="21"/>
        <v>4192.51</v>
      </c>
      <c r="I74" s="117">
        <f t="shared" si="21"/>
        <v>4509.3200000000006</v>
      </c>
      <c r="J74" s="117">
        <f t="shared" si="21"/>
        <v>4205.0200000000004</v>
      </c>
      <c r="K74" s="117">
        <f t="shared" si="21"/>
        <v>4184.0200000000004</v>
      </c>
      <c r="L74" s="117">
        <f t="shared" si="21"/>
        <v>4181.0200000000004</v>
      </c>
      <c r="M74" s="117">
        <f t="shared" si="21"/>
        <v>4203.0200000000004</v>
      </c>
      <c r="N74" s="117">
        <f t="shared" si="21"/>
        <v>4832.54</v>
      </c>
      <c r="O74" s="117">
        <f t="shared" si="21"/>
        <v>4182.51</v>
      </c>
      <c r="P74" s="117">
        <f t="shared" si="21"/>
        <v>4179.51</v>
      </c>
      <c r="Q74" s="117">
        <f t="shared" si="21"/>
        <v>51855.62</v>
      </c>
      <c r="R74" s="127">
        <f t="shared" si="21"/>
        <v>4865.6100000000006</v>
      </c>
      <c r="S74" s="127">
        <f t="shared" si="21"/>
        <v>3763.3199999999997</v>
      </c>
      <c r="T74" s="127">
        <f t="shared" si="21"/>
        <v>3607.85</v>
      </c>
      <c r="U74" s="127">
        <f t="shared" si="21"/>
        <v>3463.07</v>
      </c>
      <c r="V74" s="127">
        <f t="shared" si="21"/>
        <v>2596.9499999999998</v>
      </c>
      <c r="W74" s="127">
        <f t="shared" si="21"/>
        <v>2986.01</v>
      </c>
      <c r="X74" s="127">
        <f t="shared" si="21"/>
        <v>2912.68</v>
      </c>
      <c r="Y74" s="127">
        <f t="shared" si="21"/>
        <v>3029.22</v>
      </c>
      <c r="Z74" s="127">
        <f t="shared" si="21"/>
        <v>10062</v>
      </c>
      <c r="AA74" s="127">
        <f t="shared" si="21"/>
        <v>11157</v>
      </c>
      <c r="AB74" s="127">
        <f t="shared" si="21"/>
        <v>10195</v>
      </c>
      <c r="AC74" s="127">
        <f t="shared" si="21"/>
        <v>10195</v>
      </c>
      <c r="AD74" s="127">
        <f t="shared" si="21"/>
        <v>68833.709999999992</v>
      </c>
      <c r="AE74" s="72">
        <f t="shared" si="20"/>
        <v>16978.089999999989</v>
      </c>
      <c r="AF74" s="192">
        <f>AE74/AD74</f>
        <v>0.24665371080535964</v>
      </c>
      <c r="AG74" s="129">
        <v>186326.2</v>
      </c>
      <c r="AH74" s="251">
        <f t="shared" si="2"/>
        <v>134470.58000000002</v>
      </c>
    </row>
    <row r="75" spans="1:34">
      <c r="D75" s="109" t="s">
        <v>524</v>
      </c>
      <c r="E75" s="117">
        <f t="shared" ref="E75:AD75" si="22">+E46+E53+E63+E74</f>
        <v>28965.34</v>
      </c>
      <c r="F75" s="117">
        <f t="shared" si="22"/>
        <v>23934.239999999998</v>
      </c>
      <c r="G75" s="117">
        <f t="shared" si="22"/>
        <v>24284.68</v>
      </c>
      <c r="H75" s="117">
        <f t="shared" si="22"/>
        <v>25994.269999999997</v>
      </c>
      <c r="I75" s="117">
        <f t="shared" si="22"/>
        <v>26591.94</v>
      </c>
      <c r="J75" s="117">
        <f t="shared" si="22"/>
        <v>25198.720000000001</v>
      </c>
      <c r="K75" s="117">
        <f t="shared" si="22"/>
        <v>25373.530000000002</v>
      </c>
      <c r="L75" s="117">
        <f t="shared" si="22"/>
        <v>25249.640000000003</v>
      </c>
      <c r="M75" s="117">
        <f t="shared" si="22"/>
        <v>25271.640000000003</v>
      </c>
      <c r="N75" s="117">
        <f t="shared" si="22"/>
        <v>29643.13</v>
      </c>
      <c r="O75" s="117">
        <f t="shared" si="22"/>
        <v>25372.020000000004</v>
      </c>
      <c r="P75" s="117">
        <f t="shared" si="22"/>
        <v>25248.130000000005</v>
      </c>
      <c r="Q75" s="117">
        <f t="shared" si="22"/>
        <v>311127.27999999997</v>
      </c>
      <c r="R75" s="127">
        <f t="shared" si="22"/>
        <v>27519.95</v>
      </c>
      <c r="S75" s="127">
        <f t="shared" si="22"/>
        <v>29845.96</v>
      </c>
      <c r="T75" s="127">
        <f t="shared" si="22"/>
        <v>25467.899999999998</v>
      </c>
      <c r="U75" s="127">
        <f t="shared" si="22"/>
        <v>26053.199999999997</v>
      </c>
      <c r="V75" s="127">
        <f t="shared" si="22"/>
        <v>24514.59</v>
      </c>
      <c r="W75" s="127">
        <f t="shared" si="22"/>
        <v>25544.989999999998</v>
      </c>
      <c r="X75" s="127">
        <f t="shared" si="22"/>
        <v>21330.080000000002</v>
      </c>
      <c r="Y75" s="127">
        <f t="shared" si="22"/>
        <v>22642.34</v>
      </c>
      <c r="Z75" s="127">
        <f t="shared" si="22"/>
        <v>37100.67</v>
      </c>
      <c r="AA75" s="127">
        <f t="shared" si="22"/>
        <v>43177.67</v>
      </c>
      <c r="AB75" s="127">
        <f t="shared" si="22"/>
        <v>34742.67</v>
      </c>
      <c r="AC75" s="127">
        <f t="shared" si="22"/>
        <v>34742.67</v>
      </c>
      <c r="AD75" s="127">
        <f t="shared" si="22"/>
        <v>352682.68999999994</v>
      </c>
      <c r="AE75" s="72">
        <f t="shared" si="20"/>
        <v>41555.409999999974</v>
      </c>
      <c r="AF75" s="192">
        <f>AE75/AD75</f>
        <v>0.11782662199837475</v>
      </c>
      <c r="AG75" s="129">
        <v>539538.33000000007</v>
      </c>
      <c r="AH75" s="251">
        <f t="shared" si="2"/>
        <v>228411.0500000001</v>
      </c>
    </row>
    <row r="76" spans="1:34">
      <c r="D76" s="105" t="s">
        <v>154</v>
      </c>
      <c r="AF76" s="192"/>
      <c r="AG76" s="129"/>
      <c r="AH76" s="251">
        <f t="shared" si="2"/>
        <v>0</v>
      </c>
    </row>
    <row r="77" spans="1:34" s="109" customFormat="1">
      <c r="A77" s="109" t="s">
        <v>141</v>
      </c>
      <c r="B77" s="109" t="s">
        <v>647</v>
      </c>
      <c r="D77" s="109" t="s">
        <v>142</v>
      </c>
      <c r="E77" s="215">
        <v>3</v>
      </c>
      <c r="F77" s="215">
        <v>3</v>
      </c>
      <c r="G77" s="215">
        <v>3</v>
      </c>
      <c r="H77" s="215">
        <v>3</v>
      </c>
      <c r="I77" s="215">
        <v>3</v>
      </c>
      <c r="J77" s="215">
        <v>3</v>
      </c>
      <c r="K77" s="215">
        <v>3</v>
      </c>
      <c r="L77" s="215">
        <v>3</v>
      </c>
      <c r="M77" s="215">
        <v>3</v>
      </c>
      <c r="N77" s="215">
        <v>3</v>
      </c>
      <c r="O77" s="215">
        <v>3</v>
      </c>
      <c r="P77" s="215">
        <v>3</v>
      </c>
      <c r="Q77" s="127">
        <f>SUM(E77:P77)/12</f>
        <v>3</v>
      </c>
      <c r="R77" s="127">
        <v>3</v>
      </c>
      <c r="S77" s="127">
        <v>3</v>
      </c>
      <c r="T77" s="127">
        <v>3</v>
      </c>
      <c r="U77" s="127">
        <v>3</v>
      </c>
      <c r="V77" s="127">
        <v>3</v>
      </c>
      <c r="W77" s="127">
        <v>3</v>
      </c>
      <c r="X77" s="127">
        <v>3</v>
      </c>
      <c r="Y77" s="127">
        <v>3</v>
      </c>
      <c r="Z77" s="127">
        <v>4</v>
      </c>
      <c r="AA77" s="127">
        <v>4</v>
      </c>
      <c r="AB77" s="127">
        <v>4</v>
      </c>
      <c r="AC77" s="127">
        <v>4</v>
      </c>
      <c r="AD77" s="127">
        <f>SUM(R77:AC77)/12</f>
        <v>3.3333333333333335</v>
      </c>
      <c r="AE77" s="127">
        <f>AD77-Q77</f>
        <v>0.33333333333333348</v>
      </c>
      <c r="AF77" s="132">
        <f>AE77/AD77</f>
        <v>0.10000000000000003</v>
      </c>
      <c r="AG77" s="129">
        <v>9.6666666666666661</v>
      </c>
      <c r="AH77" s="129">
        <f t="shared" si="2"/>
        <v>6.6666666666666661</v>
      </c>
    </row>
    <row r="79" spans="1:34">
      <c r="Q79" s="127">
        <f>Q75/Q77</f>
        <v>103709.09333333332</v>
      </c>
      <c r="AD79" s="127">
        <f>AD75/AD77</f>
        <v>105804.80699999997</v>
      </c>
    </row>
    <row r="81" spans="4:17">
      <c r="D81" s="151" t="s">
        <v>292</v>
      </c>
      <c r="E81" s="72">
        <v>1890</v>
      </c>
      <c r="F81" s="72">
        <v>1890</v>
      </c>
      <c r="G81" s="72">
        <v>1890</v>
      </c>
      <c r="H81" s="72">
        <v>1890</v>
      </c>
      <c r="I81" s="72">
        <v>1890</v>
      </c>
      <c r="J81" s="72">
        <v>1890</v>
      </c>
      <c r="K81" s="72">
        <v>1890</v>
      </c>
      <c r="L81" s="72">
        <v>1890</v>
      </c>
      <c r="M81" s="72">
        <v>1890</v>
      </c>
      <c r="N81" s="72">
        <v>1890</v>
      </c>
      <c r="O81" s="72">
        <v>1890</v>
      </c>
      <c r="P81" s="72">
        <v>1890</v>
      </c>
      <c r="Q81" s="117">
        <f t="shared" ref="Q81:Q83" si="23">SUM(E81:P81)</f>
        <v>22680</v>
      </c>
    </row>
    <row r="82" spans="4:17">
      <c r="D82" s="152" t="s">
        <v>366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17">
        <f t="shared" si="23"/>
        <v>0</v>
      </c>
    </row>
    <row r="83" spans="4:17">
      <c r="D83" s="151" t="s">
        <v>367</v>
      </c>
      <c r="E83" s="136">
        <v>38122.269999999997</v>
      </c>
      <c r="F83" s="136">
        <v>29834.479999999996</v>
      </c>
      <c r="G83" s="136">
        <v>29892.479999999996</v>
      </c>
      <c r="H83" s="136">
        <v>31292.440000000002</v>
      </c>
      <c r="I83" s="136">
        <v>34081.360000000001</v>
      </c>
      <c r="J83" s="136">
        <v>29979.479999999996</v>
      </c>
      <c r="K83" s="136">
        <v>30635.809999999998</v>
      </c>
      <c r="L83" s="136">
        <v>30627.809999999998</v>
      </c>
      <c r="M83" s="136">
        <v>30685.809999999998</v>
      </c>
      <c r="N83" s="136">
        <v>35931.17</v>
      </c>
      <c r="O83" s="136">
        <v>30708.809999999998</v>
      </c>
      <c r="P83" s="136">
        <v>30700.809999999998</v>
      </c>
      <c r="Q83" s="117">
        <f t="shared" si="23"/>
        <v>382492.73</v>
      </c>
    </row>
    <row r="84" spans="4:17">
      <c r="D84" s="109" t="s">
        <v>476</v>
      </c>
      <c r="E84" s="117">
        <f>SUM(E81:E83)</f>
        <v>40012.269999999997</v>
      </c>
      <c r="F84" s="117">
        <f t="shared" ref="F84:Q84" si="24">SUM(F81:F83)</f>
        <v>31724.479999999996</v>
      </c>
      <c r="G84" s="117">
        <f t="shared" si="24"/>
        <v>31782.479999999996</v>
      </c>
      <c r="H84" s="117">
        <f t="shared" si="24"/>
        <v>33182.44</v>
      </c>
      <c r="I84" s="117">
        <f t="shared" si="24"/>
        <v>35971.360000000001</v>
      </c>
      <c r="J84" s="117">
        <f t="shared" si="24"/>
        <v>31869.479999999996</v>
      </c>
      <c r="K84" s="117">
        <f t="shared" si="24"/>
        <v>32525.809999999998</v>
      </c>
      <c r="L84" s="117">
        <f t="shared" si="24"/>
        <v>32517.809999999998</v>
      </c>
      <c r="M84" s="117">
        <f t="shared" si="24"/>
        <v>32575.809999999998</v>
      </c>
      <c r="N84" s="117">
        <f t="shared" si="24"/>
        <v>37821.17</v>
      </c>
      <c r="O84" s="117">
        <f t="shared" si="24"/>
        <v>32598.809999999998</v>
      </c>
      <c r="P84" s="117">
        <f t="shared" si="24"/>
        <v>32590.809999999998</v>
      </c>
      <c r="Q84" s="117">
        <f t="shared" si="24"/>
        <v>405172.73</v>
      </c>
    </row>
  </sheetData>
  <phoneticPr fontId="7" type="noConversion"/>
  <dataValidations count="115">
    <dataValidation type="textLength" errorStyle="information" allowBlank="1" showInputMessage="1" showErrorMessage="1" error="XLBVal:6=493_x000d__x000a_" sqref="V61">
      <formula1>0</formula1>
      <formula2>300</formula2>
    </dataValidation>
    <dataValidation type="textLength" errorStyle="information" allowBlank="1" showInputMessage="1" showErrorMessage="1" error="XLBVal:6=479.68_x000d__x000a_" sqref="U61">
      <formula1>0</formula1>
      <formula2>300</formula2>
    </dataValidation>
    <dataValidation type="textLength" errorStyle="information" allowBlank="1" showInputMessage="1" showErrorMessage="1" error="XLBVal:6=1384.31_x000d__x000a_" sqref="T50">
      <formula1>0</formula1>
      <formula2>300</formula2>
    </dataValidation>
    <dataValidation type="textLength" errorStyle="information" allowBlank="1" showInputMessage="1" showErrorMessage="1" error="XLBVal:6=0_x000d__x000a_" sqref="U28">
      <formula1>0</formula1>
      <formula2>300</formula2>
    </dataValidation>
    <dataValidation type="textLength" errorStyle="information" allowBlank="1" showInputMessage="1" showErrorMessage="1" error="XLBVal:6=242_x000d__x000a_" sqref="R28:T28">
      <formula1>0</formula1>
      <formula2>300</formula2>
    </dataValidation>
    <dataValidation type="textLength" errorStyle="information" allowBlank="1" showInputMessage="1" showErrorMessage="1" error="XLBVal:6=28592.2_x000d__x000a_" sqref="V22">
      <formula1>0</formula1>
      <formula2>300</formula2>
    </dataValidation>
    <dataValidation type="textLength" errorStyle="information" allowBlank="1" showInputMessage="1" showErrorMessage="1" error="XLBVal:6=25465.73_x000d__x000a_" sqref="U22">
      <formula1>0</formula1>
      <formula2>300</formula2>
    </dataValidation>
    <dataValidation type="textLength" errorStyle="information" allowBlank="1" showInputMessage="1" showErrorMessage="1" error="XLBVal:6=43822.36_x000d__x000a_" sqref="T22">
      <formula1>0</formula1>
      <formula2>300</formula2>
    </dataValidation>
    <dataValidation type="textLength" errorStyle="information" allowBlank="1" showInputMessage="1" showErrorMessage="1" error="XLBVal:6=49825.5_x000d__x000a_" sqref="S22">
      <formula1>0</formula1>
      <formula2>300</formula2>
    </dataValidation>
    <dataValidation type="textLength" errorStyle="information" allowBlank="1" showInputMessage="1" showErrorMessage="1" error="XLBVal:6=1.25_x000d__x000a_" sqref="V10">
      <formula1>0</formula1>
      <formula2>300</formula2>
    </dataValidation>
    <dataValidation type="textLength" errorStyle="information" allowBlank="1" showInputMessage="1" showErrorMessage="1" error="XLBVal:6=34143_x000d__x000a_" sqref="E44:E45 E48:P52 E55:P62 E65:P69 E77:P77">
      <formula1>0</formula1>
      <formula2>300</formula2>
    </dataValidation>
    <dataValidation type="textLength" errorStyle="information" allowBlank="1" showInputMessage="1" showErrorMessage="1" error="XLBVal:6=1590_x000d__x000a_" sqref="W50">
      <formula1>0</formula1>
      <formula2>300</formula2>
    </dataValidation>
    <dataValidation type="textLength" errorStyle="information" allowBlank="1" showInputMessage="1" showErrorMessage="1" error="XLBVal:6=1980.73_x000d__x000a_" sqref="W49">
      <formula1>0</formula1>
      <formula2>300</formula2>
    </dataValidation>
    <dataValidation type="textLength" errorStyle="information" allowBlank="1" showInputMessage="1" showErrorMessage="1" error="XLBVal:6=1968.73_x000d__x000a_" sqref="V49">
      <formula1>0</formula1>
      <formula2>300</formula2>
    </dataValidation>
    <dataValidation type="textLength" errorStyle="information" allowBlank="1" showInputMessage="1" showErrorMessage="1" error="XLBVal:6=1964.87_x000d__x000a_" sqref="U49">
      <formula1>0</formula1>
      <formula2>300</formula2>
    </dataValidation>
    <dataValidation type="textLength" errorStyle="information" allowBlank="1" showInputMessage="1" showErrorMessage="1" error="XLBVal:6=36716.54_x000d__x000a_" sqref="R22">
      <formula1>0</formula1>
      <formula2>300</formula2>
    </dataValidation>
    <dataValidation type="textLength" errorStyle="information" allowBlank="1" showInputMessage="1" showErrorMessage="1" error="XLBVal:6=18.84_x000d__x000a_" sqref="AC10">
      <formula1>0</formula1>
      <formula2>300</formula2>
    </dataValidation>
    <dataValidation type="textLength" errorStyle="information" allowBlank="1" showInputMessage="1" showErrorMessage="1" error="XLBVal:6=4.67_x000d__x000a_" sqref="AC9">
      <formula1>0</formula1>
      <formula2>300</formula2>
    </dataValidation>
    <dataValidation type="textLength" errorStyle="information" allowBlank="1" showInputMessage="1" showErrorMessage="1" error="XLBVal:6=-7.78_x000d__x000a_" sqref="AB10">
      <formula1>0</formula1>
      <formula2>300</formula2>
    </dataValidation>
    <dataValidation type="textLength" errorStyle="information" allowBlank="1" showInputMessage="1" showErrorMessage="1" error="XLBVal:6=19.85_x000d__x000a_" sqref="AA10">
      <formula1>0</formula1>
      <formula2>300</formula2>
    </dataValidation>
    <dataValidation type="textLength" errorStyle="information" allowBlank="1" showInputMessage="1" showErrorMessage="1" error="XLBVal:6=5.57_x000d__x000a_" sqref="AA9">
      <formula1>0</formula1>
      <formula2>300</formula2>
    </dataValidation>
    <dataValidation type="textLength" errorStyle="information" allowBlank="1" showInputMessage="1" showErrorMessage="1" error="XLBVal:6=-167.82_x000d__x000a_" sqref="Z10">
      <formula1>0</formula1>
      <formula2>300</formula2>
    </dataValidation>
    <dataValidation type="textLength" errorStyle="information" allowBlank="1" showInputMessage="1" showErrorMessage="1" error="XLBVal:6=15000_x000d__x000a_" sqref="F44:P45">
      <formula1>0</formula1>
      <formula2>300</formula2>
    </dataValidation>
    <dataValidation type="textLength" errorStyle="information" allowBlank="1" showInputMessage="1" showErrorMessage="1" error="XLBVal:6=132.36_x000d__x000a_" sqref="Y10">
      <formula1>0</formula1>
      <formula2>300</formula2>
    </dataValidation>
    <dataValidation type="textLength" errorStyle="information" allowBlank="1" showInputMessage="1" showErrorMessage="1" error="XLBVal:6=29.36_x000d__x000a_" sqref="Y9">
      <formula1>0</formula1>
      <formula2>300</formula2>
    </dataValidation>
    <dataValidation type="textLength" errorStyle="information" allowBlank="1" showInputMessage="1" showErrorMessage="1" error="XLBVal:6=3626.68_x000d__x000a_" sqref="S71">
      <formula1>0</formula1>
      <formula2>300</formula2>
    </dataValidation>
    <dataValidation type="textLength" errorStyle="information" allowBlank="1" showInputMessage="1" showErrorMessage="1" error="XLBVal:6=4743.59_x000d__x000a_" sqref="R71">
      <formula1>0</formula1>
      <formula2>300</formula2>
    </dataValidation>
    <dataValidation type="textLength" errorStyle="information" allowBlank="1" showInputMessage="1" showErrorMessage="1" error="XLBVal:6=79.61_x000d__x000a_" sqref="S70">
      <formula1>0</formula1>
      <formula2>300</formula2>
    </dataValidation>
    <dataValidation type="textLength" errorStyle="information" allowBlank="1" showInputMessage="1" showErrorMessage="1" error="XLBVal:6=65.47_x000d__x000a_" sqref="R70">
      <formula1>0</formula1>
      <formula2>300</formula2>
    </dataValidation>
    <dataValidation type="textLength" errorStyle="information" allowBlank="1" showInputMessage="1" showErrorMessage="1" error="XLBVal:6=57.03_x000d__x000a_" sqref="S69">
      <formula1>0</formula1>
      <formula2>300</formula2>
    </dataValidation>
    <dataValidation type="textLength" errorStyle="information" allowBlank="1" showInputMessage="1" showErrorMessage="1" error="XLBVal:6=537.94_x000d__x000a_" sqref="T61">
      <formula1>0</formula1>
      <formula2>300</formula2>
    </dataValidation>
    <dataValidation type="textLength" errorStyle="information" allowBlank="1" showInputMessage="1" showErrorMessage="1" error="XLBVal:6=450.37_x000d__x000a_" sqref="S61">
      <formula1>0</formula1>
      <formula2>300</formula2>
    </dataValidation>
    <dataValidation type="textLength" errorStyle="information" allowBlank="1" showInputMessage="1" showErrorMessage="1" error="XLBVal:6=279.56_x000d__x000a_" sqref="R61">
      <formula1>0</formula1>
      <formula2>300</formula2>
    </dataValidation>
    <dataValidation type="textLength" errorStyle="information" allowBlank="1" showInputMessage="1" showErrorMessage="1" error="XLBVal:6=5.59_x000d__x000a_" sqref="T9">
      <formula1>0</formula1>
      <formula2>300</formula2>
    </dataValidation>
    <dataValidation type="textLength" errorStyle="information" allowBlank="1" showInputMessage="1" showErrorMessage="1" error="XLBVal:6=2921.18_x000d__x000a_" sqref="S49">
      <formula1>0</formula1>
      <formula2>300</formula2>
    </dataValidation>
    <dataValidation type="textLength" errorStyle="information" allowBlank="1" showInputMessage="1" showErrorMessage="1" error="XLBVal:6=937.92_x000d__x000a_" sqref="V48 R48">
      <formula1>0</formula1>
      <formula2>300</formula2>
    </dataValidation>
    <dataValidation type="textLength" errorStyle="information" allowBlank="1" showInputMessage="1" showErrorMessage="1" error="XLBVal:6=1627.59_x000d__x000a_" sqref="U48 W48">
      <formula1>0</formula1>
      <formula2>300</formula2>
    </dataValidation>
    <dataValidation type="textLength" errorStyle="information" allowBlank="1" showInputMessage="1" showErrorMessage="1" error="XLBVal:6=4193.1_x000d__x000a_" sqref="S48">
      <formula1>0</formula1>
      <formula2>300</formula2>
    </dataValidation>
    <dataValidation type="textLength" errorStyle="information" allowBlank="1" showInputMessage="1" showErrorMessage="1" error="XLBVal:6=44.4_x000d__x000a_" sqref="W36">
      <formula1>0</formula1>
      <formula2>300</formula2>
    </dataValidation>
    <dataValidation type="textLength" errorStyle="information" allowBlank="1" showInputMessage="1" showErrorMessage="1" error="XLBVal:6=35.3_x000d__x000a_" sqref="U36:V36">
      <formula1>0</formula1>
      <formula2>300</formula2>
    </dataValidation>
    <dataValidation type="textLength" errorStyle="information" allowBlank="1" showInputMessage="1" showErrorMessage="1" error="XLBVal:6=34.3_x000d__x000a_" sqref="T36">
      <formula1>0</formula1>
      <formula2>300</formula2>
    </dataValidation>
    <dataValidation type="textLength" errorStyle="information" allowBlank="1" showInputMessage="1" showErrorMessage="1" error="XLBVal:6=34.6_x000d__x000a_" sqref="S36">
      <formula1>0</formula1>
      <formula2>300</formula2>
    </dataValidation>
    <dataValidation type="textLength" errorStyle="information" allowBlank="1" showInputMessage="1" showErrorMessage="1" error="XLBVal:6=31.1_x000d__x000a_" sqref="R36">
      <formula1>0</formula1>
      <formula2>300</formula2>
    </dataValidation>
    <dataValidation type="textLength" errorStyle="information" allowBlank="1" showInputMessage="1" showErrorMessage="1" error="XLBVal:6=34613.62_x000d__x000a_" sqref="W22">
      <formula1>0</formula1>
      <formula2>300</formula2>
    </dataValidation>
    <dataValidation type="textLength" errorStyle="information" allowBlank="1" showInputMessage="1" showErrorMessage="1" error="XLBVal:6=9313.11_x000d__x000a_" sqref="R15">
      <formula1>0</formula1>
      <formula2>300</formula2>
    </dataValidation>
    <dataValidation type="textLength" errorStyle="information" allowBlank="1" showInputMessage="1" showErrorMessage="1" error="XLBVal:6=-7.01_x000d__x000a_" sqref="W10">
      <formula1>0</formula1>
      <formula2>300</formula2>
    </dataValidation>
    <dataValidation type="textLength" errorStyle="information" allowBlank="1" showInputMessage="1" showErrorMessage="1" error="XLBVal:6=-0.03_x000d__x000a_" sqref="AB9">
      <formula1>0</formula1>
      <formula2>300</formula2>
    </dataValidation>
    <dataValidation type="textLength" errorStyle="information" allowBlank="1" showInputMessage="1" showErrorMessage="1" error="XLBVal:6=-4.56_x000d__x000a_" sqref="U10">
      <formula1>0</formula1>
      <formula2>300</formula2>
    </dataValidation>
    <dataValidation type="textLength" errorStyle="information" allowBlank="1" showInputMessage="1" showErrorMessage="1" error="XLBVal:6=-5.42_x000d__x000a_" sqref="T10">
      <formula1>0</formula1>
      <formula2>300</formula2>
    </dataValidation>
    <dataValidation type="textLength" errorStyle="information" allowBlank="1" showInputMessage="1" showErrorMessage="1" error="XLBVal:6=3.88_x000d__x000a_" sqref="S10">
      <formula1>0</formula1>
      <formula2>300</formula2>
    </dataValidation>
    <dataValidation type="textLength" errorStyle="information" allowBlank="1" showInputMessage="1" showErrorMessage="1" error="XLBVal:6=41.84_x000d__x000a_" sqref="R10">
      <formula1>0</formula1>
      <formula2>300</formula2>
    </dataValidation>
    <dataValidation type="textLength" errorStyle="information" allowBlank="1" showInputMessage="1" showErrorMessage="1" error="XLBVal:6=6.62_x000d__x000a_" sqref="W9">
      <formula1>0</formula1>
      <formula2>300</formula2>
    </dataValidation>
    <dataValidation type="textLength" errorStyle="information" allowBlank="1" showInputMessage="1" showErrorMessage="1" error="XLBVal:6=2.46_x000d__x000a_" sqref="V9">
      <formula1>0</formula1>
      <formula2>300</formula2>
    </dataValidation>
    <dataValidation type="textLength" errorStyle="information" allowBlank="1" showInputMessage="1" showErrorMessage="1" error="XLBVal:6=4.56_x000d__x000a_" sqref="U9">
      <formula1>0</formula1>
      <formula2>300</formula2>
    </dataValidation>
    <dataValidation type="textLength" errorStyle="information" allowBlank="1" showInputMessage="1" showErrorMessage="1" error="XLBVal:6=5.25_x000d__x000a_" sqref="S9">
      <formula1>0</formula1>
      <formula2>300</formula2>
    </dataValidation>
    <dataValidation type="textLength" errorStyle="information" allowBlank="1" showInputMessage="1" showErrorMessage="1" error="XLBVal:6=12.49_x000d__x000a_" sqref="R9">
      <formula1>0</formula1>
      <formula2>300</formula2>
    </dataValidation>
    <dataValidation type="textLength" errorStyle="information" allowBlank="1" showInputMessage="1" showErrorMessage="1" error="XLBVal:6=2918.87_x000d__x000a_" sqref="R49">
      <formula1>0</formula1>
      <formula2>300</formula2>
    </dataValidation>
    <dataValidation type="textLength" errorStyle="information" allowBlank="1" showInputMessage="1" showErrorMessage="1" error="XLBVal:6=3.67_x000d__x000a_" sqref="X10">
      <formula1>0</formula1>
      <formula2>300</formula2>
    </dataValidation>
    <dataValidation type="textLength" errorStyle="information" allowBlank="1" showInputMessage="1" showErrorMessage="1" error="XLBVal:6=11.43_x000d__x000a_" sqref="X9 X14:AC15 X21:AC38 X44:AC45 X48:AC52 X55:AC62 X65:AC73 X77:AC77">
      <formula1>0</formula1>
      <formula2>300</formula2>
    </dataValidation>
    <dataValidation type="textLength" errorStyle="information" allowBlank="1" showInputMessage="1" showErrorMessage="1" error="XLBVal:6=2801.09_x000d__x000a_" sqref="W71">
      <formula1>0</formula1>
      <formula2>300</formula2>
    </dataValidation>
    <dataValidation type="textLength" errorStyle="information" allowBlank="1" showInputMessage="1" showErrorMessage="1" error="XLBVal:6=125.64_x000d__x000a_" sqref="W70">
      <formula1>0</formula1>
      <formula2>300</formula2>
    </dataValidation>
    <dataValidation type="textLength" errorStyle="information" allowBlank="1" showInputMessage="1" showErrorMessage="1" error="XLBVal:6=59.28_x000d__x000a_" sqref="W69">
      <formula1>0</formula1>
      <formula2>300</formula2>
    </dataValidation>
    <dataValidation type="textLength" errorStyle="information" allowBlank="1" showInputMessage="1" showErrorMessage="1" error="XLBVal:6=2978.78_x000d__x000a_" sqref="T49">
      <formula1>0</formula1>
      <formula2>300</formula2>
    </dataValidation>
    <dataValidation type="textLength" errorStyle="information" allowBlank="1" showInputMessage="1" showErrorMessage="1" error="XLBVal:6=190.8_x000d__x000a_" sqref="F36">
      <formula1>0</formula1>
      <formula2>300</formula2>
    </dataValidation>
    <dataValidation type="textLength" errorStyle="information" allowBlank="1" showInputMessage="1" showErrorMessage="1" error="XLBVal:6=204.3_x000d__x000a_" sqref="E36">
      <formula1>0</formula1>
      <formula2>300</formula2>
    </dataValidation>
    <dataValidation type="textLength" errorStyle="information" allowBlank="1" showInputMessage="1" showErrorMessage="1" error="XLBVal:6=79.65_x000d__x000a_" sqref="E30:P30 R30:W30">
      <formula1>0</formula1>
      <formula2>300</formula2>
    </dataValidation>
    <dataValidation type="textLength" errorStyle="information" allowBlank="1" showInputMessage="1" showErrorMessage="1" error="XLBVal:6=88.36_x000d__x000a_" sqref="R57:W57">
      <formula1>0</formula1>
      <formula2>300</formula2>
    </dataValidation>
    <dataValidation type="textLength" errorStyle="information" allowBlank="1" showInputMessage="1" showErrorMessage="1" error="XLBVal:6=107.76_x000d__x000a_" sqref="J36">
      <formula1>0</formula1>
      <formula2>300</formula2>
    </dataValidation>
    <dataValidation type="textLength" errorStyle="information" allowBlank="1" showInputMessage="1" showErrorMessage="1" error="XLBVal:6=220.36_x000d__x000a_" sqref="I36">
      <formula1>0</formula1>
      <formula2>300</formula2>
    </dataValidation>
    <dataValidation type="textLength" errorStyle="information" allowBlank="1" showInputMessage="1" showErrorMessage="1" error="XLBVal:6=233.8_x000d__x000a_" sqref="H36">
      <formula1>0</formula1>
      <formula2>300</formula2>
    </dataValidation>
    <dataValidation type="textLength" errorStyle="information" allowBlank="1" showInputMessage="1" showErrorMessage="1" error="XLBVal:6=210_x000d__x000a_" sqref="G36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3_x000d__x000a_" sqref="R77:W77">
      <formula1>0</formula1>
      <formula2>300</formula2>
    </dataValidation>
    <dataValidation type="textLength" errorStyle="information" allowBlank="1" showInputMessage="1" showErrorMessage="1" error="XLBVal:6=2469.93_x000d__x000a_" sqref="V71">
      <formula1>0</formula1>
      <formula2>300</formula2>
    </dataValidation>
    <dataValidation type="textLength" errorStyle="information" allowBlank="1" showInputMessage="1" showErrorMessage="1" error="XLBVal:6=3334.25_x000d__x000a_" sqref="U71">
      <formula1>0</formula1>
      <formula2>300</formula2>
    </dataValidation>
    <dataValidation type="textLength" errorStyle="information" allowBlank="1" showInputMessage="1" showErrorMessage="1" error="XLBVal:6=3479.97_x000d__x000a_" sqref="T71">
      <formula1>0</formula1>
      <formula2>300</formula2>
    </dataValidation>
    <dataValidation type="textLength" errorStyle="information" allowBlank="1" showInputMessage="1" showErrorMessage="1" error="XLBVal:6=68_x000d__x000a_" sqref="V70">
      <formula1>0</formula1>
      <formula2>300</formula2>
    </dataValidation>
    <dataValidation type="textLength" errorStyle="information" allowBlank="1" showInputMessage="1" showErrorMessage="1" error="XLBVal:6=72.27_x000d__x000a_" sqref="U70">
      <formula1>0</formula1>
      <formula2>300</formula2>
    </dataValidation>
    <dataValidation type="textLength" errorStyle="information" allowBlank="1" showInputMessage="1" showErrorMessage="1" error="XLBVal:6=71.33_x000d__x000a_" sqref="T70">
      <formula1>0</formula1>
      <formula2>300</formula2>
    </dataValidation>
    <dataValidation type="textLength" errorStyle="information" allowBlank="1" showInputMessage="1" showErrorMessage="1" error="XLBVal:6=59.02_x000d__x000a_" sqref="V69">
      <formula1>0</formula1>
      <formula2>300</formula2>
    </dataValidation>
    <dataValidation type="textLength" errorStyle="information" allowBlank="1" showInputMessage="1" showErrorMessage="1" error="XLBVal:6=56.55_x000d__x000a_" sqref="R69 T69:U69">
      <formula1>0</formula1>
      <formula2>300</formula2>
    </dataValidation>
    <dataValidation type="textLength" errorStyle="information" allowBlank="1" showInputMessage="1" showErrorMessage="1" error="XLBVal:6=332.67_x000d__x000a_" sqref="W61">
      <formula1>0</formula1>
      <formula2>300</formula2>
    </dataValidation>
    <dataValidation type="textLength" errorStyle="information" allowBlank="1" showInputMessage="1" showErrorMessage="1" error="XLBVal:6=789_x000d__x000a_" sqref="R60:W60">
      <formula1>0</formula1>
      <formula2>300</formula2>
    </dataValidation>
    <dataValidation type="textLength" errorStyle="information" allowBlank="1" showInputMessage="1" showErrorMessage="1" error="XLBVal:6=21.21_x000d__x000a_" sqref="R58:W58">
      <formula1>0</formula1>
      <formula2>300</formula2>
    </dataValidation>
    <dataValidation type="textLength" errorStyle="information" allowBlank="1" showInputMessage="1" showErrorMessage="1" error="XLBVal:6=1502.04_x000d__x000a_" sqref="R56:W56">
      <formula1>0</formula1>
      <formula2>300</formula2>
    </dataValidation>
    <dataValidation type="textLength" errorStyle="information" allowBlank="1" showInputMessage="1" showErrorMessage="1" error="XLBVal:6=2827.38_x000d__x000a_" sqref="R55:W55">
      <formula1>0</formula1>
      <formula2>300</formula2>
    </dataValidation>
    <dataValidation type="textLength" errorStyle="information" allowBlank="1" showInputMessage="1" showErrorMessage="1" error="XLBVal:6=6800_x000d__x000a_" sqref="R45:S45 U45:W45">
      <formula1>0</formula1>
      <formula2>300</formula2>
    </dataValidation>
    <dataValidation type="textLength" errorStyle="information" allowBlank="1" showInputMessage="1" showErrorMessage="1" error="XLBVal:6=6731.03_x000d__x000a_" sqref="T45">
      <formula1>0</formula1>
      <formula2>300</formula2>
    </dataValidation>
    <dataValidation type="textLength" errorStyle="information" allowBlank="1" showInputMessage="1" showErrorMessage="1" error="XLBVal:6=240.84_x000d__x000a_" sqref="W35">
      <formula1>0</formula1>
      <formula2>300</formula2>
    </dataValidation>
    <dataValidation type="textLength" errorStyle="information" allowBlank="1" showInputMessage="1" showErrorMessage="1" error="XLBVal:6=70.55_x000d__x000a_" sqref="V35">
      <formula1>0</formula1>
      <formula2>300</formula2>
    </dataValidation>
    <dataValidation type="textLength" errorStyle="information" allowBlank="1" showInputMessage="1" showErrorMessage="1" error="XLBVal:6=188.59_x000d__x000a_" sqref="U35">
      <formula1>0</formula1>
      <formula2>300</formula2>
    </dataValidation>
    <dataValidation type="textLength" errorStyle="information" allowBlank="1" showInputMessage="1" showErrorMessage="1" error="XLBVal:6=201.6_x000d__x000a_" sqref="T35">
      <formula1>0</formula1>
      <formula2>300</formula2>
    </dataValidation>
    <dataValidation type="textLength" errorStyle="information" allowBlank="1" showInputMessage="1" showErrorMessage="1" error="XLBVal:6=292.03_x000d__x000a_" sqref="S35">
      <formula1>0</formula1>
      <formula2>300</formula2>
    </dataValidation>
    <dataValidation type="textLength" errorStyle="information" allowBlank="1" showInputMessage="1" showErrorMessage="1" error="XLBVal:6=293.5_x000d__x000a_" sqref="R35">
      <formula1>0</formula1>
      <formula2>300</formula2>
    </dataValidation>
    <dataValidation type="textLength" errorStyle="information" allowBlank="1" showInputMessage="1" showErrorMessage="1" error="XLBVal:6=9576.27_x000d__x000a_" sqref="W15">
      <formula1>0</formula1>
      <formula2>300</formula2>
    </dataValidation>
    <dataValidation type="textLength" errorStyle="information" allowBlank="1" showInputMessage="1" showErrorMessage="1" error="XLBVal:6=10342.35_x000d__x000a_" sqref="V15">
      <formula1>0</formula1>
      <formula2>300</formula2>
    </dataValidation>
    <dataValidation type="textLength" errorStyle="information" allowBlank="1" showInputMessage="1" showErrorMessage="1" error="XLBVal:6=10645.09_x000d__x000a_" sqref="U15">
      <formula1>0</formula1>
      <formula2>300</formula2>
    </dataValidation>
    <dataValidation type="textLength" errorStyle="information" allowBlank="1" showInputMessage="1" showErrorMessage="1" error="XLBVal:6=8093.62_x000d__x000a_" sqref="T15">
      <formula1>0</formula1>
      <formula2>300</formula2>
    </dataValidation>
    <dataValidation type="textLength" errorStyle="information" allowBlank="1" showInputMessage="1" showErrorMessage="1" error="XLBVal:6=6947.72_x000d__x000a_" sqref="S15">
      <formula1>0</formula1>
      <formula2>300</formula2>
    </dataValidation>
    <dataValidation type="textLength" errorStyle="information" allowBlank="1" showInputMessage="1" showErrorMessage="1" error="XLBVal:6=10072.12_x000d__x000a_" sqref="E15:P15">
      <formula1>0</formula1>
      <formula2>300</formula2>
    </dataValidation>
    <dataValidation type="textLength" errorStyle="information" allowBlank="1" showInputMessage="1" showErrorMessage="1" error="XLBVal:6=67.9_x000d__x000a_" sqref="J10">
      <formula1>0</formula1>
      <formula2>300</formula2>
    </dataValidation>
    <dataValidation type="textLength" errorStyle="information" allowBlank="1" showInputMessage="1" showErrorMessage="1" error="XLBVal:6=37.17_x000d__x000a_" sqref="I10">
      <formula1>0</formula1>
      <formula2>300</formula2>
    </dataValidation>
    <dataValidation type="textLength" errorStyle="information" allowBlank="1" showInputMessage="1" showErrorMessage="1" error="XLBVal:6=35.26_x000d__x000a_" sqref="H10">
      <formula1>0</formula1>
      <formula2>300</formula2>
    </dataValidation>
    <dataValidation type="textLength" errorStyle="information" allowBlank="1" showInputMessage="1" showErrorMessage="1" error="XLBVal:6=34.24_x000d__x000a_" sqref="G10">
      <formula1>0</formula1>
      <formula2>300</formula2>
    </dataValidation>
    <dataValidation type="textLength" errorStyle="information" allowBlank="1" showInputMessage="1" showErrorMessage="1" error="XLBVal:6=27.47_x000d__x000a_" sqref="F10">
      <formula1>0</formula1>
      <formula2>300</formula2>
    </dataValidation>
    <dataValidation type="textLength" errorStyle="information" allowBlank="1" showInputMessage="1" showErrorMessage="1" error="XLBVal:6=85.81_x000d__x000a_" sqref="E10">
      <formula1>0</formula1>
      <formula2>300</formula2>
    </dataValidation>
    <dataValidation type="textLength" errorStyle="information" allowBlank="1" showInputMessage="1" showErrorMessage="1" error="XLBVal:6=15.92_x000d__x000a_" sqref="J9">
      <formula1>0</formula1>
      <formula2>300</formula2>
    </dataValidation>
    <dataValidation type="textLength" errorStyle="information" allowBlank="1" showInputMessage="1" showErrorMessage="1" error="XLBVal:6=8.16_x000d__x000a_" sqref="I9">
      <formula1>0</formula1>
      <formula2>300</formula2>
    </dataValidation>
    <dataValidation type="textLength" errorStyle="information" allowBlank="1" showInputMessage="1" showErrorMessage="1" error="XLBVal:6=7.71_x000d__x000a_" sqref="H9">
      <formula1>0</formula1>
      <formula2>300</formula2>
    </dataValidation>
    <dataValidation type="textLength" errorStyle="information" allowBlank="1" showInputMessage="1" showErrorMessage="1" error="XLBVal:6=7.49_x000d__x000a_" sqref="G9">
      <formula1>0</formula1>
      <formula2>300</formula2>
    </dataValidation>
    <dataValidation type="textLength" errorStyle="information" allowBlank="1" showInputMessage="1" showErrorMessage="1" error="XLBVal:6=6.11_x000d__x000a_" sqref="F9">
      <formula1>0</formula1>
      <formula2>300</formula2>
    </dataValidation>
    <dataValidation type="textLength" errorStyle="information" allowBlank="1" showInputMessage="1" showErrorMessage="1" error="XLBVal:6=18.61_x000d__x000a_" sqref="E9">
      <formula1>0</formula1>
      <formula2>300</formula2>
    </dataValidation>
    <dataValidation type="textLength" errorStyle="information" allowBlank="1" showInputMessage="1" showErrorMessage="1" error="XLBVal:6=5000_x000d__x000a_" sqref="R44:W44">
      <formula1>0</formula1>
      <formula2>300</formula2>
    </dataValidation>
    <dataValidation type="textLength" errorStyle="information" allowBlank="1" showInputMessage="1" showErrorMessage="1" error="XLBVal:6=1490_x000d__x000a_" sqref="U50:V50 R50:S50">
      <formula1>0</formula1>
      <formula2>300</formula2>
    </dataValidation>
    <dataValidation type="textLength" errorStyle="information" allowBlank="1" showInputMessage="1" showErrorMessage="1" error="XLBVal:2=0_x000d__x000a_" sqref="E37:J38 E72:J73 E14:J14 E31:J34 R62:W62 Z9 E23:J27 R59:W59 R29:W29 R21:W21 R51:W52 R31:W34 R37:W38 R23:W27 E22:P22 R72:W73 T48 R14:W14 R65:W68 E21:J21 V28:W28 E28:P2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AH71"/>
  <sheetViews>
    <sheetView view="pageBreakPreview" zoomScaleNormal="100" zoomScaleSheetLayoutView="100" workbookViewId="0">
      <pane xSplit="5" ySplit="7" topLeftCell="N14" activePane="bottomRight" state="frozen"/>
      <selection activeCell="AP43" sqref="AP43"/>
      <selection pane="topRight" activeCell="AP43" sqref="AP43"/>
      <selection pane="bottomLeft" activeCell="AP43" sqref="AP43"/>
      <selection pane="bottomRight" activeCell="Q51" sqref="Q51"/>
    </sheetView>
  </sheetViews>
  <sheetFormatPr defaultColWidth="9" defaultRowHeight="14.25" outlineLevelCol="2"/>
  <cols>
    <col min="1" max="1" width="64.875" style="105" hidden="1" customWidth="1" outlineLevel="1"/>
    <col min="2" max="3" width="9" style="105" hidden="1" customWidth="1" outlineLevel="1"/>
    <col min="4" max="4" width="50.125" style="105" customWidth="1" collapsed="1"/>
    <col min="5" max="16" width="15.875" style="72" bestFit="1" customWidth="1"/>
    <col min="17" max="17" width="19.5" style="127" bestFit="1" customWidth="1"/>
    <col min="18" max="24" width="13.25" style="72" hidden="1" customWidth="1" outlineLevel="1"/>
    <col min="25" max="29" width="13.25" style="72" hidden="1" customWidth="1" outlineLevel="2"/>
    <col min="30" max="30" width="15.75" style="127" customWidth="1" collapsed="1"/>
    <col min="31" max="31" width="13.25" style="72" bestFit="1" customWidth="1"/>
    <col min="32" max="32" width="10.5" style="105" customWidth="1"/>
    <col min="33" max="33" width="18.25" style="109" hidden="1" customWidth="1"/>
    <col min="34" max="34" width="15" style="175" hidden="1" customWidth="1"/>
    <col min="35" max="16384" width="9" style="105"/>
  </cols>
  <sheetData>
    <row r="1" spans="1:34" s="100" customFormat="1">
      <c r="A1" s="100" t="s">
        <v>118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  <c r="AH1" s="260"/>
    </row>
    <row r="2" spans="1:34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  <c r="AH2" s="260"/>
    </row>
    <row r="3" spans="1:34">
      <c r="D3" s="105" t="s">
        <v>740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</row>
    <row r="4" spans="1:34" s="100" customFormat="1" ht="18">
      <c r="C4" s="18">
        <f>+'2025 Summay'!$D$7</f>
        <v>2025</v>
      </c>
      <c r="D4" s="18">
        <f>+'2025 Summay'!$D$7</f>
        <v>2025</v>
      </c>
      <c r="E4" s="155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83"/>
      <c r="Z4" s="183"/>
      <c r="AA4" s="183"/>
      <c r="AB4" s="183"/>
      <c r="AC4" s="183"/>
      <c r="AD4" s="172"/>
      <c r="AE4" s="101"/>
      <c r="AG4" s="103"/>
      <c r="AH4" s="260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83"/>
      <c r="Z5" s="183"/>
      <c r="AA5" s="183"/>
      <c r="AB5" s="183"/>
      <c r="AC5" s="183"/>
      <c r="AD5" s="172"/>
      <c r="AE5" s="101"/>
      <c r="AG5" s="103"/>
      <c r="AH5" s="260"/>
    </row>
    <row r="6" spans="1:34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  <c r="AH6" s="260"/>
    </row>
    <row r="7" spans="1:34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4">
      <c r="D8" s="105" t="s">
        <v>682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AG8" s="129"/>
    </row>
    <row r="9" spans="1:34">
      <c r="A9" s="105" t="s">
        <v>741</v>
      </c>
      <c r="B9" s="105" t="s">
        <v>650</v>
      </c>
      <c r="C9" s="105" t="s">
        <v>742</v>
      </c>
      <c r="D9" s="105" t="s">
        <v>743</v>
      </c>
      <c r="E9" s="116">
        <v>2000</v>
      </c>
      <c r="F9" s="116">
        <v>2000</v>
      </c>
      <c r="G9" s="116">
        <v>2000</v>
      </c>
      <c r="H9" s="116">
        <v>1000</v>
      </c>
      <c r="I9" s="116">
        <v>1000</v>
      </c>
      <c r="J9" s="116">
        <v>1000</v>
      </c>
      <c r="K9" s="116">
        <v>1000</v>
      </c>
      <c r="L9" s="116">
        <v>2000</v>
      </c>
      <c r="M9" s="116">
        <v>1000</v>
      </c>
      <c r="N9" s="116">
        <v>1000</v>
      </c>
      <c r="O9" s="116">
        <v>2000</v>
      </c>
      <c r="P9" s="116">
        <v>2000</v>
      </c>
      <c r="Q9" s="117">
        <f>SUM(E9:P9)</f>
        <v>18000</v>
      </c>
      <c r="R9" s="72">
        <v>440.37</v>
      </c>
      <c r="S9" s="72">
        <v>8367.01</v>
      </c>
      <c r="T9" s="72">
        <v>440.37</v>
      </c>
      <c r="U9" s="72">
        <v>1174.31</v>
      </c>
      <c r="V9" s="72">
        <v>0</v>
      </c>
      <c r="W9" s="72">
        <v>733.94</v>
      </c>
      <c r="X9" s="72">
        <v>0</v>
      </c>
      <c r="Y9" s="72">
        <v>1761.48</v>
      </c>
      <c r="Z9" s="72">
        <v>1000</v>
      </c>
      <c r="AA9" s="72">
        <v>1000</v>
      </c>
      <c r="AB9" s="72">
        <v>1000</v>
      </c>
      <c r="AC9" s="72">
        <v>1000</v>
      </c>
      <c r="AD9" s="127">
        <f>SUM(R9:AC9)</f>
        <v>16917.480000000003</v>
      </c>
      <c r="AE9" s="72">
        <f>Q9-AD9</f>
        <v>1082.5199999999968</v>
      </c>
      <c r="AG9" s="129">
        <v>54592.000000000007</v>
      </c>
      <c r="AH9" s="266">
        <f>Q9-AG9</f>
        <v>-36592.000000000007</v>
      </c>
    </row>
    <row r="10" spans="1:34">
      <c r="D10" s="109" t="s">
        <v>500</v>
      </c>
      <c r="E10" s="117">
        <f t="shared" ref="E10:AE10" si="0">SUM(E9:E9)</f>
        <v>2000</v>
      </c>
      <c r="F10" s="117">
        <f t="shared" si="0"/>
        <v>2000</v>
      </c>
      <c r="G10" s="117">
        <f t="shared" si="0"/>
        <v>2000</v>
      </c>
      <c r="H10" s="117">
        <f t="shared" si="0"/>
        <v>1000</v>
      </c>
      <c r="I10" s="117">
        <f t="shared" si="0"/>
        <v>1000</v>
      </c>
      <c r="J10" s="117">
        <f t="shared" si="0"/>
        <v>1000</v>
      </c>
      <c r="K10" s="117">
        <f t="shared" si="0"/>
        <v>1000</v>
      </c>
      <c r="L10" s="117">
        <f t="shared" si="0"/>
        <v>2000</v>
      </c>
      <c r="M10" s="117">
        <f t="shared" si="0"/>
        <v>1000</v>
      </c>
      <c r="N10" s="117">
        <f t="shared" si="0"/>
        <v>1000</v>
      </c>
      <c r="O10" s="117">
        <f t="shared" si="0"/>
        <v>2000</v>
      </c>
      <c r="P10" s="117">
        <f t="shared" si="0"/>
        <v>2000</v>
      </c>
      <c r="Q10" s="117">
        <f t="shared" si="0"/>
        <v>18000</v>
      </c>
      <c r="R10" s="127">
        <f t="shared" si="0"/>
        <v>440.37</v>
      </c>
      <c r="S10" s="127">
        <f t="shared" si="0"/>
        <v>8367.01</v>
      </c>
      <c r="T10" s="127">
        <f t="shared" si="0"/>
        <v>440.37</v>
      </c>
      <c r="U10" s="127">
        <f t="shared" si="0"/>
        <v>1174.31</v>
      </c>
      <c r="V10" s="127">
        <f t="shared" si="0"/>
        <v>0</v>
      </c>
      <c r="W10" s="127">
        <f t="shared" si="0"/>
        <v>733.94</v>
      </c>
      <c r="X10" s="127">
        <f t="shared" si="0"/>
        <v>0</v>
      </c>
      <c r="Y10" s="127">
        <f t="shared" si="0"/>
        <v>1761.48</v>
      </c>
      <c r="Z10" s="127">
        <f t="shared" si="0"/>
        <v>1000</v>
      </c>
      <c r="AA10" s="127">
        <f t="shared" si="0"/>
        <v>1000</v>
      </c>
      <c r="AB10" s="127">
        <f t="shared" si="0"/>
        <v>1000</v>
      </c>
      <c r="AC10" s="127">
        <f t="shared" si="0"/>
        <v>1000</v>
      </c>
      <c r="AD10" s="127">
        <f t="shared" si="0"/>
        <v>16917.480000000003</v>
      </c>
      <c r="AE10" s="127">
        <f t="shared" si="0"/>
        <v>1082.5199999999968</v>
      </c>
      <c r="AF10" s="192">
        <f t="shared" ref="AF10:AF61" si="1">AE10/AD10</f>
        <v>6.3988253569680395E-2</v>
      </c>
      <c r="AG10" s="129">
        <v>54592.000000000007</v>
      </c>
      <c r="AH10" s="266">
        <f>Q10-AG10</f>
        <v>-36592.000000000007</v>
      </c>
    </row>
    <row r="11" spans="1:34">
      <c r="D11" s="105" t="s">
        <v>154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AF11" s="192"/>
      <c r="AG11" s="129"/>
    </row>
    <row r="12" spans="1:34" s="109" customFormat="1">
      <c r="D12" s="109" t="s">
        <v>289</v>
      </c>
      <c r="E12" s="117">
        <f t="shared" ref="E12:P12" si="2">E62</f>
        <v>100487.75</v>
      </c>
      <c r="F12" s="117">
        <f t="shared" si="2"/>
        <v>83360.850000000006</v>
      </c>
      <c r="G12" s="117">
        <f t="shared" si="2"/>
        <v>85007.88</v>
      </c>
      <c r="H12" s="117">
        <f t="shared" si="2"/>
        <v>89170.37000000001</v>
      </c>
      <c r="I12" s="117">
        <f t="shared" si="2"/>
        <v>92558.74</v>
      </c>
      <c r="J12" s="117">
        <f t="shared" si="2"/>
        <v>85307.9</v>
      </c>
      <c r="K12" s="117">
        <f t="shared" si="2"/>
        <v>85249.9</v>
      </c>
      <c r="L12" s="117">
        <f t="shared" si="2"/>
        <v>85271.9</v>
      </c>
      <c r="M12" s="117">
        <f t="shared" si="2"/>
        <v>85339.9</v>
      </c>
      <c r="N12" s="117">
        <f t="shared" si="2"/>
        <v>103201.54000000001</v>
      </c>
      <c r="O12" s="117">
        <f t="shared" si="2"/>
        <v>85204.88</v>
      </c>
      <c r="P12" s="117">
        <f t="shared" si="2"/>
        <v>85192.88</v>
      </c>
      <c r="Q12" s="117">
        <f>SUM(E12:P12)</f>
        <v>1065354.4900000002</v>
      </c>
      <c r="R12" s="127">
        <f t="shared" ref="R12:AC12" si="3">R62</f>
        <v>99929.61</v>
      </c>
      <c r="S12" s="127">
        <f t="shared" si="3"/>
        <v>108975.05</v>
      </c>
      <c r="T12" s="127">
        <f t="shared" si="3"/>
        <v>98542.09</v>
      </c>
      <c r="U12" s="127">
        <f t="shared" si="3"/>
        <v>97914.89</v>
      </c>
      <c r="V12" s="127">
        <f t="shared" si="3"/>
        <v>95904.419999999984</v>
      </c>
      <c r="W12" s="127">
        <f t="shared" si="3"/>
        <v>95963.159999999989</v>
      </c>
      <c r="X12" s="127">
        <f t="shared" si="3"/>
        <v>90559.6</v>
      </c>
      <c r="Y12" s="127">
        <f t="shared" si="3"/>
        <v>91435.87</v>
      </c>
      <c r="Z12" s="127">
        <f t="shared" si="3"/>
        <v>91477.5</v>
      </c>
      <c r="AA12" s="127">
        <f t="shared" si="3"/>
        <v>101592.5</v>
      </c>
      <c r="AB12" s="127">
        <f t="shared" si="3"/>
        <v>86685.5</v>
      </c>
      <c r="AC12" s="127">
        <f t="shared" si="3"/>
        <v>86686.5</v>
      </c>
      <c r="AD12" s="127">
        <f>SUM(R12:AC12)</f>
        <v>1145666.69</v>
      </c>
      <c r="AE12" s="127">
        <f>AD12-Q12</f>
        <v>80312.199999999721</v>
      </c>
      <c r="AF12" s="132">
        <f t="shared" si="1"/>
        <v>7.0100842331376256E-2</v>
      </c>
      <c r="AG12" s="129">
        <v>1440843.2800000003</v>
      </c>
      <c r="AH12" s="251">
        <f t="shared" ref="AH12:AH26" si="4">AG12-Q12</f>
        <v>375488.79000000004</v>
      </c>
    </row>
    <row r="13" spans="1:34">
      <c r="D13" s="105" t="s">
        <v>154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7"/>
      <c r="AF13" s="192"/>
      <c r="AG13" s="129"/>
      <c r="AH13" s="251">
        <f t="shared" si="4"/>
        <v>0</v>
      </c>
    </row>
    <row r="14" spans="1:34">
      <c r="D14" s="105" t="s">
        <v>502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  <c r="AF14" s="192"/>
      <c r="AG14" s="129"/>
      <c r="AH14" s="251">
        <f t="shared" si="4"/>
        <v>0</v>
      </c>
    </row>
    <row r="15" spans="1:34">
      <c r="A15" s="105" t="s">
        <v>687</v>
      </c>
      <c r="B15" s="105" t="s">
        <v>650</v>
      </c>
      <c r="D15" s="105" t="s">
        <v>144</v>
      </c>
      <c r="E15" s="176">
        <f>+E68+E69+E70</f>
        <v>18403.75</v>
      </c>
      <c r="F15" s="176">
        <f t="shared" ref="F15:P15" si="5">+F68+F69+F70</f>
        <v>15139.69</v>
      </c>
      <c r="G15" s="176">
        <f t="shared" si="5"/>
        <v>15530.69</v>
      </c>
      <c r="H15" s="176">
        <f t="shared" si="5"/>
        <v>16651.370000000003</v>
      </c>
      <c r="I15" s="176">
        <f t="shared" si="5"/>
        <v>17750.07</v>
      </c>
      <c r="J15" s="176">
        <f t="shared" si="5"/>
        <v>15608.69</v>
      </c>
      <c r="K15" s="176">
        <f t="shared" si="5"/>
        <v>15630.44</v>
      </c>
      <c r="L15" s="176">
        <f t="shared" si="5"/>
        <v>15638.789999999999</v>
      </c>
      <c r="M15" s="176">
        <f t="shared" si="5"/>
        <v>15651.789999999999</v>
      </c>
      <c r="N15" s="176">
        <f t="shared" si="5"/>
        <v>18390.510000000002</v>
      </c>
      <c r="O15" s="176">
        <f t="shared" si="5"/>
        <v>15617.44</v>
      </c>
      <c r="P15" s="176">
        <f t="shared" si="5"/>
        <v>15611.789999999999</v>
      </c>
      <c r="Q15" s="117">
        <f>SUM(E15:P15)</f>
        <v>195625.02000000002</v>
      </c>
      <c r="R15" s="72">
        <v>15826.31</v>
      </c>
      <c r="S15" s="72">
        <v>21025.43</v>
      </c>
      <c r="T15" s="72">
        <v>17993.400000000001</v>
      </c>
      <c r="U15" s="72">
        <v>12670.57</v>
      </c>
      <c r="V15" s="72">
        <v>18007.48</v>
      </c>
      <c r="W15" s="72">
        <v>10347.790000000001</v>
      </c>
      <c r="X15" s="72">
        <v>10259.209999999999</v>
      </c>
      <c r="Y15" s="72">
        <v>12598.24</v>
      </c>
      <c r="Z15" s="72">
        <v>5961.21</v>
      </c>
      <c r="AA15" s="72">
        <v>5961.21</v>
      </c>
      <c r="AB15" s="72">
        <v>5961.21</v>
      </c>
      <c r="AC15" s="72">
        <v>5961.21</v>
      </c>
      <c r="AD15" s="127">
        <f t="shared" ref="AD15:AD25" si="6">SUM(R15:AC15)</f>
        <v>142573.26999999999</v>
      </c>
      <c r="AE15" s="72">
        <f t="shared" ref="AE15:AE27" si="7">AD15-Q15</f>
        <v>-53051.750000000029</v>
      </c>
      <c r="AF15" s="192">
        <f t="shared" si="1"/>
        <v>-0.37210165692348945</v>
      </c>
      <c r="AG15" s="129">
        <v>0</v>
      </c>
      <c r="AH15" s="251">
        <f t="shared" si="4"/>
        <v>-195625.02000000002</v>
      </c>
    </row>
    <row r="16" spans="1:34">
      <c r="A16" s="105" t="s">
        <v>689</v>
      </c>
      <c r="B16" s="105" t="s">
        <v>650</v>
      </c>
      <c r="D16" s="105" t="s">
        <v>202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7">
        <f t="shared" ref="Q16:Q25" si="8">SUM(E16:P16)</f>
        <v>0</v>
      </c>
      <c r="R16" s="72">
        <v>0</v>
      </c>
      <c r="S16" s="72">
        <v>1708.7</v>
      </c>
      <c r="T16" s="72">
        <v>0</v>
      </c>
      <c r="U16" s="72">
        <v>167.71</v>
      </c>
      <c r="V16" s="72">
        <v>0</v>
      </c>
      <c r="W16" s="72">
        <v>0</v>
      </c>
      <c r="X16" s="72">
        <v>0</v>
      </c>
      <c r="Y16" s="72">
        <v>0</v>
      </c>
      <c r="Z16" s="72">
        <v>0</v>
      </c>
      <c r="AA16" s="72">
        <v>0</v>
      </c>
      <c r="AB16" s="72">
        <v>0</v>
      </c>
      <c r="AC16" s="72">
        <v>0</v>
      </c>
      <c r="AD16" s="127">
        <f t="shared" si="6"/>
        <v>1876.41</v>
      </c>
      <c r="AE16" s="72">
        <f t="shared" si="7"/>
        <v>1876.41</v>
      </c>
      <c r="AF16" s="192">
        <f t="shared" si="1"/>
        <v>1</v>
      </c>
      <c r="AG16" s="129">
        <v>28187.040000000001</v>
      </c>
      <c r="AH16" s="251">
        <f t="shared" si="4"/>
        <v>28187.040000000001</v>
      </c>
    </row>
    <row r="17" spans="1:34">
      <c r="A17" s="105" t="s">
        <v>197</v>
      </c>
      <c r="B17" s="105" t="s">
        <v>650</v>
      </c>
      <c r="D17" s="105" t="s">
        <v>305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>
        <f t="shared" si="8"/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127">
        <f t="shared" si="6"/>
        <v>0</v>
      </c>
      <c r="AE17" s="72">
        <f t="shared" si="7"/>
        <v>0</v>
      </c>
      <c r="AF17" s="192" t="e">
        <f t="shared" si="1"/>
        <v>#DIV/0!</v>
      </c>
      <c r="AG17" s="129">
        <v>410.38</v>
      </c>
      <c r="AH17" s="251">
        <f t="shared" si="4"/>
        <v>410.38</v>
      </c>
    </row>
    <row r="18" spans="1:34">
      <c r="A18" s="105" t="s">
        <v>692</v>
      </c>
      <c r="B18" s="105" t="s">
        <v>650</v>
      </c>
      <c r="D18" s="105" t="s">
        <v>204</v>
      </c>
      <c r="E18" s="116">
        <v>550</v>
      </c>
      <c r="F18" s="116">
        <v>550</v>
      </c>
      <c r="G18" s="116">
        <v>550</v>
      </c>
      <c r="H18" s="116">
        <v>550</v>
      </c>
      <c r="I18" s="116">
        <v>550</v>
      </c>
      <c r="J18" s="116">
        <v>550</v>
      </c>
      <c r="K18" s="116">
        <v>550</v>
      </c>
      <c r="L18" s="116">
        <v>550</v>
      </c>
      <c r="M18" s="116">
        <v>550</v>
      </c>
      <c r="N18" s="116">
        <v>550</v>
      </c>
      <c r="O18" s="116">
        <v>550</v>
      </c>
      <c r="P18" s="116">
        <v>550</v>
      </c>
      <c r="Q18" s="117">
        <f t="shared" si="8"/>
        <v>6600</v>
      </c>
      <c r="R18" s="72">
        <v>934</v>
      </c>
      <c r="S18" s="72">
        <v>934</v>
      </c>
      <c r="T18" s="72">
        <v>934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127">
        <f t="shared" si="6"/>
        <v>2802</v>
      </c>
      <c r="AE18" s="72">
        <f t="shared" si="7"/>
        <v>-3798</v>
      </c>
      <c r="AF18" s="192">
        <f t="shared" si="1"/>
        <v>-1.3554603854389722</v>
      </c>
      <c r="AG18" s="129">
        <v>37720.32</v>
      </c>
      <c r="AH18" s="251">
        <f t="shared" si="4"/>
        <v>31120.32</v>
      </c>
    </row>
    <row r="19" spans="1:34">
      <c r="A19" s="105" t="s">
        <v>744</v>
      </c>
      <c r="B19" s="105" t="s">
        <v>650</v>
      </c>
      <c r="D19" s="105" t="s">
        <v>679</v>
      </c>
      <c r="E19" s="116">
        <v>24246</v>
      </c>
      <c r="F19" s="116">
        <v>21900</v>
      </c>
      <c r="G19" s="116">
        <v>82000</v>
      </c>
      <c r="H19" s="116">
        <v>24686</v>
      </c>
      <c r="I19" s="116">
        <v>22557</v>
      </c>
      <c r="J19" s="116">
        <v>36000</v>
      </c>
      <c r="K19" s="116">
        <v>24246</v>
      </c>
      <c r="L19" s="116">
        <v>24246</v>
      </c>
      <c r="M19" s="116">
        <v>44000</v>
      </c>
      <c r="N19" s="116">
        <v>22339</v>
      </c>
      <c r="O19" s="116">
        <v>21355</v>
      </c>
      <c r="P19" s="116">
        <v>23701</v>
      </c>
      <c r="Q19" s="117">
        <f t="shared" si="8"/>
        <v>371276</v>
      </c>
      <c r="R19" s="72">
        <v>-0.01</v>
      </c>
      <c r="S19" s="72">
        <v>0.01</v>
      </c>
      <c r="T19" s="72">
        <v>24991.16</v>
      </c>
      <c r="U19" s="72">
        <v>4955.7700000000004</v>
      </c>
      <c r="V19" s="72">
        <v>16761.939999999999</v>
      </c>
      <c r="W19" s="72">
        <v>28668.14</v>
      </c>
      <c r="X19" s="72">
        <v>83207.92</v>
      </c>
      <c r="Y19" s="72">
        <v>0.03</v>
      </c>
      <c r="Z19" s="72">
        <v>17909</v>
      </c>
      <c r="AA19" s="72">
        <v>19133</v>
      </c>
      <c r="AB19" s="72">
        <v>18801</v>
      </c>
      <c r="AC19" s="72">
        <v>20055</v>
      </c>
      <c r="AD19" s="127">
        <f t="shared" si="6"/>
        <v>234482.96</v>
      </c>
      <c r="AE19" s="72">
        <f t="shared" si="7"/>
        <v>-136793.04</v>
      </c>
      <c r="AF19" s="192">
        <f t="shared" si="1"/>
        <v>-0.58338158133111251</v>
      </c>
      <c r="AG19" s="129">
        <v>285264.61</v>
      </c>
      <c r="AH19" s="251">
        <f t="shared" si="4"/>
        <v>-86011.390000000014</v>
      </c>
    </row>
    <row r="20" spans="1:34">
      <c r="A20" s="267">
        <v>60011490</v>
      </c>
      <c r="B20" s="105" t="s">
        <v>650</v>
      </c>
      <c r="D20" s="105" t="s">
        <v>745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116">
        <v>0</v>
      </c>
      <c r="K20" s="116">
        <v>0</v>
      </c>
      <c r="L20" s="116">
        <v>0</v>
      </c>
      <c r="M20" s="116">
        <v>0</v>
      </c>
      <c r="N20" s="116">
        <v>0</v>
      </c>
      <c r="O20" s="116">
        <v>0</v>
      </c>
      <c r="P20" s="116">
        <v>0</v>
      </c>
      <c r="Q20" s="117">
        <f t="shared" si="8"/>
        <v>0</v>
      </c>
      <c r="R20" s="72">
        <v>0</v>
      </c>
      <c r="S20" s="72">
        <v>0</v>
      </c>
      <c r="T20" s="72">
        <v>10000</v>
      </c>
      <c r="U20" s="72">
        <v>0</v>
      </c>
      <c r="V20" s="72">
        <v>0</v>
      </c>
      <c r="W20" s="72">
        <v>0</v>
      </c>
      <c r="X20" s="72">
        <v>851.2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127">
        <f t="shared" si="6"/>
        <v>10851.2</v>
      </c>
      <c r="AE20" s="72">
        <f t="shared" si="7"/>
        <v>10851.2</v>
      </c>
      <c r="AF20" s="192">
        <f t="shared" si="1"/>
        <v>1</v>
      </c>
      <c r="AG20" s="129">
        <v>17711</v>
      </c>
      <c r="AH20" s="251">
        <f t="shared" si="4"/>
        <v>17711</v>
      </c>
    </row>
    <row r="21" spans="1:34">
      <c r="A21" s="105" t="s">
        <v>694</v>
      </c>
      <c r="B21" s="105" t="s">
        <v>650</v>
      </c>
      <c r="D21" s="105" t="s">
        <v>212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  <c r="K21" s="116">
        <v>0</v>
      </c>
      <c r="L21" s="116">
        <v>0</v>
      </c>
      <c r="M21" s="116">
        <v>0</v>
      </c>
      <c r="N21" s="116">
        <v>0</v>
      </c>
      <c r="O21" s="116">
        <v>0</v>
      </c>
      <c r="P21" s="116">
        <v>0</v>
      </c>
      <c r="Q21" s="117">
        <f t="shared" si="8"/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127">
        <f t="shared" si="6"/>
        <v>0</v>
      </c>
      <c r="AE21" s="72">
        <f t="shared" si="7"/>
        <v>0</v>
      </c>
      <c r="AF21" s="192" t="e">
        <f t="shared" si="1"/>
        <v>#DIV/0!</v>
      </c>
      <c r="AG21" s="129">
        <v>0</v>
      </c>
      <c r="AH21" s="251">
        <f t="shared" si="4"/>
        <v>0</v>
      </c>
    </row>
    <row r="22" spans="1:34">
      <c r="A22" s="105" t="s">
        <v>709</v>
      </c>
      <c r="B22" s="105" t="s">
        <v>650</v>
      </c>
      <c r="D22" s="105" t="s">
        <v>214</v>
      </c>
      <c r="E22" s="176">
        <f>Laundry!E122</f>
        <v>542</v>
      </c>
      <c r="F22" s="176">
        <f>Laundry!F122</f>
        <v>495</v>
      </c>
      <c r="G22" s="176">
        <f>Laundry!G122</f>
        <v>500</v>
      </c>
      <c r="H22" s="176">
        <f>Laundry!H122</f>
        <v>514</v>
      </c>
      <c r="I22" s="176">
        <f>Laundry!I122</f>
        <v>528</v>
      </c>
      <c r="J22" s="176">
        <f>Laundry!J122</f>
        <v>505</v>
      </c>
      <c r="K22" s="176">
        <f>Laundry!K122</f>
        <v>538</v>
      </c>
      <c r="L22" s="176">
        <f>Laundry!L122</f>
        <v>536</v>
      </c>
      <c r="M22" s="176">
        <f>Laundry!M122</f>
        <v>517</v>
      </c>
      <c r="N22" s="176">
        <f>Laundry!N122</f>
        <v>589</v>
      </c>
      <c r="O22" s="176">
        <f>Laundry!O122</f>
        <v>520</v>
      </c>
      <c r="P22" s="176">
        <f>Laundry!P122</f>
        <v>517</v>
      </c>
      <c r="Q22" s="117">
        <f t="shared" si="8"/>
        <v>6301</v>
      </c>
      <c r="R22" s="72">
        <v>697.06</v>
      </c>
      <c r="S22" s="72">
        <v>584.04999999999995</v>
      </c>
      <c r="T22" s="72">
        <v>403.2</v>
      </c>
      <c r="U22" s="72">
        <v>377.17</v>
      </c>
      <c r="V22" s="72">
        <v>151.16999999999999</v>
      </c>
      <c r="W22" s="72">
        <v>451.56</v>
      </c>
      <c r="X22" s="72">
        <v>389.6</v>
      </c>
      <c r="Y22" s="72">
        <v>338.39</v>
      </c>
      <c r="Z22" s="72">
        <v>489</v>
      </c>
      <c r="AA22" s="72">
        <v>547</v>
      </c>
      <c r="AB22" s="72">
        <v>459</v>
      </c>
      <c r="AC22" s="72">
        <v>470</v>
      </c>
      <c r="AD22" s="127">
        <f t="shared" si="6"/>
        <v>5357.2</v>
      </c>
      <c r="AE22" s="72">
        <f t="shared" si="7"/>
        <v>-943.80000000000018</v>
      </c>
      <c r="AF22" s="192">
        <f t="shared" si="1"/>
        <v>-0.17617412080937808</v>
      </c>
      <c r="AG22" s="129">
        <v>4514.0200000000004</v>
      </c>
      <c r="AH22" s="251">
        <f t="shared" si="4"/>
        <v>-1786.9799999999996</v>
      </c>
    </row>
    <row r="23" spans="1:34">
      <c r="A23" s="105" t="s">
        <v>696</v>
      </c>
      <c r="B23" s="105" t="s">
        <v>650</v>
      </c>
      <c r="D23" s="105" t="s">
        <v>216</v>
      </c>
      <c r="E23" s="116">
        <v>1000</v>
      </c>
      <c r="F23" s="116">
        <v>1000</v>
      </c>
      <c r="G23" s="116">
        <v>1000</v>
      </c>
      <c r="H23" s="116">
        <v>1000</v>
      </c>
      <c r="I23" s="116">
        <v>1000</v>
      </c>
      <c r="J23" s="116">
        <v>1000</v>
      </c>
      <c r="K23" s="116">
        <v>1000</v>
      </c>
      <c r="L23" s="116">
        <v>1000</v>
      </c>
      <c r="M23" s="116">
        <v>1000</v>
      </c>
      <c r="N23" s="116">
        <v>1000</v>
      </c>
      <c r="O23" s="116">
        <v>1000</v>
      </c>
      <c r="P23" s="116">
        <v>1000</v>
      </c>
      <c r="Q23" s="117">
        <f t="shared" si="8"/>
        <v>12000</v>
      </c>
      <c r="R23" s="72">
        <v>1014.4</v>
      </c>
      <c r="S23" s="72">
        <v>1446</v>
      </c>
      <c r="T23" s="72">
        <v>718.3</v>
      </c>
      <c r="U23" s="72">
        <v>930.95</v>
      </c>
      <c r="V23" s="72">
        <v>997.7</v>
      </c>
      <c r="W23" s="72">
        <v>999.4</v>
      </c>
      <c r="X23" s="72">
        <v>1024.0999999999999</v>
      </c>
      <c r="Y23" s="72">
        <v>998</v>
      </c>
      <c r="Z23" s="72">
        <v>1200</v>
      </c>
      <c r="AA23" s="72">
        <v>1200</v>
      </c>
      <c r="AB23" s="72">
        <v>1200</v>
      </c>
      <c r="AC23" s="72">
        <v>1200</v>
      </c>
      <c r="AD23" s="127">
        <f t="shared" si="6"/>
        <v>12928.849999999999</v>
      </c>
      <c r="AE23" s="72">
        <f t="shared" si="7"/>
        <v>928.84999999999854</v>
      </c>
      <c r="AF23" s="192">
        <f t="shared" si="1"/>
        <v>7.1843203378490636E-2</v>
      </c>
      <c r="AG23" s="129">
        <v>13512.820000000002</v>
      </c>
      <c r="AH23" s="251">
        <f t="shared" si="4"/>
        <v>1512.8200000000015</v>
      </c>
    </row>
    <row r="24" spans="1:34">
      <c r="A24" s="105" t="s">
        <v>697</v>
      </c>
      <c r="B24" s="105" t="s">
        <v>650</v>
      </c>
      <c r="D24" s="105" t="s">
        <v>218</v>
      </c>
      <c r="E24" s="116">
        <v>1000</v>
      </c>
      <c r="F24" s="116">
        <v>900</v>
      </c>
      <c r="G24" s="116">
        <v>900</v>
      </c>
      <c r="H24" s="116">
        <v>900</v>
      </c>
      <c r="I24" s="116">
        <v>900</v>
      </c>
      <c r="J24" s="116">
        <v>900</v>
      </c>
      <c r="K24" s="116">
        <v>1000</v>
      </c>
      <c r="L24" s="116">
        <v>1000</v>
      </c>
      <c r="M24" s="116">
        <v>900</v>
      </c>
      <c r="N24" s="116">
        <v>900</v>
      </c>
      <c r="O24" s="116">
        <v>900</v>
      </c>
      <c r="P24" s="116">
        <v>900</v>
      </c>
      <c r="Q24" s="117">
        <f t="shared" si="8"/>
        <v>11100</v>
      </c>
      <c r="R24" s="72">
        <v>1097.17</v>
      </c>
      <c r="S24" s="72">
        <v>579.39</v>
      </c>
      <c r="T24" s="72">
        <v>1264.3499999999999</v>
      </c>
      <c r="U24" s="72">
        <v>828.61</v>
      </c>
      <c r="V24" s="72">
        <v>513.83000000000004</v>
      </c>
      <c r="W24" s="72">
        <v>828.24</v>
      </c>
      <c r="X24" s="72">
        <v>720.61</v>
      </c>
      <c r="Y24" s="72">
        <v>959.04</v>
      </c>
      <c r="Z24" s="72">
        <v>1000</v>
      </c>
      <c r="AA24" s="72">
        <v>1000</v>
      </c>
      <c r="AB24" s="72">
        <v>1000</v>
      </c>
      <c r="AC24" s="72">
        <v>1000</v>
      </c>
      <c r="AD24" s="127">
        <f t="shared" si="6"/>
        <v>10791.24</v>
      </c>
      <c r="AE24" s="72">
        <f t="shared" si="7"/>
        <v>-308.76000000000022</v>
      </c>
      <c r="AF24" s="192">
        <f t="shared" si="1"/>
        <v>-2.8612096478254606E-2</v>
      </c>
      <c r="AG24" s="129">
        <v>13155.55</v>
      </c>
      <c r="AH24" s="251">
        <f t="shared" si="4"/>
        <v>2055.5499999999993</v>
      </c>
    </row>
    <row r="25" spans="1:34">
      <c r="A25" s="105" t="s">
        <v>746</v>
      </c>
      <c r="B25" s="105" t="s">
        <v>650</v>
      </c>
      <c r="D25" s="105" t="s">
        <v>678</v>
      </c>
      <c r="E25" s="116">
        <v>3400</v>
      </c>
      <c r="F25" s="116">
        <v>0</v>
      </c>
      <c r="G25" s="116">
        <v>2150</v>
      </c>
      <c r="H25" s="116">
        <v>960</v>
      </c>
      <c r="I25" s="116">
        <v>500</v>
      </c>
      <c r="J25" s="116">
        <v>500</v>
      </c>
      <c r="K25" s="116">
        <v>500</v>
      </c>
      <c r="L25" s="116">
        <v>500</v>
      </c>
      <c r="M25" s="116">
        <v>500</v>
      </c>
      <c r="N25" s="116">
        <v>500</v>
      </c>
      <c r="O25" s="116">
        <v>500</v>
      </c>
      <c r="P25" s="116">
        <v>500</v>
      </c>
      <c r="Q25" s="117">
        <f t="shared" si="8"/>
        <v>10510</v>
      </c>
      <c r="R25" s="72">
        <v>3400</v>
      </c>
      <c r="S25" s="72">
        <v>0</v>
      </c>
      <c r="T25" s="72">
        <v>2150</v>
      </c>
      <c r="U25" s="72">
        <v>960</v>
      </c>
      <c r="V25" s="72">
        <v>5465.35</v>
      </c>
      <c r="W25" s="72">
        <v>0</v>
      </c>
      <c r="X25" s="72">
        <v>2730</v>
      </c>
      <c r="Y25" s="72">
        <v>0</v>
      </c>
      <c r="Z25" s="72">
        <v>500</v>
      </c>
      <c r="AA25" s="72">
        <v>500</v>
      </c>
      <c r="AB25" s="72">
        <v>500</v>
      </c>
      <c r="AC25" s="72">
        <v>500</v>
      </c>
      <c r="AD25" s="127">
        <f t="shared" si="6"/>
        <v>16705.349999999999</v>
      </c>
      <c r="AE25" s="72">
        <f t="shared" si="7"/>
        <v>6195.3499999999985</v>
      </c>
      <c r="AF25" s="192">
        <f t="shared" si="1"/>
        <v>0.37086023339828256</v>
      </c>
      <c r="AG25" s="129">
        <v>4385</v>
      </c>
      <c r="AH25" s="251">
        <f t="shared" si="4"/>
        <v>-6125</v>
      </c>
    </row>
    <row r="26" spans="1:34">
      <c r="D26" s="105" t="s">
        <v>507</v>
      </c>
      <c r="E26" s="117">
        <f t="shared" ref="E26:AD26" si="9">SUM(E15:E25)</f>
        <v>49141.75</v>
      </c>
      <c r="F26" s="117">
        <f t="shared" si="9"/>
        <v>39984.69</v>
      </c>
      <c r="G26" s="117">
        <f t="shared" si="9"/>
        <v>102630.69</v>
      </c>
      <c r="H26" s="117">
        <f t="shared" si="9"/>
        <v>45261.37</v>
      </c>
      <c r="I26" s="117">
        <f t="shared" si="9"/>
        <v>43785.07</v>
      </c>
      <c r="J26" s="117">
        <f t="shared" si="9"/>
        <v>55063.69</v>
      </c>
      <c r="K26" s="117">
        <f t="shared" si="9"/>
        <v>43464.44</v>
      </c>
      <c r="L26" s="117">
        <f t="shared" si="9"/>
        <v>43470.79</v>
      </c>
      <c r="M26" s="117">
        <f t="shared" si="9"/>
        <v>63118.79</v>
      </c>
      <c r="N26" s="117">
        <f t="shared" si="9"/>
        <v>44268.51</v>
      </c>
      <c r="O26" s="117">
        <f t="shared" si="9"/>
        <v>40442.44</v>
      </c>
      <c r="P26" s="117">
        <f t="shared" si="9"/>
        <v>42779.79</v>
      </c>
      <c r="Q26" s="117">
        <f t="shared" si="9"/>
        <v>613412.02</v>
      </c>
      <c r="R26" s="127">
        <f t="shared" si="9"/>
        <v>22968.93</v>
      </c>
      <c r="S26" s="127">
        <f t="shared" si="9"/>
        <v>26277.579999999998</v>
      </c>
      <c r="T26" s="127">
        <f t="shared" si="9"/>
        <v>58454.409999999996</v>
      </c>
      <c r="U26" s="127">
        <f t="shared" si="9"/>
        <v>20890.78</v>
      </c>
      <c r="V26" s="127">
        <f t="shared" si="9"/>
        <v>41897.469999999994</v>
      </c>
      <c r="W26" s="127">
        <f t="shared" si="9"/>
        <v>41295.129999999997</v>
      </c>
      <c r="X26" s="127">
        <f t="shared" si="9"/>
        <v>99182.640000000014</v>
      </c>
      <c r="Y26" s="127">
        <f t="shared" si="9"/>
        <v>14893.7</v>
      </c>
      <c r="Z26" s="127">
        <f t="shared" si="9"/>
        <v>27059.21</v>
      </c>
      <c r="AA26" s="127">
        <f t="shared" si="9"/>
        <v>28341.21</v>
      </c>
      <c r="AB26" s="127">
        <f t="shared" si="9"/>
        <v>27921.21</v>
      </c>
      <c r="AC26" s="127">
        <f t="shared" si="9"/>
        <v>29186.21</v>
      </c>
      <c r="AD26" s="127">
        <f t="shared" si="9"/>
        <v>438368.48</v>
      </c>
      <c r="AE26" s="72">
        <f t="shared" si="7"/>
        <v>-175043.54000000004</v>
      </c>
      <c r="AF26" s="192">
        <f t="shared" si="1"/>
        <v>-0.39930685709884989</v>
      </c>
      <c r="AG26" s="129">
        <v>404860.74</v>
      </c>
      <c r="AH26" s="251">
        <f t="shared" si="4"/>
        <v>-208551.28000000003</v>
      </c>
    </row>
    <row r="27" spans="1:34">
      <c r="D27" s="105" t="s">
        <v>508</v>
      </c>
      <c r="E27" s="117">
        <f t="shared" ref="E27:AD27" si="10">E10-E12-E26</f>
        <v>-147629.5</v>
      </c>
      <c r="F27" s="117">
        <f t="shared" si="10"/>
        <v>-121345.54000000001</v>
      </c>
      <c r="G27" s="117">
        <f t="shared" si="10"/>
        <v>-185638.57</v>
      </c>
      <c r="H27" s="117">
        <f t="shared" si="10"/>
        <v>-133431.74000000002</v>
      </c>
      <c r="I27" s="117">
        <f t="shared" si="10"/>
        <v>-135343.81</v>
      </c>
      <c r="J27" s="117">
        <f t="shared" si="10"/>
        <v>-139371.59</v>
      </c>
      <c r="K27" s="117">
        <f t="shared" si="10"/>
        <v>-127714.34</v>
      </c>
      <c r="L27" s="117">
        <f t="shared" si="10"/>
        <v>-126742.69</v>
      </c>
      <c r="M27" s="117">
        <f t="shared" si="10"/>
        <v>-147458.69</v>
      </c>
      <c r="N27" s="117">
        <f t="shared" si="10"/>
        <v>-146470.05000000002</v>
      </c>
      <c r="O27" s="117">
        <f t="shared" si="10"/>
        <v>-123647.32</v>
      </c>
      <c r="P27" s="117">
        <f t="shared" si="10"/>
        <v>-125972.67000000001</v>
      </c>
      <c r="Q27" s="117">
        <f t="shared" si="10"/>
        <v>-1660766.5100000002</v>
      </c>
      <c r="R27" s="127">
        <f t="shared" si="10"/>
        <v>-122458.17000000001</v>
      </c>
      <c r="S27" s="127">
        <f t="shared" si="10"/>
        <v>-126885.62000000001</v>
      </c>
      <c r="T27" s="127">
        <f t="shared" si="10"/>
        <v>-156556.13</v>
      </c>
      <c r="U27" s="127">
        <f t="shared" si="10"/>
        <v>-117631.36</v>
      </c>
      <c r="V27" s="127">
        <f t="shared" si="10"/>
        <v>-137801.88999999998</v>
      </c>
      <c r="W27" s="127">
        <f t="shared" si="10"/>
        <v>-136524.34999999998</v>
      </c>
      <c r="X27" s="127">
        <f t="shared" si="10"/>
        <v>-189742.24000000002</v>
      </c>
      <c r="Y27" s="127">
        <f t="shared" si="10"/>
        <v>-104568.09</v>
      </c>
      <c r="Z27" s="127">
        <f t="shared" si="10"/>
        <v>-117536.70999999999</v>
      </c>
      <c r="AA27" s="127">
        <f t="shared" si="10"/>
        <v>-128933.70999999999</v>
      </c>
      <c r="AB27" s="127">
        <f t="shared" si="10"/>
        <v>-113606.70999999999</v>
      </c>
      <c r="AC27" s="127">
        <f t="shared" si="10"/>
        <v>-114872.70999999999</v>
      </c>
      <c r="AD27" s="127">
        <f t="shared" si="10"/>
        <v>-1567117.69</v>
      </c>
      <c r="AE27" s="72">
        <f t="shared" si="7"/>
        <v>93648.820000000298</v>
      </c>
      <c r="AF27" s="192"/>
      <c r="AG27" s="129">
        <v>-1791112.0200000003</v>
      </c>
      <c r="AH27" s="266">
        <f>Q27-AG27</f>
        <v>130345.51000000001</v>
      </c>
    </row>
    <row r="28" spans="1:34">
      <c r="D28" s="105" t="s">
        <v>154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7"/>
      <c r="AF28" s="192"/>
      <c r="AG28" s="129"/>
      <c r="AH28" s="251">
        <f t="shared" ref="AH28:AH64" si="11">AG28-Q28</f>
        <v>0</v>
      </c>
    </row>
    <row r="29" spans="1:34">
      <c r="D29" s="109" t="s">
        <v>516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7"/>
      <c r="AF29" s="192"/>
      <c r="AG29" s="129"/>
      <c r="AH29" s="251">
        <f t="shared" si="11"/>
        <v>0</v>
      </c>
    </row>
    <row r="30" spans="1:34">
      <c r="D30" s="105" t="s">
        <v>517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7"/>
      <c r="AF30" s="192"/>
      <c r="AG30" s="129"/>
      <c r="AH30" s="251">
        <f t="shared" si="11"/>
        <v>0</v>
      </c>
    </row>
    <row r="31" spans="1:34">
      <c r="A31" s="105" t="s">
        <v>248</v>
      </c>
      <c r="B31" s="105" t="s">
        <v>650</v>
      </c>
      <c r="D31" s="105" t="s">
        <v>250</v>
      </c>
      <c r="E31" s="265">
        <v>6500</v>
      </c>
      <c r="F31" s="116">
        <v>6500</v>
      </c>
      <c r="G31" s="116">
        <v>6532.5</v>
      </c>
      <c r="H31" s="116">
        <v>6532.5</v>
      </c>
      <c r="I31" s="116">
        <v>6532.5</v>
      </c>
      <c r="J31" s="116">
        <v>6532.5</v>
      </c>
      <c r="K31" s="116">
        <v>6532.5</v>
      </c>
      <c r="L31" s="116">
        <v>6532.5</v>
      </c>
      <c r="M31" s="116">
        <v>6532.5</v>
      </c>
      <c r="N31" s="116">
        <v>6532.5</v>
      </c>
      <c r="O31" s="116">
        <v>6532.5</v>
      </c>
      <c r="P31" s="116">
        <v>6532.5</v>
      </c>
      <c r="Q31" s="117">
        <f>SUM(E31:P31)</f>
        <v>78325</v>
      </c>
      <c r="R31" s="72">
        <v>6500</v>
      </c>
      <c r="S31" s="72">
        <v>6500</v>
      </c>
      <c r="T31" s="72">
        <v>6500</v>
      </c>
      <c r="U31" s="72">
        <v>6500</v>
      </c>
      <c r="V31" s="72">
        <v>6500</v>
      </c>
      <c r="W31" s="72">
        <v>6500</v>
      </c>
      <c r="X31" s="72">
        <v>6500</v>
      </c>
      <c r="Y31" s="72">
        <v>6500</v>
      </c>
      <c r="Z31" s="72">
        <v>6500</v>
      </c>
      <c r="AA31" s="72">
        <v>6500</v>
      </c>
      <c r="AB31" s="72">
        <v>6500</v>
      </c>
      <c r="AC31" s="72">
        <v>6500</v>
      </c>
      <c r="AD31" s="127">
        <f>SUM(R31:AC31)</f>
        <v>78000</v>
      </c>
      <c r="AE31" s="72">
        <f>AD31-Q31</f>
        <v>-325</v>
      </c>
      <c r="AF31" s="192">
        <f t="shared" si="1"/>
        <v>-4.1666666666666666E-3</v>
      </c>
      <c r="AG31" s="129">
        <v>78000</v>
      </c>
      <c r="AH31" s="251">
        <f t="shared" si="11"/>
        <v>-325</v>
      </c>
    </row>
    <row r="32" spans="1:34">
      <c r="A32" s="105" t="s">
        <v>251</v>
      </c>
      <c r="B32" s="105" t="s">
        <v>650</v>
      </c>
      <c r="D32" s="105" t="s">
        <v>468</v>
      </c>
      <c r="E32" s="265">
        <v>30883</v>
      </c>
      <c r="F32" s="116">
        <v>30883</v>
      </c>
      <c r="G32" s="116">
        <v>32427.15</v>
      </c>
      <c r="H32" s="116">
        <v>32427.15</v>
      </c>
      <c r="I32" s="116">
        <v>32427.15</v>
      </c>
      <c r="J32" s="116">
        <v>32427.15</v>
      </c>
      <c r="K32" s="116">
        <v>32427.15</v>
      </c>
      <c r="L32" s="116">
        <v>32427.15</v>
      </c>
      <c r="M32" s="116">
        <v>32427.15</v>
      </c>
      <c r="N32" s="116">
        <v>32427.15</v>
      </c>
      <c r="O32" s="116">
        <v>32427.15</v>
      </c>
      <c r="P32" s="116">
        <v>32427.15</v>
      </c>
      <c r="Q32" s="117">
        <f>SUM(E32:P32)</f>
        <v>386037.50000000006</v>
      </c>
      <c r="R32" s="72">
        <v>34700</v>
      </c>
      <c r="S32" s="72">
        <v>34700</v>
      </c>
      <c r="T32" s="72">
        <v>34700</v>
      </c>
      <c r="U32" s="72">
        <v>34700</v>
      </c>
      <c r="V32" s="72">
        <v>34700</v>
      </c>
      <c r="W32" s="72">
        <v>34700</v>
      </c>
      <c r="X32" s="72">
        <v>34700</v>
      </c>
      <c r="Y32" s="72">
        <v>34700</v>
      </c>
      <c r="Z32" s="72">
        <v>28789</v>
      </c>
      <c r="AA32" s="72">
        <v>28789</v>
      </c>
      <c r="AB32" s="72">
        <v>28789</v>
      </c>
      <c r="AC32" s="72">
        <v>28789</v>
      </c>
      <c r="AD32" s="127">
        <f>SUM(R32:AC32)</f>
        <v>392756</v>
      </c>
      <c r="AE32" s="72">
        <f>AD32-Q32</f>
        <v>6718.4999999999418</v>
      </c>
      <c r="AF32" s="192">
        <f t="shared" si="1"/>
        <v>1.7106040391489732E-2</v>
      </c>
      <c r="AG32" s="129">
        <v>503354.07999999996</v>
      </c>
      <c r="AH32" s="251">
        <f t="shared" si="11"/>
        <v>117316.5799999999</v>
      </c>
    </row>
    <row r="33" spans="1:34">
      <c r="D33" s="109" t="s">
        <v>520</v>
      </c>
      <c r="E33" s="117">
        <f t="shared" ref="E33:AD33" si="12">SUM(E31:E32)</f>
        <v>37383</v>
      </c>
      <c r="F33" s="117">
        <f t="shared" si="12"/>
        <v>37383</v>
      </c>
      <c r="G33" s="117">
        <f t="shared" si="12"/>
        <v>38959.65</v>
      </c>
      <c r="H33" s="117">
        <f t="shared" si="12"/>
        <v>38959.65</v>
      </c>
      <c r="I33" s="117">
        <f t="shared" si="12"/>
        <v>38959.65</v>
      </c>
      <c r="J33" s="117">
        <f t="shared" si="12"/>
        <v>38959.65</v>
      </c>
      <c r="K33" s="117">
        <f t="shared" si="12"/>
        <v>38959.65</v>
      </c>
      <c r="L33" s="117">
        <f t="shared" si="12"/>
        <v>38959.65</v>
      </c>
      <c r="M33" s="117">
        <f t="shared" si="12"/>
        <v>38959.65</v>
      </c>
      <c r="N33" s="117">
        <f t="shared" si="12"/>
        <v>38959.65</v>
      </c>
      <c r="O33" s="117">
        <f t="shared" si="12"/>
        <v>38959.65</v>
      </c>
      <c r="P33" s="117">
        <f t="shared" si="12"/>
        <v>38959.65</v>
      </c>
      <c r="Q33" s="117">
        <f t="shared" si="12"/>
        <v>464362.50000000006</v>
      </c>
      <c r="R33" s="127">
        <f t="shared" si="12"/>
        <v>41200</v>
      </c>
      <c r="S33" s="127">
        <f t="shared" si="12"/>
        <v>41200</v>
      </c>
      <c r="T33" s="127">
        <f t="shared" si="12"/>
        <v>41200</v>
      </c>
      <c r="U33" s="127">
        <f t="shared" si="12"/>
        <v>41200</v>
      </c>
      <c r="V33" s="127">
        <f t="shared" si="12"/>
        <v>41200</v>
      </c>
      <c r="W33" s="127">
        <f t="shared" si="12"/>
        <v>41200</v>
      </c>
      <c r="X33" s="127">
        <f t="shared" si="12"/>
        <v>41200</v>
      </c>
      <c r="Y33" s="127">
        <f t="shared" si="12"/>
        <v>41200</v>
      </c>
      <c r="Z33" s="127">
        <f t="shared" si="12"/>
        <v>35289</v>
      </c>
      <c r="AA33" s="127">
        <f t="shared" si="12"/>
        <v>35289</v>
      </c>
      <c r="AB33" s="127">
        <f t="shared" si="12"/>
        <v>35289</v>
      </c>
      <c r="AC33" s="127">
        <f t="shared" si="12"/>
        <v>35289</v>
      </c>
      <c r="AD33" s="127">
        <f t="shared" si="12"/>
        <v>470756</v>
      </c>
      <c r="AE33" s="72">
        <f>AD33-Q33</f>
        <v>6393.4999999999418</v>
      </c>
      <c r="AF33" s="192">
        <f t="shared" si="1"/>
        <v>1.3581345750239915E-2</v>
      </c>
      <c r="AG33" s="129">
        <v>581354.07999999996</v>
      </c>
      <c r="AH33" s="251">
        <f t="shared" si="11"/>
        <v>116991.5799999999</v>
      </c>
    </row>
    <row r="34" spans="1:34">
      <c r="D34" s="105" t="s">
        <v>154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7"/>
      <c r="AF34" s="192" t="e">
        <f t="shared" si="1"/>
        <v>#DIV/0!</v>
      </c>
      <c r="AG34" s="129"/>
      <c r="AH34" s="251">
        <f t="shared" si="11"/>
        <v>0</v>
      </c>
    </row>
    <row r="35" spans="1:34">
      <c r="A35" s="105" t="s">
        <v>119</v>
      </c>
      <c r="B35" s="105" t="s">
        <v>650</v>
      </c>
      <c r="D35" s="105" t="s">
        <v>260</v>
      </c>
      <c r="E35" s="265">
        <v>14937.900000000001</v>
      </c>
      <c r="F35" s="265">
        <v>0</v>
      </c>
      <c r="G35" s="265">
        <v>0</v>
      </c>
      <c r="H35" s="265">
        <v>3765.49</v>
      </c>
      <c r="I35" s="265">
        <v>6317.2400000000007</v>
      </c>
      <c r="J35" s="265">
        <v>0</v>
      </c>
      <c r="K35" s="265">
        <v>0</v>
      </c>
      <c r="L35" s="265">
        <v>0</v>
      </c>
      <c r="M35" s="265">
        <v>0</v>
      </c>
      <c r="N35" s="265">
        <v>15958.61</v>
      </c>
      <c r="O35" s="265">
        <v>0</v>
      </c>
      <c r="P35" s="265">
        <v>0</v>
      </c>
      <c r="Q35" s="117">
        <f>SUM(E35:P35)</f>
        <v>40979.240000000005</v>
      </c>
      <c r="R35" s="72">
        <v>4803.33</v>
      </c>
      <c r="S35" s="72">
        <v>9765.27</v>
      </c>
      <c r="T35" s="72">
        <v>0</v>
      </c>
      <c r="U35" s="72">
        <v>3255.09</v>
      </c>
      <c r="V35" s="72">
        <v>4275.75</v>
      </c>
      <c r="W35" s="72">
        <v>3255.09</v>
      </c>
      <c r="X35" s="72">
        <v>0</v>
      </c>
      <c r="Y35" s="72">
        <v>0</v>
      </c>
      <c r="Z35" s="72">
        <v>4624</v>
      </c>
      <c r="AA35" s="72">
        <v>13871</v>
      </c>
      <c r="AB35" s="72">
        <v>0</v>
      </c>
      <c r="AC35" s="72">
        <v>0</v>
      </c>
      <c r="AD35" s="127">
        <f>SUM(R35:AC35)</f>
        <v>43849.53</v>
      </c>
      <c r="AE35" s="72">
        <f t="shared" ref="AE35:AE40" si="13">AD35-Q35</f>
        <v>2870.2899999999936</v>
      </c>
      <c r="AF35" s="192">
        <f t="shared" si="1"/>
        <v>6.5457714141975834E-2</v>
      </c>
      <c r="AG35" s="129">
        <v>115498.14</v>
      </c>
      <c r="AH35" s="251">
        <f t="shared" si="11"/>
        <v>74518.899999999994</v>
      </c>
    </row>
    <row r="36" spans="1:34">
      <c r="A36" s="105" t="s">
        <v>120</v>
      </c>
      <c r="B36" s="105" t="s">
        <v>650</v>
      </c>
      <c r="D36" s="105" t="s">
        <v>668</v>
      </c>
      <c r="E36" s="265">
        <v>6866.69</v>
      </c>
      <c r="F36" s="265">
        <v>6866.69</v>
      </c>
      <c r="G36" s="265">
        <v>6866.69</v>
      </c>
      <c r="H36" s="265">
        <v>6866.69</v>
      </c>
      <c r="I36" s="265">
        <v>6866.69</v>
      </c>
      <c r="J36" s="265">
        <v>6866.69</v>
      </c>
      <c r="K36" s="265">
        <v>6866.69</v>
      </c>
      <c r="L36" s="265">
        <v>6866.69</v>
      </c>
      <c r="M36" s="265">
        <v>6866.69</v>
      </c>
      <c r="N36" s="265">
        <v>6866.69</v>
      </c>
      <c r="O36" s="265">
        <v>6866.69</v>
      </c>
      <c r="P36" s="265">
        <v>6866.69</v>
      </c>
      <c r="Q36" s="117">
        <f>SUM(E36:P36)</f>
        <v>82400.280000000013</v>
      </c>
      <c r="R36" s="72">
        <v>10285.549999999999</v>
      </c>
      <c r="S36" s="72">
        <v>10326.040000000001</v>
      </c>
      <c r="T36" s="72">
        <v>10290.32</v>
      </c>
      <c r="U36" s="72">
        <v>6854.2</v>
      </c>
      <c r="V36" s="72">
        <v>6868.7</v>
      </c>
      <c r="W36" s="72">
        <v>6866.55</v>
      </c>
      <c r="X36" s="72">
        <v>6876.5</v>
      </c>
      <c r="Y36" s="72">
        <v>6870.79</v>
      </c>
      <c r="Z36" s="72">
        <v>5881.5</v>
      </c>
      <c r="AA36" s="72">
        <v>5881.5</v>
      </c>
      <c r="AB36" s="72">
        <v>5881.5</v>
      </c>
      <c r="AC36" s="72">
        <v>5881.5</v>
      </c>
      <c r="AD36" s="127">
        <f>SUM(R36:AC36)</f>
        <v>88764.65</v>
      </c>
      <c r="AE36" s="72">
        <f t="shared" si="13"/>
        <v>6364.3699999999808</v>
      </c>
      <c r="AF36" s="192">
        <f t="shared" si="1"/>
        <v>7.1699375821343087E-2</v>
      </c>
      <c r="AG36" s="129">
        <v>90909.52</v>
      </c>
      <c r="AH36" s="251">
        <f t="shared" si="11"/>
        <v>8509.2399999999907</v>
      </c>
    </row>
    <row r="37" spans="1:34">
      <c r="A37" s="105" t="s">
        <v>121</v>
      </c>
      <c r="B37" s="105" t="s">
        <v>650</v>
      </c>
      <c r="D37" s="105" t="s">
        <v>262</v>
      </c>
      <c r="E37" s="265">
        <v>9100</v>
      </c>
      <c r="F37" s="265">
        <v>9100</v>
      </c>
      <c r="G37" s="265">
        <v>9100</v>
      </c>
      <c r="H37" s="265">
        <v>9100</v>
      </c>
      <c r="I37" s="265">
        <v>9100</v>
      </c>
      <c r="J37" s="265">
        <v>9100</v>
      </c>
      <c r="K37" s="265">
        <v>9100</v>
      </c>
      <c r="L37" s="265">
        <v>9100</v>
      </c>
      <c r="M37" s="265">
        <v>9100</v>
      </c>
      <c r="N37" s="265">
        <v>9100</v>
      </c>
      <c r="O37" s="265">
        <v>9100</v>
      </c>
      <c r="P37" s="265">
        <v>9100</v>
      </c>
      <c r="Q37" s="117">
        <f>SUM(E37:P37)</f>
        <v>109200</v>
      </c>
      <c r="R37" s="72">
        <v>8978.7099999999991</v>
      </c>
      <c r="S37" s="72">
        <v>9100</v>
      </c>
      <c r="T37" s="72">
        <v>9100</v>
      </c>
      <c r="U37" s="72">
        <v>9100</v>
      </c>
      <c r="V37" s="72">
        <v>9078</v>
      </c>
      <c r="W37" s="72">
        <v>9100</v>
      </c>
      <c r="X37" s="72">
        <v>9100</v>
      </c>
      <c r="Y37" s="72">
        <v>9100</v>
      </c>
      <c r="Z37" s="72">
        <v>10759</v>
      </c>
      <c r="AA37" s="72">
        <v>10759</v>
      </c>
      <c r="AB37" s="72">
        <v>10759</v>
      </c>
      <c r="AC37" s="72">
        <v>10759</v>
      </c>
      <c r="AD37" s="127">
        <f>SUM(R37:AC37)</f>
        <v>115692.70999999999</v>
      </c>
      <c r="AE37" s="72">
        <f t="shared" si="13"/>
        <v>6492.7099999999919</v>
      </c>
      <c r="AF37" s="192">
        <f t="shared" si="1"/>
        <v>5.6120303517827458E-2</v>
      </c>
      <c r="AG37" s="129">
        <v>76400</v>
      </c>
      <c r="AH37" s="251">
        <f t="shared" si="11"/>
        <v>-32800</v>
      </c>
    </row>
    <row r="38" spans="1:34">
      <c r="A38" s="105" t="s">
        <v>122</v>
      </c>
      <c r="B38" s="105" t="s">
        <v>650</v>
      </c>
      <c r="D38" s="105" t="s">
        <v>263</v>
      </c>
      <c r="E38" s="265">
        <v>0</v>
      </c>
      <c r="F38" s="265">
        <v>0</v>
      </c>
      <c r="G38" s="265">
        <v>0</v>
      </c>
      <c r="H38" s="265">
        <v>0</v>
      </c>
      <c r="I38" s="265">
        <v>0</v>
      </c>
      <c r="J38" s="265">
        <v>0</v>
      </c>
      <c r="K38" s="265">
        <v>0</v>
      </c>
      <c r="L38" s="265">
        <v>0</v>
      </c>
      <c r="M38" s="265">
        <v>0</v>
      </c>
      <c r="N38" s="265">
        <v>0</v>
      </c>
      <c r="O38" s="265">
        <v>0</v>
      </c>
      <c r="P38" s="265">
        <v>0</v>
      </c>
      <c r="Q38" s="117">
        <f>SUM(E38:P38)</f>
        <v>0</v>
      </c>
      <c r="R38" s="72">
        <v>0</v>
      </c>
      <c r="S38" s="72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72">
        <v>0</v>
      </c>
      <c r="AD38" s="127">
        <f>SUM(R38:AC38)</f>
        <v>0</v>
      </c>
      <c r="AE38" s="72">
        <f t="shared" si="13"/>
        <v>0</v>
      </c>
      <c r="AF38" s="192" t="e">
        <f t="shared" si="1"/>
        <v>#DIV/0!</v>
      </c>
      <c r="AG38" s="129">
        <v>0</v>
      </c>
      <c r="AH38" s="251">
        <f t="shared" si="11"/>
        <v>0</v>
      </c>
    </row>
    <row r="39" spans="1:34">
      <c r="A39" s="105" t="s">
        <v>123</v>
      </c>
      <c r="B39" s="105" t="s">
        <v>650</v>
      </c>
      <c r="D39" s="105" t="s">
        <v>264</v>
      </c>
      <c r="E39" s="265">
        <v>0</v>
      </c>
      <c r="F39" s="265">
        <v>0</v>
      </c>
      <c r="G39" s="265">
        <v>0</v>
      </c>
      <c r="H39" s="265">
        <v>0</v>
      </c>
      <c r="I39" s="265">
        <v>0</v>
      </c>
      <c r="J39" s="265">
        <v>0</v>
      </c>
      <c r="K39" s="265">
        <v>0</v>
      </c>
      <c r="L39" s="265">
        <v>0</v>
      </c>
      <c r="M39" s="265">
        <v>0</v>
      </c>
      <c r="N39" s="265">
        <v>0</v>
      </c>
      <c r="O39" s="265">
        <v>0</v>
      </c>
      <c r="P39" s="265">
        <v>0</v>
      </c>
      <c r="Q39" s="117">
        <f>SUM(E39:P39)</f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72">
        <v>0</v>
      </c>
      <c r="AD39" s="127">
        <f>SUM(R39:AC39)</f>
        <v>0</v>
      </c>
      <c r="AE39" s="72">
        <f t="shared" si="13"/>
        <v>0</v>
      </c>
      <c r="AF39" s="192" t="e">
        <f t="shared" si="1"/>
        <v>#DIV/0!</v>
      </c>
      <c r="AG39" s="129">
        <v>0</v>
      </c>
      <c r="AH39" s="251">
        <f t="shared" si="11"/>
        <v>0</v>
      </c>
    </row>
    <row r="40" spans="1:34">
      <c r="D40" s="109" t="s">
        <v>521</v>
      </c>
      <c r="E40" s="117">
        <f t="shared" ref="E40:AD40" si="14">SUM(E35:E39)</f>
        <v>30904.59</v>
      </c>
      <c r="F40" s="117">
        <f t="shared" si="14"/>
        <v>15966.689999999999</v>
      </c>
      <c r="G40" s="117">
        <f t="shared" si="14"/>
        <v>15966.689999999999</v>
      </c>
      <c r="H40" s="117">
        <f t="shared" si="14"/>
        <v>19732.18</v>
      </c>
      <c r="I40" s="117">
        <f t="shared" si="14"/>
        <v>22283.93</v>
      </c>
      <c r="J40" s="117">
        <f t="shared" si="14"/>
        <v>15966.689999999999</v>
      </c>
      <c r="K40" s="117">
        <f t="shared" si="14"/>
        <v>15966.689999999999</v>
      </c>
      <c r="L40" s="117">
        <f t="shared" si="14"/>
        <v>15966.689999999999</v>
      </c>
      <c r="M40" s="117">
        <f t="shared" si="14"/>
        <v>15966.689999999999</v>
      </c>
      <c r="N40" s="117">
        <f t="shared" si="14"/>
        <v>31925.3</v>
      </c>
      <c r="O40" s="117">
        <f t="shared" si="14"/>
        <v>15966.689999999999</v>
      </c>
      <c r="P40" s="117">
        <f t="shared" si="14"/>
        <v>15966.689999999999</v>
      </c>
      <c r="Q40" s="117">
        <f t="shared" si="14"/>
        <v>232579.52000000002</v>
      </c>
      <c r="R40" s="127">
        <f t="shared" si="14"/>
        <v>24067.589999999997</v>
      </c>
      <c r="S40" s="127">
        <f t="shared" si="14"/>
        <v>29191.31</v>
      </c>
      <c r="T40" s="127">
        <f t="shared" si="14"/>
        <v>19390.32</v>
      </c>
      <c r="U40" s="127">
        <f t="shared" si="14"/>
        <v>19209.29</v>
      </c>
      <c r="V40" s="127">
        <f t="shared" si="14"/>
        <v>20222.45</v>
      </c>
      <c r="W40" s="127">
        <f t="shared" si="14"/>
        <v>19221.64</v>
      </c>
      <c r="X40" s="127">
        <f t="shared" si="14"/>
        <v>15976.5</v>
      </c>
      <c r="Y40" s="127">
        <f t="shared" si="14"/>
        <v>15970.79</v>
      </c>
      <c r="Z40" s="127">
        <f t="shared" si="14"/>
        <v>21264.5</v>
      </c>
      <c r="AA40" s="127">
        <f t="shared" si="14"/>
        <v>30511.5</v>
      </c>
      <c r="AB40" s="127">
        <f t="shared" si="14"/>
        <v>16640.5</v>
      </c>
      <c r="AC40" s="127">
        <f t="shared" si="14"/>
        <v>16640.5</v>
      </c>
      <c r="AD40" s="127">
        <f t="shared" si="14"/>
        <v>248306.88999999998</v>
      </c>
      <c r="AE40" s="72">
        <f t="shared" si="13"/>
        <v>15727.369999999966</v>
      </c>
      <c r="AF40" s="192">
        <f t="shared" si="1"/>
        <v>6.3338435755850214E-2</v>
      </c>
      <c r="AG40" s="129">
        <v>282807.66000000003</v>
      </c>
      <c r="AH40" s="251">
        <f t="shared" si="11"/>
        <v>50228.140000000014</v>
      </c>
    </row>
    <row r="41" spans="1:34">
      <c r="D41" s="105" t="s">
        <v>154</v>
      </c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7"/>
      <c r="AF41" s="192"/>
      <c r="AG41" s="129"/>
      <c r="AH41" s="251">
        <f t="shared" si="11"/>
        <v>0</v>
      </c>
    </row>
    <row r="42" spans="1:34">
      <c r="A42" s="105" t="s">
        <v>124</v>
      </c>
      <c r="B42" s="105" t="s">
        <v>650</v>
      </c>
      <c r="D42" s="105" t="s">
        <v>266</v>
      </c>
      <c r="E42" s="265">
        <v>10154.59</v>
      </c>
      <c r="F42" s="265">
        <v>10154.59</v>
      </c>
      <c r="G42" s="265">
        <v>10154.59</v>
      </c>
      <c r="H42" s="265">
        <v>10154.59</v>
      </c>
      <c r="I42" s="265">
        <v>10154.59</v>
      </c>
      <c r="J42" s="265">
        <v>10154.59</v>
      </c>
      <c r="K42" s="265">
        <v>10154.59</v>
      </c>
      <c r="L42" s="265">
        <v>10154.59</v>
      </c>
      <c r="M42" s="265">
        <v>10154.59</v>
      </c>
      <c r="N42" s="265">
        <v>10154.59</v>
      </c>
      <c r="O42" s="265">
        <v>10154.59</v>
      </c>
      <c r="P42" s="265">
        <v>10154.59</v>
      </c>
      <c r="Q42" s="117">
        <f>SUM(E42:P42)</f>
        <v>121855.07999999997</v>
      </c>
      <c r="R42" s="72">
        <v>11639.81</v>
      </c>
      <c r="S42" s="72">
        <v>11639.81</v>
      </c>
      <c r="T42" s="72">
        <v>11639.81</v>
      </c>
      <c r="U42" s="72">
        <v>11639.81</v>
      </c>
      <c r="V42" s="72">
        <v>11639.81</v>
      </c>
      <c r="W42" s="72">
        <v>11639.81</v>
      </c>
      <c r="X42" s="72">
        <v>11639.81</v>
      </c>
      <c r="Y42" s="72">
        <v>11639.81</v>
      </c>
      <c r="Z42" s="72">
        <v>11646</v>
      </c>
      <c r="AA42" s="72">
        <v>11646</v>
      </c>
      <c r="AB42" s="72">
        <v>11646</v>
      </c>
      <c r="AC42" s="72">
        <v>11646</v>
      </c>
      <c r="AD42" s="127">
        <f t="shared" ref="AD42:AD49" si="15">SUM(R42:AC42)</f>
        <v>139702.47999999998</v>
      </c>
      <c r="AE42" s="72">
        <f t="shared" ref="AE42:AE50" si="16">AD42-Q42</f>
        <v>17847.400000000009</v>
      </c>
      <c r="AF42" s="192">
        <f t="shared" si="1"/>
        <v>0.12775292178062989</v>
      </c>
      <c r="AG42" s="129">
        <v>158249.77999999997</v>
      </c>
      <c r="AH42" s="251">
        <f t="shared" si="11"/>
        <v>36394.699999999997</v>
      </c>
    </row>
    <row r="43" spans="1:34">
      <c r="A43" s="105" t="s">
        <v>125</v>
      </c>
      <c r="B43" s="105" t="s">
        <v>650</v>
      </c>
      <c r="D43" s="105" t="s">
        <v>267</v>
      </c>
      <c r="E43" s="265">
        <v>4125.3</v>
      </c>
      <c r="F43" s="265">
        <v>4125.3</v>
      </c>
      <c r="G43" s="265">
        <v>4125.3</v>
      </c>
      <c r="H43" s="265">
        <v>4125.3</v>
      </c>
      <c r="I43" s="265">
        <v>4125.3</v>
      </c>
      <c r="J43" s="265">
        <v>4125.3</v>
      </c>
      <c r="K43" s="265">
        <v>4125.3</v>
      </c>
      <c r="L43" s="265">
        <v>4125.3</v>
      </c>
      <c r="M43" s="265">
        <v>4125.3</v>
      </c>
      <c r="N43" s="265">
        <v>4125.3</v>
      </c>
      <c r="O43" s="265">
        <v>4125.3</v>
      </c>
      <c r="P43" s="265">
        <v>4125.3</v>
      </c>
      <c r="Q43" s="117">
        <f t="shared" ref="Q43:Q49" si="17">SUM(E43:P43)</f>
        <v>49503.600000000013</v>
      </c>
      <c r="R43" s="72">
        <v>6183.65</v>
      </c>
      <c r="S43" s="72">
        <v>6183.65</v>
      </c>
      <c r="T43" s="72">
        <v>6183.65</v>
      </c>
      <c r="U43" s="72">
        <v>6183.65</v>
      </c>
      <c r="V43" s="72">
        <v>6183.65</v>
      </c>
      <c r="W43" s="72">
        <v>6183.65</v>
      </c>
      <c r="X43" s="72">
        <v>4728.68</v>
      </c>
      <c r="Y43" s="72">
        <v>4728.68</v>
      </c>
      <c r="Z43" s="72">
        <v>5998</v>
      </c>
      <c r="AA43" s="72">
        <v>5998</v>
      </c>
      <c r="AB43" s="72">
        <v>5998</v>
      </c>
      <c r="AC43" s="72">
        <v>5998</v>
      </c>
      <c r="AD43" s="127">
        <f t="shared" si="15"/>
        <v>70551.260000000009</v>
      </c>
      <c r="AE43" s="72">
        <f t="shared" si="16"/>
        <v>21047.659999999996</v>
      </c>
      <c r="AF43" s="192">
        <f t="shared" si="1"/>
        <v>0.29833145432129765</v>
      </c>
      <c r="AG43" s="129">
        <v>77118.47</v>
      </c>
      <c r="AH43" s="251">
        <f t="shared" si="11"/>
        <v>27614.869999999988</v>
      </c>
    </row>
    <row r="44" spans="1:34">
      <c r="A44" s="105" t="s">
        <v>126</v>
      </c>
      <c r="B44" s="105" t="s">
        <v>650</v>
      </c>
      <c r="D44" s="105" t="s">
        <v>268</v>
      </c>
      <c r="E44" s="265">
        <v>317.33</v>
      </c>
      <c r="F44" s="265">
        <v>317.33</v>
      </c>
      <c r="G44" s="265">
        <v>317.33</v>
      </c>
      <c r="H44" s="265">
        <v>317.33</v>
      </c>
      <c r="I44" s="265">
        <v>317.33</v>
      </c>
      <c r="J44" s="265">
        <v>317.33</v>
      </c>
      <c r="K44" s="265">
        <v>317.33</v>
      </c>
      <c r="L44" s="265">
        <v>317.33</v>
      </c>
      <c r="M44" s="265">
        <v>317.33</v>
      </c>
      <c r="N44" s="265">
        <v>317.33</v>
      </c>
      <c r="O44" s="265">
        <v>317.33</v>
      </c>
      <c r="P44" s="265">
        <v>317.33</v>
      </c>
      <c r="Q44" s="117">
        <f t="shared" si="17"/>
        <v>3807.9599999999996</v>
      </c>
      <c r="R44" s="72">
        <v>363.76</v>
      </c>
      <c r="S44" s="72">
        <v>363.76</v>
      </c>
      <c r="T44" s="72">
        <v>363.76</v>
      </c>
      <c r="U44" s="72">
        <v>363.76</v>
      </c>
      <c r="V44" s="72">
        <v>363.76</v>
      </c>
      <c r="W44" s="72">
        <v>363.76</v>
      </c>
      <c r="X44" s="72">
        <v>363.76</v>
      </c>
      <c r="Y44" s="72">
        <v>363.76</v>
      </c>
      <c r="Z44" s="72">
        <v>364</v>
      </c>
      <c r="AA44" s="72">
        <v>364</v>
      </c>
      <c r="AB44" s="72">
        <v>364</v>
      </c>
      <c r="AC44" s="72">
        <v>364</v>
      </c>
      <c r="AD44" s="127">
        <f t="shared" si="15"/>
        <v>4366.08</v>
      </c>
      <c r="AE44" s="72">
        <f t="shared" si="16"/>
        <v>558.12000000000035</v>
      </c>
      <c r="AF44" s="192">
        <f t="shared" si="1"/>
        <v>0.12783091468777494</v>
      </c>
      <c r="AG44" s="129">
        <v>4722.21</v>
      </c>
      <c r="AH44" s="251">
        <f t="shared" si="11"/>
        <v>914.25000000000045</v>
      </c>
    </row>
    <row r="45" spans="1:34">
      <c r="A45" s="105" t="s">
        <v>127</v>
      </c>
      <c r="B45" s="105" t="s">
        <v>650</v>
      </c>
      <c r="D45" s="105" t="s">
        <v>269</v>
      </c>
      <c r="E45" s="265">
        <v>76.16</v>
      </c>
      <c r="F45" s="265">
        <v>76.16</v>
      </c>
      <c r="G45" s="265">
        <v>76.16</v>
      </c>
      <c r="H45" s="265">
        <v>76.16</v>
      </c>
      <c r="I45" s="265">
        <v>76.16</v>
      </c>
      <c r="J45" s="265">
        <v>76.16</v>
      </c>
      <c r="K45" s="265">
        <v>76.16</v>
      </c>
      <c r="L45" s="265">
        <v>76.16</v>
      </c>
      <c r="M45" s="265">
        <v>76.16</v>
      </c>
      <c r="N45" s="265">
        <v>76.16</v>
      </c>
      <c r="O45" s="265">
        <v>76.16</v>
      </c>
      <c r="P45" s="265">
        <v>76.16</v>
      </c>
      <c r="Q45" s="117">
        <f t="shared" si="17"/>
        <v>913.91999999999973</v>
      </c>
      <c r="R45" s="72">
        <v>87.3</v>
      </c>
      <c r="S45" s="72">
        <v>87.3</v>
      </c>
      <c r="T45" s="72">
        <v>87.3</v>
      </c>
      <c r="U45" s="72">
        <v>87.3</v>
      </c>
      <c r="V45" s="72">
        <v>87.3</v>
      </c>
      <c r="W45" s="72">
        <v>87.3</v>
      </c>
      <c r="X45" s="72">
        <v>87.3</v>
      </c>
      <c r="Y45" s="72">
        <v>87.3</v>
      </c>
      <c r="Z45" s="72">
        <v>105</v>
      </c>
      <c r="AA45" s="72">
        <v>105</v>
      </c>
      <c r="AB45" s="72">
        <v>105</v>
      </c>
      <c r="AC45" s="72">
        <v>105</v>
      </c>
      <c r="AD45" s="127">
        <f t="shared" si="15"/>
        <v>1118.3999999999999</v>
      </c>
      <c r="AE45" s="72">
        <f t="shared" si="16"/>
        <v>204.48000000000013</v>
      </c>
      <c r="AF45" s="192">
        <f t="shared" si="1"/>
        <v>0.18283261802575121</v>
      </c>
      <c r="AG45" s="129">
        <v>1510.82</v>
      </c>
      <c r="AH45" s="251">
        <f t="shared" si="11"/>
        <v>596.9000000000002</v>
      </c>
    </row>
    <row r="46" spans="1:34">
      <c r="A46" s="105" t="s">
        <v>128</v>
      </c>
      <c r="B46" s="105" t="s">
        <v>650</v>
      </c>
      <c r="D46" s="105" t="s">
        <v>270</v>
      </c>
      <c r="E46" s="265">
        <v>0</v>
      </c>
      <c r="F46" s="265">
        <v>0</v>
      </c>
      <c r="G46" s="265">
        <v>0</v>
      </c>
      <c r="H46" s="265">
        <v>0</v>
      </c>
      <c r="I46" s="265">
        <v>0</v>
      </c>
      <c r="J46" s="265">
        <v>0</v>
      </c>
      <c r="K46" s="265">
        <v>0</v>
      </c>
      <c r="L46" s="265">
        <v>0</v>
      </c>
      <c r="M46" s="265">
        <v>0</v>
      </c>
      <c r="N46" s="265">
        <v>0</v>
      </c>
      <c r="O46" s="265">
        <v>0</v>
      </c>
      <c r="P46" s="265">
        <v>0</v>
      </c>
      <c r="Q46" s="117">
        <f t="shared" si="17"/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72">
        <v>0</v>
      </c>
      <c r="AD46" s="127">
        <f t="shared" si="15"/>
        <v>0</v>
      </c>
      <c r="AE46" s="72">
        <f t="shared" si="16"/>
        <v>0</v>
      </c>
      <c r="AF46" s="192" t="e">
        <f t="shared" si="1"/>
        <v>#DIV/0!</v>
      </c>
      <c r="AG46" s="129">
        <v>3153.21</v>
      </c>
      <c r="AH46" s="251">
        <f t="shared" si="11"/>
        <v>3153.21</v>
      </c>
    </row>
    <row r="47" spans="1:34">
      <c r="A47" s="105" t="s">
        <v>129</v>
      </c>
      <c r="B47" s="105" t="s">
        <v>650</v>
      </c>
      <c r="D47" s="105" t="s">
        <v>271</v>
      </c>
      <c r="E47" s="265">
        <v>3173.3100000000004</v>
      </c>
      <c r="F47" s="265">
        <v>3173.3100000000004</v>
      </c>
      <c r="G47" s="265">
        <v>3173.3100000000004</v>
      </c>
      <c r="H47" s="265">
        <v>3173.3100000000004</v>
      </c>
      <c r="I47" s="265">
        <v>3173.3100000000004</v>
      </c>
      <c r="J47" s="265">
        <v>3173.3100000000004</v>
      </c>
      <c r="K47" s="265">
        <v>3173.3100000000004</v>
      </c>
      <c r="L47" s="265">
        <v>3173.3100000000004</v>
      </c>
      <c r="M47" s="265">
        <v>3173.3100000000004</v>
      </c>
      <c r="N47" s="265">
        <v>3173.3100000000004</v>
      </c>
      <c r="O47" s="265">
        <v>3173.3100000000004</v>
      </c>
      <c r="P47" s="265">
        <v>3173.3100000000004</v>
      </c>
      <c r="Q47" s="117">
        <f t="shared" si="17"/>
        <v>38079.720000000008</v>
      </c>
      <c r="R47" s="72">
        <v>3637</v>
      </c>
      <c r="S47" s="72">
        <v>3637</v>
      </c>
      <c r="T47" s="72">
        <v>3637</v>
      </c>
      <c r="U47" s="72">
        <v>3637</v>
      </c>
      <c r="V47" s="72">
        <v>3637</v>
      </c>
      <c r="W47" s="72">
        <v>3637</v>
      </c>
      <c r="X47" s="72">
        <v>3637</v>
      </c>
      <c r="Y47" s="72">
        <v>3637</v>
      </c>
      <c r="Z47" s="72">
        <v>3639</v>
      </c>
      <c r="AA47" s="72">
        <v>3639</v>
      </c>
      <c r="AB47" s="72">
        <v>3639</v>
      </c>
      <c r="AC47" s="72">
        <v>3639</v>
      </c>
      <c r="AD47" s="127">
        <f t="shared" si="15"/>
        <v>43652</v>
      </c>
      <c r="AE47" s="72">
        <f t="shared" si="16"/>
        <v>5572.2799999999916</v>
      </c>
      <c r="AF47" s="192">
        <f t="shared" si="1"/>
        <v>0.12765234124438724</v>
      </c>
      <c r="AG47" s="129">
        <v>47203</v>
      </c>
      <c r="AH47" s="251">
        <f t="shared" si="11"/>
        <v>9123.2799999999916</v>
      </c>
    </row>
    <row r="48" spans="1:34">
      <c r="A48" s="105" t="s">
        <v>130</v>
      </c>
      <c r="B48" s="105" t="s">
        <v>650</v>
      </c>
      <c r="D48" s="105" t="s">
        <v>272</v>
      </c>
      <c r="E48" s="265">
        <v>1366</v>
      </c>
      <c r="F48" s="265">
        <v>1067</v>
      </c>
      <c r="G48" s="265">
        <v>1099</v>
      </c>
      <c r="H48" s="265">
        <v>1174</v>
      </c>
      <c r="I48" s="265">
        <v>1225</v>
      </c>
      <c r="J48" s="265">
        <v>1099</v>
      </c>
      <c r="K48" s="265">
        <v>1099</v>
      </c>
      <c r="L48" s="265">
        <v>1099</v>
      </c>
      <c r="M48" s="265">
        <v>1099</v>
      </c>
      <c r="N48" s="265">
        <v>1418</v>
      </c>
      <c r="O48" s="265">
        <v>1099</v>
      </c>
      <c r="P48" s="265">
        <v>1099</v>
      </c>
      <c r="Q48" s="117">
        <f t="shared" si="17"/>
        <v>13943</v>
      </c>
      <c r="R48" s="72">
        <v>1145.6400000000001</v>
      </c>
      <c r="S48" s="72">
        <v>1241.31</v>
      </c>
      <c r="T48" s="72">
        <v>2287.06</v>
      </c>
      <c r="U48" s="72">
        <v>1938.47</v>
      </c>
      <c r="V48" s="72">
        <v>1131.08</v>
      </c>
      <c r="W48" s="72">
        <v>1113.0999999999999</v>
      </c>
      <c r="X48" s="72">
        <v>1042</v>
      </c>
      <c r="Y48" s="72">
        <v>1046</v>
      </c>
      <c r="Z48" s="72">
        <v>1279</v>
      </c>
      <c r="AA48" s="72">
        <v>1279</v>
      </c>
      <c r="AB48" s="72">
        <v>1279</v>
      </c>
      <c r="AC48" s="72">
        <v>1279</v>
      </c>
      <c r="AD48" s="127">
        <f t="shared" si="15"/>
        <v>16060.66</v>
      </c>
      <c r="AE48" s="72">
        <f t="shared" si="16"/>
        <v>2117.66</v>
      </c>
      <c r="AF48" s="192">
        <f t="shared" si="1"/>
        <v>0.13185385905685071</v>
      </c>
      <c r="AG48" s="129">
        <v>19967.55</v>
      </c>
      <c r="AH48" s="251">
        <f t="shared" si="11"/>
        <v>6024.5499999999993</v>
      </c>
    </row>
    <row r="49" spans="1:34">
      <c r="A49" s="105" t="s">
        <v>670</v>
      </c>
      <c r="D49" s="105" t="s">
        <v>274</v>
      </c>
      <c r="E49" s="265">
        <v>0</v>
      </c>
      <c r="F49" s="265">
        <v>0</v>
      </c>
      <c r="G49" s="265">
        <v>0</v>
      </c>
      <c r="H49" s="265">
        <v>0</v>
      </c>
      <c r="I49" s="265">
        <v>0</v>
      </c>
      <c r="J49" s="265">
        <v>0</v>
      </c>
      <c r="K49" s="265">
        <v>0</v>
      </c>
      <c r="L49" s="265">
        <v>0</v>
      </c>
      <c r="M49" s="265">
        <v>0</v>
      </c>
      <c r="N49" s="265">
        <v>0</v>
      </c>
      <c r="O49" s="265">
        <v>0</v>
      </c>
      <c r="P49" s="265">
        <v>0</v>
      </c>
      <c r="Q49" s="117">
        <f t="shared" si="17"/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127">
        <f t="shared" si="15"/>
        <v>0</v>
      </c>
      <c r="AE49" s="72">
        <f t="shared" si="16"/>
        <v>0</v>
      </c>
      <c r="AF49" s="192" t="e">
        <f t="shared" si="1"/>
        <v>#DIV/0!</v>
      </c>
      <c r="AG49" s="129">
        <v>0</v>
      </c>
      <c r="AH49" s="251">
        <f t="shared" si="11"/>
        <v>0</v>
      </c>
    </row>
    <row r="50" spans="1:34">
      <c r="D50" s="109" t="s">
        <v>522</v>
      </c>
      <c r="E50" s="117">
        <f t="shared" ref="E50:AD50" si="18">SUM(E42:E49)</f>
        <v>19212.689999999999</v>
      </c>
      <c r="F50" s="117">
        <f t="shared" si="18"/>
        <v>18913.689999999999</v>
      </c>
      <c r="G50" s="117">
        <f t="shared" si="18"/>
        <v>18945.689999999999</v>
      </c>
      <c r="H50" s="117">
        <f t="shared" si="18"/>
        <v>19020.689999999999</v>
      </c>
      <c r="I50" s="117">
        <f t="shared" si="18"/>
        <v>19071.689999999999</v>
      </c>
      <c r="J50" s="117">
        <f t="shared" si="18"/>
        <v>18945.689999999999</v>
      </c>
      <c r="K50" s="117">
        <f t="shared" si="18"/>
        <v>18945.689999999999</v>
      </c>
      <c r="L50" s="117">
        <f t="shared" si="18"/>
        <v>18945.689999999999</v>
      </c>
      <c r="M50" s="117">
        <f t="shared" si="18"/>
        <v>18945.689999999999</v>
      </c>
      <c r="N50" s="117">
        <f t="shared" si="18"/>
        <v>19264.689999999999</v>
      </c>
      <c r="O50" s="117">
        <f t="shared" si="18"/>
        <v>18945.689999999999</v>
      </c>
      <c r="P50" s="117">
        <f t="shared" si="18"/>
        <v>18945.689999999999</v>
      </c>
      <c r="Q50" s="117">
        <f t="shared" si="18"/>
        <v>228103.28</v>
      </c>
      <c r="R50" s="127">
        <f t="shared" si="18"/>
        <v>23057.159999999996</v>
      </c>
      <c r="S50" s="127">
        <f t="shared" si="18"/>
        <v>23152.829999999998</v>
      </c>
      <c r="T50" s="127">
        <f t="shared" si="18"/>
        <v>24198.579999999998</v>
      </c>
      <c r="U50" s="127">
        <f t="shared" si="18"/>
        <v>23849.989999999998</v>
      </c>
      <c r="V50" s="127">
        <f t="shared" si="18"/>
        <v>23042.6</v>
      </c>
      <c r="W50" s="127">
        <f t="shared" si="18"/>
        <v>23024.619999999995</v>
      </c>
      <c r="X50" s="127">
        <f t="shared" si="18"/>
        <v>21498.55</v>
      </c>
      <c r="Y50" s="127">
        <f t="shared" si="18"/>
        <v>21502.55</v>
      </c>
      <c r="Z50" s="127">
        <f t="shared" si="18"/>
        <v>23031</v>
      </c>
      <c r="AA50" s="127">
        <f t="shared" si="18"/>
        <v>23031</v>
      </c>
      <c r="AB50" s="127">
        <f t="shared" si="18"/>
        <v>23031</v>
      </c>
      <c r="AC50" s="127">
        <f t="shared" si="18"/>
        <v>23031</v>
      </c>
      <c r="AD50" s="127">
        <f t="shared" si="18"/>
        <v>275450.87999999995</v>
      </c>
      <c r="AE50" s="72">
        <f t="shared" si="16"/>
        <v>47347.599999999948</v>
      </c>
      <c r="AF50" s="192">
        <f t="shared" si="1"/>
        <v>0.17189126424282963</v>
      </c>
      <c r="AG50" s="129">
        <v>311925.03999999998</v>
      </c>
      <c r="AH50" s="251">
        <f t="shared" si="11"/>
        <v>83821.75999999998</v>
      </c>
    </row>
    <row r="51" spans="1:34">
      <c r="D51" s="105" t="s">
        <v>154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7"/>
      <c r="AF51" s="192"/>
      <c r="AG51" s="129"/>
      <c r="AH51" s="251">
        <f t="shared" si="11"/>
        <v>0</v>
      </c>
    </row>
    <row r="52" spans="1:34">
      <c r="A52" s="105" t="s">
        <v>131</v>
      </c>
      <c r="B52" s="105" t="s">
        <v>650</v>
      </c>
      <c r="D52" s="105" t="s">
        <v>276</v>
      </c>
      <c r="E52" s="265">
        <v>0</v>
      </c>
      <c r="F52" s="265">
        <v>0</v>
      </c>
      <c r="G52" s="265">
        <v>0</v>
      </c>
      <c r="H52" s="265">
        <v>0</v>
      </c>
      <c r="I52" s="265">
        <v>0</v>
      </c>
      <c r="J52" s="265">
        <v>0</v>
      </c>
      <c r="K52" s="265">
        <v>0</v>
      </c>
      <c r="L52" s="265">
        <v>0</v>
      </c>
      <c r="M52" s="265">
        <v>0</v>
      </c>
      <c r="N52" s="265">
        <v>0</v>
      </c>
      <c r="O52" s="265">
        <v>0</v>
      </c>
      <c r="P52" s="265">
        <v>0</v>
      </c>
      <c r="Q52" s="117"/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72">
        <v>0</v>
      </c>
      <c r="AD52" s="127">
        <f t="shared" ref="AD52:AD60" si="19">SUM(R52:AC52)</f>
        <v>0</v>
      </c>
      <c r="AE52" s="72">
        <f t="shared" ref="AE52:AE62" si="20">AD52-Q52</f>
        <v>0</v>
      </c>
      <c r="AF52" s="192" t="e">
        <f t="shared" si="1"/>
        <v>#DIV/0!</v>
      </c>
      <c r="AG52" s="129">
        <v>0</v>
      </c>
      <c r="AH52" s="251">
        <f t="shared" si="11"/>
        <v>0</v>
      </c>
    </row>
    <row r="53" spans="1:34">
      <c r="A53" s="105" t="s">
        <v>132</v>
      </c>
      <c r="B53" s="105" t="s">
        <v>650</v>
      </c>
      <c r="D53" s="105" t="s">
        <v>277</v>
      </c>
      <c r="E53" s="265">
        <v>0</v>
      </c>
      <c r="F53" s="265">
        <v>0</v>
      </c>
      <c r="G53" s="265">
        <v>0</v>
      </c>
      <c r="H53" s="265">
        <v>0</v>
      </c>
      <c r="I53" s="265">
        <v>0</v>
      </c>
      <c r="J53" s="265">
        <v>0</v>
      </c>
      <c r="K53" s="265">
        <v>0</v>
      </c>
      <c r="L53" s="265">
        <v>0</v>
      </c>
      <c r="M53" s="265">
        <v>0</v>
      </c>
      <c r="N53" s="265">
        <v>0</v>
      </c>
      <c r="O53" s="265">
        <v>0</v>
      </c>
      <c r="P53" s="265">
        <v>0</v>
      </c>
      <c r="Q53" s="117"/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72">
        <v>0</v>
      </c>
      <c r="AD53" s="127">
        <f t="shared" si="19"/>
        <v>0</v>
      </c>
      <c r="AE53" s="72">
        <f t="shared" si="20"/>
        <v>0</v>
      </c>
      <c r="AF53" s="192" t="e">
        <f t="shared" si="1"/>
        <v>#DIV/0!</v>
      </c>
      <c r="AG53" s="129">
        <v>0</v>
      </c>
      <c r="AH53" s="251">
        <f t="shared" si="11"/>
        <v>0</v>
      </c>
    </row>
    <row r="54" spans="1:34">
      <c r="A54" s="105" t="s">
        <v>133</v>
      </c>
      <c r="B54" s="105" t="s">
        <v>650</v>
      </c>
      <c r="D54" s="105" t="s">
        <v>278</v>
      </c>
      <c r="E54" s="265">
        <v>0</v>
      </c>
      <c r="F54" s="265">
        <v>0</v>
      </c>
      <c r="G54" s="265">
        <v>0</v>
      </c>
      <c r="H54" s="265">
        <v>0</v>
      </c>
      <c r="I54" s="265">
        <v>0</v>
      </c>
      <c r="J54" s="265">
        <v>0</v>
      </c>
      <c r="K54" s="265">
        <v>0</v>
      </c>
      <c r="L54" s="265">
        <v>0</v>
      </c>
      <c r="M54" s="265">
        <v>0</v>
      </c>
      <c r="N54" s="265">
        <v>0</v>
      </c>
      <c r="O54" s="265">
        <v>0</v>
      </c>
      <c r="P54" s="265">
        <v>0</v>
      </c>
      <c r="Q54" s="117"/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72">
        <v>0</v>
      </c>
      <c r="AD54" s="127">
        <f t="shared" si="19"/>
        <v>0</v>
      </c>
      <c r="AE54" s="72">
        <f t="shared" si="20"/>
        <v>0</v>
      </c>
      <c r="AF54" s="192" t="e">
        <f t="shared" si="1"/>
        <v>#DIV/0!</v>
      </c>
      <c r="AG54" s="129">
        <v>0</v>
      </c>
      <c r="AH54" s="251">
        <f t="shared" si="11"/>
        <v>0</v>
      </c>
    </row>
    <row r="55" spans="1:34">
      <c r="A55" s="105" t="s">
        <v>134</v>
      </c>
      <c r="B55" s="105" t="s">
        <v>650</v>
      </c>
      <c r="D55" s="105" t="s">
        <v>279</v>
      </c>
      <c r="E55" s="265">
        <v>0</v>
      </c>
      <c r="F55" s="265">
        <v>0</v>
      </c>
      <c r="G55" s="265">
        <v>0</v>
      </c>
      <c r="H55" s="265">
        <v>0</v>
      </c>
      <c r="I55" s="265">
        <v>0</v>
      </c>
      <c r="J55" s="265">
        <v>0</v>
      </c>
      <c r="K55" s="265">
        <v>0</v>
      </c>
      <c r="L55" s="265">
        <v>0</v>
      </c>
      <c r="M55" s="265">
        <v>0</v>
      </c>
      <c r="N55" s="265">
        <v>0</v>
      </c>
      <c r="O55" s="265">
        <v>0</v>
      </c>
      <c r="P55" s="265">
        <v>0</v>
      </c>
      <c r="Q55" s="117">
        <f>SUM(E55:P55)</f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72">
        <v>0</v>
      </c>
      <c r="AD55" s="127">
        <f t="shared" si="19"/>
        <v>0</v>
      </c>
      <c r="AE55" s="72">
        <f t="shared" si="20"/>
        <v>0</v>
      </c>
      <c r="AF55" s="192" t="e">
        <f t="shared" si="1"/>
        <v>#DIV/0!</v>
      </c>
      <c r="AG55" s="129">
        <v>0</v>
      </c>
      <c r="AH55" s="251">
        <f t="shared" si="11"/>
        <v>0</v>
      </c>
    </row>
    <row r="56" spans="1:34">
      <c r="A56" s="105" t="s">
        <v>135</v>
      </c>
      <c r="B56" s="105" t="s">
        <v>650</v>
      </c>
      <c r="D56" s="105" t="s">
        <v>280</v>
      </c>
      <c r="E56" s="265">
        <v>227.11</v>
      </c>
      <c r="F56" s="265">
        <v>227.11</v>
      </c>
      <c r="G56" s="265">
        <v>227.11</v>
      </c>
      <c r="H56" s="265">
        <v>227.11</v>
      </c>
      <c r="I56" s="265">
        <v>227.11</v>
      </c>
      <c r="J56" s="265">
        <v>227.11</v>
      </c>
      <c r="K56" s="265">
        <v>227.11</v>
      </c>
      <c r="L56" s="265">
        <v>227.11</v>
      </c>
      <c r="M56" s="265">
        <v>227.11</v>
      </c>
      <c r="N56" s="265">
        <v>227.11</v>
      </c>
      <c r="O56" s="265">
        <v>227.11</v>
      </c>
      <c r="P56" s="265">
        <v>227.11</v>
      </c>
      <c r="Q56" s="117">
        <f>SUM(E56:P56)</f>
        <v>2725.3200000000011</v>
      </c>
      <c r="R56" s="72">
        <v>188.51</v>
      </c>
      <c r="S56" s="72">
        <v>190.1</v>
      </c>
      <c r="T56" s="72">
        <v>188.51</v>
      </c>
      <c r="U56" s="72">
        <v>188.51</v>
      </c>
      <c r="V56" s="72">
        <v>196.74</v>
      </c>
      <c r="W56" s="72">
        <v>197.6</v>
      </c>
      <c r="X56" s="72">
        <v>199.79</v>
      </c>
      <c r="Y56" s="72">
        <v>195.88</v>
      </c>
      <c r="Z56" s="72">
        <v>229</v>
      </c>
      <c r="AA56" s="72">
        <v>229</v>
      </c>
      <c r="AB56" s="72">
        <v>229</v>
      </c>
      <c r="AC56" s="72">
        <v>229</v>
      </c>
      <c r="AD56" s="127">
        <f t="shared" si="19"/>
        <v>2461.64</v>
      </c>
      <c r="AE56" s="72">
        <f t="shared" si="20"/>
        <v>-263.6800000000012</v>
      </c>
      <c r="AF56" s="192">
        <f t="shared" si="1"/>
        <v>-0.10711558148226435</v>
      </c>
      <c r="AG56" s="129">
        <v>4208.0200000000004</v>
      </c>
      <c r="AH56" s="251">
        <f t="shared" si="11"/>
        <v>1482.6999999999994</v>
      </c>
    </row>
    <row r="57" spans="1:34">
      <c r="A57" s="105" t="s">
        <v>281</v>
      </c>
      <c r="B57" s="105" t="s">
        <v>650</v>
      </c>
      <c r="D57" s="105" t="s">
        <v>282</v>
      </c>
      <c r="E57" s="176">
        <v>1444</v>
      </c>
      <c r="F57" s="176">
        <v>1328</v>
      </c>
      <c r="G57" s="176">
        <v>1345</v>
      </c>
      <c r="H57" s="176">
        <v>1517</v>
      </c>
      <c r="I57" s="176">
        <v>1569</v>
      </c>
      <c r="J57" s="176">
        <v>1488</v>
      </c>
      <c r="K57" s="176">
        <v>1495</v>
      </c>
      <c r="L57" s="176">
        <v>1526</v>
      </c>
      <c r="M57" s="176">
        <v>1527</v>
      </c>
      <c r="N57" s="176">
        <v>1534</v>
      </c>
      <c r="O57" s="176">
        <v>1424</v>
      </c>
      <c r="P57" s="176">
        <v>1421</v>
      </c>
      <c r="Q57" s="117">
        <f>SUM(E57:P57)</f>
        <v>17618</v>
      </c>
      <c r="R57" s="72">
        <v>1799.68</v>
      </c>
      <c r="S57" s="72">
        <v>3122.63</v>
      </c>
      <c r="T57" s="72">
        <v>2011.15</v>
      </c>
      <c r="U57" s="72">
        <v>2314.19</v>
      </c>
      <c r="V57" s="72">
        <v>2988.13</v>
      </c>
      <c r="W57" s="72">
        <v>2957.87</v>
      </c>
      <c r="X57" s="72">
        <v>2528.13</v>
      </c>
      <c r="Y57" s="72">
        <v>3034.77</v>
      </c>
      <c r="Z57" s="72">
        <v>2613</v>
      </c>
      <c r="AA57" s="72">
        <v>2485</v>
      </c>
      <c r="AB57" s="72">
        <v>2324</v>
      </c>
      <c r="AC57" s="72">
        <v>2325</v>
      </c>
      <c r="AD57" s="127">
        <f t="shared" si="19"/>
        <v>30503.550000000003</v>
      </c>
      <c r="AE57" s="72">
        <f t="shared" si="20"/>
        <v>12885.550000000003</v>
      </c>
      <c r="AF57" s="192">
        <f t="shared" si="1"/>
        <v>0.42242788134495829</v>
      </c>
      <c r="AG57" s="129">
        <v>46204.700000000004</v>
      </c>
      <c r="AH57" s="251">
        <f t="shared" si="11"/>
        <v>28586.700000000004</v>
      </c>
    </row>
    <row r="58" spans="1:34">
      <c r="A58" s="105" t="s">
        <v>137</v>
      </c>
      <c r="B58" s="105" t="s">
        <v>650</v>
      </c>
      <c r="D58" s="105" t="s">
        <v>283</v>
      </c>
      <c r="E58" s="176">
        <v>11316.36</v>
      </c>
      <c r="F58" s="176">
        <v>9542.36</v>
      </c>
      <c r="G58" s="176">
        <v>9563.74</v>
      </c>
      <c r="H58" s="176">
        <v>9713.74</v>
      </c>
      <c r="I58" s="176">
        <v>10447.36</v>
      </c>
      <c r="J58" s="176">
        <v>9720.76</v>
      </c>
      <c r="K58" s="176">
        <v>9655.76</v>
      </c>
      <c r="L58" s="176">
        <v>9646.76</v>
      </c>
      <c r="M58" s="176">
        <v>9713.76</v>
      </c>
      <c r="N58" s="176">
        <v>11290.79</v>
      </c>
      <c r="O58" s="176">
        <v>9681.74</v>
      </c>
      <c r="P58" s="176">
        <v>9672.74</v>
      </c>
      <c r="Q58" s="117">
        <f>SUM(E58:P58)</f>
        <v>119965.87</v>
      </c>
      <c r="R58" s="72">
        <v>9616.67</v>
      </c>
      <c r="S58" s="72">
        <v>12118.18</v>
      </c>
      <c r="T58" s="72">
        <v>11553.53</v>
      </c>
      <c r="U58" s="72">
        <v>11152.91</v>
      </c>
      <c r="V58" s="72">
        <v>8254.5</v>
      </c>
      <c r="W58" s="72">
        <v>9361.43</v>
      </c>
      <c r="X58" s="72">
        <v>9156.6299999999992</v>
      </c>
      <c r="Y58" s="72">
        <v>9531.8799999999992</v>
      </c>
      <c r="Z58" s="72">
        <v>9051</v>
      </c>
      <c r="AA58" s="72">
        <v>10047</v>
      </c>
      <c r="AB58" s="72">
        <v>9172</v>
      </c>
      <c r="AC58" s="72">
        <v>9172</v>
      </c>
      <c r="AD58" s="127">
        <f t="shared" si="19"/>
        <v>118187.73</v>
      </c>
      <c r="AE58" s="72">
        <f t="shared" si="20"/>
        <v>-1778.1399999999994</v>
      </c>
      <c r="AF58" s="192">
        <f t="shared" si="1"/>
        <v>-1.5045047400436572E-2</v>
      </c>
      <c r="AG58" s="129">
        <v>214343.78</v>
      </c>
      <c r="AH58" s="251">
        <f t="shared" si="11"/>
        <v>94377.91</v>
      </c>
    </row>
    <row r="59" spans="1:34">
      <c r="A59" s="105" t="s">
        <v>138</v>
      </c>
      <c r="B59" s="105" t="s">
        <v>650</v>
      </c>
      <c r="D59" s="105" t="s">
        <v>472</v>
      </c>
      <c r="E59" s="116">
        <v>0</v>
      </c>
      <c r="F59" s="116">
        <v>0</v>
      </c>
      <c r="G59" s="116">
        <v>0</v>
      </c>
      <c r="H59" s="116">
        <v>0</v>
      </c>
      <c r="I59" s="116">
        <v>0</v>
      </c>
      <c r="J59" s="116">
        <v>0</v>
      </c>
      <c r="K59" s="116">
        <v>0</v>
      </c>
      <c r="L59" s="116">
        <v>0</v>
      </c>
      <c r="M59" s="116">
        <v>0</v>
      </c>
      <c r="N59" s="116">
        <v>0</v>
      </c>
      <c r="O59" s="116">
        <v>0</v>
      </c>
      <c r="P59" s="116">
        <v>0</v>
      </c>
      <c r="Q59" s="117"/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72">
        <v>0</v>
      </c>
      <c r="AD59" s="127">
        <f t="shared" si="19"/>
        <v>0</v>
      </c>
      <c r="AE59" s="72">
        <f t="shared" si="20"/>
        <v>0</v>
      </c>
      <c r="AF59" s="192" t="e">
        <f t="shared" si="1"/>
        <v>#DIV/0!</v>
      </c>
      <c r="AG59" s="129">
        <v>0</v>
      </c>
      <c r="AH59" s="251">
        <f t="shared" si="11"/>
        <v>0</v>
      </c>
    </row>
    <row r="60" spans="1:34">
      <c r="A60" s="105" t="s">
        <v>140</v>
      </c>
      <c r="B60" s="105" t="s">
        <v>650</v>
      </c>
      <c r="D60" s="105" t="s">
        <v>473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0</v>
      </c>
      <c r="Q60" s="117"/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72">
        <v>0</v>
      </c>
      <c r="AD60" s="127">
        <f t="shared" si="19"/>
        <v>0</v>
      </c>
      <c r="AE60" s="72">
        <f t="shared" si="20"/>
        <v>0</v>
      </c>
      <c r="AF60" s="192" t="e">
        <f t="shared" si="1"/>
        <v>#DIV/0!</v>
      </c>
      <c r="AG60" s="129">
        <v>0</v>
      </c>
      <c r="AH60" s="251">
        <f t="shared" si="11"/>
        <v>0</v>
      </c>
    </row>
    <row r="61" spans="1:34">
      <c r="D61" s="109" t="s">
        <v>523</v>
      </c>
      <c r="E61" s="117">
        <f t="shared" ref="E61:AD61" si="21">SUM(E55:E58)</f>
        <v>12987.470000000001</v>
      </c>
      <c r="F61" s="117">
        <f t="shared" si="21"/>
        <v>11097.470000000001</v>
      </c>
      <c r="G61" s="117">
        <f t="shared" si="21"/>
        <v>11135.85</v>
      </c>
      <c r="H61" s="117">
        <f t="shared" si="21"/>
        <v>11457.85</v>
      </c>
      <c r="I61" s="117">
        <f t="shared" si="21"/>
        <v>12243.470000000001</v>
      </c>
      <c r="J61" s="117">
        <f t="shared" si="21"/>
        <v>11435.87</v>
      </c>
      <c r="K61" s="117">
        <f t="shared" si="21"/>
        <v>11377.87</v>
      </c>
      <c r="L61" s="117">
        <f t="shared" si="21"/>
        <v>11399.87</v>
      </c>
      <c r="M61" s="117">
        <f t="shared" si="21"/>
        <v>11467.87</v>
      </c>
      <c r="N61" s="117">
        <f t="shared" si="21"/>
        <v>13051.900000000001</v>
      </c>
      <c r="O61" s="117">
        <f t="shared" si="21"/>
        <v>11332.85</v>
      </c>
      <c r="P61" s="117">
        <f t="shared" si="21"/>
        <v>11320.85</v>
      </c>
      <c r="Q61" s="117">
        <f t="shared" si="21"/>
        <v>140309.19</v>
      </c>
      <c r="R61" s="127">
        <f t="shared" si="21"/>
        <v>11604.86</v>
      </c>
      <c r="S61" s="127">
        <f t="shared" si="21"/>
        <v>15430.91</v>
      </c>
      <c r="T61" s="127">
        <f t="shared" si="21"/>
        <v>13753.19</v>
      </c>
      <c r="U61" s="127">
        <f t="shared" si="21"/>
        <v>13655.61</v>
      </c>
      <c r="V61" s="127">
        <f t="shared" si="21"/>
        <v>11439.369999999999</v>
      </c>
      <c r="W61" s="127">
        <f t="shared" si="21"/>
        <v>12516.9</v>
      </c>
      <c r="X61" s="127">
        <f t="shared" si="21"/>
        <v>11884.55</v>
      </c>
      <c r="Y61" s="127">
        <f t="shared" si="21"/>
        <v>12762.529999999999</v>
      </c>
      <c r="Z61" s="127">
        <f t="shared" si="21"/>
        <v>11893</v>
      </c>
      <c r="AA61" s="127">
        <f t="shared" si="21"/>
        <v>12761</v>
      </c>
      <c r="AB61" s="127">
        <f t="shared" si="21"/>
        <v>11725</v>
      </c>
      <c r="AC61" s="127">
        <f t="shared" si="21"/>
        <v>11726</v>
      </c>
      <c r="AD61" s="127">
        <f t="shared" si="21"/>
        <v>151152.91999999998</v>
      </c>
      <c r="AE61" s="72">
        <f t="shared" si="20"/>
        <v>10843.729999999981</v>
      </c>
      <c r="AF61" s="192">
        <f t="shared" si="1"/>
        <v>7.1740129135447611E-2</v>
      </c>
      <c r="AG61" s="129">
        <v>264756.5</v>
      </c>
      <c r="AH61" s="251">
        <f t="shared" si="11"/>
        <v>124447.31</v>
      </c>
    </row>
    <row r="62" spans="1:34">
      <c r="D62" s="109" t="s">
        <v>524</v>
      </c>
      <c r="E62" s="117">
        <f t="shared" ref="E62:AD62" si="22">+E33+E40+E50+E61</f>
        <v>100487.75</v>
      </c>
      <c r="F62" s="117">
        <f t="shared" si="22"/>
        <v>83360.850000000006</v>
      </c>
      <c r="G62" s="117">
        <f t="shared" si="22"/>
        <v>85007.88</v>
      </c>
      <c r="H62" s="117">
        <f t="shared" si="22"/>
        <v>89170.37000000001</v>
      </c>
      <c r="I62" s="117">
        <f t="shared" si="22"/>
        <v>92558.74</v>
      </c>
      <c r="J62" s="117">
        <f t="shared" si="22"/>
        <v>85307.9</v>
      </c>
      <c r="K62" s="117">
        <f t="shared" si="22"/>
        <v>85249.9</v>
      </c>
      <c r="L62" s="117">
        <f t="shared" si="22"/>
        <v>85271.9</v>
      </c>
      <c r="M62" s="117">
        <f t="shared" si="22"/>
        <v>85339.9</v>
      </c>
      <c r="N62" s="117">
        <f t="shared" si="22"/>
        <v>103201.54000000001</v>
      </c>
      <c r="O62" s="117">
        <f t="shared" si="22"/>
        <v>85204.88</v>
      </c>
      <c r="P62" s="117">
        <f t="shared" si="22"/>
        <v>85192.88</v>
      </c>
      <c r="Q62" s="117">
        <f t="shared" si="22"/>
        <v>1065354.49</v>
      </c>
      <c r="R62" s="127">
        <f t="shared" si="22"/>
        <v>99929.61</v>
      </c>
      <c r="S62" s="127">
        <f t="shared" si="22"/>
        <v>108975.05</v>
      </c>
      <c r="T62" s="127">
        <f t="shared" si="22"/>
        <v>98542.09</v>
      </c>
      <c r="U62" s="127">
        <f t="shared" si="22"/>
        <v>97914.89</v>
      </c>
      <c r="V62" s="127">
        <f t="shared" si="22"/>
        <v>95904.419999999984</v>
      </c>
      <c r="W62" s="127">
        <f t="shared" si="22"/>
        <v>95963.159999999989</v>
      </c>
      <c r="X62" s="127">
        <f t="shared" si="22"/>
        <v>90559.6</v>
      </c>
      <c r="Y62" s="127">
        <f t="shared" si="22"/>
        <v>91435.87</v>
      </c>
      <c r="Z62" s="127">
        <f t="shared" si="22"/>
        <v>91477.5</v>
      </c>
      <c r="AA62" s="127">
        <f t="shared" si="22"/>
        <v>101592.5</v>
      </c>
      <c r="AB62" s="127">
        <f t="shared" si="22"/>
        <v>86685.5</v>
      </c>
      <c r="AC62" s="127">
        <f t="shared" si="22"/>
        <v>86686.5</v>
      </c>
      <c r="AD62" s="127">
        <f t="shared" si="22"/>
        <v>1145666.69</v>
      </c>
      <c r="AE62" s="72">
        <f t="shared" si="20"/>
        <v>80312.199999999953</v>
      </c>
      <c r="AF62" s="192">
        <f>AE62/AD62</f>
        <v>7.0100842331376464E-2</v>
      </c>
      <c r="AG62" s="129">
        <v>1440843.28</v>
      </c>
      <c r="AH62" s="251">
        <f t="shared" si="11"/>
        <v>375488.79000000004</v>
      </c>
    </row>
    <row r="63" spans="1:34">
      <c r="D63" s="105" t="s">
        <v>154</v>
      </c>
      <c r="AF63" s="192"/>
      <c r="AG63" s="129"/>
      <c r="AH63" s="251">
        <f t="shared" si="11"/>
        <v>0</v>
      </c>
    </row>
    <row r="64" spans="1:34" s="109" customFormat="1">
      <c r="A64" s="109" t="s">
        <v>141</v>
      </c>
      <c r="B64" s="109" t="s">
        <v>650</v>
      </c>
      <c r="D64" s="109" t="s">
        <v>142</v>
      </c>
      <c r="E64" s="215">
        <v>10</v>
      </c>
      <c r="F64" s="215">
        <v>10</v>
      </c>
      <c r="G64" s="215">
        <v>10</v>
      </c>
      <c r="H64" s="215">
        <v>10</v>
      </c>
      <c r="I64" s="215">
        <v>10</v>
      </c>
      <c r="J64" s="215">
        <v>10</v>
      </c>
      <c r="K64" s="215">
        <v>10</v>
      </c>
      <c r="L64" s="215">
        <v>10</v>
      </c>
      <c r="M64" s="215">
        <v>10</v>
      </c>
      <c r="N64" s="215">
        <v>10</v>
      </c>
      <c r="O64" s="215">
        <v>10</v>
      </c>
      <c r="P64" s="215">
        <v>10</v>
      </c>
      <c r="Q64" s="127">
        <f>SUM(E64:P64)/12</f>
        <v>10</v>
      </c>
      <c r="R64" s="127">
        <v>10</v>
      </c>
      <c r="S64" s="127">
        <v>10</v>
      </c>
      <c r="T64" s="127">
        <v>10</v>
      </c>
      <c r="U64" s="127">
        <v>10</v>
      </c>
      <c r="V64" s="127">
        <v>10</v>
      </c>
      <c r="W64" s="127">
        <v>10</v>
      </c>
      <c r="X64" s="127">
        <v>10</v>
      </c>
      <c r="Y64" s="127">
        <v>10</v>
      </c>
      <c r="Z64" s="127">
        <v>9</v>
      </c>
      <c r="AA64" s="127">
        <v>9</v>
      </c>
      <c r="AB64" s="127">
        <v>9</v>
      </c>
      <c r="AC64" s="127">
        <v>9</v>
      </c>
      <c r="AD64" s="127">
        <f>SUM(R64:AC64)/12</f>
        <v>9.6666666666666661</v>
      </c>
      <c r="AE64" s="127">
        <f>AD64-Q64</f>
        <v>-0.33333333333333393</v>
      </c>
      <c r="AF64" s="132">
        <f>AE64/AD64</f>
        <v>-3.4482758620689717E-2</v>
      </c>
      <c r="AG64" s="129">
        <v>13</v>
      </c>
      <c r="AH64" s="129">
        <f t="shared" si="11"/>
        <v>3</v>
      </c>
    </row>
    <row r="66" spans="4:30">
      <c r="Q66" s="127">
        <f>Q62/Q64</f>
        <v>106535.44899999999</v>
      </c>
      <c r="AD66" s="127">
        <f>AD62/AD64</f>
        <v>118517.24379310345</v>
      </c>
    </row>
    <row r="68" spans="4:30">
      <c r="D68" s="151" t="s">
        <v>292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117">
        <f t="shared" ref="Q68:Q70" si="23">SUM(E68:P68)</f>
        <v>0</v>
      </c>
    </row>
    <row r="69" spans="4:30">
      <c r="D69" s="152" t="s">
        <v>366</v>
      </c>
      <c r="E69" s="136">
        <v>18403.75</v>
      </c>
      <c r="F69" s="136">
        <v>15139.69</v>
      </c>
      <c r="G69" s="136">
        <v>15530.69</v>
      </c>
      <c r="H69" s="136">
        <v>16651.370000000003</v>
      </c>
      <c r="I69" s="136">
        <v>17750.07</v>
      </c>
      <c r="J69" s="136">
        <v>15608.69</v>
      </c>
      <c r="K69" s="136">
        <v>15630.44</v>
      </c>
      <c r="L69" s="136">
        <v>15638.789999999999</v>
      </c>
      <c r="M69" s="136">
        <v>15651.789999999999</v>
      </c>
      <c r="N69" s="136">
        <v>18390.510000000002</v>
      </c>
      <c r="O69" s="136">
        <v>15617.44</v>
      </c>
      <c r="P69" s="136">
        <v>15611.789999999999</v>
      </c>
      <c r="Q69" s="117">
        <f t="shared" si="23"/>
        <v>195625.02000000002</v>
      </c>
    </row>
    <row r="70" spans="4:30">
      <c r="D70" s="151" t="s">
        <v>367</v>
      </c>
      <c r="E70" s="136">
        <v>0</v>
      </c>
      <c r="F70" s="136">
        <v>0</v>
      </c>
      <c r="G70" s="136">
        <v>0</v>
      </c>
      <c r="H70" s="136">
        <v>0</v>
      </c>
      <c r="I70" s="136">
        <v>0</v>
      </c>
      <c r="J70" s="136">
        <v>0</v>
      </c>
      <c r="K70" s="136">
        <v>0</v>
      </c>
      <c r="L70" s="136">
        <v>0</v>
      </c>
      <c r="M70" s="136">
        <v>0</v>
      </c>
      <c r="N70" s="136">
        <v>0</v>
      </c>
      <c r="O70" s="136">
        <v>0</v>
      </c>
      <c r="P70" s="136">
        <v>0</v>
      </c>
      <c r="Q70" s="117">
        <f t="shared" si="23"/>
        <v>0</v>
      </c>
    </row>
    <row r="71" spans="4:30">
      <c r="D71" s="109" t="s">
        <v>476</v>
      </c>
      <c r="E71" s="117">
        <f>SUM(E68:E70)</f>
        <v>18403.75</v>
      </c>
      <c r="F71" s="117">
        <f t="shared" ref="F71:Q71" si="24">SUM(F68:F70)</f>
        <v>15139.69</v>
      </c>
      <c r="G71" s="117">
        <f t="shared" si="24"/>
        <v>15530.69</v>
      </c>
      <c r="H71" s="117">
        <f t="shared" si="24"/>
        <v>16651.370000000003</v>
      </c>
      <c r="I71" s="117">
        <f t="shared" si="24"/>
        <v>17750.07</v>
      </c>
      <c r="J71" s="117">
        <f t="shared" si="24"/>
        <v>15608.69</v>
      </c>
      <c r="K71" s="117">
        <f t="shared" si="24"/>
        <v>15630.44</v>
      </c>
      <c r="L71" s="117">
        <f t="shared" si="24"/>
        <v>15638.789999999999</v>
      </c>
      <c r="M71" s="117">
        <f t="shared" si="24"/>
        <v>15651.789999999999</v>
      </c>
      <c r="N71" s="117">
        <f t="shared" si="24"/>
        <v>18390.510000000002</v>
      </c>
      <c r="O71" s="117">
        <f t="shared" si="24"/>
        <v>15617.44</v>
      </c>
      <c r="P71" s="117">
        <f t="shared" si="24"/>
        <v>15611.789999999999</v>
      </c>
      <c r="Q71" s="117">
        <f t="shared" si="24"/>
        <v>195625.02000000002</v>
      </c>
    </row>
  </sheetData>
  <phoneticPr fontId="7" type="noConversion"/>
  <dataValidations count="100">
    <dataValidation type="textLength" errorStyle="information" allowBlank="1" showInputMessage="1" showErrorMessage="1" error="XLBVal:6=960_x000d__x000a_" sqref="U25">
      <formula1>0</formula1>
      <formula2>300</formula2>
    </dataValidation>
    <dataValidation type="textLength" errorStyle="information" allowBlank="1" showInputMessage="1" showErrorMessage="1" error="XLBVal:6=2150_x000d__x000a_" sqref="T25">
      <formula1>0</formula1>
      <formula2>300</formula2>
    </dataValidation>
    <dataValidation type="textLength" errorStyle="information" allowBlank="1" showInputMessage="1" showErrorMessage="1" error="XLBVal:6=3400_x000d__x000a_" sqref="R25">
      <formula1>0</formula1>
      <formula2>300</formula2>
    </dataValidation>
    <dataValidation type="textLength" errorStyle="information" allowBlank="1" showInputMessage="1" showErrorMessage="1" error="XLBVal:6=0_x000d__x000a_" sqref="U18">
      <formula1>0</formula1>
      <formula2>300</formula2>
    </dataValidation>
    <dataValidation type="textLength" errorStyle="information" allowBlank="1" showInputMessage="1" showErrorMessage="1" error="XLBVal:6=12670.57_x000d__x000a_" sqref="U15">
      <formula1>0</formula1>
      <formula2>300</formula2>
    </dataValidation>
    <dataValidation type="textLength" errorStyle="information" allowBlank="1" showInputMessage="1" showErrorMessage="1" error="XLBVal:6=17993.4_x000d__x000a_" sqref="T15">
      <formula1>0</formula1>
      <formula2>300</formula2>
    </dataValidation>
    <dataValidation type="textLength" errorStyle="information" allowBlank="1" showInputMessage="1" showErrorMessage="1" error="XLBVal:6=21025.43_x000d__x000a_" sqref="S15">
      <formula1>0</formula1>
      <formula2>300</formula2>
    </dataValidation>
    <dataValidation type="textLength" errorStyle="information" allowBlank="1" showInputMessage="1" showErrorMessage="1" error="XLBVal:6=15826.31_x000d__x000a_" sqref="R15">
      <formula1>0</formula1>
      <formula2>300</formula2>
    </dataValidation>
    <dataValidation type="textLength" errorStyle="information" allowBlank="1" showInputMessage="1" showErrorMessage="1" error="XLBVal:6=8367.01_x000d__x000a_" sqref="S9">
      <formula1>0</formula1>
      <formula2>300</formula2>
    </dataValidation>
    <dataValidation type="textLength" errorStyle="information" allowBlank="1" showInputMessage="1" showErrorMessage="1" error="XLBVal:6=34143_x000d__x000a_" sqref="E31:E32 E35:P39 E42:P49 E52:P56 E64:P64">
      <formula1>0</formula1>
      <formula2>300</formula2>
    </dataValidation>
    <dataValidation type="textLength" errorStyle="information" allowBlank="1" showInputMessage="1" showErrorMessage="1" error="XLBVal:6=10_x000d__x000a_" sqref="R64:W64">
      <formula1>0</formula1>
      <formula2>300</formula2>
    </dataValidation>
    <dataValidation type="textLength" errorStyle="information" allowBlank="1" showInputMessage="1" showErrorMessage="1" error="XLBVal:6=6866.55_x000d__x000a_" sqref="W36">
      <formula1>0</formula1>
      <formula2>300</formula2>
    </dataValidation>
    <dataValidation type="textLength" errorStyle="information" allowBlank="1" showInputMessage="1" showErrorMessage="1" error="XLBVal:6=6868.7_x000d__x000a_" sqref="V36">
      <formula1>0</formula1>
      <formula2>300</formula2>
    </dataValidation>
    <dataValidation type="textLength" errorStyle="information" allowBlank="1" showInputMessage="1" showErrorMessage="1" error="XLBVal:6=6854.2_x000d__x000a_" sqref="U36">
      <formula1>0</formula1>
      <formula2>300</formula2>
    </dataValidation>
    <dataValidation type="textLength" errorStyle="information" allowBlank="1" showInputMessage="1" showErrorMessage="1" error="XLBVal:6=5465.35_x000d__x000a_" sqref="V25">
      <formula1>0</formula1>
      <formula2>300</formula2>
    </dataValidation>
    <dataValidation type="textLength" errorStyle="information" allowBlank="1" showInputMessage="1" showErrorMessage="1" error="XLBVal:6=10000_x000d__x000a_" sqref="T20">
      <formula1>0</formula1>
      <formula2>300</formula2>
    </dataValidation>
    <dataValidation type="textLength" errorStyle="information" allowBlank="1" showInputMessage="1" showErrorMessage="1" error="XLBVal:6=-0.01_x000d__x000a_" sqref="R19">
      <formula1>0</formula1>
      <formula2>300</formula2>
    </dataValidation>
    <dataValidation type="textLength" errorStyle="information" allowBlank="1" showInputMessage="1" showErrorMessage="1" error="XLBVal:6=934_x000d__x000a_" sqref="R18:T18">
      <formula1>0</formula1>
      <formula2>300</formula2>
    </dataValidation>
    <dataValidation type="textLength" errorStyle="information" allowBlank="1" showInputMessage="1" showErrorMessage="1" error="XLBVal:6=10347.79_x000d__x000a_" sqref="W15">
      <formula1>0</formula1>
      <formula2>300</formula2>
    </dataValidation>
    <dataValidation type="textLength" errorStyle="information" allowBlank="1" showInputMessage="1" showErrorMessage="1" error="XLBVal:6=18007.48_x000d__x000a_" sqref="V15">
      <formula1>0</formula1>
      <formula2>300</formula2>
    </dataValidation>
    <dataValidation type="textLength" errorStyle="information" allowBlank="1" showInputMessage="1" showErrorMessage="1" error="XLBVal:6=1174.31_x000d__x000a_" sqref="U9">
      <formula1>0</formula1>
      <formula2>300</formula2>
    </dataValidation>
    <dataValidation type="textLength" errorStyle="information" allowBlank="1" showInputMessage="1" showErrorMessage="1" error="XLBVal:6=733.94_x000d__x000a_" sqref="AC9 W9">
      <formula1>0</formula1>
      <formula2>300</formula2>
    </dataValidation>
    <dataValidation type="textLength" errorStyle="information" allowBlank="1" showInputMessage="1" showErrorMessage="1" error="XLBVal:6=792.66_x000d__x000a_" sqref="Y9">
      <formula1>0</formula1>
      <formula2>300</formula2>
    </dataValidation>
    <dataValidation type="textLength" errorStyle="information" allowBlank="1" showInputMessage="1" showErrorMessage="1" error="XLBVal:6=1113.1_x000d__x000a_" sqref="W48">
      <formula1>0</formula1>
      <formula2>300</formula2>
    </dataValidation>
    <dataValidation type="textLength" errorStyle="information" allowBlank="1" showInputMessage="1" showErrorMessage="1" error="XLBVal:6=1131.08_x000d__x000a_" sqref="V48">
      <formula1>0</formula1>
      <formula2>300</formula2>
    </dataValidation>
    <dataValidation type="textLength" errorStyle="information" allowBlank="1" showInputMessage="1" showErrorMessage="1" error="XLBVal:6=1938.47_x000d__x000a_" sqref="U48">
      <formula1>0</formula1>
      <formula2>300</formula2>
    </dataValidation>
    <dataValidation type="textLength" errorStyle="information" allowBlank="1" showInputMessage="1" showErrorMessage="1" error="XLBVal:6=2287.06_x000d__x000a_" sqref="T48">
      <formula1>0</formula1>
      <formula2>300</formula2>
    </dataValidation>
    <dataValidation type="textLength" errorStyle="information" allowBlank="1" showInputMessage="1" showErrorMessage="1" error="XLBVal:6=1241.31_x000d__x000a_" sqref="S48">
      <formula1>0</formula1>
      <formula2>300</formula2>
    </dataValidation>
    <dataValidation type="textLength" errorStyle="information" allowBlank="1" showInputMessage="1" showErrorMessage="1" error="XLBVal:6=1145.64_x000d__x000a_" sqref="R48">
      <formula1>0</formula1>
      <formula2>300</formula2>
    </dataValidation>
    <dataValidation type="textLength" errorStyle="information" allowBlank="1" showInputMessage="1" showErrorMessage="1" error="XLBVal:6=9078_x000d__x000a_" sqref="V37">
      <formula1>0</formula1>
      <formula2>300</formula2>
    </dataValidation>
    <dataValidation type="textLength" errorStyle="information" allowBlank="1" showInputMessage="1" showErrorMessage="1" error="XLBVal:6=10326.04_x000d__x000a_" sqref="S36">
      <formula1>0</formula1>
      <formula2>300</formula2>
    </dataValidation>
    <dataValidation type="textLength" errorStyle="information" allowBlank="1" showInputMessage="1" showErrorMessage="1" error="XLBVal:6=3255.09_x000d__x000a_" sqref="W35 U35">
      <formula1>0</formula1>
      <formula2>300</formula2>
    </dataValidation>
    <dataValidation type="textLength" errorStyle="information" allowBlank="1" showInputMessage="1" showErrorMessage="1" error="XLBVal:6=4275.75_x000d__x000a_" sqref="V35">
      <formula1>0</formula1>
      <formula2>300</formula2>
    </dataValidation>
    <dataValidation type="textLength" errorStyle="information" allowBlank="1" showInputMessage="1" showErrorMessage="1" error="XLBVal:6=9765.27_x000d__x000a_" sqref="S35">
      <formula1>0</formula1>
      <formula2>300</formula2>
    </dataValidation>
    <dataValidation type="textLength" errorStyle="information" allowBlank="1" showInputMessage="1" showErrorMessage="1" error="XLBVal:6=828.24_x000d__x000a_" sqref="W24">
      <formula1>0</formula1>
      <formula2>300</formula2>
    </dataValidation>
    <dataValidation type="textLength" errorStyle="information" allowBlank="1" showInputMessage="1" showErrorMessage="1" error="XLBVal:6=513.83_x000d__x000a_" sqref="V24">
      <formula1>0</formula1>
      <formula2>300</formula2>
    </dataValidation>
    <dataValidation type="textLength" errorStyle="information" allowBlank="1" showInputMessage="1" showErrorMessage="1" error="XLBVal:6=828.61_x000d__x000a_" sqref="U24">
      <formula1>0</formula1>
      <formula2>300</formula2>
    </dataValidation>
    <dataValidation type="textLength" errorStyle="information" allowBlank="1" showInputMessage="1" showErrorMessage="1" error="XLBVal:6=1264.35_x000d__x000a_" sqref="T24">
      <formula1>0</formula1>
      <formula2>300</formula2>
    </dataValidation>
    <dataValidation type="textLength" errorStyle="information" allowBlank="1" showInputMessage="1" showErrorMessage="1" error="XLBVal:6=579.39_x000d__x000a_" sqref="S24">
      <formula1>0</formula1>
      <formula2>300</formula2>
    </dataValidation>
    <dataValidation type="textLength" errorStyle="information" allowBlank="1" showInputMessage="1" showErrorMessage="1" error="XLBVal:6=1097.17_x000d__x000a_" sqref="R24">
      <formula1>0</formula1>
      <formula2>300</formula2>
    </dataValidation>
    <dataValidation type="textLength" errorStyle="information" allowBlank="1" showInputMessage="1" showErrorMessage="1" error="XLBVal:6=999.4_x000d__x000a_" sqref="W23">
      <formula1>0</formula1>
      <formula2>300</formula2>
    </dataValidation>
    <dataValidation type="textLength" errorStyle="information" allowBlank="1" showInputMessage="1" showErrorMessage="1" error="XLBVal:6=997.7_x000d__x000a_" sqref="V23">
      <formula1>0</formula1>
      <formula2>300</formula2>
    </dataValidation>
    <dataValidation type="textLength" errorStyle="information" allowBlank="1" showInputMessage="1" showErrorMessage="1" error="XLBVal:6=930.95_x000d__x000a_" sqref="U23">
      <formula1>0</formula1>
      <formula2>300</formula2>
    </dataValidation>
    <dataValidation type="textLength" errorStyle="information" allowBlank="1" showInputMessage="1" showErrorMessage="1" error="XLBVal:6=718.3_x000d__x000a_" sqref="T23">
      <formula1>0</formula1>
      <formula2>300</formula2>
    </dataValidation>
    <dataValidation type="textLength" errorStyle="information" allowBlank="1" showInputMessage="1" showErrorMessage="1" error="XLBVal:6=1446_x000d__x000a_" sqref="S23">
      <formula1>0</formula1>
      <formula2>300</formula2>
    </dataValidation>
    <dataValidation type="textLength" errorStyle="information" allowBlank="1" showInputMessage="1" showErrorMessage="1" error="XLBVal:6=1014.4_x000d__x000a_" sqref="R23">
      <formula1>0</formula1>
      <formula2>300</formula2>
    </dataValidation>
    <dataValidation type="textLength" errorStyle="information" allowBlank="1" showInputMessage="1" showErrorMessage="1" error="XLBVal:6=15000_x000d__x000a_" sqref="F31:P32">
      <formula1>0</formula1>
      <formula2>300</formula2>
    </dataValidation>
    <dataValidation type="textLength" errorStyle="information" allowBlank="1" showInputMessage="1" showErrorMessage="1" error="XLBVal:6=440.37_x000d__x000a_" sqref="AA9:AB9 T9 R9">
      <formula1>0</formula1>
      <formula2>300</formula2>
    </dataValidation>
    <dataValidation type="textLength" errorStyle="information" allowBlank="1" showInputMessage="1" showErrorMessage="1" error="XLBVal:6=3637_x000d__x000a_" sqref="R47:W47">
      <formula1>0</formula1>
      <formula2>300</formula2>
    </dataValidation>
    <dataValidation type="textLength" errorStyle="information" allowBlank="1" showInputMessage="1" showErrorMessage="1" error="XLBVal:6=87.3_x000d__x000a_" sqref="R45:W45">
      <formula1>0</formula1>
      <formula2>300</formula2>
    </dataValidation>
    <dataValidation type="textLength" errorStyle="information" allowBlank="1" showInputMessage="1" showErrorMessage="1" error="XLBVal:6=363.76_x000d__x000a_" sqref="R44:W44">
      <formula1>0</formula1>
      <formula2>300</formula2>
    </dataValidation>
    <dataValidation type="textLength" errorStyle="information" allowBlank="1" showInputMessage="1" showErrorMessage="1" error="XLBVal:6=6183.65_x000d__x000a_" sqref="R43:W43">
      <formula1>0</formula1>
      <formula2>300</formula2>
    </dataValidation>
    <dataValidation type="textLength" errorStyle="information" allowBlank="1" showInputMessage="1" showErrorMessage="1" error="XLBVal:6=11639.81_x000d__x000a_" sqref="R42:W42">
      <formula1>0</formula1>
      <formula2>300</formula2>
    </dataValidation>
    <dataValidation type="textLength" errorStyle="information" allowBlank="1" showInputMessage="1" showErrorMessage="1" error="XLBVal:6=8978.71_x000d__x000a_" sqref="R37">
      <formula1>0</formula1>
      <formula2>300</formula2>
    </dataValidation>
    <dataValidation type="textLength" errorStyle="information" allowBlank="1" showInputMessage="1" showErrorMessage="1" error="XLBVal:6=4803.33_x000d__x000a_" sqref="R35">
      <formula1>0</formula1>
      <formula2>300</formula2>
    </dataValidation>
    <dataValidation type="textLength" errorStyle="information" allowBlank="1" showInputMessage="1" showErrorMessage="1" error="XLBVal:6=10285.55_x000d__x000a_" sqref="R36">
      <formula1>0</formula1>
      <formula2>300</formula2>
    </dataValidation>
    <dataValidation type="textLength" errorStyle="information" allowBlank="1" showInputMessage="1" showErrorMessage="1" error="XLBVal:6=1673.39_x000d__x000a_" sqref="X9 X15:AC25 X31:AC32 X35:AC39 X64:AC64 X52:AC60 X42:AC49">
      <formula1>0</formula1>
      <formula2>300</formula2>
    </dataValidation>
    <dataValidation type="textLength" errorStyle="information" allowBlank="1" showInputMessage="1" showErrorMessage="1" error="XLBVal:6=10290.32_x000d__x000a_" sqref="T36">
      <formula1>0</formula1>
      <formula2>300</formula2>
    </dataValidation>
    <dataValidation type="textLength" errorStyle="information" allowBlank="1" showInputMessage="1" showErrorMessage="1" error="XLBVal:6=34700_x000d__x000a_" sqref="R32:W32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9361.43_x000d__x000a_" sqref="W58">
      <formula1>0</formula1>
      <formula2>300</formula2>
    </dataValidation>
    <dataValidation type="textLength" errorStyle="information" allowBlank="1" showInputMessage="1" showErrorMessage="1" error="XLBVal:6=8254.5_x000d__x000a_" sqref="V58">
      <formula1>0</formula1>
      <formula2>300</formula2>
    </dataValidation>
    <dataValidation type="textLength" errorStyle="information" allowBlank="1" showInputMessage="1" showErrorMessage="1" error="XLBVal:6=11152.91_x000d__x000a_" sqref="U58">
      <formula1>0</formula1>
      <formula2>300</formula2>
    </dataValidation>
    <dataValidation type="textLength" errorStyle="information" allowBlank="1" showInputMessage="1" showErrorMessage="1" error="XLBVal:6=11553.53_x000d__x000a_" sqref="T58">
      <formula1>0</formula1>
      <formula2>300</formula2>
    </dataValidation>
    <dataValidation type="textLength" errorStyle="information" allowBlank="1" showInputMessage="1" showErrorMessage="1" error="XLBVal:6=12118.18_x000d__x000a_" sqref="S58">
      <formula1>0</formula1>
      <formula2>300</formula2>
    </dataValidation>
    <dataValidation type="textLength" errorStyle="information" allowBlank="1" showInputMessage="1" showErrorMessage="1" error="XLBVal:6=9616.67_x000d__x000a_" sqref="R58">
      <formula1>0</formula1>
      <formula2>300</formula2>
    </dataValidation>
    <dataValidation type="textLength" errorStyle="information" allowBlank="1" showInputMessage="1" showErrorMessage="1" error="XLBVal:6=2957.87_x000d__x000a_" sqref="W57">
      <formula1>0</formula1>
      <formula2>300</formula2>
    </dataValidation>
    <dataValidation type="textLength" errorStyle="information" allowBlank="1" showInputMessage="1" showErrorMessage="1" error="XLBVal:6=2988.13_x000d__x000a_" sqref="V57">
      <formula1>0</formula1>
      <formula2>300</formula2>
    </dataValidation>
    <dataValidation type="textLength" errorStyle="information" allowBlank="1" showInputMessage="1" showErrorMessage="1" error="XLBVal:6=2314.19_x000d__x000a_" sqref="U57">
      <formula1>0</formula1>
      <formula2>300</formula2>
    </dataValidation>
    <dataValidation type="textLength" errorStyle="information" allowBlank="1" showInputMessage="1" showErrorMessage="1" error="XLBVal:6=2011.15_x000d__x000a_" sqref="T57">
      <formula1>0</formula1>
      <formula2>300</formula2>
    </dataValidation>
    <dataValidation type="textLength" errorStyle="information" allowBlank="1" showInputMessage="1" showErrorMessage="1" error="XLBVal:6=3122.63_x000d__x000a_" sqref="S57">
      <formula1>0</formula1>
      <formula2>300</formula2>
    </dataValidation>
    <dataValidation type="textLength" errorStyle="information" allowBlank="1" showInputMessage="1" showErrorMessage="1" error="XLBVal:6=1799.68_x000d__x000a_" sqref="R57">
      <formula1>0</formula1>
      <formula2>300</formula2>
    </dataValidation>
    <dataValidation type="textLength" errorStyle="information" allowBlank="1" showInputMessage="1" showErrorMessage="1" error="XLBVal:6=197.6_x000d__x000a_" sqref="W56">
      <formula1>0</formula1>
      <formula2>300</formula2>
    </dataValidation>
    <dataValidation type="textLength" errorStyle="information" allowBlank="1" showInputMessage="1" showErrorMessage="1" error="XLBVal:6=196.74_x000d__x000a_" sqref="V56">
      <formula1>0</formula1>
      <formula2>300</formula2>
    </dataValidation>
    <dataValidation type="textLength" errorStyle="information" allowBlank="1" showInputMessage="1" showErrorMessage="1" error="XLBVal:6=188.51_x000d__x000a_" sqref="R56 T56:U56">
      <formula1>0</formula1>
      <formula2>300</formula2>
    </dataValidation>
    <dataValidation type="textLength" errorStyle="information" allowBlank="1" showInputMessage="1" showErrorMessage="1" error="XLBVal:6=190.1_x000d__x000a_" sqref="S56">
      <formula1>0</formula1>
      <formula2>300</formula2>
    </dataValidation>
    <dataValidation type="textLength" errorStyle="information" allowBlank="1" showInputMessage="1" showErrorMessage="1" error="XLBVal:6=9100_x000d__x000a_" sqref="W37 S37:U37">
      <formula1>0</formula1>
      <formula2>300</formula2>
    </dataValidation>
    <dataValidation type="textLength" errorStyle="information" allowBlank="1" showInputMessage="1" showErrorMessage="1" error="XLBVal:6=451.56_x000d__x000a_" sqref="W22">
      <formula1>0</formula1>
      <formula2>300</formula2>
    </dataValidation>
    <dataValidation type="textLength" errorStyle="information" allowBlank="1" showInputMessage="1" showErrorMessage="1" error="XLBVal:6=151.17_x000d__x000a_" sqref="V22">
      <formula1>0</formula1>
      <formula2>300</formula2>
    </dataValidation>
    <dataValidation type="textLength" errorStyle="information" allowBlank="1" showInputMessage="1" showErrorMessage="1" error="XLBVal:6=377.17_x000d__x000a_" sqref="U22">
      <formula1>0</formula1>
      <formula2>300</formula2>
    </dataValidation>
    <dataValidation type="textLength" errorStyle="information" allowBlank="1" showInputMessage="1" showErrorMessage="1" error="XLBVal:6=403.2_x000d__x000a_" sqref="T22">
      <formula1>0</formula1>
      <formula2>300</formula2>
    </dataValidation>
    <dataValidation type="textLength" errorStyle="information" allowBlank="1" showInputMessage="1" showErrorMessage="1" error="XLBVal:6=584.05_x000d__x000a_" sqref="S22">
      <formula1>0</formula1>
      <formula2>300</formula2>
    </dataValidation>
    <dataValidation type="textLength" errorStyle="information" allowBlank="1" showInputMessage="1" showErrorMessage="1" error="XLBVal:6=697.06_x000d__x000a_" sqref="R22">
      <formula1>0</formula1>
      <formula2>300</formula2>
    </dataValidation>
    <dataValidation type="textLength" errorStyle="information" allowBlank="1" showInputMessage="1" showErrorMessage="1" error="XLBVal:6=28668.14_x000d__x000a_" sqref="W19">
      <formula1>0</formula1>
      <formula2>300</formula2>
    </dataValidation>
    <dataValidation type="textLength" errorStyle="information" allowBlank="1" showInputMessage="1" showErrorMessage="1" error="XLBVal:6=16761.94_x000d__x000a_" sqref="V19">
      <formula1>0</formula1>
      <formula2>300</formula2>
    </dataValidation>
    <dataValidation type="textLength" errorStyle="information" allowBlank="1" showInputMessage="1" showErrorMessage="1" error="XLBVal:6=4955.77_x000d__x000a_" sqref="U19">
      <formula1>0</formula1>
      <formula2>300</formula2>
    </dataValidation>
    <dataValidation type="textLength" errorStyle="information" allowBlank="1" showInputMessage="1" showErrorMessage="1" error="XLBVal:6=24991.16_x000d__x000a_" sqref="T19">
      <formula1>0</formula1>
      <formula2>300</formula2>
    </dataValidation>
    <dataValidation type="textLength" errorStyle="information" allowBlank="1" showInputMessage="1" showErrorMessage="1" error="XLBVal:6=0.01_x000d__x000a_" sqref="S19">
      <formula1>0</formula1>
      <formula2>300</formula2>
    </dataValidation>
    <dataValidation type="textLength" errorStyle="information" allowBlank="1" showInputMessage="1" showErrorMessage="1" error="XLBVal:6=7376.19_x000d__x000a_" sqref="E19:P21 E23:P25 E68:P68">
      <formula1>0</formula1>
      <formula2>300</formula2>
    </dataValidation>
    <dataValidation type="textLength" errorStyle="information" allowBlank="1" showInputMessage="1" showErrorMessage="1" error="XLBVal:6=1500_x000d__x000a_" sqref="E18:P18">
      <formula1>0</formula1>
      <formula2>300</formula2>
    </dataValidation>
    <dataValidation type="textLength" errorStyle="information" allowBlank="1" showInputMessage="1" showErrorMessage="1" error="XLBVal:6=167.71_x000d__x000a_" sqref="U16">
      <formula1>0</formula1>
      <formula2>300</formula2>
    </dataValidation>
    <dataValidation type="textLength" errorStyle="information" allowBlank="1" showInputMessage="1" showErrorMessage="1" error="XLBVal:6=1708.7_x000d__x000a_" sqref="S16">
      <formula1>0</formula1>
      <formula2>300</formula2>
    </dataValidation>
    <dataValidation type="textLength" errorStyle="information" allowBlank="1" showInputMessage="1" showErrorMessage="1" error="XLBVal:6=2395.56_x000d__x000a_" sqref="E16:P16">
      <formula1>0</formula1>
      <formula2>300</formula2>
    </dataValidation>
    <dataValidation type="textLength" errorStyle="information" allowBlank="1" showInputMessage="1" showErrorMessage="1" error="XLBVal:6=880.74_x000d__x000a_" sqref="J9">
      <formula1>0</formula1>
      <formula2>300</formula2>
    </dataValidation>
    <dataValidation type="textLength" errorStyle="information" allowBlank="1" showInputMessage="1" showErrorMessage="1" error="XLBVal:6=1082.56_x000d__x000a_" sqref="H9">
      <formula1>0</formula1>
      <formula2>300</formula2>
    </dataValidation>
    <dataValidation type="textLength" errorStyle="information" allowBlank="1" showInputMessage="1" showErrorMessage="1" error="XLBVal:6=1284.4_x000d__x000a_" sqref="G9">
      <formula1>0</formula1>
      <formula2>300</formula2>
    </dataValidation>
    <dataValidation type="textLength" errorStyle="information" allowBlank="1" showInputMessage="1" showErrorMessage="1" error="XLBVal:6=807.34_x000d__x000a_" sqref="F9">
      <formula1>0</formula1>
      <formula2>300</formula2>
    </dataValidation>
    <dataValidation type="textLength" errorStyle="information" allowBlank="1" showInputMessage="1" showErrorMessage="1" error="XLBVal:6=4110.08_x000d__x000a_" sqref="E9">
      <formula1>0</formula1>
      <formula2>300</formula2>
    </dataValidation>
    <dataValidation type="textLength" errorStyle="information" allowBlank="1" showInputMessage="1" showErrorMessage="1" error="XLBVal:6=6500_x000d__x000a_" sqref="R31:W31">
      <formula1>0</formula1>
      <formula2>300</formula2>
    </dataValidation>
    <dataValidation type="textLength" errorStyle="information" allowBlank="1" showInputMessage="1" showErrorMessage="1" error="XLBVal:2=0_x000d__x000a_" sqref="U20:W20 R17:W17 Z9 I9 R46:W46 R21:W21 W25 E17:J17 R52:W55 E59:J60 T16 R59:W60 R38:W39 R49:W49 E15:P15 R20:S20 S25 T35 V18:W18 R16 V9 V16:W16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AH68"/>
  <sheetViews>
    <sheetView view="pageBreakPreview" zoomScaleNormal="100" zoomScaleSheetLayoutView="100" workbookViewId="0">
      <pane xSplit="5" ySplit="7" topLeftCell="K8" activePane="bottomRight" state="frozen"/>
      <selection activeCell="AP43" sqref="AP43"/>
      <selection pane="topRight" activeCell="AP43" sqref="AP43"/>
      <selection pane="bottomLeft" activeCell="AP43" sqref="AP43"/>
      <selection pane="bottomRight" activeCell="P22" sqref="P22"/>
    </sheetView>
  </sheetViews>
  <sheetFormatPr defaultColWidth="9" defaultRowHeight="14.25" outlineLevelCol="2"/>
  <cols>
    <col min="1" max="3" width="9" style="105" hidden="1" customWidth="1" outlineLevel="1"/>
    <col min="4" max="4" width="54" style="105" customWidth="1" collapsed="1"/>
    <col min="5" max="12" width="13.5" style="72" bestFit="1" customWidth="1"/>
    <col min="13" max="13" width="12.375" style="72" bestFit="1" customWidth="1"/>
    <col min="14" max="16" width="13.5" style="72" bestFit="1" customWidth="1"/>
    <col min="17" max="17" width="14.75" style="127" bestFit="1" customWidth="1"/>
    <col min="18" max="24" width="14.5" style="72" hidden="1" customWidth="1" outlineLevel="1"/>
    <col min="25" max="29" width="14.5" style="72" hidden="1" customWidth="1" outlineLevel="2"/>
    <col min="30" max="30" width="14.5" style="127" customWidth="1" collapsed="1"/>
    <col min="31" max="31" width="13.25" style="72" customWidth="1"/>
    <col min="32" max="32" width="10.5" style="105" customWidth="1"/>
    <col min="33" max="33" width="15.75" style="109" hidden="1" customWidth="1"/>
    <col min="34" max="34" width="15" style="124" hidden="1" customWidth="1"/>
    <col min="35" max="16384" width="9" style="105"/>
  </cols>
  <sheetData>
    <row r="1" spans="1:34" s="100" customFormat="1">
      <c r="A1" s="100" t="s">
        <v>118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  <c r="AH1" s="183"/>
    </row>
    <row r="2" spans="1:34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  <c r="AH2" s="183"/>
    </row>
    <row r="3" spans="1:34">
      <c r="D3" s="105" t="s">
        <v>747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  <c r="AH3" s="184"/>
    </row>
    <row r="4" spans="1:34" s="100" customFormat="1" ht="18">
      <c r="C4" s="18">
        <f>+'2025 Summay'!$D$7</f>
        <v>2025</v>
      </c>
      <c r="D4" s="18">
        <f>+'2025 Summay'!$D$7</f>
        <v>2025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72"/>
      <c r="AE4" s="101"/>
      <c r="AG4" s="103"/>
      <c r="AH4" s="183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83"/>
      <c r="Z5" s="101"/>
      <c r="AA5" s="101"/>
      <c r="AB5" s="101"/>
      <c r="AC5" s="101"/>
      <c r="AD5" s="172"/>
      <c r="AE5" s="101"/>
      <c r="AG5" s="103"/>
      <c r="AH5" s="183"/>
    </row>
    <row r="6" spans="1:34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  <c r="AH6" s="183"/>
    </row>
    <row r="7" spans="1:34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4">
      <c r="D8" s="105" t="s">
        <v>682</v>
      </c>
      <c r="AG8" s="129"/>
    </row>
    <row r="9" spans="1:34">
      <c r="A9" s="105" t="s">
        <v>748</v>
      </c>
      <c r="B9" s="105" t="s">
        <v>653</v>
      </c>
      <c r="C9" s="105" t="s">
        <v>749</v>
      </c>
      <c r="D9" s="105" t="s">
        <v>750</v>
      </c>
      <c r="E9" s="116">
        <v>22000</v>
      </c>
      <c r="F9" s="116">
        <v>34500</v>
      </c>
      <c r="G9" s="116">
        <v>16000</v>
      </c>
      <c r="H9" s="116">
        <v>17000</v>
      </c>
      <c r="I9" s="116">
        <v>14800</v>
      </c>
      <c r="J9" s="116">
        <v>13000</v>
      </c>
      <c r="K9" s="116">
        <v>13000</v>
      </c>
      <c r="L9" s="116">
        <v>13000</v>
      </c>
      <c r="M9" s="116">
        <v>8500</v>
      </c>
      <c r="N9" s="116">
        <v>11000</v>
      </c>
      <c r="O9" s="116">
        <v>10000</v>
      </c>
      <c r="P9" s="116">
        <v>18000</v>
      </c>
      <c r="Q9" s="117">
        <f>SUM(E9:P9)</f>
        <v>190800</v>
      </c>
      <c r="R9" s="72">
        <v>18808.560000000001</v>
      </c>
      <c r="S9" s="72">
        <v>38278.53</v>
      </c>
      <c r="T9" s="72">
        <v>16501.900000000001</v>
      </c>
      <c r="U9" s="72">
        <v>14968.91</v>
      </c>
      <c r="V9" s="72">
        <v>16633.41</v>
      </c>
      <c r="W9" s="72">
        <v>14161.5</v>
      </c>
      <c r="X9" s="72">
        <v>12447.52</v>
      </c>
      <c r="Y9" s="72">
        <v>15416.8</v>
      </c>
      <c r="Z9" s="72">
        <v>10000</v>
      </c>
      <c r="AA9" s="72">
        <v>13000</v>
      </c>
      <c r="AB9" s="72">
        <v>12000</v>
      </c>
      <c r="AC9" s="72">
        <v>15000</v>
      </c>
      <c r="AD9" s="127">
        <f>SUM(R9:AC9)</f>
        <v>197217.12999999998</v>
      </c>
      <c r="AE9" s="72">
        <f>Q9-AD9</f>
        <v>-6417.1299999999756</v>
      </c>
      <c r="AG9" s="129">
        <v>127409.5</v>
      </c>
      <c r="AH9" s="124">
        <f>Q9-AG9</f>
        <v>63390.5</v>
      </c>
    </row>
    <row r="10" spans="1:34">
      <c r="D10" s="109" t="s">
        <v>500</v>
      </c>
      <c r="E10" s="117">
        <f t="shared" ref="E10:AE10" si="0">SUM(E9:E9)</f>
        <v>22000</v>
      </c>
      <c r="F10" s="117">
        <f t="shared" si="0"/>
        <v>34500</v>
      </c>
      <c r="G10" s="117">
        <f t="shared" si="0"/>
        <v>16000</v>
      </c>
      <c r="H10" s="117">
        <f t="shared" si="0"/>
        <v>17000</v>
      </c>
      <c r="I10" s="117">
        <f t="shared" si="0"/>
        <v>14800</v>
      </c>
      <c r="J10" s="117">
        <f t="shared" si="0"/>
        <v>13000</v>
      </c>
      <c r="K10" s="117">
        <f t="shared" si="0"/>
        <v>13000</v>
      </c>
      <c r="L10" s="117">
        <f t="shared" si="0"/>
        <v>13000</v>
      </c>
      <c r="M10" s="117">
        <f t="shared" si="0"/>
        <v>8500</v>
      </c>
      <c r="N10" s="117">
        <f t="shared" si="0"/>
        <v>11000</v>
      </c>
      <c r="O10" s="117">
        <f t="shared" si="0"/>
        <v>10000</v>
      </c>
      <c r="P10" s="117">
        <f t="shared" si="0"/>
        <v>18000</v>
      </c>
      <c r="Q10" s="117">
        <f t="shared" si="0"/>
        <v>190800</v>
      </c>
      <c r="R10" s="127">
        <f t="shared" si="0"/>
        <v>18808.560000000001</v>
      </c>
      <c r="S10" s="127">
        <f t="shared" si="0"/>
        <v>38278.53</v>
      </c>
      <c r="T10" s="127">
        <f t="shared" si="0"/>
        <v>16501.900000000001</v>
      </c>
      <c r="U10" s="127">
        <f t="shared" si="0"/>
        <v>14968.91</v>
      </c>
      <c r="V10" s="127">
        <f t="shared" si="0"/>
        <v>16633.41</v>
      </c>
      <c r="W10" s="127">
        <f t="shared" si="0"/>
        <v>14161.5</v>
      </c>
      <c r="X10" s="127">
        <f t="shared" si="0"/>
        <v>12447.52</v>
      </c>
      <c r="Y10" s="127">
        <f t="shared" si="0"/>
        <v>15416.8</v>
      </c>
      <c r="Z10" s="127">
        <f t="shared" si="0"/>
        <v>10000</v>
      </c>
      <c r="AA10" s="127">
        <f t="shared" si="0"/>
        <v>13000</v>
      </c>
      <c r="AB10" s="127">
        <f t="shared" si="0"/>
        <v>12000</v>
      </c>
      <c r="AC10" s="127">
        <f t="shared" si="0"/>
        <v>15000</v>
      </c>
      <c r="AD10" s="127">
        <f t="shared" si="0"/>
        <v>197217.12999999998</v>
      </c>
      <c r="AE10" s="127">
        <f t="shared" si="0"/>
        <v>-6417.1299999999756</v>
      </c>
      <c r="AF10" s="192">
        <f t="shared" ref="AF10:AF61" si="1">AE10/AD10</f>
        <v>-3.2538400695720379E-2</v>
      </c>
      <c r="AG10" s="129">
        <v>127409.5</v>
      </c>
      <c r="AH10" s="124">
        <f>Q10-AG10</f>
        <v>63390.5</v>
      </c>
    </row>
    <row r="11" spans="1:34">
      <c r="D11" s="105" t="s">
        <v>154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AF11" s="192"/>
      <c r="AG11" s="129"/>
    </row>
    <row r="12" spans="1:34" s="109" customFormat="1">
      <c r="D12" s="109" t="s">
        <v>289</v>
      </c>
      <c r="E12" s="117">
        <f t="shared" ref="E12:P12" si="2">E59</f>
        <v>0</v>
      </c>
      <c r="F12" s="117">
        <f t="shared" si="2"/>
        <v>0</v>
      </c>
      <c r="G12" s="117">
        <f t="shared" si="2"/>
        <v>0</v>
      </c>
      <c r="H12" s="117">
        <f t="shared" si="2"/>
        <v>0</v>
      </c>
      <c r="I12" s="117">
        <f t="shared" si="2"/>
        <v>0</v>
      </c>
      <c r="J12" s="117">
        <f t="shared" si="2"/>
        <v>0</v>
      </c>
      <c r="K12" s="117">
        <f t="shared" si="2"/>
        <v>0</v>
      </c>
      <c r="L12" s="117">
        <f t="shared" si="2"/>
        <v>0</v>
      </c>
      <c r="M12" s="117">
        <f t="shared" si="2"/>
        <v>0</v>
      </c>
      <c r="N12" s="117">
        <f t="shared" si="2"/>
        <v>0</v>
      </c>
      <c r="O12" s="117">
        <f t="shared" si="2"/>
        <v>0</v>
      </c>
      <c r="P12" s="117">
        <f t="shared" si="2"/>
        <v>0</v>
      </c>
      <c r="Q12" s="117">
        <f>SUM(E12:P12)</f>
        <v>0</v>
      </c>
      <c r="R12" s="127">
        <f t="shared" ref="R12:AC12" si="3">R59</f>
        <v>0</v>
      </c>
      <c r="S12" s="127">
        <f t="shared" si="3"/>
        <v>0</v>
      </c>
      <c r="T12" s="127">
        <f t="shared" si="3"/>
        <v>0</v>
      </c>
      <c r="U12" s="127">
        <f t="shared" si="3"/>
        <v>0</v>
      </c>
      <c r="V12" s="127">
        <f t="shared" si="3"/>
        <v>0</v>
      </c>
      <c r="W12" s="127">
        <f t="shared" si="3"/>
        <v>0</v>
      </c>
      <c r="X12" s="127">
        <f t="shared" si="3"/>
        <v>0</v>
      </c>
      <c r="Y12" s="127">
        <f t="shared" si="3"/>
        <v>0</v>
      </c>
      <c r="Z12" s="127">
        <f t="shared" si="3"/>
        <v>0</v>
      </c>
      <c r="AA12" s="127">
        <f t="shared" si="3"/>
        <v>0</v>
      </c>
      <c r="AB12" s="127">
        <f t="shared" si="3"/>
        <v>0</v>
      </c>
      <c r="AC12" s="127">
        <f t="shared" si="3"/>
        <v>0</v>
      </c>
      <c r="AD12" s="127">
        <f t="shared" ref="AD12:AD22" si="4">SUM(R12:AC12)</f>
        <v>0</v>
      </c>
      <c r="AE12" s="127">
        <f>AD12-Q12</f>
        <v>0</v>
      </c>
      <c r="AF12" s="132" t="e">
        <f t="shared" si="1"/>
        <v>#DIV/0!</v>
      </c>
      <c r="AG12" s="129">
        <v>154063.94999999998</v>
      </c>
      <c r="AH12" s="124">
        <f t="shared" ref="AH12:AH61" si="5">Q12-AG12</f>
        <v>-154063.94999999998</v>
      </c>
    </row>
    <row r="13" spans="1:34">
      <c r="D13" s="105" t="s">
        <v>154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7"/>
      <c r="AD13" s="127">
        <f t="shared" si="4"/>
        <v>0</v>
      </c>
      <c r="AF13" s="192"/>
      <c r="AG13" s="129">
        <v>0</v>
      </c>
      <c r="AH13" s="124">
        <f t="shared" si="5"/>
        <v>0</v>
      </c>
    </row>
    <row r="14" spans="1:34">
      <c r="D14" s="105" t="s">
        <v>502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  <c r="AD14" s="127">
        <f t="shared" si="4"/>
        <v>0</v>
      </c>
      <c r="AF14" s="192"/>
      <c r="AG14" s="129">
        <v>0</v>
      </c>
      <c r="AH14" s="124">
        <f t="shared" si="5"/>
        <v>0</v>
      </c>
    </row>
    <row r="15" spans="1:34">
      <c r="A15" s="105" t="s">
        <v>687</v>
      </c>
      <c r="B15" s="105" t="s">
        <v>653</v>
      </c>
      <c r="D15" s="105" t="s">
        <v>144</v>
      </c>
      <c r="E15" s="176">
        <f>+E65+E66+E67</f>
        <v>0</v>
      </c>
      <c r="F15" s="176">
        <f t="shared" ref="F15:P15" si="6">+F65+F66+F67</f>
        <v>0</v>
      </c>
      <c r="G15" s="176">
        <f t="shared" si="6"/>
        <v>0</v>
      </c>
      <c r="H15" s="176">
        <f t="shared" si="6"/>
        <v>0</v>
      </c>
      <c r="I15" s="176">
        <f t="shared" si="6"/>
        <v>0</v>
      </c>
      <c r="J15" s="176">
        <f t="shared" si="6"/>
        <v>0</v>
      </c>
      <c r="K15" s="176">
        <f t="shared" si="6"/>
        <v>0</v>
      </c>
      <c r="L15" s="176">
        <f t="shared" si="6"/>
        <v>0</v>
      </c>
      <c r="M15" s="176">
        <f t="shared" si="6"/>
        <v>0</v>
      </c>
      <c r="N15" s="176">
        <f t="shared" si="6"/>
        <v>0</v>
      </c>
      <c r="O15" s="176">
        <f t="shared" si="6"/>
        <v>0</v>
      </c>
      <c r="P15" s="176">
        <f t="shared" si="6"/>
        <v>0</v>
      </c>
      <c r="Q15" s="117">
        <f>SUM(E15:P15)</f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  <c r="Z15" s="72">
        <v>0</v>
      </c>
      <c r="AA15" s="72">
        <v>0</v>
      </c>
      <c r="AB15" s="72">
        <v>0</v>
      </c>
      <c r="AC15" s="72">
        <v>0</v>
      </c>
      <c r="AD15" s="127">
        <f t="shared" si="4"/>
        <v>0</v>
      </c>
      <c r="AE15" s="72">
        <f t="shared" ref="AE15:AE23" si="7">AD15-Q15</f>
        <v>0</v>
      </c>
      <c r="AF15" s="192" t="e">
        <f t="shared" si="1"/>
        <v>#DIV/0!</v>
      </c>
      <c r="AG15" s="129">
        <v>0</v>
      </c>
      <c r="AH15" s="124">
        <f t="shared" si="5"/>
        <v>0</v>
      </c>
    </row>
    <row r="16" spans="1:34">
      <c r="A16" s="105" t="s">
        <v>689</v>
      </c>
      <c r="B16" s="105" t="s">
        <v>653</v>
      </c>
      <c r="D16" s="105" t="s">
        <v>202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7">
        <f t="shared" ref="Q16:Q22" si="8">SUM(E16:P16)</f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  <c r="Z16" s="72">
        <v>0</v>
      </c>
      <c r="AA16" s="72">
        <v>0</v>
      </c>
      <c r="AB16" s="72">
        <v>0</v>
      </c>
      <c r="AC16" s="72">
        <v>0</v>
      </c>
      <c r="AD16" s="127">
        <f t="shared" si="4"/>
        <v>0</v>
      </c>
      <c r="AE16" s="72">
        <f t="shared" si="7"/>
        <v>0</v>
      </c>
      <c r="AF16" s="192" t="e">
        <f t="shared" si="1"/>
        <v>#DIV/0!</v>
      </c>
      <c r="AG16" s="129">
        <v>0</v>
      </c>
      <c r="AH16" s="124">
        <f t="shared" si="5"/>
        <v>0</v>
      </c>
    </row>
    <row r="17" spans="1:34">
      <c r="A17" s="105" t="s">
        <v>692</v>
      </c>
      <c r="B17" s="105" t="s">
        <v>653</v>
      </c>
      <c r="D17" s="105" t="s">
        <v>204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>
        <f t="shared" si="8"/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127">
        <f t="shared" si="4"/>
        <v>0</v>
      </c>
      <c r="AE17" s="72">
        <f t="shared" si="7"/>
        <v>0</v>
      </c>
      <c r="AF17" s="192" t="e">
        <f t="shared" si="1"/>
        <v>#DIV/0!</v>
      </c>
      <c r="AG17" s="129">
        <v>-17.05</v>
      </c>
      <c r="AH17" s="124">
        <f t="shared" si="5"/>
        <v>17.05</v>
      </c>
    </row>
    <row r="18" spans="1:34">
      <c r="A18" s="105" t="s">
        <v>694</v>
      </c>
      <c r="B18" s="105" t="s">
        <v>653</v>
      </c>
      <c r="D18" s="105" t="s">
        <v>212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7">
        <f t="shared" si="8"/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127">
        <f t="shared" si="4"/>
        <v>0</v>
      </c>
      <c r="AE18" s="72">
        <f t="shared" si="7"/>
        <v>0</v>
      </c>
      <c r="AF18" s="192" t="e">
        <f t="shared" si="1"/>
        <v>#DIV/0!</v>
      </c>
      <c r="AG18" s="129">
        <v>0</v>
      </c>
      <c r="AH18" s="124">
        <f t="shared" si="5"/>
        <v>0</v>
      </c>
    </row>
    <row r="19" spans="1:34">
      <c r="A19" s="105" t="s">
        <v>709</v>
      </c>
      <c r="B19" s="105" t="s">
        <v>653</v>
      </c>
      <c r="D19" s="105" t="s">
        <v>214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7">
        <f t="shared" si="8"/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72">
        <v>0</v>
      </c>
      <c r="AD19" s="127">
        <f t="shared" si="4"/>
        <v>0</v>
      </c>
      <c r="AE19" s="72">
        <f t="shared" si="7"/>
        <v>0</v>
      </c>
      <c r="AF19" s="192" t="e">
        <f t="shared" si="1"/>
        <v>#DIV/0!</v>
      </c>
      <c r="AG19" s="129">
        <v>392.72</v>
      </c>
      <c r="AH19" s="124">
        <f t="shared" si="5"/>
        <v>-392.72</v>
      </c>
    </row>
    <row r="20" spans="1:34">
      <c r="A20" s="105" t="s">
        <v>696</v>
      </c>
      <c r="B20" s="105" t="s">
        <v>653</v>
      </c>
      <c r="D20" s="105" t="s">
        <v>216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7">
        <f t="shared" si="8"/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127">
        <f t="shared" si="4"/>
        <v>0</v>
      </c>
      <c r="AE20" s="72">
        <f t="shared" si="7"/>
        <v>0</v>
      </c>
      <c r="AF20" s="192" t="e">
        <f t="shared" si="1"/>
        <v>#DIV/0!</v>
      </c>
      <c r="AG20" s="129">
        <v>0</v>
      </c>
      <c r="AH20" s="124">
        <f t="shared" si="5"/>
        <v>0</v>
      </c>
    </row>
    <row r="21" spans="1:34">
      <c r="A21" s="105" t="s">
        <v>697</v>
      </c>
      <c r="B21" s="105" t="s">
        <v>653</v>
      </c>
      <c r="D21" s="105" t="s">
        <v>218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7">
        <f t="shared" si="8"/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127">
        <f t="shared" si="4"/>
        <v>0</v>
      </c>
      <c r="AE21" s="72">
        <f t="shared" si="7"/>
        <v>0</v>
      </c>
      <c r="AF21" s="192" t="e">
        <f t="shared" si="1"/>
        <v>#DIV/0!</v>
      </c>
      <c r="AG21" s="129">
        <v>0</v>
      </c>
      <c r="AH21" s="124">
        <f t="shared" si="5"/>
        <v>0</v>
      </c>
    </row>
    <row r="22" spans="1:34">
      <c r="A22" s="105" t="s">
        <v>746</v>
      </c>
      <c r="B22" s="105" t="s">
        <v>653</v>
      </c>
      <c r="D22" s="105" t="s">
        <v>751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7">
        <f t="shared" si="8"/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2">
        <v>0</v>
      </c>
      <c r="AB22" s="72">
        <v>0</v>
      </c>
      <c r="AC22" s="72">
        <v>0</v>
      </c>
      <c r="AD22" s="127">
        <f t="shared" si="4"/>
        <v>0</v>
      </c>
      <c r="AE22" s="72">
        <f t="shared" si="7"/>
        <v>0</v>
      </c>
      <c r="AF22" s="192" t="e">
        <f t="shared" si="1"/>
        <v>#DIV/0!</v>
      </c>
      <c r="AG22" s="129">
        <v>0</v>
      </c>
      <c r="AH22" s="124">
        <f t="shared" si="5"/>
        <v>0</v>
      </c>
    </row>
    <row r="23" spans="1:34">
      <c r="D23" s="105" t="s">
        <v>507</v>
      </c>
      <c r="E23" s="117">
        <f t="shared" ref="E23:W23" si="9">SUM(E15:E22)</f>
        <v>0</v>
      </c>
      <c r="F23" s="117">
        <f t="shared" si="9"/>
        <v>0</v>
      </c>
      <c r="G23" s="117">
        <f t="shared" si="9"/>
        <v>0</v>
      </c>
      <c r="H23" s="117">
        <f t="shared" si="9"/>
        <v>0</v>
      </c>
      <c r="I23" s="117">
        <f t="shared" si="9"/>
        <v>0</v>
      </c>
      <c r="J23" s="117">
        <f t="shared" si="9"/>
        <v>0</v>
      </c>
      <c r="K23" s="117">
        <f t="shared" si="9"/>
        <v>0</v>
      </c>
      <c r="L23" s="117">
        <f t="shared" si="9"/>
        <v>0</v>
      </c>
      <c r="M23" s="117">
        <f t="shared" si="9"/>
        <v>0</v>
      </c>
      <c r="N23" s="117">
        <f t="shared" si="9"/>
        <v>0</v>
      </c>
      <c r="O23" s="117">
        <f t="shared" si="9"/>
        <v>0</v>
      </c>
      <c r="P23" s="117">
        <f t="shared" si="9"/>
        <v>0</v>
      </c>
      <c r="Q23" s="117">
        <f t="shared" si="9"/>
        <v>0</v>
      </c>
      <c r="R23" s="127">
        <f t="shared" si="9"/>
        <v>0</v>
      </c>
      <c r="S23" s="127">
        <f t="shared" si="9"/>
        <v>0</v>
      </c>
      <c r="T23" s="127">
        <f t="shared" si="9"/>
        <v>0</v>
      </c>
      <c r="U23" s="127">
        <f t="shared" si="9"/>
        <v>0</v>
      </c>
      <c r="V23" s="127">
        <f t="shared" si="9"/>
        <v>0</v>
      </c>
      <c r="W23" s="127">
        <f t="shared" si="9"/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127">
        <f>SUM(AD15:AD22)</f>
        <v>0</v>
      </c>
      <c r="AE23" s="72">
        <f t="shared" si="7"/>
        <v>0</v>
      </c>
      <c r="AF23" s="192" t="e">
        <f t="shared" si="1"/>
        <v>#DIV/0!</v>
      </c>
      <c r="AG23" s="129">
        <v>375.67</v>
      </c>
      <c r="AH23" s="124">
        <f t="shared" si="5"/>
        <v>-375.67</v>
      </c>
    </row>
    <row r="24" spans="1:34">
      <c r="D24" s="105" t="s">
        <v>508</v>
      </c>
      <c r="E24" s="117">
        <f t="shared" ref="E24:AD24" si="10">E10-E12-E23</f>
        <v>22000</v>
      </c>
      <c r="F24" s="117">
        <f t="shared" si="10"/>
        <v>34500</v>
      </c>
      <c r="G24" s="117">
        <f t="shared" si="10"/>
        <v>16000</v>
      </c>
      <c r="H24" s="117">
        <f t="shared" si="10"/>
        <v>17000</v>
      </c>
      <c r="I24" s="117">
        <f t="shared" si="10"/>
        <v>14800</v>
      </c>
      <c r="J24" s="117">
        <f t="shared" si="10"/>
        <v>13000</v>
      </c>
      <c r="K24" s="117">
        <f t="shared" si="10"/>
        <v>13000</v>
      </c>
      <c r="L24" s="117">
        <f t="shared" si="10"/>
        <v>13000</v>
      </c>
      <c r="M24" s="117">
        <f t="shared" si="10"/>
        <v>8500</v>
      </c>
      <c r="N24" s="117">
        <f t="shared" si="10"/>
        <v>11000</v>
      </c>
      <c r="O24" s="117">
        <f t="shared" si="10"/>
        <v>10000</v>
      </c>
      <c r="P24" s="117">
        <f t="shared" si="10"/>
        <v>18000</v>
      </c>
      <c r="Q24" s="117">
        <f t="shared" si="10"/>
        <v>190800</v>
      </c>
      <c r="R24" s="127">
        <f t="shared" si="10"/>
        <v>18808.560000000001</v>
      </c>
      <c r="S24" s="127">
        <f t="shared" si="10"/>
        <v>38278.53</v>
      </c>
      <c r="T24" s="127">
        <f t="shared" si="10"/>
        <v>16501.900000000001</v>
      </c>
      <c r="U24" s="127">
        <f t="shared" si="10"/>
        <v>14968.91</v>
      </c>
      <c r="V24" s="127">
        <f t="shared" si="10"/>
        <v>16633.41</v>
      </c>
      <c r="W24" s="127">
        <f t="shared" si="10"/>
        <v>14161.5</v>
      </c>
      <c r="X24" s="127">
        <f t="shared" si="10"/>
        <v>12447.52</v>
      </c>
      <c r="Y24" s="127">
        <f t="shared" si="10"/>
        <v>15416.8</v>
      </c>
      <c r="Z24" s="127">
        <f t="shared" si="10"/>
        <v>10000</v>
      </c>
      <c r="AA24" s="127">
        <f t="shared" si="10"/>
        <v>13000</v>
      </c>
      <c r="AB24" s="127">
        <f t="shared" si="10"/>
        <v>12000</v>
      </c>
      <c r="AC24" s="127">
        <f t="shared" si="10"/>
        <v>15000</v>
      </c>
      <c r="AD24" s="127">
        <f t="shared" si="10"/>
        <v>197217.12999999998</v>
      </c>
      <c r="AE24" s="72">
        <f>Q24-AD24</f>
        <v>-6417.1299999999756</v>
      </c>
      <c r="AF24" s="192">
        <f t="shared" si="1"/>
        <v>-3.2538400695720379E-2</v>
      </c>
      <c r="AG24" s="129">
        <v>-27030.119999999981</v>
      </c>
      <c r="AH24" s="124">
        <f t="shared" si="5"/>
        <v>217830.12</v>
      </c>
    </row>
    <row r="25" spans="1:34">
      <c r="D25" s="105" t="s">
        <v>154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7"/>
      <c r="AF25" s="192"/>
      <c r="AG25" s="129"/>
      <c r="AH25" s="124">
        <f t="shared" si="5"/>
        <v>0</v>
      </c>
    </row>
    <row r="26" spans="1:34">
      <c r="D26" s="105" t="s">
        <v>516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7"/>
      <c r="AF26" s="192"/>
      <c r="AG26" s="129"/>
      <c r="AH26" s="124">
        <f t="shared" si="5"/>
        <v>0</v>
      </c>
    </row>
    <row r="27" spans="1:34">
      <c r="D27" s="105" t="s">
        <v>517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7"/>
      <c r="AF27" s="192"/>
      <c r="AG27" s="129"/>
      <c r="AH27" s="124">
        <f t="shared" si="5"/>
        <v>0</v>
      </c>
    </row>
    <row r="28" spans="1:34">
      <c r="A28" s="105" t="s">
        <v>248</v>
      </c>
      <c r="B28" s="105" t="s">
        <v>653</v>
      </c>
      <c r="D28" s="105" t="s">
        <v>250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7">
        <f>SUM(E28:P28)</f>
        <v>0</v>
      </c>
      <c r="R28" s="72">
        <v>0</v>
      </c>
      <c r="S28" s="72">
        <v>0</v>
      </c>
      <c r="T28" s="72">
        <v>0</v>
      </c>
      <c r="U28" s="72">
        <v>0</v>
      </c>
      <c r="V28" s="72">
        <v>0</v>
      </c>
      <c r="W28" s="72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127">
        <f>SUM(R28:AC28)</f>
        <v>0</v>
      </c>
      <c r="AE28" s="72">
        <f>AD28-Q28</f>
        <v>0</v>
      </c>
      <c r="AF28" s="192" t="e">
        <f t="shared" si="1"/>
        <v>#DIV/0!</v>
      </c>
      <c r="AG28" s="129">
        <v>0</v>
      </c>
      <c r="AH28" s="124">
        <f t="shared" si="5"/>
        <v>0</v>
      </c>
    </row>
    <row r="29" spans="1:34">
      <c r="A29" s="105" t="s">
        <v>251</v>
      </c>
      <c r="B29" s="105" t="s">
        <v>653</v>
      </c>
      <c r="D29" s="105" t="s">
        <v>468</v>
      </c>
      <c r="E29" s="116"/>
      <c r="F29" s="116"/>
      <c r="G29" s="116"/>
      <c r="H29" s="116"/>
      <c r="I29" s="116"/>
      <c r="J29" s="116"/>
      <c r="K29" s="140"/>
      <c r="L29" s="140"/>
      <c r="M29" s="140"/>
      <c r="N29" s="140"/>
      <c r="O29" s="140"/>
      <c r="P29" s="140"/>
      <c r="Q29" s="135">
        <f>SUM(E29:P29)</f>
        <v>0</v>
      </c>
      <c r="R29" s="72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127">
        <f>SUM(R29:AC29)</f>
        <v>0</v>
      </c>
      <c r="AE29" s="72">
        <f>AD29-Q29</f>
        <v>0</v>
      </c>
      <c r="AF29" s="192" t="e">
        <f t="shared" si="1"/>
        <v>#DIV/0!</v>
      </c>
      <c r="AG29" s="129">
        <v>57857.46</v>
      </c>
      <c r="AH29" s="124">
        <f t="shared" si="5"/>
        <v>-57857.46</v>
      </c>
    </row>
    <row r="30" spans="1:34">
      <c r="D30" s="105" t="s">
        <v>520</v>
      </c>
      <c r="E30" s="117">
        <f t="shared" ref="E30:AD30" si="11">SUM(E28:E29)</f>
        <v>0</v>
      </c>
      <c r="F30" s="117">
        <f t="shared" si="11"/>
        <v>0</v>
      </c>
      <c r="G30" s="117">
        <f t="shared" si="11"/>
        <v>0</v>
      </c>
      <c r="H30" s="117">
        <f t="shared" si="11"/>
        <v>0</v>
      </c>
      <c r="I30" s="117">
        <f t="shared" si="11"/>
        <v>0</v>
      </c>
      <c r="J30" s="117">
        <f t="shared" si="11"/>
        <v>0</v>
      </c>
      <c r="K30" s="117">
        <f t="shared" si="11"/>
        <v>0</v>
      </c>
      <c r="L30" s="117">
        <f t="shared" si="11"/>
        <v>0</v>
      </c>
      <c r="M30" s="117">
        <f t="shared" si="11"/>
        <v>0</v>
      </c>
      <c r="N30" s="117">
        <f t="shared" si="11"/>
        <v>0</v>
      </c>
      <c r="O30" s="117">
        <f t="shared" si="11"/>
        <v>0</v>
      </c>
      <c r="P30" s="117">
        <f t="shared" si="11"/>
        <v>0</v>
      </c>
      <c r="Q30" s="117">
        <f t="shared" si="11"/>
        <v>0</v>
      </c>
      <c r="R30" s="127">
        <f t="shared" si="11"/>
        <v>0</v>
      </c>
      <c r="S30" s="127">
        <f t="shared" si="11"/>
        <v>0</v>
      </c>
      <c r="T30" s="127">
        <f t="shared" si="11"/>
        <v>0</v>
      </c>
      <c r="U30" s="127">
        <f t="shared" si="11"/>
        <v>0</v>
      </c>
      <c r="V30" s="127">
        <f t="shared" si="11"/>
        <v>0</v>
      </c>
      <c r="W30" s="127">
        <f t="shared" si="11"/>
        <v>0</v>
      </c>
      <c r="X30" s="127">
        <f t="shared" si="11"/>
        <v>0</v>
      </c>
      <c r="Y30" s="127">
        <f t="shared" si="11"/>
        <v>0</v>
      </c>
      <c r="Z30" s="127">
        <f t="shared" si="11"/>
        <v>0</v>
      </c>
      <c r="AA30" s="127">
        <f t="shared" si="11"/>
        <v>0</v>
      </c>
      <c r="AB30" s="127">
        <f t="shared" si="11"/>
        <v>0</v>
      </c>
      <c r="AC30" s="127">
        <f t="shared" si="11"/>
        <v>0</v>
      </c>
      <c r="AD30" s="127">
        <f t="shared" si="11"/>
        <v>0</v>
      </c>
      <c r="AE30" s="72">
        <f>AD30-Q30</f>
        <v>0</v>
      </c>
      <c r="AF30" s="192" t="e">
        <f t="shared" si="1"/>
        <v>#DIV/0!</v>
      </c>
      <c r="AG30" s="129">
        <v>57857.46</v>
      </c>
      <c r="AH30" s="124">
        <f t="shared" si="5"/>
        <v>-57857.46</v>
      </c>
    </row>
    <row r="31" spans="1:34">
      <c r="D31" s="105" t="s">
        <v>154</v>
      </c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7"/>
      <c r="AF31" s="192" t="e">
        <f t="shared" si="1"/>
        <v>#DIV/0!</v>
      </c>
      <c r="AG31" s="129"/>
      <c r="AH31" s="124">
        <f t="shared" si="5"/>
        <v>0</v>
      </c>
    </row>
    <row r="32" spans="1:34">
      <c r="A32" s="105" t="s">
        <v>119</v>
      </c>
      <c r="B32" s="105" t="s">
        <v>653</v>
      </c>
      <c r="D32" s="105" t="s">
        <v>260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7">
        <f>SUM(E32:P32)</f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127">
        <f>SUM(R32:AC32)</f>
        <v>0</v>
      </c>
      <c r="AE32" s="72">
        <f t="shared" ref="AE32:AE37" si="12">AD32-Q32</f>
        <v>0</v>
      </c>
      <c r="AF32" s="192" t="e">
        <f t="shared" si="1"/>
        <v>#DIV/0!</v>
      </c>
      <c r="AG32" s="129">
        <v>6768.9599999999991</v>
      </c>
      <c r="AH32" s="124">
        <f t="shared" si="5"/>
        <v>-6768.9599999999991</v>
      </c>
    </row>
    <row r="33" spans="1:34">
      <c r="A33" s="105" t="s">
        <v>120</v>
      </c>
      <c r="B33" s="105" t="s">
        <v>653</v>
      </c>
      <c r="D33" s="105" t="s">
        <v>668</v>
      </c>
      <c r="E33" s="268">
        <f t="shared" ref="E33:P33" si="13">(ROUND($Q30/12*2/12,0))</f>
        <v>0</v>
      </c>
      <c r="F33" s="268">
        <f t="shared" si="13"/>
        <v>0</v>
      </c>
      <c r="G33" s="268">
        <f t="shared" si="13"/>
        <v>0</v>
      </c>
      <c r="H33" s="268">
        <f t="shared" si="13"/>
        <v>0</v>
      </c>
      <c r="I33" s="268">
        <f t="shared" si="13"/>
        <v>0</v>
      </c>
      <c r="J33" s="268">
        <f t="shared" si="13"/>
        <v>0</v>
      </c>
      <c r="K33" s="268">
        <f t="shared" si="13"/>
        <v>0</v>
      </c>
      <c r="L33" s="268">
        <f t="shared" si="13"/>
        <v>0</v>
      </c>
      <c r="M33" s="268">
        <f t="shared" si="13"/>
        <v>0</v>
      </c>
      <c r="N33" s="268">
        <f t="shared" si="13"/>
        <v>0</v>
      </c>
      <c r="O33" s="268">
        <f t="shared" si="13"/>
        <v>0</v>
      </c>
      <c r="P33" s="268">
        <f t="shared" si="13"/>
        <v>0</v>
      </c>
      <c r="Q33" s="117">
        <f>SUM(E33:P33)</f>
        <v>0</v>
      </c>
      <c r="R33" s="72">
        <v>0</v>
      </c>
      <c r="S33" s="72">
        <v>0</v>
      </c>
      <c r="T33" s="72">
        <v>0</v>
      </c>
      <c r="U33" s="72">
        <v>0</v>
      </c>
      <c r="V33" s="72">
        <v>0</v>
      </c>
      <c r="W33" s="72">
        <v>0</v>
      </c>
      <c r="X33" s="72">
        <v>0</v>
      </c>
      <c r="Y33" s="72">
        <v>0</v>
      </c>
      <c r="Z33" s="72">
        <v>0</v>
      </c>
      <c r="AA33" s="72">
        <v>0</v>
      </c>
      <c r="AB33" s="72">
        <v>0</v>
      </c>
      <c r="AC33" s="72">
        <v>0</v>
      </c>
      <c r="AD33" s="127">
        <f>SUM(R33:AC33)</f>
        <v>0</v>
      </c>
      <c r="AE33" s="72">
        <f t="shared" si="12"/>
        <v>0</v>
      </c>
      <c r="AF33" s="192" t="e">
        <f t="shared" si="1"/>
        <v>#DIV/0!</v>
      </c>
      <c r="AG33" s="129">
        <v>14336.010000000002</v>
      </c>
      <c r="AH33" s="124">
        <f t="shared" si="5"/>
        <v>-14336.010000000002</v>
      </c>
    </row>
    <row r="34" spans="1:34">
      <c r="A34" s="105" t="s">
        <v>121</v>
      </c>
      <c r="B34" s="105" t="s">
        <v>653</v>
      </c>
      <c r="D34" s="105" t="s">
        <v>262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7">
        <f>SUM(E34:P34)</f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2">
        <v>0</v>
      </c>
      <c r="Y34" s="72">
        <v>0</v>
      </c>
      <c r="Z34" s="72">
        <v>0</v>
      </c>
      <c r="AA34" s="72">
        <v>0</v>
      </c>
      <c r="AB34" s="72">
        <v>0</v>
      </c>
      <c r="AC34" s="72">
        <v>0</v>
      </c>
      <c r="AD34" s="127">
        <f>SUM(R34:AC34)</f>
        <v>0</v>
      </c>
      <c r="AE34" s="72">
        <f t="shared" si="12"/>
        <v>0</v>
      </c>
      <c r="AF34" s="192" t="e">
        <f t="shared" si="1"/>
        <v>#DIV/0!</v>
      </c>
      <c r="AG34" s="129">
        <v>9348</v>
      </c>
      <c r="AH34" s="124">
        <f t="shared" si="5"/>
        <v>-9348</v>
      </c>
    </row>
    <row r="35" spans="1:34">
      <c r="A35" s="105" t="s">
        <v>122</v>
      </c>
      <c r="B35" s="105" t="s">
        <v>653</v>
      </c>
      <c r="D35" s="105" t="s">
        <v>263</v>
      </c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7">
        <f>SUM(E35:P35)</f>
        <v>0</v>
      </c>
      <c r="R35" s="72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127">
        <f>SUM(R35:AC35)</f>
        <v>0</v>
      </c>
      <c r="AE35" s="72">
        <f t="shared" si="12"/>
        <v>0</v>
      </c>
      <c r="AF35" s="192" t="e">
        <f t="shared" si="1"/>
        <v>#DIV/0!</v>
      </c>
      <c r="AG35" s="129">
        <v>0</v>
      </c>
      <c r="AH35" s="124">
        <f t="shared" si="5"/>
        <v>0</v>
      </c>
    </row>
    <row r="36" spans="1:34">
      <c r="A36" s="105" t="s">
        <v>123</v>
      </c>
      <c r="B36" s="105" t="s">
        <v>653</v>
      </c>
      <c r="D36" s="105" t="s">
        <v>264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7">
        <f>SUM(E36:P36)</f>
        <v>0</v>
      </c>
      <c r="R36" s="72">
        <v>0</v>
      </c>
      <c r="S36" s="72">
        <v>0</v>
      </c>
      <c r="T36" s="72">
        <v>0</v>
      </c>
      <c r="U36" s="72">
        <v>0</v>
      </c>
      <c r="V36" s="72">
        <v>0</v>
      </c>
      <c r="W36" s="72">
        <v>0</v>
      </c>
      <c r="X36" s="72">
        <v>0</v>
      </c>
      <c r="Y36" s="72">
        <v>0</v>
      </c>
      <c r="Z36" s="72">
        <v>0</v>
      </c>
      <c r="AA36" s="72">
        <v>0</v>
      </c>
      <c r="AB36" s="72">
        <v>0</v>
      </c>
      <c r="AC36" s="72">
        <v>0</v>
      </c>
      <c r="AD36" s="127">
        <f>SUM(R36:AC36)</f>
        <v>0</v>
      </c>
      <c r="AE36" s="72">
        <f t="shared" si="12"/>
        <v>0</v>
      </c>
      <c r="AF36" s="192" t="e">
        <f t="shared" si="1"/>
        <v>#DIV/0!</v>
      </c>
      <c r="AG36" s="129">
        <v>0</v>
      </c>
      <c r="AH36" s="124">
        <f t="shared" si="5"/>
        <v>0</v>
      </c>
    </row>
    <row r="37" spans="1:34">
      <c r="D37" s="109" t="s">
        <v>521</v>
      </c>
      <c r="E37" s="117">
        <f t="shared" ref="E37:AD37" si="14">SUM(E32:E36)</f>
        <v>0</v>
      </c>
      <c r="F37" s="117">
        <f t="shared" si="14"/>
        <v>0</v>
      </c>
      <c r="G37" s="117">
        <f t="shared" si="14"/>
        <v>0</v>
      </c>
      <c r="H37" s="117">
        <f t="shared" si="14"/>
        <v>0</v>
      </c>
      <c r="I37" s="117">
        <f t="shared" si="14"/>
        <v>0</v>
      </c>
      <c r="J37" s="117">
        <f t="shared" si="14"/>
        <v>0</v>
      </c>
      <c r="K37" s="117">
        <f t="shared" si="14"/>
        <v>0</v>
      </c>
      <c r="L37" s="117">
        <f t="shared" si="14"/>
        <v>0</v>
      </c>
      <c r="M37" s="117">
        <f t="shared" si="14"/>
        <v>0</v>
      </c>
      <c r="N37" s="117">
        <f t="shared" si="14"/>
        <v>0</v>
      </c>
      <c r="O37" s="117">
        <f t="shared" si="14"/>
        <v>0</v>
      </c>
      <c r="P37" s="117">
        <f t="shared" si="14"/>
        <v>0</v>
      </c>
      <c r="Q37" s="117">
        <f t="shared" si="14"/>
        <v>0</v>
      </c>
      <c r="R37" s="127">
        <f t="shared" si="14"/>
        <v>0</v>
      </c>
      <c r="S37" s="127">
        <f t="shared" si="14"/>
        <v>0</v>
      </c>
      <c r="T37" s="127">
        <f t="shared" si="14"/>
        <v>0</v>
      </c>
      <c r="U37" s="127">
        <f t="shared" si="14"/>
        <v>0</v>
      </c>
      <c r="V37" s="127">
        <f t="shared" si="14"/>
        <v>0</v>
      </c>
      <c r="W37" s="127">
        <f t="shared" si="14"/>
        <v>0</v>
      </c>
      <c r="X37" s="127">
        <f t="shared" si="14"/>
        <v>0</v>
      </c>
      <c r="Y37" s="127">
        <f t="shared" si="14"/>
        <v>0</v>
      </c>
      <c r="Z37" s="127">
        <f t="shared" si="14"/>
        <v>0</v>
      </c>
      <c r="AA37" s="127">
        <f t="shared" si="14"/>
        <v>0</v>
      </c>
      <c r="AB37" s="127">
        <f t="shared" si="14"/>
        <v>0</v>
      </c>
      <c r="AC37" s="127">
        <f t="shared" si="14"/>
        <v>0</v>
      </c>
      <c r="AD37" s="127">
        <f t="shared" si="14"/>
        <v>0</v>
      </c>
      <c r="AE37" s="72">
        <f t="shared" si="12"/>
        <v>0</v>
      </c>
      <c r="AF37" s="192" t="e">
        <f t="shared" si="1"/>
        <v>#DIV/0!</v>
      </c>
      <c r="AG37" s="129">
        <v>30452.97</v>
      </c>
      <c r="AH37" s="124">
        <f t="shared" si="5"/>
        <v>-30452.97</v>
      </c>
    </row>
    <row r="38" spans="1:34">
      <c r="D38" s="105" t="s">
        <v>154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7"/>
      <c r="AF38" s="192"/>
      <c r="AG38" s="129"/>
      <c r="AH38" s="124">
        <f t="shared" si="5"/>
        <v>0</v>
      </c>
    </row>
    <row r="39" spans="1:34">
      <c r="A39" s="105" t="s">
        <v>124</v>
      </c>
      <c r="B39" s="105" t="s">
        <v>653</v>
      </c>
      <c r="D39" s="105" t="s">
        <v>266</v>
      </c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7">
        <f>SUM(E39:P39)</f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72">
        <v>0</v>
      </c>
      <c r="AD39" s="127">
        <f t="shared" ref="AD39:AD46" si="15">SUM(R39:AC39)</f>
        <v>0</v>
      </c>
      <c r="AE39" s="72">
        <f t="shared" ref="AE39:AE47" si="16">AD39-Q39</f>
        <v>0</v>
      </c>
      <c r="AF39" s="192" t="e">
        <f t="shared" si="1"/>
        <v>#DIV/0!</v>
      </c>
      <c r="AG39" s="129">
        <v>14060.48</v>
      </c>
      <c r="AH39" s="124">
        <f t="shared" si="5"/>
        <v>-14060.48</v>
      </c>
    </row>
    <row r="40" spans="1:34">
      <c r="A40" s="105" t="s">
        <v>125</v>
      </c>
      <c r="B40" s="105" t="s">
        <v>653</v>
      </c>
      <c r="D40" s="105" t="s">
        <v>267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7">
        <f t="shared" ref="Q40:Q46" si="17">SUM(E40:P40)</f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72">
        <v>0</v>
      </c>
      <c r="AD40" s="127">
        <f t="shared" si="15"/>
        <v>0</v>
      </c>
      <c r="AE40" s="72">
        <f t="shared" si="16"/>
        <v>0</v>
      </c>
      <c r="AF40" s="192" t="e">
        <f t="shared" si="1"/>
        <v>#DIV/0!</v>
      </c>
      <c r="AG40" s="129">
        <v>6334.3599999999988</v>
      </c>
      <c r="AH40" s="124">
        <f t="shared" si="5"/>
        <v>-6334.3599999999988</v>
      </c>
    </row>
    <row r="41" spans="1:34">
      <c r="A41" s="105" t="s">
        <v>126</v>
      </c>
      <c r="B41" s="105" t="s">
        <v>653</v>
      </c>
      <c r="D41" s="105" t="s">
        <v>268</v>
      </c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7">
        <f t="shared" si="17"/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72">
        <v>0</v>
      </c>
      <c r="AD41" s="127">
        <f t="shared" si="15"/>
        <v>0</v>
      </c>
      <c r="AE41" s="72">
        <f t="shared" si="16"/>
        <v>0</v>
      </c>
      <c r="AF41" s="192" t="e">
        <f t="shared" si="1"/>
        <v>#DIV/0!</v>
      </c>
      <c r="AG41" s="129">
        <v>395.90999999999997</v>
      </c>
      <c r="AH41" s="124">
        <f t="shared" si="5"/>
        <v>-395.90999999999997</v>
      </c>
    </row>
    <row r="42" spans="1:34">
      <c r="A42" s="105" t="s">
        <v>127</v>
      </c>
      <c r="B42" s="105" t="s">
        <v>653</v>
      </c>
      <c r="D42" s="105" t="s">
        <v>269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7">
        <f t="shared" si="17"/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127">
        <f t="shared" si="15"/>
        <v>0</v>
      </c>
      <c r="AE42" s="72">
        <f t="shared" si="16"/>
        <v>0</v>
      </c>
      <c r="AF42" s="192" t="e">
        <f t="shared" si="1"/>
        <v>#DIV/0!</v>
      </c>
      <c r="AG42" s="129">
        <v>126.66000000000001</v>
      </c>
      <c r="AH42" s="124">
        <f t="shared" si="5"/>
        <v>-126.66000000000001</v>
      </c>
    </row>
    <row r="43" spans="1:34">
      <c r="A43" s="105" t="s">
        <v>128</v>
      </c>
      <c r="B43" s="105" t="s">
        <v>653</v>
      </c>
      <c r="D43" s="105" t="s">
        <v>270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7">
        <f t="shared" si="17"/>
        <v>0</v>
      </c>
      <c r="R43" s="72">
        <v>0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72">
        <v>0</v>
      </c>
      <c r="AD43" s="127">
        <f t="shared" si="15"/>
        <v>0</v>
      </c>
      <c r="AE43" s="72">
        <f t="shared" si="16"/>
        <v>0</v>
      </c>
      <c r="AF43" s="192" t="e">
        <f t="shared" si="1"/>
        <v>#DIV/0!</v>
      </c>
      <c r="AG43" s="129">
        <v>395.90999999999997</v>
      </c>
      <c r="AH43" s="124">
        <f t="shared" si="5"/>
        <v>-395.90999999999997</v>
      </c>
    </row>
    <row r="44" spans="1:34">
      <c r="A44" s="105" t="s">
        <v>129</v>
      </c>
      <c r="B44" s="105" t="s">
        <v>653</v>
      </c>
      <c r="D44" s="105" t="s">
        <v>271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7">
        <f t="shared" si="17"/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72">
        <v>0</v>
      </c>
      <c r="AD44" s="127">
        <f t="shared" si="15"/>
        <v>0</v>
      </c>
      <c r="AE44" s="72">
        <f t="shared" si="16"/>
        <v>0</v>
      </c>
      <c r="AF44" s="192" t="e">
        <f t="shared" si="1"/>
        <v>#DIV/0!</v>
      </c>
      <c r="AG44" s="129">
        <v>4028</v>
      </c>
      <c r="AH44" s="124">
        <f t="shared" si="5"/>
        <v>-4028</v>
      </c>
    </row>
    <row r="45" spans="1:34">
      <c r="A45" s="105" t="s">
        <v>130</v>
      </c>
      <c r="B45" s="105" t="s">
        <v>653</v>
      </c>
      <c r="D45" s="105" t="s">
        <v>272</v>
      </c>
      <c r="E45" s="140">
        <f>ROUND((E30+E37)*0.02,0)</f>
        <v>0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7">
        <f t="shared" si="17"/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72">
        <v>0</v>
      </c>
      <c r="AD45" s="127">
        <f t="shared" si="15"/>
        <v>0</v>
      </c>
      <c r="AE45" s="72">
        <f t="shared" si="16"/>
        <v>0</v>
      </c>
      <c r="AF45" s="192" t="e">
        <f t="shared" si="1"/>
        <v>#DIV/0!</v>
      </c>
      <c r="AG45" s="129">
        <v>2295.4199999999996</v>
      </c>
      <c r="AH45" s="124">
        <f t="shared" si="5"/>
        <v>-2295.4199999999996</v>
      </c>
    </row>
    <row r="46" spans="1:34">
      <c r="A46" s="105" t="s">
        <v>670</v>
      </c>
      <c r="D46" s="105" t="s">
        <v>274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7">
        <f t="shared" si="17"/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72">
        <v>0</v>
      </c>
      <c r="AD46" s="127">
        <f t="shared" si="15"/>
        <v>0</v>
      </c>
      <c r="AE46" s="72">
        <f t="shared" si="16"/>
        <v>0</v>
      </c>
      <c r="AF46" s="192" t="e">
        <f t="shared" si="1"/>
        <v>#DIV/0!</v>
      </c>
      <c r="AG46" s="129">
        <v>0</v>
      </c>
      <c r="AH46" s="124">
        <f t="shared" si="5"/>
        <v>0</v>
      </c>
    </row>
    <row r="47" spans="1:34">
      <c r="D47" s="109" t="s">
        <v>522</v>
      </c>
      <c r="E47" s="117">
        <f t="shared" ref="E47:Q47" si="18">SUM(E39:E46)</f>
        <v>0</v>
      </c>
      <c r="F47" s="117">
        <f t="shared" si="18"/>
        <v>0</v>
      </c>
      <c r="G47" s="117">
        <f t="shared" si="18"/>
        <v>0</v>
      </c>
      <c r="H47" s="117">
        <f t="shared" si="18"/>
        <v>0</v>
      </c>
      <c r="I47" s="117">
        <f t="shared" si="18"/>
        <v>0</v>
      </c>
      <c r="J47" s="117">
        <f t="shared" si="18"/>
        <v>0</v>
      </c>
      <c r="K47" s="117">
        <f t="shared" si="18"/>
        <v>0</v>
      </c>
      <c r="L47" s="117">
        <f t="shared" si="18"/>
        <v>0</v>
      </c>
      <c r="M47" s="117">
        <f t="shared" si="18"/>
        <v>0</v>
      </c>
      <c r="N47" s="117">
        <f t="shared" si="18"/>
        <v>0</v>
      </c>
      <c r="O47" s="117">
        <f t="shared" si="18"/>
        <v>0</v>
      </c>
      <c r="P47" s="117">
        <f t="shared" si="18"/>
        <v>0</v>
      </c>
      <c r="Q47" s="117">
        <f t="shared" si="18"/>
        <v>0</v>
      </c>
      <c r="R47" s="127">
        <f t="shared" ref="R47:AD47" si="19">SUM(R39:R46)</f>
        <v>0</v>
      </c>
      <c r="S47" s="127">
        <f t="shared" si="19"/>
        <v>0</v>
      </c>
      <c r="T47" s="127">
        <f t="shared" si="19"/>
        <v>0</v>
      </c>
      <c r="U47" s="127">
        <f t="shared" si="19"/>
        <v>0</v>
      </c>
      <c r="V47" s="127">
        <f t="shared" si="19"/>
        <v>0</v>
      </c>
      <c r="W47" s="127">
        <f t="shared" si="19"/>
        <v>0</v>
      </c>
      <c r="X47" s="127">
        <f t="shared" si="19"/>
        <v>0</v>
      </c>
      <c r="Y47" s="127">
        <f t="shared" si="19"/>
        <v>0</v>
      </c>
      <c r="Z47" s="127">
        <f t="shared" si="19"/>
        <v>0</v>
      </c>
      <c r="AA47" s="127">
        <f t="shared" si="19"/>
        <v>0</v>
      </c>
      <c r="AB47" s="127">
        <f t="shared" si="19"/>
        <v>0</v>
      </c>
      <c r="AC47" s="127">
        <f t="shared" si="19"/>
        <v>0</v>
      </c>
      <c r="AD47" s="127">
        <f t="shared" si="19"/>
        <v>0</v>
      </c>
      <c r="AE47" s="72">
        <f t="shared" si="16"/>
        <v>0</v>
      </c>
      <c r="AF47" s="192" t="e">
        <f t="shared" si="1"/>
        <v>#DIV/0!</v>
      </c>
      <c r="AG47" s="129">
        <v>27636.739999999994</v>
      </c>
      <c r="AH47" s="124">
        <f t="shared" si="5"/>
        <v>-27636.739999999994</v>
      </c>
    </row>
    <row r="48" spans="1:34">
      <c r="D48" s="105" t="s">
        <v>154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7"/>
      <c r="AF48" s="192"/>
      <c r="AG48" s="129"/>
      <c r="AH48" s="124">
        <f t="shared" si="5"/>
        <v>0</v>
      </c>
    </row>
    <row r="49" spans="1:34">
      <c r="A49" s="105" t="s">
        <v>131</v>
      </c>
      <c r="B49" s="105" t="s">
        <v>653</v>
      </c>
      <c r="D49" s="105" t="s">
        <v>276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7"/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127">
        <f t="shared" ref="AD49:AD57" si="20">SUM(R49:AC49)</f>
        <v>0</v>
      </c>
      <c r="AE49" s="72">
        <f t="shared" ref="AE49:AE59" si="21">AD49-Q49</f>
        <v>0</v>
      </c>
      <c r="AF49" s="192" t="e">
        <f t="shared" si="1"/>
        <v>#DIV/0!</v>
      </c>
      <c r="AG49" s="129">
        <v>0</v>
      </c>
      <c r="AH49" s="124">
        <f t="shared" si="5"/>
        <v>0</v>
      </c>
    </row>
    <row r="50" spans="1:34">
      <c r="A50" s="105" t="s">
        <v>132</v>
      </c>
      <c r="B50" s="105" t="s">
        <v>653</v>
      </c>
      <c r="D50" s="105" t="s">
        <v>277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7"/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72">
        <v>0</v>
      </c>
      <c r="AD50" s="127">
        <f t="shared" si="20"/>
        <v>0</v>
      </c>
      <c r="AE50" s="72">
        <f t="shared" si="21"/>
        <v>0</v>
      </c>
      <c r="AF50" s="192" t="e">
        <f t="shared" si="1"/>
        <v>#DIV/0!</v>
      </c>
      <c r="AG50" s="129">
        <v>0</v>
      </c>
      <c r="AH50" s="124">
        <f t="shared" si="5"/>
        <v>0</v>
      </c>
    </row>
    <row r="51" spans="1:34">
      <c r="A51" s="105" t="s">
        <v>133</v>
      </c>
      <c r="B51" s="105" t="s">
        <v>653</v>
      </c>
      <c r="D51" s="105" t="s">
        <v>278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7"/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72">
        <v>0</v>
      </c>
      <c r="AD51" s="127">
        <f t="shared" si="20"/>
        <v>0</v>
      </c>
      <c r="AE51" s="72">
        <f t="shared" si="21"/>
        <v>0</v>
      </c>
      <c r="AF51" s="192" t="e">
        <f t="shared" si="1"/>
        <v>#DIV/0!</v>
      </c>
      <c r="AG51" s="129">
        <v>0</v>
      </c>
      <c r="AH51" s="124">
        <f t="shared" si="5"/>
        <v>0</v>
      </c>
    </row>
    <row r="52" spans="1:34">
      <c r="A52" s="105" t="s">
        <v>134</v>
      </c>
      <c r="B52" s="105" t="s">
        <v>653</v>
      </c>
      <c r="D52" s="105" t="s">
        <v>279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7">
        <f t="shared" ref="Q52:Q57" si="22">SUM(E52:P52)</f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72">
        <v>0</v>
      </c>
      <c r="AD52" s="127">
        <f t="shared" si="20"/>
        <v>0</v>
      </c>
      <c r="AE52" s="72">
        <f t="shared" si="21"/>
        <v>0</v>
      </c>
      <c r="AF52" s="192" t="e">
        <f t="shared" si="1"/>
        <v>#DIV/0!</v>
      </c>
      <c r="AG52" s="129">
        <v>0</v>
      </c>
      <c r="AH52" s="124">
        <f t="shared" si="5"/>
        <v>0</v>
      </c>
    </row>
    <row r="53" spans="1:34">
      <c r="A53" s="105" t="s">
        <v>135</v>
      </c>
      <c r="B53" s="105" t="s">
        <v>653</v>
      </c>
      <c r="D53" s="105" t="s">
        <v>280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7">
        <f t="shared" si="22"/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72">
        <v>0</v>
      </c>
      <c r="AD53" s="127">
        <f t="shared" si="20"/>
        <v>0</v>
      </c>
      <c r="AE53" s="72">
        <f t="shared" si="21"/>
        <v>0</v>
      </c>
      <c r="AF53" s="192" t="e">
        <f t="shared" si="1"/>
        <v>#DIV/0!</v>
      </c>
      <c r="AG53" s="129">
        <v>539.30000000000007</v>
      </c>
      <c r="AH53" s="124">
        <f t="shared" si="5"/>
        <v>-539.30000000000007</v>
      </c>
    </row>
    <row r="54" spans="1:34">
      <c r="A54" s="105" t="s">
        <v>281</v>
      </c>
      <c r="B54" s="105" t="s">
        <v>653</v>
      </c>
      <c r="D54" s="105" t="s">
        <v>282</v>
      </c>
      <c r="E54" s="176">
        <f>+'Dormitory+&amp;+Shuttle+Bus'!D153</f>
        <v>0</v>
      </c>
      <c r="F54" s="176">
        <f>+'Dormitory+&amp;+Shuttle+Bus'!E153</f>
        <v>0</v>
      </c>
      <c r="G54" s="176">
        <f>+'Dormitory+&amp;+Shuttle+Bus'!F153</f>
        <v>0</v>
      </c>
      <c r="H54" s="176">
        <f>+'Dormitory+&amp;+Shuttle+Bus'!G153</f>
        <v>0</v>
      </c>
      <c r="I54" s="176">
        <f>+'Dormitory+&amp;+Shuttle+Bus'!H153</f>
        <v>0</v>
      </c>
      <c r="J54" s="176">
        <f>+'Dormitory+&amp;+Shuttle+Bus'!I153</f>
        <v>0</v>
      </c>
      <c r="K54" s="176">
        <f>+'Dormitory+&amp;+Shuttle+Bus'!J153</f>
        <v>0</v>
      </c>
      <c r="L54" s="176">
        <f>+'Dormitory+&amp;+Shuttle+Bus'!K153</f>
        <v>0</v>
      </c>
      <c r="M54" s="176">
        <f>+'Dormitory+&amp;+Shuttle+Bus'!L153</f>
        <v>0</v>
      </c>
      <c r="N54" s="176">
        <f>+'Dormitory+&amp;+Shuttle+Bus'!M153</f>
        <v>0</v>
      </c>
      <c r="O54" s="176">
        <f>+'Dormitory+&amp;+Shuttle+Bus'!N153</f>
        <v>0</v>
      </c>
      <c r="P54" s="176">
        <f>+'Dormitory+&amp;+Shuttle+Bus'!O153</f>
        <v>0</v>
      </c>
      <c r="Q54" s="117">
        <f t="shared" si="22"/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0</v>
      </c>
      <c r="AA54" s="72">
        <v>0</v>
      </c>
      <c r="AB54" s="72">
        <v>0</v>
      </c>
      <c r="AC54" s="72">
        <v>0</v>
      </c>
      <c r="AD54" s="127">
        <f t="shared" si="20"/>
        <v>0</v>
      </c>
      <c r="AE54" s="72">
        <f t="shared" si="21"/>
        <v>0</v>
      </c>
      <c r="AF54" s="192" t="e">
        <f t="shared" si="1"/>
        <v>#DIV/0!</v>
      </c>
      <c r="AG54" s="129">
        <v>7151.2699999999986</v>
      </c>
      <c r="AH54" s="124">
        <f t="shared" si="5"/>
        <v>-7151.2699999999986</v>
      </c>
    </row>
    <row r="55" spans="1:34">
      <c r="A55" s="105" t="s">
        <v>137</v>
      </c>
      <c r="B55" s="105" t="s">
        <v>653</v>
      </c>
      <c r="D55" s="105" t="s">
        <v>283</v>
      </c>
      <c r="E55" s="176">
        <f>'Staff+Canteen'!D301</f>
        <v>0</v>
      </c>
      <c r="F55" s="176">
        <f>'Staff+Canteen'!E301</f>
        <v>0</v>
      </c>
      <c r="G55" s="176">
        <f>'Staff+Canteen'!F301</f>
        <v>0</v>
      </c>
      <c r="H55" s="176">
        <f>'Staff+Canteen'!G301</f>
        <v>0</v>
      </c>
      <c r="I55" s="176">
        <f>'Staff+Canteen'!H301</f>
        <v>0</v>
      </c>
      <c r="J55" s="176">
        <f>'Staff+Canteen'!I301</f>
        <v>0</v>
      </c>
      <c r="K55" s="176">
        <f>'Staff+Canteen'!J301</f>
        <v>0</v>
      </c>
      <c r="L55" s="176">
        <f>'Staff+Canteen'!K301</f>
        <v>0</v>
      </c>
      <c r="M55" s="176">
        <f>'Staff+Canteen'!L301</f>
        <v>0</v>
      </c>
      <c r="N55" s="176">
        <f>'Staff+Canteen'!M301</f>
        <v>0</v>
      </c>
      <c r="O55" s="176">
        <f>'Staff+Canteen'!N301</f>
        <v>0</v>
      </c>
      <c r="P55" s="176">
        <f>'Staff+Canteen'!O301</f>
        <v>0</v>
      </c>
      <c r="Q55" s="117">
        <f t="shared" si="22"/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72">
        <v>0</v>
      </c>
      <c r="AD55" s="127">
        <f t="shared" si="20"/>
        <v>0</v>
      </c>
      <c r="AE55" s="72">
        <f t="shared" si="21"/>
        <v>0</v>
      </c>
      <c r="AF55" s="192" t="e">
        <f t="shared" si="1"/>
        <v>#DIV/0!</v>
      </c>
      <c r="AG55" s="129">
        <v>30426.21</v>
      </c>
      <c r="AH55" s="124">
        <f t="shared" si="5"/>
        <v>-30426.21</v>
      </c>
    </row>
    <row r="56" spans="1:34">
      <c r="A56" s="105" t="s">
        <v>138</v>
      </c>
      <c r="B56" s="105" t="s">
        <v>653</v>
      </c>
      <c r="D56" s="105" t="s">
        <v>472</v>
      </c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7">
        <f t="shared" si="22"/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72">
        <v>0</v>
      </c>
      <c r="AD56" s="127">
        <f t="shared" si="20"/>
        <v>0</v>
      </c>
      <c r="AE56" s="72">
        <f t="shared" si="21"/>
        <v>0</v>
      </c>
      <c r="AF56" s="192" t="e">
        <f t="shared" si="1"/>
        <v>#DIV/0!</v>
      </c>
      <c r="AG56" s="129">
        <v>0</v>
      </c>
      <c r="AH56" s="124">
        <f t="shared" si="5"/>
        <v>0</v>
      </c>
    </row>
    <row r="57" spans="1:34">
      <c r="A57" s="105" t="s">
        <v>140</v>
      </c>
      <c r="B57" s="105" t="s">
        <v>653</v>
      </c>
      <c r="D57" s="105" t="s">
        <v>473</v>
      </c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7">
        <f t="shared" si="22"/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72">
        <v>0</v>
      </c>
      <c r="AD57" s="127">
        <f t="shared" si="20"/>
        <v>0</v>
      </c>
      <c r="AE57" s="72">
        <f t="shared" si="21"/>
        <v>0</v>
      </c>
      <c r="AF57" s="192" t="e">
        <f t="shared" si="1"/>
        <v>#DIV/0!</v>
      </c>
      <c r="AG57" s="129">
        <v>0</v>
      </c>
      <c r="AH57" s="124">
        <f t="shared" si="5"/>
        <v>0</v>
      </c>
    </row>
    <row r="58" spans="1:34">
      <c r="D58" s="109" t="s">
        <v>523</v>
      </c>
      <c r="E58" s="117">
        <f t="shared" ref="E58:AD58" si="23">SUM(E52:E55)</f>
        <v>0</v>
      </c>
      <c r="F58" s="117">
        <f t="shared" si="23"/>
        <v>0</v>
      </c>
      <c r="G58" s="117">
        <f t="shared" si="23"/>
        <v>0</v>
      </c>
      <c r="H58" s="117">
        <f t="shared" si="23"/>
        <v>0</v>
      </c>
      <c r="I58" s="117">
        <f t="shared" si="23"/>
        <v>0</v>
      </c>
      <c r="J58" s="117">
        <f t="shared" si="23"/>
        <v>0</v>
      </c>
      <c r="K58" s="117">
        <f t="shared" si="23"/>
        <v>0</v>
      </c>
      <c r="L58" s="117">
        <f t="shared" si="23"/>
        <v>0</v>
      </c>
      <c r="M58" s="117">
        <f t="shared" si="23"/>
        <v>0</v>
      </c>
      <c r="N58" s="117">
        <f t="shared" si="23"/>
        <v>0</v>
      </c>
      <c r="O58" s="117">
        <f t="shared" si="23"/>
        <v>0</v>
      </c>
      <c r="P58" s="117">
        <f t="shared" si="23"/>
        <v>0</v>
      </c>
      <c r="Q58" s="117">
        <f t="shared" si="23"/>
        <v>0</v>
      </c>
      <c r="R58" s="127">
        <f t="shared" si="23"/>
        <v>0</v>
      </c>
      <c r="S58" s="127">
        <f t="shared" si="23"/>
        <v>0</v>
      </c>
      <c r="T58" s="127">
        <f t="shared" si="23"/>
        <v>0</v>
      </c>
      <c r="U58" s="127">
        <f t="shared" si="23"/>
        <v>0</v>
      </c>
      <c r="V58" s="127">
        <f t="shared" si="23"/>
        <v>0</v>
      </c>
      <c r="W58" s="127">
        <f t="shared" si="23"/>
        <v>0</v>
      </c>
      <c r="X58" s="127">
        <f t="shared" si="23"/>
        <v>0</v>
      </c>
      <c r="Y58" s="127">
        <f t="shared" si="23"/>
        <v>0</v>
      </c>
      <c r="Z58" s="127">
        <f t="shared" si="23"/>
        <v>0</v>
      </c>
      <c r="AA58" s="127">
        <f t="shared" si="23"/>
        <v>0</v>
      </c>
      <c r="AB58" s="127">
        <f t="shared" si="23"/>
        <v>0</v>
      </c>
      <c r="AC58" s="127">
        <f t="shared" si="23"/>
        <v>0</v>
      </c>
      <c r="AD58" s="127">
        <f t="shared" si="23"/>
        <v>0</v>
      </c>
      <c r="AE58" s="72">
        <f t="shared" si="21"/>
        <v>0</v>
      </c>
      <c r="AF58" s="192" t="e">
        <f t="shared" si="1"/>
        <v>#DIV/0!</v>
      </c>
      <c r="AG58" s="129">
        <v>38116.78</v>
      </c>
      <c r="AH58" s="124">
        <f t="shared" si="5"/>
        <v>-38116.78</v>
      </c>
    </row>
    <row r="59" spans="1:34">
      <c r="D59" s="109" t="s">
        <v>524</v>
      </c>
      <c r="E59" s="117">
        <f t="shared" ref="E59:AD59" si="24">+E30+E37+E47+E58</f>
        <v>0</v>
      </c>
      <c r="F59" s="117">
        <f t="shared" si="24"/>
        <v>0</v>
      </c>
      <c r="G59" s="117">
        <f t="shared" si="24"/>
        <v>0</v>
      </c>
      <c r="H59" s="117">
        <f t="shared" si="24"/>
        <v>0</v>
      </c>
      <c r="I59" s="117">
        <f t="shared" si="24"/>
        <v>0</v>
      </c>
      <c r="J59" s="117">
        <f t="shared" si="24"/>
        <v>0</v>
      </c>
      <c r="K59" s="117">
        <f t="shared" si="24"/>
        <v>0</v>
      </c>
      <c r="L59" s="117">
        <f t="shared" si="24"/>
        <v>0</v>
      </c>
      <c r="M59" s="117">
        <f t="shared" si="24"/>
        <v>0</v>
      </c>
      <c r="N59" s="117">
        <f t="shared" si="24"/>
        <v>0</v>
      </c>
      <c r="O59" s="117">
        <f t="shared" si="24"/>
        <v>0</v>
      </c>
      <c r="P59" s="117">
        <f t="shared" si="24"/>
        <v>0</v>
      </c>
      <c r="Q59" s="117">
        <f t="shared" si="24"/>
        <v>0</v>
      </c>
      <c r="R59" s="127">
        <f t="shared" si="24"/>
        <v>0</v>
      </c>
      <c r="S59" s="127">
        <f t="shared" si="24"/>
        <v>0</v>
      </c>
      <c r="T59" s="127">
        <f t="shared" si="24"/>
        <v>0</v>
      </c>
      <c r="U59" s="127">
        <f t="shared" si="24"/>
        <v>0</v>
      </c>
      <c r="V59" s="127">
        <f t="shared" si="24"/>
        <v>0</v>
      </c>
      <c r="W59" s="127">
        <f t="shared" si="24"/>
        <v>0</v>
      </c>
      <c r="X59" s="127">
        <f t="shared" si="24"/>
        <v>0</v>
      </c>
      <c r="Y59" s="127">
        <f t="shared" si="24"/>
        <v>0</v>
      </c>
      <c r="Z59" s="127">
        <f t="shared" si="24"/>
        <v>0</v>
      </c>
      <c r="AA59" s="127">
        <f t="shared" si="24"/>
        <v>0</v>
      </c>
      <c r="AB59" s="127">
        <f t="shared" si="24"/>
        <v>0</v>
      </c>
      <c r="AC59" s="127">
        <f t="shared" si="24"/>
        <v>0</v>
      </c>
      <c r="AD59" s="127">
        <f t="shared" si="24"/>
        <v>0</v>
      </c>
      <c r="AE59" s="72">
        <f t="shared" si="21"/>
        <v>0</v>
      </c>
      <c r="AF59" s="192" t="e">
        <f t="shared" si="1"/>
        <v>#DIV/0!</v>
      </c>
      <c r="AG59" s="129">
        <v>154063.94999999998</v>
      </c>
      <c r="AH59" s="124">
        <f t="shared" si="5"/>
        <v>-154063.94999999998</v>
      </c>
    </row>
    <row r="60" spans="1:34">
      <c r="D60" s="105" t="s">
        <v>154</v>
      </c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7"/>
      <c r="AF60" s="192"/>
      <c r="AG60" s="129"/>
      <c r="AH60" s="124">
        <f t="shared" si="5"/>
        <v>0</v>
      </c>
    </row>
    <row r="61" spans="1:34" s="109" customFormat="1">
      <c r="A61" s="109" t="s">
        <v>141</v>
      </c>
      <c r="B61" s="109" t="s">
        <v>653</v>
      </c>
      <c r="D61" s="109" t="s">
        <v>142</v>
      </c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>
        <f>SUM(E61:P61)/12</f>
        <v>0</v>
      </c>
      <c r="R61" s="127">
        <v>0</v>
      </c>
      <c r="S61" s="127">
        <v>0</v>
      </c>
      <c r="T61" s="127">
        <v>0</v>
      </c>
      <c r="U61" s="127">
        <v>0</v>
      </c>
      <c r="V61" s="127">
        <v>0</v>
      </c>
      <c r="W61" s="127">
        <v>0</v>
      </c>
      <c r="X61" s="127">
        <v>0</v>
      </c>
      <c r="Y61" s="127">
        <v>0</v>
      </c>
      <c r="Z61" s="127">
        <v>0</v>
      </c>
      <c r="AA61" s="127">
        <v>0</v>
      </c>
      <c r="AB61" s="127">
        <v>0</v>
      </c>
      <c r="AC61" s="127">
        <v>0</v>
      </c>
      <c r="AD61" s="127">
        <f>SUM(R61:AC61)/12</f>
        <v>0</v>
      </c>
      <c r="AE61" s="127">
        <f>AD61-Q61</f>
        <v>0</v>
      </c>
      <c r="AF61" s="132" t="e">
        <f t="shared" si="1"/>
        <v>#DIV/0!</v>
      </c>
      <c r="AG61" s="129">
        <v>1.9166666666666667</v>
      </c>
      <c r="AH61" s="124">
        <f t="shared" si="5"/>
        <v>-1.9166666666666667</v>
      </c>
    </row>
    <row r="65" spans="4:17">
      <c r="D65" s="151" t="s">
        <v>292</v>
      </c>
      <c r="Q65" s="127">
        <f t="shared" ref="Q65:Q67" si="25">SUM(E65:P65)</f>
        <v>0</v>
      </c>
    </row>
    <row r="66" spans="4:17">
      <c r="D66" s="152" t="s">
        <v>366</v>
      </c>
      <c r="Q66" s="127">
        <f t="shared" si="25"/>
        <v>0</v>
      </c>
    </row>
    <row r="67" spans="4:17">
      <c r="D67" s="151" t="s">
        <v>367</v>
      </c>
      <c r="Q67" s="127">
        <f t="shared" si="25"/>
        <v>0</v>
      </c>
    </row>
    <row r="68" spans="4:17">
      <c r="D68" s="109" t="s">
        <v>476</v>
      </c>
      <c r="E68" s="117">
        <f>SUM(E65:E67)</f>
        <v>0</v>
      </c>
      <c r="F68" s="117">
        <f t="shared" ref="F68:Q68" si="26">SUM(F65:F67)</f>
        <v>0</v>
      </c>
      <c r="G68" s="117">
        <f t="shared" si="26"/>
        <v>0</v>
      </c>
      <c r="H68" s="117">
        <f t="shared" si="26"/>
        <v>0</v>
      </c>
      <c r="I68" s="117">
        <f t="shared" si="26"/>
        <v>0</v>
      </c>
      <c r="J68" s="117">
        <f t="shared" si="26"/>
        <v>0</v>
      </c>
      <c r="K68" s="117">
        <f t="shared" si="26"/>
        <v>0</v>
      </c>
      <c r="L68" s="117">
        <f t="shared" si="26"/>
        <v>0</v>
      </c>
      <c r="M68" s="117">
        <f t="shared" si="26"/>
        <v>0</v>
      </c>
      <c r="N68" s="117">
        <f t="shared" si="26"/>
        <v>0</v>
      </c>
      <c r="O68" s="117">
        <f t="shared" si="26"/>
        <v>0</v>
      </c>
      <c r="P68" s="117">
        <f t="shared" si="26"/>
        <v>0</v>
      </c>
      <c r="Q68" s="117">
        <f t="shared" si="26"/>
        <v>0</v>
      </c>
    </row>
  </sheetData>
  <phoneticPr fontId="7" type="noConversion"/>
  <dataValidations count="16">
    <dataValidation type="textLength" errorStyle="information" allowBlank="1" showInputMessage="1" showErrorMessage="1" error="XLBVal:6=89900.92_x000d__x000a_" sqref="E45">
      <formula1>0</formula1>
      <formula2>300</formula2>
    </dataValidation>
    <dataValidation type="textLength" errorStyle="information" allowBlank="1" showInputMessage="1" showErrorMessage="1" error="XLBVal:6=28380.88_x000d__x000a_" sqref="AC9">
      <formula1>0</formula1>
      <formula2>300</formula2>
    </dataValidation>
    <dataValidation type="textLength" errorStyle="information" allowBlank="1" showInputMessage="1" showErrorMessage="1" error="XLBVal:6=14795.15_x000d__x000a_" sqref="AB9">
      <formula1>0</formula1>
      <formula2>300</formula2>
    </dataValidation>
    <dataValidation type="textLength" errorStyle="information" allowBlank="1" showInputMessage="1" showErrorMessage="1" error="XLBVal:6=8090.41_x000d__x000a_" sqref="AA9">
      <formula1>0</formula1>
      <formula2>300</formula2>
    </dataValidation>
    <dataValidation type="textLength" errorStyle="information" allowBlank="1" showInputMessage="1" showErrorMessage="1" error="XLBVal:6=580.93_x000d__x000a_" sqref="Z9">
      <formula1>0</formula1>
      <formula2>300</formula2>
    </dataValidation>
    <dataValidation type="textLength" errorStyle="information" allowBlank="1" showInputMessage="1" showErrorMessage="1" error="XLBVal:6=1366.67_x000d__x000a_" sqref="Y9">
      <formula1>0</formula1>
      <formula2>300</formula2>
    </dataValidation>
    <dataValidation type="textLength" errorStyle="information" allowBlank="1" showInputMessage="1" showErrorMessage="1" error="XLBVal:6=16519_x000d__x000a_" sqref="X9 X15:AC23 X28:AC29 X32:AC36 X39:AC46 X49:AC57 X61:AC61">
      <formula1>0</formula1>
      <formula2>300</formula2>
    </dataValidation>
    <dataValidation type="textLength" errorStyle="information" allowBlank="1" showInputMessage="1" showErrorMessage="1" error="XLBVal:6=30190.47_x000d__x000a_" sqref="E9:P9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14161.5_x000d__x000a_" sqref="W9">
      <formula1>0</formula1>
      <formula2>300</formula2>
    </dataValidation>
    <dataValidation type="textLength" errorStyle="information" allowBlank="1" showInputMessage="1" showErrorMessage="1" error="XLBVal:6=16633.41_x000d__x000a_" sqref="V9">
      <formula1>0</formula1>
      <formula2>300</formula2>
    </dataValidation>
    <dataValidation type="textLength" errorStyle="information" allowBlank="1" showInputMessage="1" showErrorMessage="1" error="XLBVal:6=14968.91_x000d__x000a_" sqref="U9">
      <formula1>0</formula1>
      <formula2>300</formula2>
    </dataValidation>
    <dataValidation type="textLength" errorStyle="information" allowBlank="1" showInputMessage="1" showErrorMessage="1" error="XLBVal:6=16501.9_x000d__x000a_" sqref="T9">
      <formula1>0</formula1>
      <formula2>300</formula2>
    </dataValidation>
    <dataValidation type="textLength" errorStyle="information" allowBlank="1" showInputMessage="1" showErrorMessage="1" error="XLBVal:6=38278.53_x000d__x000a_" sqref="S9">
      <formula1>0</formula1>
      <formula2>300</formula2>
    </dataValidation>
    <dataValidation type="textLength" errorStyle="information" allowBlank="1" showInputMessage="1" showErrorMessage="1" error="XLBVal:6=18808.56_x000d__x000a_" sqref="R9">
      <formula1>0</formula1>
      <formula2>300</formula2>
    </dataValidation>
    <dataValidation type="textLength" errorStyle="information" allowBlank="1" showInputMessage="1" showErrorMessage="1" error="XLBVal:2=0_x000d__x000a_" sqref="S39:S44 E56:J57 E15:E18 E46 F16:J18 R46:W46 E61:J61 R49:W57 E49:J53 S45:V45 T40:V44 W40:W45 R28:W29 T39:W39 R39:R45 E34:J36 R32:W36 E32:J32 E28:J29 E19:J22 R61:W61 F39:J46 E39:E44 F15:P15 R15:W22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AI168"/>
  <sheetViews>
    <sheetView view="pageBreakPreview" zoomScaleNormal="100" zoomScaleSheetLayoutView="100" workbookViewId="0">
      <pane xSplit="5" ySplit="7" topLeftCell="L8" activePane="bottomRight" state="frozen"/>
      <selection activeCell="AP43" sqref="AP43"/>
      <selection pane="topRight" activeCell="AP43" sqref="AP43"/>
      <selection pane="bottomLeft" activeCell="AP43" sqref="AP43"/>
      <selection pane="bottomRight" activeCell="Q27" sqref="Q27"/>
    </sheetView>
  </sheetViews>
  <sheetFormatPr defaultColWidth="9" defaultRowHeight="14.25" outlineLevelCol="2"/>
  <cols>
    <col min="1" max="3" width="9" style="105" hidden="1" customWidth="1" outlineLevel="1"/>
    <col min="4" max="4" width="46.25" style="105" customWidth="1" collapsed="1"/>
    <col min="5" max="15" width="15.875" style="72" bestFit="1" customWidth="1"/>
    <col min="16" max="16" width="17" style="72" bestFit="1" customWidth="1"/>
    <col min="17" max="17" width="19.625" style="127" bestFit="1" customWidth="1"/>
    <col min="18" max="24" width="14.375" style="72" hidden="1" customWidth="1" outlineLevel="1"/>
    <col min="25" max="25" width="15.75" style="72" hidden="1" customWidth="1" outlineLevel="2"/>
    <col min="26" max="29" width="14.5" style="72" hidden="1" customWidth="1" outlineLevel="2"/>
    <col min="30" max="30" width="15.75" style="127" customWidth="1" collapsed="1"/>
    <col min="31" max="31" width="13.25" style="72" customWidth="1"/>
    <col min="32" max="32" width="10.5" style="105" customWidth="1"/>
    <col min="33" max="33" width="19.5" style="109" hidden="1" customWidth="1"/>
    <col min="34" max="34" width="15" style="124" hidden="1" customWidth="1"/>
    <col min="35" max="35" width="14.375" style="105" customWidth="1"/>
    <col min="36" max="36" width="18.125" style="105" bestFit="1" customWidth="1"/>
    <col min="37" max="16384" width="9" style="105"/>
  </cols>
  <sheetData>
    <row r="1" spans="1:35" s="100" customFormat="1">
      <c r="A1" s="100" t="s">
        <v>118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  <c r="AH1" s="183"/>
    </row>
    <row r="2" spans="1:35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  <c r="AH2" s="183"/>
    </row>
    <row r="3" spans="1:35">
      <c r="D3" s="105" t="s">
        <v>657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  <c r="AH3" s="184"/>
    </row>
    <row r="4" spans="1:35" s="100" customFormat="1" ht="18">
      <c r="C4" s="18">
        <f>+'2025 Summay'!$D$7</f>
        <v>2025</v>
      </c>
      <c r="D4" s="18">
        <f>+'2025 Summay'!$D$7</f>
        <v>2025</v>
      </c>
      <c r="E4" s="155">
        <v>8333</v>
      </c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83"/>
      <c r="Z4" s="101"/>
      <c r="AA4" s="101"/>
      <c r="AB4" s="101"/>
      <c r="AC4" s="101"/>
      <c r="AD4" s="172"/>
      <c r="AE4" s="101"/>
      <c r="AG4" s="103"/>
      <c r="AH4" s="183"/>
    </row>
    <row r="5" spans="1:35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83"/>
      <c r="Z5" s="101"/>
      <c r="AA5" s="101"/>
      <c r="AB5" s="101"/>
      <c r="AC5" s="101"/>
      <c r="AD5" s="172"/>
      <c r="AE5" s="101"/>
      <c r="AG5" s="103"/>
      <c r="AH5" s="183"/>
    </row>
    <row r="6" spans="1:35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  <c r="AH6" s="183"/>
    </row>
    <row r="7" spans="1:35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5">
      <c r="D8" s="105" t="s">
        <v>154</v>
      </c>
      <c r="AF8" s="192"/>
      <c r="AG8" s="129"/>
    </row>
    <row r="9" spans="1:35">
      <c r="D9" s="109" t="s">
        <v>289</v>
      </c>
      <c r="E9" s="117">
        <f t="shared" ref="E9:P9" si="0">E60</f>
        <v>22987.07</v>
      </c>
      <c r="F9" s="117">
        <f t="shared" si="0"/>
        <v>19610.73</v>
      </c>
      <c r="G9" s="117">
        <f t="shared" si="0"/>
        <v>20046.73</v>
      </c>
      <c r="H9" s="117">
        <f t="shared" si="0"/>
        <v>20830.32</v>
      </c>
      <c r="I9" s="117">
        <f t="shared" si="0"/>
        <v>21627.39</v>
      </c>
      <c r="J9" s="117">
        <f t="shared" si="0"/>
        <v>20046.73</v>
      </c>
      <c r="K9" s="117">
        <f t="shared" si="0"/>
        <v>26050.79</v>
      </c>
      <c r="L9" s="117">
        <f t="shared" si="0"/>
        <v>25766.47</v>
      </c>
      <c r="M9" s="117">
        <f t="shared" si="0"/>
        <v>25766.47</v>
      </c>
      <c r="N9" s="117">
        <f t="shared" si="0"/>
        <v>30508.43</v>
      </c>
      <c r="O9" s="117">
        <f t="shared" si="0"/>
        <v>26050.79</v>
      </c>
      <c r="P9" s="117">
        <f t="shared" si="0"/>
        <v>25766.47</v>
      </c>
      <c r="Q9" s="117">
        <f>SUM(E9:P9)</f>
        <v>285058.39</v>
      </c>
      <c r="R9" s="127">
        <f t="shared" ref="R9:AC9" si="1">R60</f>
        <v>26065.1</v>
      </c>
      <c r="S9" s="127">
        <f t="shared" si="1"/>
        <v>28006.560000000001</v>
      </c>
      <c r="T9" s="127">
        <f t="shared" si="1"/>
        <v>24849.18</v>
      </c>
      <c r="U9" s="127">
        <f t="shared" si="1"/>
        <v>24869.53</v>
      </c>
      <c r="V9" s="127">
        <f t="shared" si="1"/>
        <v>25373.14</v>
      </c>
      <c r="W9" s="127">
        <f t="shared" si="1"/>
        <v>24723.200000000001</v>
      </c>
      <c r="X9" s="127">
        <f t="shared" si="1"/>
        <v>18243.410000000003</v>
      </c>
      <c r="Y9" s="127">
        <f t="shared" si="1"/>
        <v>17825.780000000002</v>
      </c>
      <c r="Z9" s="127">
        <f t="shared" si="1"/>
        <v>30936.33</v>
      </c>
      <c r="AA9" s="127">
        <f t="shared" si="1"/>
        <v>34852.33</v>
      </c>
      <c r="AB9" s="127">
        <f t="shared" si="1"/>
        <v>26853.33</v>
      </c>
      <c r="AC9" s="127">
        <f t="shared" si="1"/>
        <v>26853.33</v>
      </c>
      <c r="AD9" s="127">
        <f>SUM(R9:AC9)</f>
        <v>309451.22000000003</v>
      </c>
      <c r="AE9" s="127">
        <f>AD9-Q9</f>
        <v>24392.830000000016</v>
      </c>
      <c r="AF9" s="132">
        <f t="shared" ref="AF9:AF62" si="2">AE9/AD9</f>
        <v>7.8826090910224925E-2</v>
      </c>
      <c r="AG9" s="129">
        <v>2135411.0699999998</v>
      </c>
      <c r="AH9" s="124">
        <f t="shared" ref="AH9:AH63" si="3">AG9-Q9</f>
        <v>1850352.6799999997</v>
      </c>
    </row>
    <row r="10" spans="1:35">
      <c r="D10" s="105" t="s">
        <v>154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7"/>
      <c r="AF10" s="192"/>
      <c r="AG10" s="129"/>
      <c r="AH10" s="124">
        <f t="shared" si="3"/>
        <v>0</v>
      </c>
    </row>
    <row r="11" spans="1:35">
      <c r="D11" s="105" t="s">
        <v>502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AF11" s="192"/>
      <c r="AG11" s="129"/>
      <c r="AH11" s="124">
        <f t="shared" si="3"/>
        <v>0</v>
      </c>
    </row>
    <row r="12" spans="1:35">
      <c r="A12" s="269" t="s">
        <v>752</v>
      </c>
      <c r="B12" s="105" t="s">
        <v>753</v>
      </c>
      <c r="D12" s="105" t="s">
        <v>143</v>
      </c>
      <c r="E12" s="268">
        <v>0</v>
      </c>
      <c r="F12" s="268">
        <v>0</v>
      </c>
      <c r="G12" s="268">
        <v>0</v>
      </c>
      <c r="H12" s="268">
        <v>0</v>
      </c>
      <c r="I12" s="268">
        <v>0</v>
      </c>
      <c r="J12" s="268">
        <v>0</v>
      </c>
      <c r="K12" s="268">
        <v>0</v>
      </c>
      <c r="L12" s="268">
        <v>0</v>
      </c>
      <c r="M12" s="268">
        <v>0</v>
      </c>
      <c r="N12" s="268">
        <v>0</v>
      </c>
      <c r="O12" s="268">
        <v>0</v>
      </c>
      <c r="P12" s="268">
        <v>0</v>
      </c>
      <c r="Q12" s="117">
        <f>SUM(E12:P12)</f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72">
        <v>0</v>
      </c>
      <c r="AD12" s="127">
        <f t="shared" ref="AD12:AD23" si="4">SUM(R12:AC12)</f>
        <v>0</v>
      </c>
      <c r="AE12" s="72">
        <f t="shared" ref="AE12:AE24" si="5">AD12-Q12</f>
        <v>0</v>
      </c>
      <c r="AF12" s="192" t="e">
        <f t="shared" si="2"/>
        <v>#DIV/0!</v>
      </c>
      <c r="AG12" s="129">
        <v>364071.15</v>
      </c>
      <c r="AH12" s="124">
        <f t="shared" si="3"/>
        <v>364071.15</v>
      </c>
      <c r="AI12" s="124"/>
    </row>
    <row r="13" spans="1:35">
      <c r="A13" s="269" t="s">
        <v>754</v>
      </c>
      <c r="B13" s="105" t="s">
        <v>753</v>
      </c>
      <c r="D13" s="105" t="s">
        <v>144</v>
      </c>
      <c r="E13" s="263">
        <f>+E65+E66+E67</f>
        <v>214117.19</v>
      </c>
      <c r="F13" s="263">
        <f t="shared" ref="F13:P13" si="6">+F65+F66+F67</f>
        <v>201666.19</v>
      </c>
      <c r="G13" s="263">
        <f t="shared" si="6"/>
        <v>204283.19</v>
      </c>
      <c r="H13" s="263">
        <f t="shared" si="6"/>
        <v>210924.19</v>
      </c>
      <c r="I13" s="263">
        <f t="shared" si="6"/>
        <v>217930.19</v>
      </c>
      <c r="J13" s="263">
        <f t="shared" si="6"/>
        <v>206845.19</v>
      </c>
      <c r="K13" s="263">
        <f t="shared" si="6"/>
        <v>208869.19</v>
      </c>
      <c r="L13" s="263">
        <f t="shared" si="6"/>
        <v>207750.19</v>
      </c>
      <c r="M13" s="263">
        <f t="shared" si="6"/>
        <v>207750.19</v>
      </c>
      <c r="N13" s="263">
        <f t="shared" si="6"/>
        <v>231435.19</v>
      </c>
      <c r="O13" s="263">
        <f t="shared" si="6"/>
        <v>208869.19</v>
      </c>
      <c r="P13" s="263">
        <f t="shared" si="6"/>
        <v>207750.19</v>
      </c>
      <c r="Q13" s="117">
        <f>SUM(E13:P13)</f>
        <v>2528190.2799999998</v>
      </c>
      <c r="R13" s="72">
        <v>236033.95</v>
      </c>
      <c r="S13" s="72">
        <v>277542.57</v>
      </c>
      <c r="T13" s="72">
        <v>216378.94</v>
      </c>
      <c r="U13" s="72">
        <v>210308.57</v>
      </c>
      <c r="V13" s="72">
        <v>186559.7</v>
      </c>
      <c r="W13" s="72">
        <v>188676.19</v>
      </c>
      <c r="X13" s="72">
        <v>190121.36</v>
      </c>
      <c r="Y13" s="72">
        <v>195354.87</v>
      </c>
      <c r="Z13" s="72">
        <v>211273</v>
      </c>
      <c r="AA13" s="72">
        <v>239196</v>
      </c>
      <c r="AB13" s="72">
        <v>194560</v>
      </c>
      <c r="AC13" s="72">
        <v>197020</v>
      </c>
      <c r="AD13" s="127">
        <f>SUM(R13:AC13)</f>
        <v>2543025.15</v>
      </c>
      <c r="AE13" s="72">
        <f>AD13-Q13</f>
        <v>14834.870000000112</v>
      </c>
      <c r="AF13" s="192">
        <f>AE13/AD13</f>
        <v>5.833552216343638E-3</v>
      </c>
      <c r="AG13" s="129">
        <v>364071.15</v>
      </c>
      <c r="AH13" s="124">
        <f>AG13-Q13</f>
        <v>-2164119.13</v>
      </c>
      <c r="AI13" s="124"/>
    </row>
    <row r="14" spans="1:35">
      <c r="A14" s="105" t="s">
        <v>689</v>
      </c>
      <c r="B14" s="105" t="s">
        <v>753</v>
      </c>
      <c r="D14" s="105" t="s">
        <v>202</v>
      </c>
      <c r="E14" s="268">
        <v>0</v>
      </c>
      <c r="F14" s="268">
        <v>0</v>
      </c>
      <c r="G14" s="268">
        <v>0</v>
      </c>
      <c r="H14" s="268">
        <v>0</v>
      </c>
      <c r="I14" s="268">
        <v>0</v>
      </c>
      <c r="J14" s="268">
        <v>0</v>
      </c>
      <c r="K14" s="268">
        <v>0</v>
      </c>
      <c r="L14" s="268">
        <v>0</v>
      </c>
      <c r="M14" s="268">
        <v>0</v>
      </c>
      <c r="N14" s="268">
        <v>0</v>
      </c>
      <c r="O14" s="268">
        <v>0</v>
      </c>
      <c r="P14" s="268">
        <v>0</v>
      </c>
      <c r="Q14" s="117">
        <f t="shared" ref="Q14:Q23" si="7">SUM(E14:P14)</f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  <c r="Z14" s="72">
        <v>0</v>
      </c>
      <c r="AA14" s="72">
        <v>0</v>
      </c>
      <c r="AB14" s="72">
        <v>0</v>
      </c>
      <c r="AC14" s="72">
        <v>0</v>
      </c>
      <c r="AD14" s="127">
        <f t="shared" si="4"/>
        <v>0</v>
      </c>
      <c r="AE14" s="72">
        <f t="shared" si="5"/>
        <v>0</v>
      </c>
      <c r="AF14" s="192" t="e">
        <f t="shared" si="2"/>
        <v>#DIV/0!</v>
      </c>
      <c r="AG14" s="129">
        <v>0</v>
      </c>
      <c r="AH14" s="124">
        <f t="shared" si="3"/>
        <v>0</v>
      </c>
      <c r="AI14" s="124"/>
    </row>
    <row r="15" spans="1:35">
      <c r="A15" s="105" t="s">
        <v>197</v>
      </c>
      <c r="B15" s="105" t="s">
        <v>753</v>
      </c>
      <c r="D15" s="105" t="s">
        <v>305</v>
      </c>
      <c r="E15" s="134">
        <v>51667</v>
      </c>
      <c r="F15" s="134">
        <v>41667</v>
      </c>
      <c r="G15" s="134">
        <v>41667</v>
      </c>
      <c r="H15" s="134">
        <v>41667</v>
      </c>
      <c r="I15" s="134">
        <v>41667</v>
      </c>
      <c r="J15" s="134">
        <v>41667</v>
      </c>
      <c r="K15" s="134">
        <v>51667</v>
      </c>
      <c r="L15" s="134">
        <v>51667</v>
      </c>
      <c r="M15" s="134">
        <v>41667</v>
      </c>
      <c r="N15" s="134">
        <v>51667</v>
      </c>
      <c r="O15" s="134">
        <v>41667</v>
      </c>
      <c r="P15" s="134">
        <v>41667</v>
      </c>
      <c r="Q15" s="117">
        <f t="shared" si="7"/>
        <v>540004</v>
      </c>
      <c r="R15" s="72">
        <v>98393.31</v>
      </c>
      <c r="S15" s="72">
        <v>106739.46</v>
      </c>
      <c r="T15" s="72">
        <v>42334.67</v>
      </c>
      <c r="U15" s="72">
        <v>34209.35</v>
      </c>
      <c r="V15" s="72">
        <v>-106005.9</v>
      </c>
      <c r="W15" s="72">
        <v>85920.27</v>
      </c>
      <c r="X15" s="72">
        <v>69509.210000000006</v>
      </c>
      <c r="Y15" s="72">
        <v>10765.9</v>
      </c>
      <c r="Z15" s="72">
        <v>55355</v>
      </c>
      <c r="AA15" s="72">
        <v>59140</v>
      </c>
      <c r="AB15" s="72">
        <v>58113</v>
      </c>
      <c r="AC15" s="72">
        <v>61989</v>
      </c>
      <c r="AD15" s="127">
        <f t="shared" si="4"/>
        <v>576463.27</v>
      </c>
      <c r="AE15" s="72">
        <f t="shared" si="5"/>
        <v>36459.270000000019</v>
      </c>
      <c r="AF15" s="192">
        <f t="shared" si="2"/>
        <v>6.3246475356530552E-2</v>
      </c>
      <c r="AG15" s="129">
        <v>501986.49000000022</v>
      </c>
      <c r="AH15" s="124">
        <f t="shared" si="3"/>
        <v>-38017.509999999776</v>
      </c>
      <c r="AI15" s="124"/>
    </row>
    <row r="16" spans="1:35">
      <c r="A16" s="105" t="s">
        <v>692</v>
      </c>
      <c r="B16" s="105" t="s">
        <v>753</v>
      </c>
      <c r="D16" s="105" t="s">
        <v>204</v>
      </c>
      <c r="E16" s="394">
        <v>813</v>
      </c>
      <c r="F16" s="394">
        <v>813</v>
      </c>
      <c r="G16" s="394">
        <v>813</v>
      </c>
      <c r="H16" s="394">
        <v>813</v>
      </c>
      <c r="I16" s="394">
        <v>813</v>
      </c>
      <c r="J16" s="394">
        <v>813</v>
      </c>
      <c r="K16" s="394">
        <v>813</v>
      </c>
      <c r="L16" s="394">
        <v>813</v>
      </c>
      <c r="M16" s="394">
        <v>813</v>
      </c>
      <c r="N16" s="394">
        <v>813</v>
      </c>
      <c r="O16" s="394">
        <v>813</v>
      </c>
      <c r="P16" s="394">
        <v>813</v>
      </c>
      <c r="Q16" s="117">
        <f t="shared" si="7"/>
        <v>9756</v>
      </c>
      <c r="R16" s="72">
        <v>3387.9</v>
      </c>
      <c r="S16" s="72">
        <v>4454.6400000000003</v>
      </c>
      <c r="T16" s="72">
        <v>3339.99</v>
      </c>
      <c r="U16" s="72">
        <v>-181.5</v>
      </c>
      <c r="V16" s="72">
        <v>-6123.11</v>
      </c>
      <c r="W16" s="72">
        <v>-62.1</v>
      </c>
      <c r="X16" s="72">
        <v>-35.85</v>
      </c>
      <c r="Y16" s="72">
        <v>-1007.59</v>
      </c>
      <c r="Z16" s="72">
        <v>0</v>
      </c>
      <c r="AA16" s="72">
        <v>0</v>
      </c>
      <c r="AB16" s="72">
        <v>0</v>
      </c>
      <c r="AC16" s="72">
        <v>0</v>
      </c>
      <c r="AD16" s="127">
        <f t="shared" si="4"/>
        <v>3772.38</v>
      </c>
      <c r="AE16" s="72">
        <f t="shared" si="5"/>
        <v>-5983.62</v>
      </c>
      <c r="AF16" s="192">
        <f t="shared" si="2"/>
        <v>-1.586165762728039</v>
      </c>
      <c r="AG16" s="129">
        <v>50211.91</v>
      </c>
      <c r="AH16" s="124">
        <f t="shared" si="3"/>
        <v>40455.910000000003</v>
      </c>
      <c r="AI16" s="124"/>
    </row>
    <row r="17" spans="1:35">
      <c r="A17" s="105" t="s">
        <v>755</v>
      </c>
      <c r="B17" s="105" t="s">
        <v>753</v>
      </c>
      <c r="D17" s="105" t="s">
        <v>756</v>
      </c>
      <c r="E17" s="394">
        <v>585</v>
      </c>
      <c r="F17" s="394">
        <v>585</v>
      </c>
      <c r="G17" s="394">
        <v>585</v>
      </c>
      <c r="H17" s="394">
        <v>585</v>
      </c>
      <c r="I17" s="394">
        <v>585</v>
      </c>
      <c r="J17" s="394">
        <v>585</v>
      </c>
      <c r="K17" s="394">
        <v>585</v>
      </c>
      <c r="L17" s="394">
        <v>585</v>
      </c>
      <c r="M17" s="394">
        <v>585</v>
      </c>
      <c r="N17" s="394">
        <v>585</v>
      </c>
      <c r="O17" s="394">
        <v>585</v>
      </c>
      <c r="P17" s="394">
        <v>585</v>
      </c>
      <c r="Q17" s="117">
        <f t="shared" si="7"/>
        <v>7020</v>
      </c>
      <c r="R17" s="72">
        <v>460.29</v>
      </c>
      <c r="S17" s="72">
        <v>0</v>
      </c>
      <c r="T17" s="72">
        <v>262.14</v>
      </c>
      <c r="U17" s="72">
        <v>0</v>
      </c>
      <c r="V17" s="72">
        <v>453.1</v>
      </c>
      <c r="W17" s="72">
        <v>466</v>
      </c>
      <c r="X17" s="72">
        <v>0</v>
      </c>
      <c r="Y17" s="72">
        <v>0</v>
      </c>
      <c r="Z17" s="72">
        <v>1426</v>
      </c>
      <c r="AA17" s="72">
        <v>1426</v>
      </c>
      <c r="AB17" s="72">
        <v>1426</v>
      </c>
      <c r="AC17" s="72">
        <v>1426</v>
      </c>
      <c r="AD17" s="127">
        <f t="shared" si="4"/>
        <v>7345.5300000000007</v>
      </c>
      <c r="AE17" s="72">
        <f t="shared" si="5"/>
        <v>325.53000000000065</v>
      </c>
      <c r="AF17" s="192">
        <f t="shared" si="2"/>
        <v>4.4316747736378538E-2</v>
      </c>
      <c r="AG17" s="129">
        <v>12611.42</v>
      </c>
      <c r="AH17" s="124">
        <f t="shared" si="3"/>
        <v>5591.42</v>
      </c>
      <c r="AI17" s="124"/>
    </row>
    <row r="18" spans="1:35">
      <c r="A18" s="105" t="s">
        <v>717</v>
      </c>
      <c r="B18" s="105" t="s">
        <v>753</v>
      </c>
      <c r="D18" s="105" t="s">
        <v>208</v>
      </c>
      <c r="E18" s="394">
        <v>0</v>
      </c>
      <c r="F18" s="394">
        <v>0</v>
      </c>
      <c r="G18" s="394">
        <v>0</v>
      </c>
      <c r="H18" s="394">
        <v>0</v>
      </c>
      <c r="I18" s="394">
        <v>0</v>
      </c>
      <c r="J18" s="394">
        <v>0</v>
      </c>
      <c r="K18" s="394">
        <v>0</v>
      </c>
      <c r="L18" s="394">
        <v>0</v>
      </c>
      <c r="M18" s="394">
        <v>0</v>
      </c>
      <c r="N18" s="394">
        <v>0</v>
      </c>
      <c r="O18" s="394">
        <v>0</v>
      </c>
      <c r="P18" s="394">
        <v>0</v>
      </c>
      <c r="Q18" s="117">
        <f t="shared" si="7"/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127">
        <f t="shared" si="4"/>
        <v>0</v>
      </c>
      <c r="AE18" s="72">
        <f t="shared" si="5"/>
        <v>0</v>
      </c>
      <c r="AF18" s="192" t="e">
        <f t="shared" si="2"/>
        <v>#DIV/0!</v>
      </c>
      <c r="AG18" s="129">
        <v>0</v>
      </c>
      <c r="AH18" s="124">
        <f t="shared" si="3"/>
        <v>0</v>
      </c>
      <c r="AI18" s="124"/>
    </row>
    <row r="19" spans="1:35">
      <c r="A19" s="105" t="s">
        <v>694</v>
      </c>
      <c r="B19" s="105" t="s">
        <v>753</v>
      </c>
      <c r="D19" s="105" t="s">
        <v>212</v>
      </c>
      <c r="E19" s="394">
        <v>111</v>
      </c>
      <c r="F19" s="394">
        <v>100</v>
      </c>
      <c r="G19" s="394">
        <v>109</v>
      </c>
      <c r="H19" s="394">
        <v>103</v>
      </c>
      <c r="I19" s="394">
        <v>103</v>
      </c>
      <c r="J19" s="394">
        <v>99</v>
      </c>
      <c r="K19" s="394">
        <v>111</v>
      </c>
      <c r="L19" s="394">
        <v>111</v>
      </c>
      <c r="M19" s="394">
        <v>97</v>
      </c>
      <c r="N19" s="394">
        <v>102</v>
      </c>
      <c r="O19" s="394">
        <v>98</v>
      </c>
      <c r="P19" s="394">
        <v>109</v>
      </c>
      <c r="Q19" s="117">
        <f t="shared" si="7"/>
        <v>1253</v>
      </c>
      <c r="R19" s="72">
        <v>331.02</v>
      </c>
      <c r="S19" s="72">
        <v>31.8</v>
      </c>
      <c r="T19" s="72">
        <v>17.100000000000001</v>
      </c>
      <c r="U19" s="72">
        <v>0</v>
      </c>
      <c r="V19" s="72">
        <v>168.54</v>
      </c>
      <c r="W19" s="72">
        <v>34.200000000000003</v>
      </c>
      <c r="X19" s="72">
        <v>220.68</v>
      </c>
      <c r="Y19" s="72">
        <v>0</v>
      </c>
      <c r="Z19" s="72">
        <v>176</v>
      </c>
      <c r="AA19" s="72">
        <v>176</v>
      </c>
      <c r="AB19" s="72">
        <v>176</v>
      </c>
      <c r="AC19" s="72">
        <v>176</v>
      </c>
      <c r="AD19" s="127">
        <f t="shared" si="4"/>
        <v>1507.3400000000001</v>
      </c>
      <c r="AE19" s="72">
        <f t="shared" si="5"/>
        <v>254.34000000000015</v>
      </c>
      <c r="AF19" s="192">
        <f t="shared" si="2"/>
        <v>0.16873432669470731</v>
      </c>
      <c r="AG19" s="129">
        <v>1201.73</v>
      </c>
      <c r="AH19" s="124">
        <f t="shared" si="3"/>
        <v>-51.269999999999982</v>
      </c>
      <c r="AI19" s="124"/>
    </row>
    <row r="20" spans="1:35">
      <c r="A20" s="105" t="s">
        <v>709</v>
      </c>
      <c r="B20" s="105" t="s">
        <v>753</v>
      </c>
      <c r="D20" s="105" t="s">
        <v>214</v>
      </c>
      <c r="E20" s="394">
        <v>0</v>
      </c>
      <c r="F20" s="394">
        <v>0</v>
      </c>
      <c r="G20" s="394">
        <v>0</v>
      </c>
      <c r="H20" s="394">
        <v>0</v>
      </c>
      <c r="I20" s="394">
        <v>0</v>
      </c>
      <c r="J20" s="394">
        <v>0</v>
      </c>
      <c r="K20" s="394">
        <v>0</v>
      </c>
      <c r="L20" s="394">
        <v>0</v>
      </c>
      <c r="M20" s="394">
        <v>0</v>
      </c>
      <c r="N20" s="394">
        <v>0</v>
      </c>
      <c r="O20" s="394">
        <v>0</v>
      </c>
      <c r="P20" s="394">
        <v>0</v>
      </c>
      <c r="Q20" s="117">
        <f t="shared" si="7"/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127">
        <f t="shared" si="4"/>
        <v>0</v>
      </c>
      <c r="AE20" s="72">
        <f t="shared" si="5"/>
        <v>0</v>
      </c>
      <c r="AF20" s="192" t="e">
        <f t="shared" si="2"/>
        <v>#DIV/0!</v>
      </c>
      <c r="AG20" s="129">
        <v>0</v>
      </c>
      <c r="AH20" s="124">
        <f t="shared" si="3"/>
        <v>0</v>
      </c>
      <c r="AI20" s="124"/>
    </row>
    <row r="21" spans="1:35">
      <c r="A21" s="105" t="s">
        <v>696</v>
      </c>
      <c r="B21" s="105" t="s">
        <v>753</v>
      </c>
      <c r="D21" s="105" t="s">
        <v>216</v>
      </c>
      <c r="E21" s="394">
        <v>205</v>
      </c>
      <c r="F21" s="394">
        <v>185</v>
      </c>
      <c r="G21" s="394">
        <v>201</v>
      </c>
      <c r="H21" s="394">
        <v>190</v>
      </c>
      <c r="I21" s="394">
        <v>191</v>
      </c>
      <c r="J21" s="394">
        <v>183</v>
      </c>
      <c r="K21" s="394">
        <v>205</v>
      </c>
      <c r="L21" s="394">
        <v>205</v>
      </c>
      <c r="M21" s="394">
        <v>178</v>
      </c>
      <c r="N21" s="394">
        <v>189</v>
      </c>
      <c r="O21" s="394">
        <v>181</v>
      </c>
      <c r="P21" s="394">
        <v>201</v>
      </c>
      <c r="Q21" s="117">
        <f t="shared" si="7"/>
        <v>2314</v>
      </c>
      <c r="R21" s="72">
        <v>202.58</v>
      </c>
      <c r="S21" s="72">
        <v>203</v>
      </c>
      <c r="T21" s="72">
        <v>203</v>
      </c>
      <c r="U21" s="72">
        <v>203</v>
      </c>
      <c r="V21" s="72">
        <v>203</v>
      </c>
      <c r="W21" s="72">
        <v>203</v>
      </c>
      <c r="X21" s="72">
        <v>223.3</v>
      </c>
      <c r="Y21" s="72">
        <v>202.7</v>
      </c>
      <c r="Z21" s="72">
        <v>190</v>
      </c>
      <c r="AA21" s="72">
        <v>190</v>
      </c>
      <c r="AB21" s="72">
        <v>190</v>
      </c>
      <c r="AC21" s="72">
        <v>190</v>
      </c>
      <c r="AD21" s="127">
        <f t="shared" si="4"/>
        <v>2403.58</v>
      </c>
      <c r="AE21" s="72">
        <f t="shared" si="5"/>
        <v>89.579999999999927</v>
      </c>
      <c r="AF21" s="192">
        <f t="shared" si="2"/>
        <v>3.7269406468684187E-2</v>
      </c>
      <c r="AG21" s="129">
        <v>965.68000000000006</v>
      </c>
      <c r="AH21" s="124">
        <f t="shared" si="3"/>
        <v>-1348.32</v>
      </c>
      <c r="AI21" s="124"/>
    </row>
    <row r="22" spans="1:35">
      <c r="A22" s="105" t="s">
        <v>697</v>
      </c>
      <c r="B22" s="105" t="s">
        <v>753</v>
      </c>
      <c r="D22" s="105" t="s">
        <v>218</v>
      </c>
      <c r="E22" s="394">
        <v>0</v>
      </c>
      <c r="F22" s="394">
        <v>0</v>
      </c>
      <c r="G22" s="394">
        <v>0</v>
      </c>
      <c r="H22" s="394">
        <v>0</v>
      </c>
      <c r="I22" s="394">
        <v>0</v>
      </c>
      <c r="J22" s="394">
        <v>0</v>
      </c>
      <c r="K22" s="394">
        <v>0</v>
      </c>
      <c r="L22" s="394">
        <v>0</v>
      </c>
      <c r="M22" s="394">
        <v>0</v>
      </c>
      <c r="N22" s="394">
        <v>0</v>
      </c>
      <c r="O22" s="394">
        <v>0</v>
      </c>
      <c r="P22" s="394">
        <v>0</v>
      </c>
      <c r="Q22" s="117">
        <f t="shared" si="7"/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2">
        <v>0</v>
      </c>
      <c r="AB22" s="72">
        <v>0</v>
      </c>
      <c r="AC22" s="72">
        <v>0</v>
      </c>
      <c r="AD22" s="127">
        <f t="shared" si="4"/>
        <v>0</v>
      </c>
      <c r="AE22" s="72">
        <f t="shared" si="5"/>
        <v>0</v>
      </c>
      <c r="AF22" s="192" t="e">
        <f t="shared" si="2"/>
        <v>#DIV/0!</v>
      </c>
      <c r="AG22" s="129">
        <v>0</v>
      </c>
      <c r="AH22" s="124">
        <f t="shared" si="3"/>
        <v>0</v>
      </c>
      <c r="AI22" s="124"/>
    </row>
    <row r="23" spans="1:35">
      <c r="A23" s="105" t="s">
        <v>698</v>
      </c>
      <c r="B23" s="105" t="s">
        <v>753</v>
      </c>
      <c r="D23" s="105" t="s">
        <v>222</v>
      </c>
      <c r="E23" s="394">
        <v>2000</v>
      </c>
      <c r="F23" s="394">
        <v>2000</v>
      </c>
      <c r="G23" s="394">
        <v>2000</v>
      </c>
      <c r="H23" s="394">
        <v>2000</v>
      </c>
      <c r="I23" s="394">
        <v>2000</v>
      </c>
      <c r="J23" s="394">
        <v>2000</v>
      </c>
      <c r="K23" s="394">
        <v>2000</v>
      </c>
      <c r="L23" s="394">
        <v>2000</v>
      </c>
      <c r="M23" s="394">
        <v>2000</v>
      </c>
      <c r="N23" s="394">
        <v>2000</v>
      </c>
      <c r="O23" s="394">
        <v>2000</v>
      </c>
      <c r="P23" s="394">
        <v>2000</v>
      </c>
      <c r="Q23" s="117">
        <f t="shared" si="7"/>
        <v>24000</v>
      </c>
      <c r="R23" s="72">
        <v>1995.2</v>
      </c>
      <c r="S23" s="72">
        <v>198.4</v>
      </c>
      <c r="T23" s="72">
        <v>611.61</v>
      </c>
      <c r="U23" s="72">
        <v>0</v>
      </c>
      <c r="V23" s="72">
        <v>145.6</v>
      </c>
      <c r="W23" s="72">
        <v>1077.6600000000001</v>
      </c>
      <c r="X23" s="72">
        <v>0</v>
      </c>
      <c r="Y23" s="72">
        <v>2448.6</v>
      </c>
      <c r="Z23" s="72">
        <v>1000</v>
      </c>
      <c r="AA23" s="72">
        <v>1000</v>
      </c>
      <c r="AB23" s="72">
        <v>1000</v>
      </c>
      <c r="AC23" s="72">
        <v>1000</v>
      </c>
      <c r="AD23" s="127">
        <f t="shared" si="4"/>
        <v>10477.07</v>
      </c>
      <c r="AE23" s="72">
        <f t="shared" si="5"/>
        <v>-13522.93</v>
      </c>
      <c r="AF23" s="192">
        <f t="shared" si="2"/>
        <v>-1.2907167748234956</v>
      </c>
      <c r="AG23" s="129">
        <v>15551.53</v>
      </c>
      <c r="AH23" s="124">
        <f t="shared" si="3"/>
        <v>-8448.4699999999993</v>
      </c>
      <c r="AI23" s="124"/>
    </row>
    <row r="24" spans="1:35">
      <c r="D24" s="105" t="s">
        <v>507</v>
      </c>
      <c r="E24" s="117">
        <f t="shared" ref="E24:AD24" si="8">SUM(E12:E23)</f>
        <v>269498.19</v>
      </c>
      <c r="F24" s="117">
        <f t="shared" si="8"/>
        <v>247016.19</v>
      </c>
      <c r="G24" s="117">
        <f t="shared" si="8"/>
        <v>249658.19</v>
      </c>
      <c r="H24" s="117">
        <f t="shared" si="8"/>
        <v>256282.19</v>
      </c>
      <c r="I24" s="117">
        <f t="shared" si="8"/>
        <v>263289.19</v>
      </c>
      <c r="J24" s="117">
        <f t="shared" si="8"/>
        <v>252192.19</v>
      </c>
      <c r="K24" s="117">
        <f t="shared" si="8"/>
        <v>264250.19</v>
      </c>
      <c r="L24" s="117">
        <f t="shared" si="8"/>
        <v>263131.19</v>
      </c>
      <c r="M24" s="117">
        <f t="shared" si="8"/>
        <v>253090.19</v>
      </c>
      <c r="N24" s="117">
        <f t="shared" si="8"/>
        <v>286791.19</v>
      </c>
      <c r="O24" s="117">
        <f t="shared" si="8"/>
        <v>254213.19</v>
      </c>
      <c r="P24" s="117">
        <f t="shared" si="8"/>
        <v>253125.19</v>
      </c>
      <c r="Q24" s="117">
        <f t="shared" si="8"/>
        <v>3112537.28</v>
      </c>
      <c r="R24" s="127">
        <f t="shared" si="8"/>
        <v>340804.25000000006</v>
      </c>
      <c r="S24" s="127">
        <f t="shared" si="8"/>
        <v>389169.87000000005</v>
      </c>
      <c r="T24" s="127">
        <f t="shared" si="8"/>
        <v>263147.44999999995</v>
      </c>
      <c r="U24" s="127">
        <f t="shared" si="8"/>
        <v>244539.42</v>
      </c>
      <c r="V24" s="127">
        <f t="shared" si="8"/>
        <v>75400.930000000022</v>
      </c>
      <c r="W24" s="127">
        <f t="shared" si="8"/>
        <v>276315.22000000003</v>
      </c>
      <c r="X24" s="127">
        <f t="shared" si="8"/>
        <v>260038.69999999998</v>
      </c>
      <c r="Y24" s="127">
        <f t="shared" si="8"/>
        <v>207764.48000000001</v>
      </c>
      <c r="Z24" s="127">
        <f t="shared" si="8"/>
        <v>269420</v>
      </c>
      <c r="AA24" s="127">
        <f t="shared" si="8"/>
        <v>301128</v>
      </c>
      <c r="AB24" s="127">
        <f t="shared" si="8"/>
        <v>255465</v>
      </c>
      <c r="AC24" s="127">
        <f t="shared" si="8"/>
        <v>261801</v>
      </c>
      <c r="AD24" s="127">
        <f t="shared" si="8"/>
        <v>3144994.3199999994</v>
      </c>
      <c r="AE24" s="72">
        <f t="shared" si="5"/>
        <v>32457.039999999572</v>
      </c>
      <c r="AF24" s="192">
        <f t="shared" si="2"/>
        <v>1.0320222136362897E-2</v>
      </c>
      <c r="AG24" s="129">
        <v>946599.91000000038</v>
      </c>
      <c r="AH24" s="124">
        <f t="shared" si="3"/>
        <v>-2165937.3699999992</v>
      </c>
      <c r="AI24" s="124"/>
    </row>
    <row r="25" spans="1:35">
      <c r="D25" s="105" t="s">
        <v>757</v>
      </c>
      <c r="E25" s="117">
        <f t="shared" ref="E25:AD25" si="9">-E9-E24</f>
        <v>-292485.26</v>
      </c>
      <c r="F25" s="117">
        <f t="shared" si="9"/>
        <v>-266626.92</v>
      </c>
      <c r="G25" s="117">
        <f t="shared" si="9"/>
        <v>-269704.92</v>
      </c>
      <c r="H25" s="117">
        <f t="shared" si="9"/>
        <v>-277112.51</v>
      </c>
      <c r="I25" s="117">
        <f t="shared" si="9"/>
        <v>-284916.58</v>
      </c>
      <c r="J25" s="117">
        <f t="shared" si="9"/>
        <v>-272238.92</v>
      </c>
      <c r="K25" s="117">
        <f t="shared" si="9"/>
        <v>-290300.98</v>
      </c>
      <c r="L25" s="117">
        <f t="shared" si="9"/>
        <v>-288897.66000000003</v>
      </c>
      <c r="M25" s="117">
        <f t="shared" si="9"/>
        <v>-278856.66000000003</v>
      </c>
      <c r="N25" s="117">
        <f t="shared" si="9"/>
        <v>-317299.62</v>
      </c>
      <c r="O25" s="117">
        <f t="shared" si="9"/>
        <v>-280263.98</v>
      </c>
      <c r="P25" s="117">
        <f t="shared" si="9"/>
        <v>-278891.66000000003</v>
      </c>
      <c r="Q25" s="117">
        <f t="shared" si="9"/>
        <v>-3397595.67</v>
      </c>
      <c r="R25" s="127">
        <f t="shared" si="9"/>
        <v>-366869.35000000003</v>
      </c>
      <c r="S25" s="127">
        <f t="shared" si="9"/>
        <v>-417176.43000000005</v>
      </c>
      <c r="T25" s="127">
        <f t="shared" si="9"/>
        <v>-287996.62999999995</v>
      </c>
      <c r="U25" s="127">
        <f t="shared" si="9"/>
        <v>-269408.95</v>
      </c>
      <c r="V25" s="127">
        <f t="shared" si="9"/>
        <v>-100774.07000000002</v>
      </c>
      <c r="W25" s="127">
        <f t="shared" si="9"/>
        <v>-301038.42000000004</v>
      </c>
      <c r="X25" s="127">
        <f t="shared" si="9"/>
        <v>-278282.11</v>
      </c>
      <c r="Y25" s="127">
        <f t="shared" si="9"/>
        <v>-225590.26</v>
      </c>
      <c r="Z25" s="127">
        <f t="shared" si="9"/>
        <v>-300356.33</v>
      </c>
      <c r="AA25" s="127">
        <f t="shared" si="9"/>
        <v>-335980.33</v>
      </c>
      <c r="AB25" s="127">
        <f t="shared" si="9"/>
        <v>-282318.33</v>
      </c>
      <c r="AC25" s="127">
        <f t="shared" si="9"/>
        <v>-288654.33</v>
      </c>
      <c r="AD25" s="127">
        <f t="shared" si="9"/>
        <v>-3454445.5399999996</v>
      </c>
      <c r="AE25" s="72">
        <f>Q25-AD25</f>
        <v>56849.869999999646</v>
      </c>
      <c r="AF25" s="192">
        <f>-AE25/AD25</f>
        <v>1.6457017296037515E-2</v>
      </c>
      <c r="AG25" s="129">
        <v>-3082010.9800000004</v>
      </c>
      <c r="AH25" s="124">
        <f t="shared" si="3"/>
        <v>315584.68999999948</v>
      </c>
      <c r="AI25" s="124"/>
    </row>
    <row r="26" spans="1:35">
      <c r="D26" s="105" t="s">
        <v>154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7"/>
      <c r="AF26" s="192"/>
      <c r="AG26" s="129"/>
      <c r="AH26" s="124">
        <f t="shared" si="3"/>
        <v>0</v>
      </c>
      <c r="AI26" s="124"/>
    </row>
    <row r="27" spans="1:35">
      <c r="D27" s="105" t="s">
        <v>516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7"/>
      <c r="AD27" s="117">
        <f>AD15/P118</f>
        <v>0.25418974312068288</v>
      </c>
      <c r="AF27" s="192"/>
      <c r="AG27" s="129">
        <v>0.12255507888298742</v>
      </c>
      <c r="AH27" s="124">
        <f t="shared" si="3"/>
        <v>0.12255507888298742</v>
      </c>
    </row>
    <row r="28" spans="1:35">
      <c r="D28" s="105" t="s">
        <v>517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7"/>
      <c r="AF28" s="192"/>
      <c r="AG28" s="129"/>
      <c r="AH28" s="124">
        <f t="shared" si="3"/>
        <v>0</v>
      </c>
    </row>
    <row r="29" spans="1:35">
      <c r="A29" s="105" t="s">
        <v>248</v>
      </c>
      <c r="B29" s="105" t="s">
        <v>753</v>
      </c>
      <c r="D29" s="105" t="s">
        <v>250</v>
      </c>
      <c r="E29" s="265">
        <v>0</v>
      </c>
      <c r="F29" s="116">
        <v>0</v>
      </c>
      <c r="G29" s="116">
        <v>0</v>
      </c>
      <c r="H29" s="116">
        <v>0</v>
      </c>
      <c r="I29" s="116">
        <v>0</v>
      </c>
      <c r="J29" s="116">
        <v>0</v>
      </c>
      <c r="K29" s="116">
        <v>0</v>
      </c>
      <c r="L29" s="116">
        <v>0</v>
      </c>
      <c r="M29" s="116">
        <v>0</v>
      </c>
      <c r="N29" s="116">
        <v>0</v>
      </c>
      <c r="O29" s="116">
        <v>0</v>
      </c>
      <c r="P29" s="116">
        <v>0</v>
      </c>
      <c r="Q29" s="117">
        <f>SUM(E29:P29)</f>
        <v>0</v>
      </c>
      <c r="R29" s="72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127">
        <f>SUM(R29:AC29)</f>
        <v>0</v>
      </c>
      <c r="AE29" s="72">
        <f>AD29-Q29</f>
        <v>0</v>
      </c>
      <c r="AF29" s="192" t="e">
        <f t="shared" si="2"/>
        <v>#DIV/0!</v>
      </c>
      <c r="AG29" s="129">
        <v>180110.81</v>
      </c>
      <c r="AH29" s="124">
        <f t="shared" si="3"/>
        <v>180110.81</v>
      </c>
    </row>
    <row r="30" spans="1:35">
      <c r="A30" s="105" t="s">
        <v>251</v>
      </c>
      <c r="B30" s="105" t="s">
        <v>753</v>
      </c>
      <c r="D30" s="105" t="s">
        <v>468</v>
      </c>
      <c r="E30" s="265">
        <v>8560</v>
      </c>
      <c r="F30" s="116">
        <v>8560</v>
      </c>
      <c r="G30" s="116">
        <v>8988</v>
      </c>
      <c r="H30" s="116">
        <v>8988</v>
      </c>
      <c r="I30" s="116">
        <v>8988</v>
      </c>
      <c r="J30" s="116">
        <v>8988</v>
      </c>
      <c r="K30" s="116">
        <v>12021.45</v>
      </c>
      <c r="L30" s="116">
        <v>12021.45</v>
      </c>
      <c r="M30" s="116">
        <v>12021.45</v>
      </c>
      <c r="N30" s="116">
        <v>12021.45</v>
      </c>
      <c r="O30" s="116">
        <v>12021.45</v>
      </c>
      <c r="P30" s="116">
        <v>12021.45</v>
      </c>
      <c r="Q30" s="117">
        <f>SUM(E30:P30)</f>
        <v>125200.69999999998</v>
      </c>
      <c r="R30" s="72">
        <v>10700</v>
      </c>
      <c r="S30" s="72">
        <v>10700</v>
      </c>
      <c r="T30" s="72">
        <v>10700</v>
      </c>
      <c r="U30" s="72">
        <v>10700</v>
      </c>
      <c r="V30" s="72">
        <v>10585.06</v>
      </c>
      <c r="W30" s="72">
        <v>10700</v>
      </c>
      <c r="X30" s="72">
        <v>8000</v>
      </c>
      <c r="Y30" s="72">
        <v>7871.26</v>
      </c>
      <c r="Z30" s="72">
        <v>10700</v>
      </c>
      <c r="AA30" s="72">
        <v>10700</v>
      </c>
      <c r="AB30" s="72">
        <v>10700</v>
      </c>
      <c r="AC30" s="72">
        <v>10700</v>
      </c>
      <c r="AD30" s="127">
        <f>SUM(R30:AC30)</f>
        <v>122756.31999999999</v>
      </c>
      <c r="AE30" s="72">
        <f>AD30-Q30</f>
        <v>-2444.3799999999901</v>
      </c>
      <c r="AF30" s="192">
        <f t="shared" si="2"/>
        <v>-1.9912457460438616E-2</v>
      </c>
      <c r="AG30" s="129">
        <v>937179.62</v>
      </c>
      <c r="AH30" s="124">
        <f t="shared" si="3"/>
        <v>811978.92</v>
      </c>
    </row>
    <row r="31" spans="1:35">
      <c r="D31" s="105" t="s">
        <v>520</v>
      </c>
      <c r="E31" s="117">
        <f t="shared" ref="E31:AD31" si="10">SUM(E29:E30)</f>
        <v>8560</v>
      </c>
      <c r="F31" s="117">
        <f t="shared" si="10"/>
        <v>8560</v>
      </c>
      <c r="G31" s="117">
        <f t="shared" si="10"/>
        <v>8988</v>
      </c>
      <c r="H31" s="117">
        <f t="shared" si="10"/>
        <v>8988</v>
      </c>
      <c r="I31" s="117">
        <f t="shared" si="10"/>
        <v>8988</v>
      </c>
      <c r="J31" s="117">
        <f t="shared" si="10"/>
        <v>8988</v>
      </c>
      <c r="K31" s="117">
        <f t="shared" si="10"/>
        <v>12021.45</v>
      </c>
      <c r="L31" s="117">
        <f t="shared" si="10"/>
        <v>12021.45</v>
      </c>
      <c r="M31" s="117">
        <f t="shared" si="10"/>
        <v>12021.45</v>
      </c>
      <c r="N31" s="117">
        <f t="shared" si="10"/>
        <v>12021.45</v>
      </c>
      <c r="O31" s="117">
        <f t="shared" si="10"/>
        <v>12021.45</v>
      </c>
      <c r="P31" s="117">
        <f t="shared" si="10"/>
        <v>12021.45</v>
      </c>
      <c r="Q31" s="117">
        <f t="shared" si="10"/>
        <v>125200.69999999998</v>
      </c>
      <c r="R31" s="127">
        <f t="shared" si="10"/>
        <v>10700</v>
      </c>
      <c r="S31" s="127">
        <f t="shared" si="10"/>
        <v>10700</v>
      </c>
      <c r="T31" s="127">
        <f t="shared" si="10"/>
        <v>10700</v>
      </c>
      <c r="U31" s="127">
        <f t="shared" si="10"/>
        <v>10700</v>
      </c>
      <c r="V31" s="127">
        <f t="shared" si="10"/>
        <v>10585.06</v>
      </c>
      <c r="W31" s="127">
        <f t="shared" si="10"/>
        <v>10700</v>
      </c>
      <c r="X31" s="127">
        <f t="shared" si="10"/>
        <v>8000</v>
      </c>
      <c r="Y31" s="127">
        <f t="shared" si="10"/>
        <v>7871.26</v>
      </c>
      <c r="Z31" s="127">
        <f t="shared" si="10"/>
        <v>10700</v>
      </c>
      <c r="AA31" s="127">
        <f t="shared" si="10"/>
        <v>10700</v>
      </c>
      <c r="AB31" s="127">
        <f t="shared" si="10"/>
        <v>10700</v>
      </c>
      <c r="AC31" s="127">
        <f t="shared" si="10"/>
        <v>10700</v>
      </c>
      <c r="AD31" s="127">
        <f t="shared" si="10"/>
        <v>122756.31999999999</v>
      </c>
      <c r="AE31" s="72">
        <f>AD31-Q31</f>
        <v>-2444.3799999999901</v>
      </c>
      <c r="AF31" s="192">
        <f t="shared" si="2"/>
        <v>-1.9912457460438616E-2</v>
      </c>
      <c r="AG31" s="129">
        <v>1117290.43</v>
      </c>
      <c r="AH31" s="124">
        <f t="shared" si="3"/>
        <v>992089.73</v>
      </c>
    </row>
    <row r="32" spans="1:35">
      <c r="D32" s="105" t="s">
        <v>154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7"/>
      <c r="AF32" s="192" t="e">
        <f t="shared" si="2"/>
        <v>#DIV/0!</v>
      </c>
      <c r="AG32" s="129"/>
      <c r="AH32" s="124">
        <f t="shared" si="3"/>
        <v>0</v>
      </c>
    </row>
    <row r="33" spans="1:34">
      <c r="A33" s="105" t="s">
        <v>119</v>
      </c>
      <c r="B33" s="105" t="s">
        <v>753</v>
      </c>
      <c r="D33" s="105" t="s">
        <v>260</v>
      </c>
      <c r="E33" s="265">
        <v>3310.34</v>
      </c>
      <c r="F33" s="265">
        <v>0</v>
      </c>
      <c r="G33" s="265">
        <v>0</v>
      </c>
      <c r="H33" s="265">
        <v>767.59</v>
      </c>
      <c r="I33" s="265">
        <v>1549.66</v>
      </c>
      <c r="J33" s="265">
        <v>0</v>
      </c>
      <c r="K33" s="265">
        <v>0</v>
      </c>
      <c r="L33" s="265">
        <v>0</v>
      </c>
      <c r="M33" s="265">
        <v>0</v>
      </c>
      <c r="N33" s="265">
        <v>4648.96</v>
      </c>
      <c r="O33" s="265">
        <v>0</v>
      </c>
      <c r="P33" s="265">
        <v>0</v>
      </c>
      <c r="Q33" s="117">
        <f>SUM(E33:P33)</f>
        <v>10276.549999999999</v>
      </c>
      <c r="R33" s="72">
        <v>1475.88</v>
      </c>
      <c r="S33" s="72">
        <v>3337.98</v>
      </c>
      <c r="T33" s="72">
        <v>0</v>
      </c>
      <c r="U33" s="72">
        <v>758.64</v>
      </c>
      <c r="V33" s="72">
        <v>1475.88</v>
      </c>
      <c r="W33" s="72">
        <v>1103.46</v>
      </c>
      <c r="X33" s="72">
        <v>0</v>
      </c>
      <c r="Y33" s="72">
        <v>0</v>
      </c>
      <c r="Z33" s="72">
        <v>2683</v>
      </c>
      <c r="AA33" s="72">
        <v>8049</v>
      </c>
      <c r="AB33" s="72">
        <v>0</v>
      </c>
      <c r="AC33" s="72">
        <v>0</v>
      </c>
      <c r="AD33" s="127">
        <f>SUM(R33:AC33)</f>
        <v>18883.84</v>
      </c>
      <c r="AE33" s="72">
        <f t="shared" ref="AE33:AE38" si="11">AD33-Q33</f>
        <v>8607.2900000000009</v>
      </c>
      <c r="AF33" s="192">
        <f t="shared" si="2"/>
        <v>0.45580189198807025</v>
      </c>
      <c r="AG33" s="129">
        <v>87158.37</v>
      </c>
      <c r="AH33" s="124">
        <f t="shared" si="3"/>
        <v>76881.819999999992</v>
      </c>
    </row>
    <row r="34" spans="1:34">
      <c r="A34" s="105" t="s">
        <v>120</v>
      </c>
      <c r="B34" s="105" t="s">
        <v>753</v>
      </c>
      <c r="D34" s="105" t="s">
        <v>668</v>
      </c>
      <c r="E34" s="265">
        <v>1333.3400000000001</v>
      </c>
      <c r="F34" s="265">
        <v>1333.3400000000001</v>
      </c>
      <c r="G34" s="265">
        <v>1333.3400000000001</v>
      </c>
      <c r="H34" s="265">
        <v>1333.3400000000001</v>
      </c>
      <c r="I34" s="265">
        <v>1333.3400000000001</v>
      </c>
      <c r="J34" s="265">
        <v>1333.3400000000001</v>
      </c>
      <c r="K34" s="265">
        <v>1783.3400000000001</v>
      </c>
      <c r="L34" s="265">
        <v>1783.3400000000001</v>
      </c>
      <c r="M34" s="265">
        <v>1783.3400000000001</v>
      </c>
      <c r="N34" s="265">
        <v>1783.3400000000001</v>
      </c>
      <c r="O34" s="265">
        <v>1783.3400000000001</v>
      </c>
      <c r="P34" s="265">
        <v>1783.3400000000001</v>
      </c>
      <c r="Q34" s="117">
        <f>SUM(E34:P34)</f>
        <v>18700.080000000002</v>
      </c>
      <c r="R34" s="72">
        <v>2015.41</v>
      </c>
      <c r="S34" s="72">
        <v>2038.03</v>
      </c>
      <c r="T34" s="72">
        <v>2030.98</v>
      </c>
      <c r="U34" s="72">
        <v>1370.84</v>
      </c>
      <c r="V34" s="72">
        <v>1356.24</v>
      </c>
      <c r="W34" s="72">
        <v>1364.51</v>
      </c>
      <c r="X34" s="72">
        <v>913.97</v>
      </c>
      <c r="Y34" s="72">
        <v>936.93</v>
      </c>
      <c r="Z34" s="72">
        <v>1783.33</v>
      </c>
      <c r="AA34" s="72">
        <v>1783.33</v>
      </c>
      <c r="AB34" s="72">
        <v>1783.33</v>
      </c>
      <c r="AC34" s="72">
        <v>1783.33</v>
      </c>
      <c r="AD34" s="127">
        <f>SUM(R34:AC34)</f>
        <v>19160.230000000003</v>
      </c>
      <c r="AE34" s="72">
        <f t="shared" si="11"/>
        <v>460.15000000000146</v>
      </c>
      <c r="AF34" s="192">
        <f t="shared" si="2"/>
        <v>2.4015891249739768E-2</v>
      </c>
      <c r="AG34" s="129">
        <v>171422.28</v>
      </c>
      <c r="AH34" s="124">
        <f t="shared" si="3"/>
        <v>152722.20000000001</v>
      </c>
    </row>
    <row r="35" spans="1:34">
      <c r="A35" s="105" t="s">
        <v>121</v>
      </c>
      <c r="B35" s="105" t="s">
        <v>753</v>
      </c>
      <c r="D35" s="105" t="s">
        <v>262</v>
      </c>
      <c r="E35" s="265">
        <v>2990</v>
      </c>
      <c r="F35" s="265">
        <v>2990</v>
      </c>
      <c r="G35" s="265">
        <v>2990</v>
      </c>
      <c r="H35" s="265">
        <v>2990</v>
      </c>
      <c r="I35" s="265">
        <v>2990</v>
      </c>
      <c r="J35" s="265">
        <v>2990</v>
      </c>
      <c r="K35" s="265">
        <v>3520</v>
      </c>
      <c r="L35" s="265">
        <v>3520</v>
      </c>
      <c r="M35" s="265">
        <v>3520</v>
      </c>
      <c r="N35" s="265">
        <v>3520</v>
      </c>
      <c r="O35" s="265">
        <v>3520</v>
      </c>
      <c r="P35" s="265">
        <v>3520</v>
      </c>
      <c r="Q35" s="117">
        <f>SUM(E35:P35)</f>
        <v>39060</v>
      </c>
      <c r="R35" s="72">
        <v>3320</v>
      </c>
      <c r="S35" s="72">
        <v>3320</v>
      </c>
      <c r="T35" s="72">
        <v>3320</v>
      </c>
      <c r="U35" s="72">
        <v>3320</v>
      </c>
      <c r="V35" s="72">
        <v>3604</v>
      </c>
      <c r="W35" s="72">
        <v>2925</v>
      </c>
      <c r="X35" s="72">
        <v>2790</v>
      </c>
      <c r="Y35" s="72">
        <v>2679.35</v>
      </c>
      <c r="Z35" s="72">
        <v>8460</v>
      </c>
      <c r="AA35" s="72">
        <v>7010</v>
      </c>
      <c r="AB35" s="72">
        <v>7060</v>
      </c>
      <c r="AC35" s="72">
        <v>7060</v>
      </c>
      <c r="AD35" s="127">
        <f>SUM(R35:AC35)</f>
        <v>54868.35</v>
      </c>
      <c r="AE35" s="72">
        <f t="shared" si="11"/>
        <v>15808.349999999999</v>
      </c>
      <c r="AF35" s="192">
        <f t="shared" si="2"/>
        <v>0.28811418604714739</v>
      </c>
      <c r="AG35" s="129">
        <v>145700</v>
      </c>
      <c r="AH35" s="124">
        <f t="shared" si="3"/>
        <v>106640</v>
      </c>
    </row>
    <row r="36" spans="1:34">
      <c r="A36" s="105" t="s">
        <v>122</v>
      </c>
      <c r="B36" s="105" t="s">
        <v>753</v>
      </c>
      <c r="D36" s="105" t="s">
        <v>263</v>
      </c>
      <c r="E36" s="265">
        <v>0</v>
      </c>
      <c r="F36" s="265">
        <v>0</v>
      </c>
      <c r="G36" s="265">
        <v>0</v>
      </c>
      <c r="H36" s="265">
        <v>0</v>
      </c>
      <c r="I36" s="265">
        <v>0</v>
      </c>
      <c r="J36" s="265">
        <v>0</v>
      </c>
      <c r="K36" s="265">
        <v>0</v>
      </c>
      <c r="L36" s="265">
        <v>0</v>
      </c>
      <c r="M36" s="265">
        <v>0</v>
      </c>
      <c r="N36" s="265">
        <v>0</v>
      </c>
      <c r="O36" s="265">
        <v>0</v>
      </c>
      <c r="P36" s="265">
        <v>0</v>
      </c>
      <c r="Q36" s="117">
        <f>SUM(E36:P36)</f>
        <v>0</v>
      </c>
      <c r="R36" s="72">
        <v>0</v>
      </c>
      <c r="S36" s="72">
        <v>0</v>
      </c>
      <c r="T36" s="72">
        <v>0</v>
      </c>
      <c r="U36" s="72">
        <v>0</v>
      </c>
      <c r="V36" s="72">
        <v>0</v>
      </c>
      <c r="W36" s="72">
        <v>0</v>
      </c>
      <c r="X36" s="72">
        <v>0</v>
      </c>
      <c r="Y36" s="72">
        <v>0</v>
      </c>
      <c r="Z36" s="72">
        <v>0</v>
      </c>
      <c r="AA36" s="72">
        <v>0</v>
      </c>
      <c r="AB36" s="72">
        <v>0</v>
      </c>
      <c r="AC36" s="72">
        <v>0</v>
      </c>
      <c r="AD36" s="127">
        <f>SUM(R36:AC36)</f>
        <v>0</v>
      </c>
      <c r="AE36" s="72">
        <f t="shared" si="11"/>
        <v>0</v>
      </c>
      <c r="AF36" s="192" t="e">
        <f t="shared" si="2"/>
        <v>#DIV/0!</v>
      </c>
      <c r="AG36" s="129">
        <v>0</v>
      </c>
      <c r="AH36" s="124">
        <f t="shared" si="3"/>
        <v>0</v>
      </c>
    </row>
    <row r="37" spans="1:34">
      <c r="A37" s="105" t="s">
        <v>123</v>
      </c>
      <c r="B37" s="105" t="s">
        <v>753</v>
      </c>
      <c r="D37" s="105" t="s">
        <v>264</v>
      </c>
      <c r="E37" s="265">
        <v>2100</v>
      </c>
      <c r="F37" s="265">
        <v>2100</v>
      </c>
      <c r="G37" s="265">
        <v>2100</v>
      </c>
      <c r="H37" s="265">
        <v>2100</v>
      </c>
      <c r="I37" s="265">
        <v>2100</v>
      </c>
      <c r="J37" s="265">
        <v>2100</v>
      </c>
      <c r="K37" s="265">
        <v>2100</v>
      </c>
      <c r="L37" s="265">
        <v>2100</v>
      </c>
      <c r="M37" s="265">
        <v>2100</v>
      </c>
      <c r="N37" s="265">
        <v>2100</v>
      </c>
      <c r="O37" s="265">
        <v>2100</v>
      </c>
      <c r="P37" s="265">
        <v>2100</v>
      </c>
      <c r="Q37" s="117">
        <f>SUM(E37:P37)</f>
        <v>25200</v>
      </c>
      <c r="R37" s="72">
        <v>2300</v>
      </c>
      <c r="S37" s="72">
        <v>2300</v>
      </c>
      <c r="T37" s="72">
        <v>2300</v>
      </c>
      <c r="U37" s="72">
        <v>2294.2399999999998</v>
      </c>
      <c r="V37" s="72">
        <v>2100</v>
      </c>
      <c r="W37" s="72">
        <v>2300</v>
      </c>
      <c r="X37" s="72">
        <v>2100</v>
      </c>
      <c r="Y37" s="72">
        <v>1882.4</v>
      </c>
      <c r="Z37" s="72">
        <v>800</v>
      </c>
      <c r="AA37" s="72">
        <v>800</v>
      </c>
      <c r="AB37" s="72">
        <v>800</v>
      </c>
      <c r="AC37" s="72">
        <v>800</v>
      </c>
      <c r="AD37" s="127">
        <f>SUM(R37:AC37)</f>
        <v>20776.64</v>
      </c>
      <c r="AE37" s="72">
        <f t="shared" si="11"/>
        <v>-4423.3600000000006</v>
      </c>
      <c r="AF37" s="192">
        <f t="shared" si="2"/>
        <v>-0.21290064225976871</v>
      </c>
      <c r="AG37" s="129">
        <v>72931.559999999983</v>
      </c>
      <c r="AH37" s="124">
        <f t="shared" si="3"/>
        <v>47731.559999999983</v>
      </c>
    </row>
    <row r="38" spans="1:34">
      <c r="D38" s="109" t="s">
        <v>521</v>
      </c>
      <c r="E38" s="117">
        <f t="shared" ref="E38:AD38" si="12">SUM(E33:E37)</f>
        <v>9733.68</v>
      </c>
      <c r="F38" s="117">
        <f t="shared" si="12"/>
        <v>6423.34</v>
      </c>
      <c r="G38" s="117">
        <f t="shared" si="12"/>
        <v>6423.34</v>
      </c>
      <c r="H38" s="117">
        <f t="shared" si="12"/>
        <v>7190.93</v>
      </c>
      <c r="I38" s="117">
        <f t="shared" si="12"/>
        <v>7973</v>
      </c>
      <c r="J38" s="117">
        <f t="shared" si="12"/>
        <v>6423.34</v>
      </c>
      <c r="K38" s="117">
        <f t="shared" si="12"/>
        <v>7403.34</v>
      </c>
      <c r="L38" s="117">
        <f t="shared" si="12"/>
        <v>7403.34</v>
      </c>
      <c r="M38" s="117">
        <f t="shared" si="12"/>
        <v>7403.34</v>
      </c>
      <c r="N38" s="117">
        <f t="shared" si="12"/>
        <v>12052.3</v>
      </c>
      <c r="O38" s="117">
        <f t="shared" si="12"/>
        <v>7403.34</v>
      </c>
      <c r="P38" s="117">
        <f t="shared" si="12"/>
        <v>7403.34</v>
      </c>
      <c r="Q38" s="117">
        <f t="shared" si="12"/>
        <v>93236.63</v>
      </c>
      <c r="R38" s="127">
        <f t="shared" si="12"/>
        <v>9111.2900000000009</v>
      </c>
      <c r="S38" s="127">
        <f t="shared" si="12"/>
        <v>10996.01</v>
      </c>
      <c r="T38" s="127">
        <f t="shared" si="12"/>
        <v>7650.98</v>
      </c>
      <c r="U38" s="127">
        <f t="shared" si="12"/>
        <v>7743.7199999999993</v>
      </c>
      <c r="V38" s="127">
        <f t="shared" si="12"/>
        <v>8536.119999999999</v>
      </c>
      <c r="W38" s="127">
        <f t="shared" si="12"/>
        <v>7692.97</v>
      </c>
      <c r="X38" s="127">
        <f t="shared" si="12"/>
        <v>5803.97</v>
      </c>
      <c r="Y38" s="127">
        <f t="shared" si="12"/>
        <v>5498.68</v>
      </c>
      <c r="Z38" s="127">
        <f t="shared" si="12"/>
        <v>13726.33</v>
      </c>
      <c r="AA38" s="127">
        <f t="shared" si="12"/>
        <v>17642.330000000002</v>
      </c>
      <c r="AB38" s="127">
        <f t="shared" si="12"/>
        <v>9643.33</v>
      </c>
      <c r="AC38" s="127">
        <f t="shared" si="12"/>
        <v>9643.33</v>
      </c>
      <c r="AD38" s="127">
        <f t="shared" si="12"/>
        <v>113689.06000000001</v>
      </c>
      <c r="AE38" s="72">
        <f t="shared" si="11"/>
        <v>20452.430000000008</v>
      </c>
      <c r="AF38" s="192">
        <f t="shared" si="2"/>
        <v>0.17989796027867594</v>
      </c>
      <c r="AG38" s="129">
        <v>477212.21</v>
      </c>
      <c r="AH38" s="124">
        <f t="shared" si="3"/>
        <v>383975.58</v>
      </c>
    </row>
    <row r="39" spans="1:34">
      <c r="D39" s="105" t="s">
        <v>154</v>
      </c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7"/>
      <c r="AF39" s="192"/>
      <c r="AG39" s="129"/>
      <c r="AH39" s="124">
        <f t="shared" si="3"/>
        <v>0</v>
      </c>
    </row>
    <row r="40" spans="1:34">
      <c r="A40" s="105" t="s">
        <v>124</v>
      </c>
      <c r="B40" s="105" t="s">
        <v>753</v>
      </c>
      <c r="D40" s="105" t="s">
        <v>266</v>
      </c>
      <c r="E40" s="265">
        <v>2481.7200000000003</v>
      </c>
      <c r="F40" s="265">
        <v>2481.7200000000003</v>
      </c>
      <c r="G40" s="265">
        <v>2481.7200000000003</v>
      </c>
      <c r="H40" s="265">
        <v>2481.7200000000003</v>
      </c>
      <c r="I40" s="265">
        <v>2481.7200000000003</v>
      </c>
      <c r="J40" s="265">
        <v>2481.7200000000003</v>
      </c>
      <c r="K40" s="265">
        <v>3526.72</v>
      </c>
      <c r="L40" s="265">
        <v>3526.72</v>
      </c>
      <c r="M40" s="265">
        <v>3526.72</v>
      </c>
      <c r="N40" s="265">
        <v>3526.72</v>
      </c>
      <c r="O40" s="265">
        <v>3526.72</v>
      </c>
      <c r="P40" s="265">
        <v>3526.72</v>
      </c>
      <c r="Q40" s="117">
        <f>SUM(E40:P40)</f>
        <v>36050.640000000007</v>
      </c>
      <c r="R40" s="72">
        <v>3091.2</v>
      </c>
      <c r="S40" s="72">
        <v>3091.2</v>
      </c>
      <c r="T40" s="72">
        <v>3091.2</v>
      </c>
      <c r="U40" s="72">
        <v>3091.2</v>
      </c>
      <c r="V40" s="72">
        <v>3091.2</v>
      </c>
      <c r="W40" s="72">
        <v>3091.2</v>
      </c>
      <c r="X40" s="72">
        <v>2318.4</v>
      </c>
      <c r="Y40" s="72">
        <v>2318.4</v>
      </c>
      <c r="Z40" s="181">
        <v>3061</v>
      </c>
      <c r="AA40" s="181">
        <v>3061</v>
      </c>
      <c r="AB40" s="181">
        <v>3061</v>
      </c>
      <c r="AC40" s="181">
        <v>3061</v>
      </c>
      <c r="AD40" s="127">
        <f t="shared" ref="AD40:AD47" si="13">SUM(R40:AC40)</f>
        <v>35428</v>
      </c>
      <c r="AE40" s="72">
        <f t="shared" ref="AE40:AE48" si="14">AD40-Q40</f>
        <v>-622.64000000000669</v>
      </c>
      <c r="AF40" s="192">
        <f t="shared" si="2"/>
        <v>-1.757479959354202E-2</v>
      </c>
      <c r="AG40" s="129">
        <v>271477.55</v>
      </c>
      <c r="AH40" s="124">
        <f t="shared" si="3"/>
        <v>235426.90999999997</v>
      </c>
    </row>
    <row r="41" spans="1:34">
      <c r="A41" s="105" t="s">
        <v>125</v>
      </c>
      <c r="B41" s="105" t="s">
        <v>753</v>
      </c>
      <c r="D41" s="105" t="s">
        <v>267</v>
      </c>
      <c r="E41" s="265">
        <v>997.92</v>
      </c>
      <c r="F41" s="265">
        <v>997.92</v>
      </c>
      <c r="G41" s="265">
        <v>997.92</v>
      </c>
      <c r="H41" s="265">
        <v>997.92</v>
      </c>
      <c r="I41" s="265">
        <v>997.92</v>
      </c>
      <c r="J41" s="265">
        <v>997.92</v>
      </c>
      <c r="K41" s="265">
        <v>1405.32</v>
      </c>
      <c r="L41" s="265">
        <v>1405.32</v>
      </c>
      <c r="M41" s="265">
        <v>1405.32</v>
      </c>
      <c r="N41" s="265">
        <v>1405.32</v>
      </c>
      <c r="O41" s="265">
        <v>1405.32</v>
      </c>
      <c r="P41" s="265">
        <v>1405.32</v>
      </c>
      <c r="Q41" s="117">
        <f t="shared" ref="Q41:Q47" si="15">SUM(E41:P41)</f>
        <v>14419.439999999999</v>
      </c>
      <c r="R41" s="72">
        <v>1642.2</v>
      </c>
      <c r="S41" s="72">
        <v>1642.2</v>
      </c>
      <c r="T41" s="72">
        <v>1642.2</v>
      </c>
      <c r="U41" s="72">
        <v>1642.2</v>
      </c>
      <c r="V41" s="72">
        <v>1642.2</v>
      </c>
      <c r="W41" s="72">
        <v>1642.2</v>
      </c>
      <c r="X41" s="72">
        <v>941.85</v>
      </c>
      <c r="Y41" s="72">
        <v>941.85</v>
      </c>
      <c r="Z41" s="181">
        <v>1623</v>
      </c>
      <c r="AA41" s="181">
        <v>1623</v>
      </c>
      <c r="AB41" s="181">
        <v>1623</v>
      </c>
      <c r="AC41" s="181">
        <v>1623</v>
      </c>
      <c r="AD41" s="127">
        <f t="shared" si="13"/>
        <v>18228.900000000001</v>
      </c>
      <c r="AE41" s="72">
        <f t="shared" si="14"/>
        <v>3809.4600000000028</v>
      </c>
      <c r="AF41" s="192">
        <f t="shared" si="2"/>
        <v>0.2089791484949724</v>
      </c>
      <c r="AG41" s="129">
        <v>132297.54</v>
      </c>
      <c r="AH41" s="124">
        <f t="shared" si="3"/>
        <v>117878.1</v>
      </c>
    </row>
    <row r="42" spans="1:34">
      <c r="A42" s="105" t="s">
        <v>126</v>
      </c>
      <c r="B42" s="105" t="s">
        <v>753</v>
      </c>
      <c r="D42" s="105" t="s">
        <v>268</v>
      </c>
      <c r="E42" s="265">
        <v>76.77</v>
      </c>
      <c r="F42" s="265">
        <v>76.77</v>
      </c>
      <c r="G42" s="265">
        <v>76.77</v>
      </c>
      <c r="H42" s="265">
        <v>76.77</v>
      </c>
      <c r="I42" s="265">
        <v>76.77</v>
      </c>
      <c r="J42" s="265">
        <v>76.77</v>
      </c>
      <c r="K42" s="265">
        <v>108.12</v>
      </c>
      <c r="L42" s="265">
        <v>108.12</v>
      </c>
      <c r="M42" s="265">
        <v>108.12</v>
      </c>
      <c r="N42" s="265">
        <v>108.12</v>
      </c>
      <c r="O42" s="265">
        <v>108.12</v>
      </c>
      <c r="P42" s="265">
        <v>108.12</v>
      </c>
      <c r="Q42" s="117">
        <f t="shared" si="15"/>
        <v>1109.3400000000001</v>
      </c>
      <c r="R42" s="72">
        <v>96.6</v>
      </c>
      <c r="S42" s="72">
        <v>96.6</v>
      </c>
      <c r="T42" s="72">
        <v>96.6</v>
      </c>
      <c r="U42" s="72">
        <v>96.6</v>
      </c>
      <c r="V42" s="72">
        <v>96.6</v>
      </c>
      <c r="W42" s="72">
        <v>96.6</v>
      </c>
      <c r="X42" s="72">
        <v>72.45</v>
      </c>
      <c r="Y42" s="72">
        <v>72.45</v>
      </c>
      <c r="Z42" s="72">
        <v>97</v>
      </c>
      <c r="AA42" s="72">
        <v>97</v>
      </c>
      <c r="AB42" s="72">
        <v>97</v>
      </c>
      <c r="AC42" s="72">
        <v>97</v>
      </c>
      <c r="AD42" s="127">
        <f t="shared" si="13"/>
        <v>1112.5</v>
      </c>
      <c r="AE42" s="72">
        <f t="shared" si="14"/>
        <v>3.1599999999998545</v>
      </c>
      <c r="AF42" s="192">
        <f t="shared" si="2"/>
        <v>2.8404494382021162E-3</v>
      </c>
      <c r="AG42" s="129">
        <v>8104.3199999999988</v>
      </c>
      <c r="AH42" s="124">
        <f t="shared" si="3"/>
        <v>6994.9799999999987</v>
      </c>
    </row>
    <row r="43" spans="1:34">
      <c r="A43" s="105" t="s">
        <v>127</v>
      </c>
      <c r="B43" s="105" t="s">
        <v>753</v>
      </c>
      <c r="D43" s="105" t="s">
        <v>269</v>
      </c>
      <c r="E43" s="265">
        <v>18.419999999999998</v>
      </c>
      <c r="F43" s="265">
        <v>18.419999999999998</v>
      </c>
      <c r="G43" s="265">
        <v>18.419999999999998</v>
      </c>
      <c r="H43" s="265">
        <v>18.419999999999998</v>
      </c>
      <c r="I43" s="265">
        <v>18.419999999999998</v>
      </c>
      <c r="J43" s="265">
        <v>18.419999999999998</v>
      </c>
      <c r="K43" s="265">
        <v>25.96</v>
      </c>
      <c r="L43" s="265">
        <v>25.96</v>
      </c>
      <c r="M43" s="265">
        <v>25.96</v>
      </c>
      <c r="N43" s="265">
        <v>25.96</v>
      </c>
      <c r="O43" s="265">
        <v>25.96</v>
      </c>
      <c r="P43" s="265">
        <v>25.96</v>
      </c>
      <c r="Q43" s="117">
        <f t="shared" si="15"/>
        <v>266.28000000000003</v>
      </c>
      <c r="R43" s="72">
        <v>23.2</v>
      </c>
      <c r="S43" s="72">
        <v>23.2</v>
      </c>
      <c r="T43" s="72">
        <v>23.2</v>
      </c>
      <c r="U43" s="72">
        <v>23.2</v>
      </c>
      <c r="V43" s="72">
        <v>23.2</v>
      </c>
      <c r="W43" s="72">
        <v>23.2</v>
      </c>
      <c r="X43" s="72">
        <v>17.399999999999999</v>
      </c>
      <c r="Y43" s="72">
        <v>17.399999999999999</v>
      </c>
      <c r="Z43" s="72">
        <v>41</v>
      </c>
      <c r="AA43" s="72">
        <v>41</v>
      </c>
      <c r="AB43" s="72">
        <v>41</v>
      </c>
      <c r="AC43" s="72">
        <v>41</v>
      </c>
      <c r="AD43" s="127">
        <f t="shared" si="13"/>
        <v>338</v>
      </c>
      <c r="AE43" s="72">
        <f t="shared" si="14"/>
        <v>71.71999999999997</v>
      </c>
      <c r="AF43" s="192">
        <f t="shared" si="2"/>
        <v>0.21218934911242596</v>
      </c>
      <c r="AG43" s="129">
        <v>2593.38</v>
      </c>
      <c r="AH43" s="124">
        <f t="shared" si="3"/>
        <v>2327.1</v>
      </c>
    </row>
    <row r="44" spans="1:34">
      <c r="A44" s="105" t="s">
        <v>128</v>
      </c>
      <c r="B44" s="105" t="s">
        <v>753</v>
      </c>
      <c r="D44" s="105" t="s">
        <v>270</v>
      </c>
      <c r="E44" s="265">
        <v>0</v>
      </c>
      <c r="F44" s="265">
        <v>0</v>
      </c>
      <c r="G44" s="265">
        <v>0</v>
      </c>
      <c r="H44" s="265">
        <v>0</v>
      </c>
      <c r="I44" s="265">
        <v>0</v>
      </c>
      <c r="J44" s="265">
        <v>0</v>
      </c>
      <c r="K44" s="265">
        <v>0</v>
      </c>
      <c r="L44" s="265">
        <v>0</v>
      </c>
      <c r="M44" s="265">
        <v>0</v>
      </c>
      <c r="N44" s="265">
        <v>0</v>
      </c>
      <c r="O44" s="265">
        <v>0</v>
      </c>
      <c r="P44" s="265">
        <v>0</v>
      </c>
      <c r="Q44" s="117">
        <f t="shared" si="15"/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72">
        <v>0</v>
      </c>
      <c r="AD44" s="127">
        <f t="shared" si="13"/>
        <v>0</v>
      </c>
      <c r="AE44" s="72">
        <f t="shared" si="14"/>
        <v>0</v>
      </c>
      <c r="AF44" s="192" t="e">
        <f t="shared" si="2"/>
        <v>#DIV/0!</v>
      </c>
      <c r="AG44" s="129">
        <v>5472.03</v>
      </c>
      <c r="AH44" s="124">
        <f t="shared" si="3"/>
        <v>5472.03</v>
      </c>
    </row>
    <row r="45" spans="1:34">
      <c r="A45" s="105" t="s">
        <v>129</v>
      </c>
      <c r="B45" s="105" t="s">
        <v>753</v>
      </c>
      <c r="D45" s="105" t="s">
        <v>271</v>
      </c>
      <c r="E45" s="265">
        <v>661.72</v>
      </c>
      <c r="F45" s="265">
        <v>661.72</v>
      </c>
      <c r="G45" s="265">
        <v>661.72</v>
      </c>
      <c r="H45" s="265">
        <v>661.72</v>
      </c>
      <c r="I45" s="265">
        <v>661.72</v>
      </c>
      <c r="J45" s="265">
        <v>661.72</v>
      </c>
      <c r="K45" s="265">
        <v>1081.04</v>
      </c>
      <c r="L45" s="265">
        <v>796.72</v>
      </c>
      <c r="M45" s="265">
        <v>796.72</v>
      </c>
      <c r="N45" s="265">
        <v>796.72</v>
      </c>
      <c r="O45" s="265">
        <v>1081.04</v>
      </c>
      <c r="P45" s="265">
        <v>796.72</v>
      </c>
      <c r="Q45" s="135">
        <f t="shared" si="15"/>
        <v>9319.2800000000007</v>
      </c>
      <c r="R45" s="136">
        <v>912</v>
      </c>
      <c r="S45" s="136">
        <v>912</v>
      </c>
      <c r="T45" s="136">
        <v>912</v>
      </c>
      <c r="U45" s="136">
        <v>912</v>
      </c>
      <c r="V45" s="136">
        <v>912</v>
      </c>
      <c r="W45" s="136">
        <v>912</v>
      </c>
      <c r="X45" s="72">
        <v>700</v>
      </c>
      <c r="Y45" s="72">
        <v>700</v>
      </c>
      <c r="Z45" s="72">
        <v>907</v>
      </c>
      <c r="AA45" s="72">
        <v>907</v>
      </c>
      <c r="AB45" s="72">
        <v>907</v>
      </c>
      <c r="AC45" s="72">
        <v>907</v>
      </c>
      <c r="AD45" s="137">
        <f t="shared" si="13"/>
        <v>10500</v>
      </c>
      <c r="AE45" s="136">
        <f t="shared" si="14"/>
        <v>1180.7199999999993</v>
      </c>
      <c r="AF45" s="196">
        <f t="shared" si="2"/>
        <v>0.11244952380952375</v>
      </c>
      <c r="AG45" s="133">
        <v>67908</v>
      </c>
      <c r="AH45" s="124">
        <f t="shared" si="3"/>
        <v>58588.72</v>
      </c>
    </row>
    <row r="46" spans="1:34">
      <c r="A46" s="105" t="s">
        <v>130</v>
      </c>
      <c r="B46" s="105" t="s">
        <v>753</v>
      </c>
      <c r="D46" s="105" t="s">
        <v>272</v>
      </c>
      <c r="E46" s="265">
        <v>366</v>
      </c>
      <c r="F46" s="265">
        <v>300</v>
      </c>
      <c r="G46" s="265">
        <v>308</v>
      </c>
      <c r="H46" s="265">
        <v>324</v>
      </c>
      <c r="I46" s="265">
        <v>339</v>
      </c>
      <c r="J46" s="265">
        <v>308</v>
      </c>
      <c r="K46" s="265">
        <v>388</v>
      </c>
      <c r="L46" s="265">
        <v>388</v>
      </c>
      <c r="M46" s="265">
        <v>388</v>
      </c>
      <c r="N46" s="265">
        <v>481</v>
      </c>
      <c r="O46" s="265">
        <v>388</v>
      </c>
      <c r="P46" s="265">
        <v>388</v>
      </c>
      <c r="Q46" s="135">
        <f t="shared" si="15"/>
        <v>4366</v>
      </c>
      <c r="R46" s="136">
        <v>325.92</v>
      </c>
      <c r="S46" s="136">
        <v>363.16</v>
      </c>
      <c r="T46" s="136">
        <v>562.5</v>
      </c>
      <c r="U46" s="136">
        <v>488.86</v>
      </c>
      <c r="V46" s="136">
        <v>317.39999999999998</v>
      </c>
      <c r="W46" s="136">
        <v>318.47000000000003</v>
      </c>
      <c r="X46" s="72">
        <v>227.8</v>
      </c>
      <c r="Y46" s="72">
        <v>218.66</v>
      </c>
      <c r="Z46" s="72">
        <v>466</v>
      </c>
      <c r="AA46" s="72">
        <v>466</v>
      </c>
      <c r="AB46" s="72">
        <v>466</v>
      </c>
      <c r="AC46" s="72">
        <v>466</v>
      </c>
      <c r="AD46" s="137">
        <f t="shared" si="13"/>
        <v>4686.7700000000004</v>
      </c>
      <c r="AE46" s="136">
        <f t="shared" si="14"/>
        <v>320.77000000000044</v>
      </c>
      <c r="AF46" s="196">
        <f t="shared" si="2"/>
        <v>6.8441591970589646E-2</v>
      </c>
      <c r="AG46" s="133">
        <v>33352.200000000004</v>
      </c>
      <c r="AH46" s="124">
        <f t="shared" si="3"/>
        <v>28986.200000000004</v>
      </c>
    </row>
    <row r="47" spans="1:34">
      <c r="A47" s="105" t="s">
        <v>670</v>
      </c>
      <c r="D47" s="105" t="s">
        <v>274</v>
      </c>
      <c r="E47" s="265">
        <v>0</v>
      </c>
      <c r="F47" s="265">
        <v>0</v>
      </c>
      <c r="G47" s="265">
        <v>0</v>
      </c>
      <c r="H47" s="265">
        <v>0</v>
      </c>
      <c r="I47" s="265">
        <v>0</v>
      </c>
      <c r="J47" s="265">
        <v>0</v>
      </c>
      <c r="K47" s="265">
        <v>0</v>
      </c>
      <c r="L47" s="265">
        <v>0</v>
      </c>
      <c r="M47" s="265">
        <v>0</v>
      </c>
      <c r="N47" s="265">
        <v>0</v>
      </c>
      <c r="O47" s="265">
        <v>0</v>
      </c>
      <c r="P47" s="265">
        <v>0</v>
      </c>
      <c r="Q47" s="117">
        <f t="shared" si="15"/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72">
        <v>0</v>
      </c>
      <c r="AD47" s="127">
        <f t="shared" si="13"/>
        <v>0</v>
      </c>
      <c r="AE47" s="72">
        <f t="shared" si="14"/>
        <v>0</v>
      </c>
      <c r="AF47" s="192" t="e">
        <f t="shared" si="2"/>
        <v>#DIV/0!</v>
      </c>
      <c r="AG47" s="129">
        <v>0</v>
      </c>
      <c r="AH47" s="124">
        <f t="shared" si="3"/>
        <v>0</v>
      </c>
    </row>
    <row r="48" spans="1:34">
      <c r="D48" s="109" t="s">
        <v>522</v>
      </c>
      <c r="E48" s="117">
        <f t="shared" ref="E48:AD48" si="16">SUM(E40:E47)</f>
        <v>4602.55</v>
      </c>
      <c r="F48" s="117">
        <f t="shared" si="16"/>
        <v>4536.55</v>
      </c>
      <c r="G48" s="117">
        <f t="shared" si="16"/>
        <v>4544.55</v>
      </c>
      <c r="H48" s="117">
        <f t="shared" si="16"/>
        <v>4560.55</v>
      </c>
      <c r="I48" s="117">
        <f t="shared" si="16"/>
        <v>4575.55</v>
      </c>
      <c r="J48" s="117">
        <f t="shared" si="16"/>
        <v>4544.55</v>
      </c>
      <c r="K48" s="117">
        <f t="shared" si="16"/>
        <v>6535.16</v>
      </c>
      <c r="L48" s="117">
        <f t="shared" si="16"/>
        <v>6250.84</v>
      </c>
      <c r="M48" s="117">
        <f t="shared" si="16"/>
        <v>6250.84</v>
      </c>
      <c r="N48" s="117">
        <f t="shared" si="16"/>
        <v>6343.84</v>
      </c>
      <c r="O48" s="117">
        <f t="shared" si="16"/>
        <v>6535.16</v>
      </c>
      <c r="P48" s="117">
        <f t="shared" si="16"/>
        <v>6250.84</v>
      </c>
      <c r="Q48" s="117">
        <f t="shared" si="16"/>
        <v>65530.979999999996</v>
      </c>
      <c r="R48" s="127">
        <f t="shared" si="16"/>
        <v>6091.12</v>
      </c>
      <c r="S48" s="127">
        <f t="shared" si="16"/>
        <v>6128.36</v>
      </c>
      <c r="T48" s="127">
        <f t="shared" si="16"/>
        <v>6327.7</v>
      </c>
      <c r="U48" s="127">
        <f t="shared" si="16"/>
        <v>6254.0599999999995</v>
      </c>
      <c r="V48" s="127">
        <f t="shared" si="16"/>
        <v>6082.5999999999995</v>
      </c>
      <c r="W48" s="127">
        <f t="shared" si="16"/>
        <v>6083.67</v>
      </c>
      <c r="X48" s="127">
        <f t="shared" si="16"/>
        <v>4277.8999999999996</v>
      </c>
      <c r="Y48" s="127">
        <f t="shared" si="16"/>
        <v>4268.76</v>
      </c>
      <c r="Z48" s="127">
        <f t="shared" si="16"/>
        <v>6195</v>
      </c>
      <c r="AA48" s="127">
        <f t="shared" si="16"/>
        <v>6195</v>
      </c>
      <c r="AB48" s="127">
        <f t="shared" si="16"/>
        <v>6195</v>
      </c>
      <c r="AC48" s="127">
        <f t="shared" si="16"/>
        <v>6195</v>
      </c>
      <c r="AD48" s="127">
        <f t="shared" si="16"/>
        <v>70294.17</v>
      </c>
      <c r="AE48" s="72">
        <f t="shared" si="14"/>
        <v>4763.1900000000023</v>
      </c>
      <c r="AF48" s="192">
        <f t="shared" si="2"/>
        <v>6.7760811458475179E-2</v>
      </c>
      <c r="AG48" s="129">
        <v>521205.02</v>
      </c>
      <c r="AH48" s="124">
        <f t="shared" si="3"/>
        <v>455674.04000000004</v>
      </c>
    </row>
    <row r="49" spans="1:34">
      <c r="D49" s="105" t="s">
        <v>154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7"/>
      <c r="AF49" s="192"/>
      <c r="AG49" s="129"/>
      <c r="AH49" s="124">
        <f t="shared" si="3"/>
        <v>0</v>
      </c>
    </row>
    <row r="50" spans="1:34">
      <c r="A50" s="105" t="s">
        <v>131</v>
      </c>
      <c r="B50" s="105" t="s">
        <v>753</v>
      </c>
      <c r="D50" s="105" t="s">
        <v>276</v>
      </c>
      <c r="E50" s="265">
        <v>0</v>
      </c>
      <c r="F50" s="265">
        <v>0</v>
      </c>
      <c r="G50" s="265">
        <v>0</v>
      </c>
      <c r="H50" s="265">
        <v>0</v>
      </c>
      <c r="I50" s="265">
        <v>0</v>
      </c>
      <c r="J50" s="265">
        <v>0</v>
      </c>
      <c r="K50" s="265">
        <v>0</v>
      </c>
      <c r="L50" s="265">
        <v>0</v>
      </c>
      <c r="M50" s="265">
        <v>0</v>
      </c>
      <c r="N50" s="265">
        <v>0</v>
      </c>
      <c r="O50" s="265">
        <v>0</v>
      </c>
      <c r="P50" s="265">
        <v>0</v>
      </c>
      <c r="Q50" s="117"/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72">
        <v>0</v>
      </c>
      <c r="AD50" s="127">
        <f t="shared" ref="AD50:AD58" si="17">SUM(R50:AC50)</f>
        <v>0</v>
      </c>
      <c r="AE50" s="72">
        <f t="shared" ref="AE50:AE60" si="18">AD50-Q50</f>
        <v>0</v>
      </c>
      <c r="AF50" s="192" t="e">
        <f t="shared" si="2"/>
        <v>#DIV/0!</v>
      </c>
      <c r="AG50" s="129">
        <v>0</v>
      </c>
      <c r="AH50" s="124">
        <f t="shared" si="3"/>
        <v>0</v>
      </c>
    </row>
    <row r="51" spans="1:34">
      <c r="A51" s="105" t="s">
        <v>132</v>
      </c>
      <c r="B51" s="105" t="s">
        <v>753</v>
      </c>
      <c r="D51" s="105" t="s">
        <v>277</v>
      </c>
      <c r="E51" s="265">
        <v>0</v>
      </c>
      <c r="F51" s="265">
        <v>0</v>
      </c>
      <c r="G51" s="265">
        <v>0</v>
      </c>
      <c r="H51" s="265">
        <v>0</v>
      </c>
      <c r="I51" s="265">
        <v>0</v>
      </c>
      <c r="J51" s="265">
        <v>0</v>
      </c>
      <c r="K51" s="265">
        <v>0</v>
      </c>
      <c r="L51" s="265">
        <v>0</v>
      </c>
      <c r="M51" s="265">
        <v>0</v>
      </c>
      <c r="N51" s="265">
        <v>0</v>
      </c>
      <c r="O51" s="265">
        <v>0</v>
      </c>
      <c r="P51" s="265">
        <v>0</v>
      </c>
      <c r="Q51" s="117"/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72">
        <v>0</v>
      </c>
      <c r="AD51" s="127">
        <f t="shared" si="17"/>
        <v>0</v>
      </c>
      <c r="AE51" s="72">
        <f t="shared" si="18"/>
        <v>0</v>
      </c>
      <c r="AF51" s="192" t="e">
        <f t="shared" si="2"/>
        <v>#DIV/0!</v>
      </c>
      <c r="AG51" s="129">
        <v>0</v>
      </c>
      <c r="AH51" s="124">
        <f t="shared" si="3"/>
        <v>0</v>
      </c>
    </row>
    <row r="52" spans="1:34">
      <c r="A52" s="105" t="s">
        <v>133</v>
      </c>
      <c r="B52" s="105" t="s">
        <v>753</v>
      </c>
      <c r="D52" s="105" t="s">
        <v>278</v>
      </c>
      <c r="E52" s="265">
        <v>0</v>
      </c>
      <c r="F52" s="265">
        <v>0</v>
      </c>
      <c r="G52" s="265">
        <v>0</v>
      </c>
      <c r="H52" s="265">
        <v>0</v>
      </c>
      <c r="I52" s="265">
        <v>0</v>
      </c>
      <c r="J52" s="265">
        <v>0</v>
      </c>
      <c r="K52" s="265">
        <v>0</v>
      </c>
      <c r="L52" s="265">
        <v>0</v>
      </c>
      <c r="M52" s="265">
        <v>0</v>
      </c>
      <c r="N52" s="265">
        <v>0</v>
      </c>
      <c r="O52" s="265">
        <v>0</v>
      </c>
      <c r="P52" s="265">
        <v>0</v>
      </c>
      <c r="Q52" s="117"/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72">
        <v>0</v>
      </c>
      <c r="AD52" s="127">
        <f t="shared" si="17"/>
        <v>0</v>
      </c>
      <c r="AE52" s="72">
        <f t="shared" si="18"/>
        <v>0</v>
      </c>
      <c r="AF52" s="192" t="e">
        <f t="shared" si="2"/>
        <v>#DIV/0!</v>
      </c>
      <c r="AG52" s="129">
        <v>0</v>
      </c>
      <c r="AH52" s="124">
        <f t="shared" si="3"/>
        <v>0</v>
      </c>
    </row>
    <row r="53" spans="1:34">
      <c r="A53" s="105" t="s">
        <v>134</v>
      </c>
      <c r="B53" s="105" t="s">
        <v>753</v>
      </c>
      <c r="D53" s="105" t="s">
        <v>279</v>
      </c>
      <c r="E53" s="265">
        <v>0</v>
      </c>
      <c r="F53" s="265">
        <v>0</v>
      </c>
      <c r="G53" s="265">
        <v>0</v>
      </c>
      <c r="H53" s="265">
        <v>0</v>
      </c>
      <c r="I53" s="265">
        <v>0</v>
      </c>
      <c r="J53" s="265">
        <v>0</v>
      </c>
      <c r="K53" s="265">
        <v>0</v>
      </c>
      <c r="L53" s="265">
        <v>0</v>
      </c>
      <c r="M53" s="265">
        <v>0</v>
      </c>
      <c r="N53" s="265">
        <v>0</v>
      </c>
      <c r="O53" s="265">
        <v>0</v>
      </c>
      <c r="P53" s="265">
        <v>0</v>
      </c>
      <c r="Q53" s="117">
        <f>SUM(E53:P53)</f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72">
        <v>0</v>
      </c>
      <c r="AD53" s="127">
        <f t="shared" si="17"/>
        <v>0</v>
      </c>
      <c r="AE53" s="72">
        <f t="shared" si="18"/>
        <v>0</v>
      </c>
      <c r="AF53" s="192" t="e">
        <f t="shared" si="2"/>
        <v>#DIV/0!</v>
      </c>
      <c r="AG53" s="129">
        <v>0</v>
      </c>
      <c r="AH53" s="124">
        <f t="shared" si="3"/>
        <v>0</v>
      </c>
    </row>
    <row r="54" spans="1:34">
      <c r="A54" s="105" t="s">
        <v>135</v>
      </c>
      <c r="B54" s="105" t="s">
        <v>753</v>
      </c>
      <c r="D54" s="105" t="s">
        <v>280</v>
      </c>
      <c r="E54" s="265">
        <v>90.84</v>
      </c>
      <c r="F54" s="265">
        <v>90.84</v>
      </c>
      <c r="G54" s="265">
        <v>90.84</v>
      </c>
      <c r="H54" s="265">
        <v>90.84</v>
      </c>
      <c r="I54" s="265">
        <v>90.84</v>
      </c>
      <c r="J54" s="265">
        <v>90.84</v>
      </c>
      <c r="K54" s="265">
        <v>90.84</v>
      </c>
      <c r="L54" s="265">
        <v>90.84</v>
      </c>
      <c r="M54" s="265">
        <v>90.84</v>
      </c>
      <c r="N54" s="265">
        <v>90.84</v>
      </c>
      <c r="O54" s="265">
        <v>90.84</v>
      </c>
      <c r="P54" s="265">
        <v>90.84</v>
      </c>
      <c r="Q54" s="117">
        <f>SUM(E54:P54)</f>
        <v>1090.0800000000002</v>
      </c>
      <c r="R54" s="72">
        <v>75.400000000000006</v>
      </c>
      <c r="S54" s="72">
        <v>76.040000000000006</v>
      </c>
      <c r="T54" s="72">
        <v>75.400000000000006</v>
      </c>
      <c r="U54" s="72">
        <v>75.400000000000006</v>
      </c>
      <c r="V54" s="72">
        <v>78.7</v>
      </c>
      <c r="W54" s="72">
        <v>79.040000000000006</v>
      </c>
      <c r="X54" s="72">
        <v>59.94</v>
      </c>
      <c r="Y54" s="72">
        <v>58.77</v>
      </c>
      <c r="Z54" s="72">
        <v>315</v>
      </c>
      <c r="AA54" s="72">
        <v>315</v>
      </c>
      <c r="AB54" s="72">
        <v>315</v>
      </c>
      <c r="AC54" s="72">
        <v>315</v>
      </c>
      <c r="AD54" s="127">
        <f t="shared" si="17"/>
        <v>1838.69</v>
      </c>
      <c r="AE54" s="72">
        <f t="shared" si="18"/>
        <v>748.6099999999999</v>
      </c>
      <c r="AF54" s="192">
        <f t="shared" si="2"/>
        <v>0.4071431290755918</v>
      </c>
      <c r="AG54" s="129">
        <v>11701.88</v>
      </c>
      <c r="AH54" s="124">
        <f t="shared" si="3"/>
        <v>10611.8</v>
      </c>
    </row>
    <row r="55" spans="1:34">
      <c r="A55" s="105" t="s">
        <v>281</v>
      </c>
      <c r="B55" s="105" t="s">
        <v>753</v>
      </c>
      <c r="D55" s="105" t="s">
        <v>282</v>
      </c>
      <c r="E55" s="265">
        <v>0</v>
      </c>
      <c r="F55" s="265">
        <v>0</v>
      </c>
      <c r="G55" s="265">
        <v>0</v>
      </c>
      <c r="H55" s="265">
        <v>0</v>
      </c>
      <c r="I55" s="265">
        <v>0</v>
      </c>
      <c r="J55" s="265">
        <v>0</v>
      </c>
      <c r="K55" s="265">
        <v>0</v>
      </c>
      <c r="L55" s="265">
        <v>0</v>
      </c>
      <c r="M55" s="265">
        <v>0</v>
      </c>
      <c r="N55" s="265">
        <v>0</v>
      </c>
      <c r="O55" s="265">
        <v>0</v>
      </c>
      <c r="P55" s="265">
        <v>0</v>
      </c>
      <c r="Q55" s="117">
        <f>SUM(E55:P55)</f>
        <v>0</v>
      </c>
      <c r="R55" s="72">
        <v>87.29</v>
      </c>
      <c r="S55" s="72">
        <v>106.15</v>
      </c>
      <c r="T55" s="72">
        <v>95.1</v>
      </c>
      <c r="U55" s="72">
        <v>96.35</v>
      </c>
      <c r="V55" s="72">
        <v>90.66</v>
      </c>
      <c r="W55" s="72">
        <v>167.52</v>
      </c>
      <c r="X55" s="72">
        <v>101.6</v>
      </c>
      <c r="Y55" s="72">
        <v>128.31</v>
      </c>
      <c r="Z55" s="72">
        <v>0</v>
      </c>
      <c r="AA55" s="72">
        <v>0</v>
      </c>
      <c r="AB55" s="72">
        <v>0</v>
      </c>
      <c r="AC55" s="72">
        <v>0</v>
      </c>
      <c r="AD55" s="127">
        <f t="shared" si="17"/>
        <v>872.98</v>
      </c>
      <c r="AE55" s="72">
        <f t="shared" si="18"/>
        <v>872.98</v>
      </c>
      <c r="AF55" s="192">
        <f t="shared" si="2"/>
        <v>1</v>
      </c>
      <c r="AG55" s="129">
        <v>8001.5300000000007</v>
      </c>
      <c r="AH55" s="124">
        <f t="shared" si="3"/>
        <v>8001.5300000000007</v>
      </c>
    </row>
    <row r="56" spans="1:34">
      <c r="A56" s="105" t="s">
        <v>137</v>
      </c>
      <c r="B56" s="105" t="s">
        <v>753</v>
      </c>
      <c r="D56" s="105" t="s">
        <v>283</v>
      </c>
      <c r="E56" s="265">
        <v>0</v>
      </c>
      <c r="F56" s="265">
        <v>0</v>
      </c>
      <c r="G56" s="265">
        <v>0</v>
      </c>
      <c r="H56" s="265">
        <v>0</v>
      </c>
      <c r="I56" s="265">
        <v>0</v>
      </c>
      <c r="J56" s="265">
        <v>0</v>
      </c>
      <c r="K56" s="265">
        <v>0</v>
      </c>
      <c r="L56" s="265">
        <v>0</v>
      </c>
      <c r="M56" s="265">
        <v>0</v>
      </c>
      <c r="N56" s="265">
        <v>0</v>
      </c>
      <c r="O56" s="265">
        <v>0</v>
      </c>
      <c r="P56" s="265">
        <v>0</v>
      </c>
      <c r="Q56" s="117">
        <f>SUM(E56:P56)</f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72">
        <v>0</v>
      </c>
      <c r="AD56" s="127">
        <f t="shared" si="17"/>
        <v>0</v>
      </c>
      <c r="AE56" s="72">
        <f t="shared" si="18"/>
        <v>0</v>
      </c>
      <c r="AF56" s="192" t="e">
        <f t="shared" si="2"/>
        <v>#DIV/0!</v>
      </c>
      <c r="AG56" s="129">
        <v>0</v>
      </c>
      <c r="AH56" s="124">
        <f t="shared" si="3"/>
        <v>0</v>
      </c>
    </row>
    <row r="57" spans="1:34">
      <c r="A57" s="105" t="s">
        <v>138</v>
      </c>
      <c r="B57" s="105" t="s">
        <v>753</v>
      </c>
      <c r="D57" s="105" t="s">
        <v>472</v>
      </c>
      <c r="E57" s="265">
        <v>0</v>
      </c>
      <c r="F57" s="265">
        <v>0</v>
      </c>
      <c r="G57" s="265">
        <v>0</v>
      </c>
      <c r="H57" s="265">
        <v>0</v>
      </c>
      <c r="I57" s="265">
        <v>0</v>
      </c>
      <c r="J57" s="265">
        <v>0</v>
      </c>
      <c r="K57" s="265">
        <v>0</v>
      </c>
      <c r="L57" s="265">
        <v>0</v>
      </c>
      <c r="M57" s="265">
        <v>0</v>
      </c>
      <c r="N57" s="265">
        <v>0</v>
      </c>
      <c r="O57" s="265">
        <v>0</v>
      </c>
      <c r="P57" s="265">
        <v>0</v>
      </c>
      <c r="Q57" s="117"/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72">
        <v>0</v>
      </c>
      <c r="AD57" s="127">
        <f t="shared" si="17"/>
        <v>0</v>
      </c>
      <c r="AE57" s="72">
        <f t="shared" si="18"/>
        <v>0</v>
      </c>
      <c r="AF57" s="192" t="e">
        <f t="shared" si="2"/>
        <v>#DIV/0!</v>
      </c>
      <c r="AG57" s="129">
        <v>0</v>
      </c>
      <c r="AH57" s="124">
        <f t="shared" si="3"/>
        <v>0</v>
      </c>
    </row>
    <row r="58" spans="1:34">
      <c r="A58" s="105" t="s">
        <v>140</v>
      </c>
      <c r="B58" s="105" t="s">
        <v>753</v>
      </c>
      <c r="D58" s="105" t="s">
        <v>473</v>
      </c>
      <c r="E58" s="265">
        <v>0</v>
      </c>
      <c r="F58" s="265">
        <v>0</v>
      </c>
      <c r="G58" s="265">
        <v>0</v>
      </c>
      <c r="H58" s="265">
        <v>0</v>
      </c>
      <c r="I58" s="265">
        <v>0</v>
      </c>
      <c r="J58" s="265">
        <v>0</v>
      </c>
      <c r="K58" s="265">
        <v>0</v>
      </c>
      <c r="L58" s="265">
        <v>0</v>
      </c>
      <c r="M58" s="265">
        <v>0</v>
      </c>
      <c r="N58" s="265">
        <v>0</v>
      </c>
      <c r="O58" s="265">
        <v>0</v>
      </c>
      <c r="P58" s="265">
        <v>0</v>
      </c>
      <c r="Q58" s="117"/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72">
        <v>0</v>
      </c>
      <c r="AD58" s="127">
        <f t="shared" si="17"/>
        <v>0</v>
      </c>
      <c r="AE58" s="72">
        <f t="shared" si="18"/>
        <v>0</v>
      </c>
      <c r="AF58" s="192" t="e">
        <f t="shared" si="2"/>
        <v>#DIV/0!</v>
      </c>
      <c r="AG58" s="129">
        <v>0</v>
      </c>
      <c r="AH58" s="124">
        <f t="shared" si="3"/>
        <v>0</v>
      </c>
    </row>
    <row r="59" spans="1:34">
      <c r="D59" s="109" t="s">
        <v>523</v>
      </c>
      <c r="E59" s="117">
        <f t="shared" ref="E59:AD59" si="19">SUM(E53:E56)</f>
        <v>90.84</v>
      </c>
      <c r="F59" s="117">
        <f t="shared" si="19"/>
        <v>90.84</v>
      </c>
      <c r="G59" s="117">
        <f t="shared" si="19"/>
        <v>90.84</v>
      </c>
      <c r="H59" s="117">
        <f t="shared" si="19"/>
        <v>90.84</v>
      </c>
      <c r="I59" s="117">
        <f t="shared" si="19"/>
        <v>90.84</v>
      </c>
      <c r="J59" s="117">
        <f t="shared" si="19"/>
        <v>90.84</v>
      </c>
      <c r="K59" s="117">
        <f t="shared" si="19"/>
        <v>90.84</v>
      </c>
      <c r="L59" s="117">
        <f t="shared" si="19"/>
        <v>90.84</v>
      </c>
      <c r="M59" s="117">
        <f t="shared" si="19"/>
        <v>90.84</v>
      </c>
      <c r="N59" s="117">
        <f t="shared" si="19"/>
        <v>90.84</v>
      </c>
      <c r="O59" s="117">
        <f t="shared" si="19"/>
        <v>90.84</v>
      </c>
      <c r="P59" s="117">
        <f t="shared" si="19"/>
        <v>90.84</v>
      </c>
      <c r="Q59" s="117">
        <f t="shared" si="19"/>
        <v>1090.0800000000002</v>
      </c>
      <c r="R59" s="127">
        <f t="shared" si="19"/>
        <v>162.69</v>
      </c>
      <c r="S59" s="127">
        <f t="shared" si="19"/>
        <v>182.19</v>
      </c>
      <c r="T59" s="127">
        <f t="shared" si="19"/>
        <v>170.5</v>
      </c>
      <c r="U59" s="127">
        <f t="shared" si="19"/>
        <v>171.75</v>
      </c>
      <c r="V59" s="127">
        <f t="shared" si="19"/>
        <v>169.36</v>
      </c>
      <c r="W59" s="127">
        <f t="shared" si="19"/>
        <v>246.56</v>
      </c>
      <c r="X59" s="127">
        <f t="shared" si="19"/>
        <v>161.54</v>
      </c>
      <c r="Y59" s="127">
        <f t="shared" si="19"/>
        <v>187.08</v>
      </c>
      <c r="Z59" s="127">
        <f t="shared" si="19"/>
        <v>315</v>
      </c>
      <c r="AA59" s="127">
        <f t="shared" si="19"/>
        <v>315</v>
      </c>
      <c r="AB59" s="127">
        <f t="shared" si="19"/>
        <v>315</v>
      </c>
      <c r="AC59" s="127">
        <f t="shared" si="19"/>
        <v>315</v>
      </c>
      <c r="AD59" s="127">
        <f t="shared" si="19"/>
        <v>2711.67</v>
      </c>
      <c r="AE59" s="72">
        <f t="shared" si="18"/>
        <v>1621.59</v>
      </c>
      <c r="AF59" s="192">
        <f t="shared" si="2"/>
        <v>0.59800418192479166</v>
      </c>
      <c r="AG59" s="129">
        <v>19703.41</v>
      </c>
      <c r="AH59" s="124">
        <f t="shared" si="3"/>
        <v>18613.329999999998</v>
      </c>
    </row>
    <row r="60" spans="1:34">
      <c r="D60" s="109" t="s">
        <v>524</v>
      </c>
      <c r="E60" s="270">
        <f t="shared" ref="E60:AD60" si="20">+E31+E38+E48+E59</f>
        <v>22987.07</v>
      </c>
      <c r="F60" s="270">
        <f t="shared" si="20"/>
        <v>19610.73</v>
      </c>
      <c r="G60" s="270">
        <f t="shared" si="20"/>
        <v>20046.73</v>
      </c>
      <c r="H60" s="270">
        <f t="shared" si="20"/>
        <v>20830.32</v>
      </c>
      <c r="I60" s="270">
        <f t="shared" si="20"/>
        <v>21627.39</v>
      </c>
      <c r="J60" s="270">
        <f t="shared" si="20"/>
        <v>20046.73</v>
      </c>
      <c r="K60" s="117">
        <f t="shared" si="20"/>
        <v>26050.79</v>
      </c>
      <c r="L60" s="117">
        <f t="shared" si="20"/>
        <v>25766.47</v>
      </c>
      <c r="M60" s="117">
        <f t="shared" si="20"/>
        <v>25766.47</v>
      </c>
      <c r="N60" s="117">
        <f t="shared" si="20"/>
        <v>30508.43</v>
      </c>
      <c r="O60" s="117">
        <f t="shared" si="20"/>
        <v>26050.79</v>
      </c>
      <c r="P60" s="117">
        <f t="shared" si="20"/>
        <v>25766.47</v>
      </c>
      <c r="Q60" s="117">
        <f t="shared" si="20"/>
        <v>285058.39</v>
      </c>
      <c r="R60" s="129">
        <f t="shared" si="20"/>
        <v>26065.1</v>
      </c>
      <c r="S60" s="127">
        <f t="shared" si="20"/>
        <v>28006.560000000001</v>
      </c>
      <c r="T60" s="127">
        <f t="shared" si="20"/>
        <v>24849.18</v>
      </c>
      <c r="U60" s="127">
        <f t="shared" si="20"/>
        <v>24869.53</v>
      </c>
      <c r="V60" s="127">
        <f t="shared" si="20"/>
        <v>25373.14</v>
      </c>
      <c r="W60" s="127">
        <f t="shared" si="20"/>
        <v>24723.200000000001</v>
      </c>
      <c r="X60" s="127">
        <f t="shared" si="20"/>
        <v>18243.410000000003</v>
      </c>
      <c r="Y60" s="127">
        <f t="shared" si="20"/>
        <v>17825.780000000002</v>
      </c>
      <c r="Z60" s="127">
        <f t="shared" si="20"/>
        <v>30936.33</v>
      </c>
      <c r="AA60" s="127">
        <f t="shared" si="20"/>
        <v>34852.33</v>
      </c>
      <c r="AB60" s="127">
        <f t="shared" si="20"/>
        <v>26853.33</v>
      </c>
      <c r="AC60" s="127">
        <f t="shared" si="20"/>
        <v>26853.33</v>
      </c>
      <c r="AD60" s="127">
        <f t="shared" si="20"/>
        <v>309451.21999999997</v>
      </c>
      <c r="AE60" s="72">
        <f t="shared" si="18"/>
        <v>24392.829999999958</v>
      </c>
      <c r="AF60" s="192">
        <f t="shared" si="2"/>
        <v>7.8826090910224758E-2</v>
      </c>
      <c r="AG60" s="129">
        <v>2135411.0700000003</v>
      </c>
      <c r="AH60" s="124">
        <f t="shared" si="3"/>
        <v>1850352.6800000002</v>
      </c>
    </row>
    <row r="61" spans="1:34">
      <c r="D61" s="105" t="s">
        <v>154</v>
      </c>
      <c r="AF61" s="192"/>
      <c r="AG61" s="129"/>
      <c r="AH61" s="124">
        <f t="shared" si="3"/>
        <v>0</v>
      </c>
    </row>
    <row r="62" spans="1:34" s="109" customFormat="1">
      <c r="A62" s="109" t="s">
        <v>141</v>
      </c>
      <c r="B62" s="109" t="s">
        <v>753</v>
      </c>
      <c r="D62" s="109" t="s">
        <v>142</v>
      </c>
      <c r="E62" s="215">
        <v>4</v>
      </c>
      <c r="F62" s="215">
        <v>4</v>
      </c>
      <c r="G62" s="215">
        <v>4</v>
      </c>
      <c r="H62" s="215">
        <v>4</v>
      </c>
      <c r="I62" s="215">
        <v>4</v>
      </c>
      <c r="J62" s="215">
        <v>4</v>
      </c>
      <c r="K62" s="215">
        <v>4</v>
      </c>
      <c r="L62" s="215">
        <v>4</v>
      </c>
      <c r="M62" s="215">
        <v>4</v>
      </c>
      <c r="N62" s="215">
        <v>4</v>
      </c>
      <c r="O62" s="215">
        <v>4</v>
      </c>
      <c r="P62" s="215">
        <v>4</v>
      </c>
      <c r="Q62" s="127">
        <f>SUM(E62:P62)/12</f>
        <v>4</v>
      </c>
      <c r="R62" s="127">
        <v>4</v>
      </c>
      <c r="S62" s="127">
        <v>4</v>
      </c>
      <c r="T62" s="127">
        <v>4</v>
      </c>
      <c r="U62" s="127">
        <v>4</v>
      </c>
      <c r="V62" s="127">
        <v>4</v>
      </c>
      <c r="W62" s="127">
        <v>4</v>
      </c>
      <c r="X62" s="127">
        <v>3</v>
      </c>
      <c r="Y62" s="127">
        <v>3</v>
      </c>
      <c r="Z62" s="127">
        <v>4</v>
      </c>
      <c r="AA62" s="127">
        <v>4</v>
      </c>
      <c r="AB62" s="127">
        <v>4</v>
      </c>
      <c r="AC62" s="127">
        <v>4</v>
      </c>
      <c r="AD62" s="117">
        <f>SUM(R62:AC62)/12</f>
        <v>3.8333333333333335</v>
      </c>
      <c r="AE62" s="127">
        <f>AD62-Q62</f>
        <v>-0.16666666666666652</v>
      </c>
      <c r="AF62" s="132">
        <f t="shared" si="2"/>
        <v>-4.3478260869565175E-2</v>
      </c>
      <c r="AG62" s="129">
        <v>36.083333333333336</v>
      </c>
      <c r="AH62" s="129">
        <f t="shared" si="3"/>
        <v>32.083333333333336</v>
      </c>
    </row>
    <row r="63" spans="1:34">
      <c r="AH63" s="124">
        <f t="shared" si="3"/>
        <v>0</v>
      </c>
    </row>
    <row r="64" spans="1:34">
      <c r="Q64" s="127">
        <f>Q60/Q62</f>
        <v>71264.597500000003</v>
      </c>
      <c r="AD64" s="127">
        <f>AD60/AD62</f>
        <v>80726.405217391293</v>
      </c>
    </row>
    <row r="65" spans="4:31">
      <c r="D65" s="151" t="s">
        <v>292</v>
      </c>
      <c r="E65" s="170">
        <v>62318</v>
      </c>
      <c r="F65" s="170">
        <v>62318</v>
      </c>
      <c r="G65" s="170">
        <v>62318</v>
      </c>
      <c r="H65" s="170">
        <v>62318</v>
      </c>
      <c r="I65" s="170">
        <v>62318</v>
      </c>
      <c r="J65" s="170">
        <v>62318</v>
      </c>
      <c r="K65" s="170">
        <v>62318</v>
      </c>
      <c r="L65" s="170">
        <v>62318</v>
      </c>
      <c r="M65" s="170">
        <v>62318</v>
      </c>
      <c r="N65" s="170">
        <v>62318</v>
      </c>
      <c r="O65" s="170">
        <v>62318</v>
      </c>
      <c r="P65" s="170">
        <v>62318</v>
      </c>
      <c r="Q65" s="117">
        <f t="shared" ref="Q65:Q67" si="21">SUM(E65:P65)</f>
        <v>747816</v>
      </c>
    </row>
    <row r="66" spans="4:31">
      <c r="D66" s="152" t="s">
        <v>366</v>
      </c>
      <c r="E66" s="136">
        <v>151799.19</v>
      </c>
      <c r="F66" s="136">
        <v>139348.19</v>
      </c>
      <c r="G66" s="136">
        <v>141965.19</v>
      </c>
      <c r="H66" s="136">
        <v>148606.19</v>
      </c>
      <c r="I66" s="136">
        <v>155612.19</v>
      </c>
      <c r="J66" s="136">
        <v>144527.19</v>
      </c>
      <c r="K66" s="136">
        <v>146551.19</v>
      </c>
      <c r="L66" s="136">
        <v>145432.19</v>
      </c>
      <c r="M66" s="136">
        <v>145432.19</v>
      </c>
      <c r="N66" s="136">
        <v>169117.19</v>
      </c>
      <c r="O66" s="136">
        <v>146551.19</v>
      </c>
      <c r="P66" s="136">
        <v>145432.19</v>
      </c>
      <c r="Q66" s="117">
        <f t="shared" si="21"/>
        <v>1780374.2799999996</v>
      </c>
    </row>
    <row r="67" spans="4:31">
      <c r="D67" s="151" t="s">
        <v>367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  <c r="Q67" s="117">
        <f t="shared" si="21"/>
        <v>0</v>
      </c>
    </row>
    <row r="68" spans="4:31">
      <c r="D68" s="109" t="s">
        <v>476</v>
      </c>
      <c r="E68" s="117">
        <f>SUM(E65:E67)</f>
        <v>214117.19</v>
      </c>
      <c r="F68" s="117">
        <f t="shared" ref="F68:Q68" si="22">SUM(F65:F67)</f>
        <v>201666.19</v>
      </c>
      <c r="G68" s="117">
        <f t="shared" si="22"/>
        <v>204283.19</v>
      </c>
      <c r="H68" s="117">
        <f t="shared" si="22"/>
        <v>210924.19</v>
      </c>
      <c r="I68" s="117">
        <f t="shared" si="22"/>
        <v>217930.19</v>
      </c>
      <c r="J68" s="117">
        <f t="shared" si="22"/>
        <v>206845.19</v>
      </c>
      <c r="K68" s="117">
        <f t="shared" si="22"/>
        <v>208869.19</v>
      </c>
      <c r="L68" s="117">
        <f t="shared" si="22"/>
        <v>207750.19</v>
      </c>
      <c r="M68" s="117">
        <f t="shared" si="22"/>
        <v>207750.19</v>
      </c>
      <c r="N68" s="117">
        <f t="shared" si="22"/>
        <v>231435.19</v>
      </c>
      <c r="O68" s="117">
        <f t="shared" si="22"/>
        <v>208869.19</v>
      </c>
      <c r="P68" s="117">
        <f t="shared" si="22"/>
        <v>207750.19</v>
      </c>
      <c r="Q68" s="117">
        <f t="shared" si="22"/>
        <v>2528190.2799999993</v>
      </c>
    </row>
    <row r="71" spans="4:31">
      <c r="D71" s="109" t="s">
        <v>758</v>
      </c>
      <c r="Q71" s="127" t="s">
        <v>759</v>
      </c>
    </row>
    <row r="72" spans="4:31">
      <c r="D72" s="72" t="s">
        <v>760</v>
      </c>
      <c r="E72" s="72">
        <v>141746.38399999999</v>
      </c>
      <c r="F72" s="72">
        <v>138028.992</v>
      </c>
      <c r="G72" s="72">
        <v>138561.07200000001</v>
      </c>
      <c r="H72" s="72">
        <v>131008.79999999999</v>
      </c>
      <c r="I72" s="72">
        <v>131871.91679999998</v>
      </c>
      <c r="J72" s="72">
        <v>136384.95999999999</v>
      </c>
      <c r="K72" s="72">
        <v>141746.38399999999</v>
      </c>
      <c r="L72" s="72">
        <v>141746.38399999999</v>
      </c>
      <c r="M72" s="72">
        <v>133302.39999999999</v>
      </c>
      <c r="N72" s="72">
        <v>130597.79199999999</v>
      </c>
      <c r="O72" s="72">
        <v>124843.68000000002</v>
      </c>
      <c r="P72" s="72">
        <v>138561.07200000001</v>
      </c>
      <c r="Q72" s="271">
        <f>SUM(E72:P72)/$P$118</f>
        <v>0.71803800476993751</v>
      </c>
      <c r="R72" s="72">
        <f>SUM(E72:P72)</f>
        <v>1628399.8367999995</v>
      </c>
      <c r="S72" s="179">
        <f>R72/$AD$117</f>
        <v>0.71803800476993751</v>
      </c>
      <c r="T72" s="272"/>
      <c r="U72" s="272"/>
      <c r="V72" s="272"/>
      <c r="W72" s="272"/>
      <c r="X72" s="272"/>
      <c r="AD72" s="127">
        <f t="shared" ref="AD72:AD117" si="23">SUM(E72:P72)</f>
        <v>1628399.8367999995</v>
      </c>
      <c r="AE72" s="179">
        <f>AD72/$AD$117</f>
        <v>0.71803800476993751</v>
      </c>
    </row>
    <row r="73" spans="4:31">
      <c r="D73" s="72" t="s">
        <v>761</v>
      </c>
      <c r="E73" s="72">
        <v>373.01679999999999</v>
      </c>
      <c r="F73" s="72">
        <v>336.91839999999996</v>
      </c>
      <c r="G73" s="72">
        <v>364.63440000000003</v>
      </c>
      <c r="H73" s="72">
        <v>344.76</v>
      </c>
      <c r="I73" s="72">
        <v>347.03136000000001</v>
      </c>
      <c r="J73" s="72">
        <v>332.59199999999998</v>
      </c>
      <c r="K73" s="72">
        <v>373.01679999999999</v>
      </c>
      <c r="L73" s="72">
        <v>373.01679999999999</v>
      </c>
      <c r="M73" s="72">
        <v>324.48</v>
      </c>
      <c r="N73" s="72">
        <v>343.67839999999995</v>
      </c>
      <c r="O73" s="72">
        <v>328.53600000000006</v>
      </c>
      <c r="P73" s="72">
        <v>364.63440000000003</v>
      </c>
      <c r="Q73" s="271">
        <f t="shared" ref="Q73:Q116" si="24">SUM(E73:P73)/$P$118</f>
        <v>1.8547620923757774E-3</v>
      </c>
      <c r="R73" s="72">
        <f t="shared" ref="R73:R116" si="25">SUM(E73:P73)</f>
        <v>4206.3153599999996</v>
      </c>
      <c r="S73" s="179">
        <f t="shared" ref="S73:S117" si="26">R73/$AD$117</f>
        <v>1.8547620923757774E-3</v>
      </c>
      <c r="T73" s="272"/>
      <c r="U73" s="272"/>
      <c r="V73" s="272"/>
      <c r="W73" s="272"/>
      <c r="X73" s="272"/>
      <c r="AD73" s="127">
        <f t="shared" si="23"/>
        <v>4206.3153599999996</v>
      </c>
      <c r="AE73" s="179">
        <f t="shared" ref="AE73:AE117" si="27">AD73/$AD$117</f>
        <v>1.8547620923757774E-3</v>
      </c>
    </row>
    <row r="74" spans="4:31">
      <c r="D74" s="72" t="s">
        <v>762</v>
      </c>
      <c r="E74" s="72">
        <v>373.01679999999999</v>
      </c>
      <c r="F74" s="72">
        <v>336.91839999999996</v>
      </c>
      <c r="G74" s="72">
        <v>364.63440000000003</v>
      </c>
      <c r="H74" s="72">
        <v>344.76</v>
      </c>
      <c r="I74" s="72">
        <v>347.03136000000001</v>
      </c>
      <c r="J74" s="72">
        <v>332.59199999999998</v>
      </c>
      <c r="K74" s="72">
        <v>373.01679999999999</v>
      </c>
      <c r="L74" s="72">
        <v>373.01679999999999</v>
      </c>
      <c r="M74" s="72">
        <v>324.48</v>
      </c>
      <c r="N74" s="72">
        <v>343.67839999999995</v>
      </c>
      <c r="O74" s="72">
        <v>328.53600000000006</v>
      </c>
      <c r="P74" s="72">
        <v>364.63440000000003</v>
      </c>
      <c r="Q74" s="271">
        <f t="shared" si="24"/>
        <v>1.8547620923757774E-3</v>
      </c>
      <c r="R74" s="72">
        <f t="shared" si="25"/>
        <v>4206.3153599999996</v>
      </c>
      <c r="S74" s="179">
        <f t="shared" si="26"/>
        <v>1.8547620923757774E-3</v>
      </c>
      <c r="T74" s="272"/>
      <c r="U74" s="272"/>
      <c r="V74" s="272"/>
      <c r="W74" s="272"/>
      <c r="X74" s="272"/>
      <c r="AD74" s="127">
        <f t="shared" si="23"/>
        <v>4206.3153599999996</v>
      </c>
      <c r="AE74" s="179">
        <f t="shared" si="27"/>
        <v>1.8547620923757774E-3</v>
      </c>
    </row>
    <row r="75" spans="4:31">
      <c r="D75" s="72" t="s">
        <v>763</v>
      </c>
      <c r="E75" s="72">
        <v>16.89</v>
      </c>
      <c r="F75" s="72">
        <v>16.89</v>
      </c>
      <c r="G75" s="72">
        <v>16.89</v>
      </c>
      <c r="H75" s="72">
        <v>16.89</v>
      </c>
      <c r="I75" s="72">
        <v>16.89</v>
      </c>
      <c r="J75" s="72">
        <v>16.89</v>
      </c>
      <c r="K75" s="72">
        <v>16.89</v>
      </c>
      <c r="L75" s="72">
        <v>16.89</v>
      </c>
      <c r="M75" s="72">
        <v>16.89</v>
      </c>
      <c r="N75" s="72">
        <v>16.89</v>
      </c>
      <c r="O75" s="72">
        <v>16.89</v>
      </c>
      <c r="P75" s="72">
        <v>16.89</v>
      </c>
      <c r="Q75" s="271">
        <f t="shared" si="24"/>
        <v>8.9371135711213652E-5</v>
      </c>
      <c r="R75" s="72">
        <f t="shared" si="25"/>
        <v>202.67999999999995</v>
      </c>
      <c r="S75" s="179">
        <f t="shared" si="26"/>
        <v>8.9371135711213652E-5</v>
      </c>
      <c r="T75" s="272"/>
      <c r="U75" s="272"/>
      <c r="V75" s="272"/>
      <c r="W75" s="272"/>
      <c r="X75" s="272"/>
      <c r="AD75" s="127">
        <f t="shared" si="23"/>
        <v>202.67999999999995</v>
      </c>
      <c r="AE75" s="179">
        <f t="shared" si="27"/>
        <v>8.9371135711213652E-5</v>
      </c>
    </row>
    <row r="76" spans="4:31">
      <c r="D76" s="72" t="s">
        <v>764</v>
      </c>
      <c r="E76" s="72">
        <v>5408.7435999999998</v>
      </c>
      <c r="F76" s="72">
        <v>4885.3167999999996</v>
      </c>
      <c r="G76" s="72">
        <v>5287.1988000000001</v>
      </c>
      <c r="H76" s="72">
        <v>4999.0199999999995</v>
      </c>
      <c r="I76" s="72">
        <v>5031.9547199999997</v>
      </c>
      <c r="J76" s="72">
        <v>4822.5839999999989</v>
      </c>
      <c r="K76" s="72">
        <v>5408.7435999999998</v>
      </c>
      <c r="L76" s="72">
        <v>5408.7435999999998</v>
      </c>
      <c r="M76" s="72">
        <v>4704.96</v>
      </c>
      <c r="N76" s="72">
        <v>4983.3367999999991</v>
      </c>
      <c r="O76" s="72">
        <v>4763.7720000000008</v>
      </c>
      <c r="P76" s="72">
        <v>5287.1988000000001</v>
      </c>
      <c r="Q76" s="271">
        <f t="shared" si="24"/>
        <v>2.6894050339448774E-2</v>
      </c>
      <c r="R76" s="72">
        <f t="shared" si="25"/>
        <v>60991.572719999996</v>
      </c>
      <c r="S76" s="179">
        <f t="shared" si="26"/>
        <v>2.6894050339448774E-2</v>
      </c>
      <c r="T76" s="272"/>
      <c r="U76" s="272"/>
      <c r="V76" s="272"/>
      <c r="W76" s="272"/>
      <c r="X76" s="272"/>
      <c r="AD76" s="127">
        <f t="shared" si="23"/>
        <v>60991.572719999996</v>
      </c>
      <c r="AE76" s="179">
        <f t="shared" si="27"/>
        <v>2.6894050339448774E-2</v>
      </c>
    </row>
    <row r="77" spans="4:31">
      <c r="D77" s="72" t="s">
        <v>765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72">
        <v>0</v>
      </c>
      <c r="Q77" s="271">
        <f t="shared" si="24"/>
        <v>0</v>
      </c>
      <c r="R77" s="72">
        <f t="shared" si="25"/>
        <v>0</v>
      </c>
      <c r="S77" s="179">
        <f t="shared" si="26"/>
        <v>0</v>
      </c>
      <c r="T77" s="272"/>
      <c r="U77" s="272"/>
      <c r="V77" s="272"/>
      <c r="W77" s="272"/>
      <c r="X77" s="272"/>
      <c r="AD77" s="127">
        <f t="shared" si="23"/>
        <v>0</v>
      </c>
      <c r="AE77" s="179">
        <f t="shared" si="27"/>
        <v>0</v>
      </c>
    </row>
    <row r="78" spans="4:31">
      <c r="D78" s="72" t="s">
        <v>766</v>
      </c>
      <c r="E78" s="72">
        <v>4289.6932000000006</v>
      </c>
      <c r="F78" s="72">
        <v>3874.5615999999995</v>
      </c>
      <c r="G78" s="72">
        <v>4193.2956000000004</v>
      </c>
      <c r="H78" s="72">
        <v>3964.7400000000002</v>
      </c>
      <c r="I78" s="72">
        <v>3990.8606399999999</v>
      </c>
      <c r="J78" s="72">
        <v>3824.808</v>
      </c>
      <c r="K78" s="72">
        <v>4289.6932000000006</v>
      </c>
      <c r="L78" s="72">
        <v>4289.6932000000006</v>
      </c>
      <c r="M78" s="72">
        <v>3731.5200000000004</v>
      </c>
      <c r="N78" s="72">
        <v>3952.3015999999998</v>
      </c>
      <c r="O78" s="72">
        <v>3778.1640000000007</v>
      </c>
      <c r="P78" s="72">
        <v>4193.2956000000004</v>
      </c>
      <c r="Q78" s="271">
        <f t="shared" si="24"/>
        <v>2.1329764062321441E-2</v>
      </c>
      <c r="R78" s="72">
        <f t="shared" si="25"/>
        <v>48372.626640000002</v>
      </c>
      <c r="S78" s="179">
        <f t="shared" si="26"/>
        <v>2.1329764062321441E-2</v>
      </c>
      <c r="T78" s="272"/>
      <c r="U78" s="272"/>
      <c r="V78" s="272"/>
      <c r="W78" s="272"/>
      <c r="X78" s="272"/>
      <c r="AD78" s="127">
        <f t="shared" si="23"/>
        <v>48372.626640000002</v>
      </c>
      <c r="AE78" s="179">
        <f t="shared" si="27"/>
        <v>2.1329764062321441E-2</v>
      </c>
    </row>
    <row r="79" spans="4:31">
      <c r="D79" s="72" t="s">
        <v>767</v>
      </c>
      <c r="E79" s="72">
        <v>2238.1007999999997</v>
      </c>
      <c r="F79" s="72">
        <v>2021.5103999999997</v>
      </c>
      <c r="G79" s="72">
        <v>2187.8063999999999</v>
      </c>
      <c r="H79" s="72">
        <v>2068.56</v>
      </c>
      <c r="I79" s="72">
        <v>2082.1881599999997</v>
      </c>
      <c r="J79" s="72">
        <v>1995.5519999999997</v>
      </c>
      <c r="K79" s="72">
        <v>2238.1007999999997</v>
      </c>
      <c r="L79" s="72">
        <v>2238.1007999999997</v>
      </c>
      <c r="M79" s="72">
        <v>1946.88</v>
      </c>
      <c r="N79" s="72">
        <v>2062.0703999999996</v>
      </c>
      <c r="O79" s="72">
        <v>1971.2160000000003</v>
      </c>
      <c r="P79" s="72">
        <v>2187.8063999999999</v>
      </c>
      <c r="Q79" s="271">
        <f t="shared" si="24"/>
        <v>1.1128572554254665E-2</v>
      </c>
      <c r="R79" s="72">
        <f t="shared" si="25"/>
        <v>25237.892159999999</v>
      </c>
      <c r="S79" s="179">
        <f t="shared" si="26"/>
        <v>1.1128572554254665E-2</v>
      </c>
      <c r="T79" s="272"/>
      <c r="U79" s="272"/>
      <c r="V79" s="272"/>
      <c r="W79" s="272"/>
      <c r="X79" s="272"/>
      <c r="AD79" s="127">
        <f t="shared" si="23"/>
        <v>25237.892159999999</v>
      </c>
      <c r="AE79" s="179">
        <f t="shared" si="27"/>
        <v>1.1128572554254665E-2</v>
      </c>
    </row>
    <row r="80" spans="4:31">
      <c r="D80" s="72" t="s">
        <v>768</v>
      </c>
      <c r="E80" s="72">
        <v>2051.5924</v>
      </c>
      <c r="F80" s="72">
        <v>1853.0511999999999</v>
      </c>
      <c r="G80" s="72">
        <v>2005.4892000000002</v>
      </c>
      <c r="H80" s="72">
        <v>1896.18</v>
      </c>
      <c r="I80" s="72">
        <v>1908.67248</v>
      </c>
      <c r="J80" s="72">
        <v>1829.2559999999999</v>
      </c>
      <c r="K80" s="72">
        <v>2051.5924</v>
      </c>
      <c r="L80" s="72">
        <v>2051.5924</v>
      </c>
      <c r="M80" s="72">
        <v>1784.64</v>
      </c>
      <c r="N80" s="72">
        <v>1890.2311999999997</v>
      </c>
      <c r="O80" s="72">
        <v>1806.9480000000003</v>
      </c>
      <c r="P80" s="72">
        <v>2005.4892000000002</v>
      </c>
      <c r="Q80" s="271">
        <f t="shared" si="24"/>
        <v>1.0201191508066776E-2</v>
      </c>
      <c r="R80" s="72">
        <f t="shared" si="25"/>
        <v>23134.734479999999</v>
      </c>
      <c r="S80" s="179">
        <f t="shared" si="26"/>
        <v>1.0201191508066776E-2</v>
      </c>
      <c r="T80" s="272"/>
      <c r="U80" s="272"/>
      <c r="V80" s="272"/>
      <c r="W80" s="272"/>
      <c r="X80" s="272"/>
      <c r="AD80" s="127">
        <f t="shared" si="23"/>
        <v>23134.734479999999</v>
      </c>
      <c r="AE80" s="179">
        <f t="shared" si="27"/>
        <v>1.0201191508066776E-2</v>
      </c>
    </row>
    <row r="81" spans="4:31">
      <c r="D81" s="72" t="s">
        <v>769</v>
      </c>
      <c r="E81" s="72">
        <v>1492.0672</v>
      </c>
      <c r="F81" s="72">
        <v>1347.6735999999999</v>
      </c>
      <c r="G81" s="72">
        <v>1458.5376000000001</v>
      </c>
      <c r="H81" s="72">
        <v>1379.04</v>
      </c>
      <c r="I81" s="72">
        <v>1388.12544</v>
      </c>
      <c r="J81" s="72">
        <v>1330.3679999999999</v>
      </c>
      <c r="K81" s="72">
        <v>1492.0672</v>
      </c>
      <c r="L81" s="72">
        <v>1492.0672</v>
      </c>
      <c r="M81" s="72">
        <v>1297.92</v>
      </c>
      <c r="N81" s="72">
        <v>1374.7135999999998</v>
      </c>
      <c r="O81" s="72">
        <v>1314.1440000000002</v>
      </c>
      <c r="P81" s="72">
        <v>1458.5376000000001</v>
      </c>
      <c r="Q81" s="271">
        <f t="shared" si="24"/>
        <v>7.4190483695031097E-3</v>
      </c>
      <c r="R81" s="72">
        <f t="shared" si="25"/>
        <v>16825.261439999998</v>
      </c>
      <c r="S81" s="179">
        <f t="shared" si="26"/>
        <v>7.4190483695031097E-3</v>
      </c>
      <c r="T81" s="272"/>
      <c r="U81" s="272"/>
      <c r="V81" s="272"/>
      <c r="W81" s="272"/>
      <c r="X81" s="272"/>
      <c r="AD81" s="127">
        <f t="shared" si="23"/>
        <v>16825.261439999998</v>
      </c>
      <c r="AE81" s="179">
        <f t="shared" si="27"/>
        <v>7.4190483695031097E-3</v>
      </c>
    </row>
    <row r="82" spans="4:31">
      <c r="D82" s="72" t="s">
        <v>770</v>
      </c>
      <c r="E82" s="72">
        <v>746.03359999999998</v>
      </c>
      <c r="F82" s="72">
        <v>673.83679999999993</v>
      </c>
      <c r="G82" s="72">
        <v>729.26880000000006</v>
      </c>
      <c r="H82" s="72">
        <v>689.52</v>
      </c>
      <c r="I82" s="72">
        <v>694.06272000000001</v>
      </c>
      <c r="J82" s="72">
        <v>665.18399999999997</v>
      </c>
      <c r="K82" s="72">
        <v>746.03359999999998</v>
      </c>
      <c r="L82" s="72">
        <v>746.03359999999998</v>
      </c>
      <c r="M82" s="72">
        <v>648.96</v>
      </c>
      <c r="N82" s="72">
        <v>687.35679999999991</v>
      </c>
      <c r="O82" s="72">
        <v>657.07200000000012</v>
      </c>
      <c r="P82" s="72">
        <v>729.26880000000006</v>
      </c>
      <c r="Q82" s="271">
        <f t="shared" si="24"/>
        <v>3.7095241847515548E-3</v>
      </c>
      <c r="R82" s="72">
        <f t="shared" si="25"/>
        <v>8412.6307199999992</v>
      </c>
      <c r="S82" s="179">
        <f t="shared" si="26"/>
        <v>3.7095241847515548E-3</v>
      </c>
      <c r="T82" s="272"/>
      <c r="U82" s="272"/>
      <c r="V82" s="272"/>
      <c r="W82" s="272"/>
      <c r="X82" s="272"/>
      <c r="AD82" s="127">
        <f t="shared" si="23"/>
        <v>8412.6307199999992</v>
      </c>
      <c r="AE82" s="179">
        <f t="shared" si="27"/>
        <v>3.7095241847515548E-3</v>
      </c>
    </row>
    <row r="83" spans="4:31">
      <c r="D83" s="72" t="s">
        <v>771</v>
      </c>
      <c r="E83" s="72">
        <v>373.01679999999999</v>
      </c>
      <c r="F83" s="72">
        <v>336.91839999999996</v>
      </c>
      <c r="G83" s="72">
        <v>364.63440000000003</v>
      </c>
      <c r="H83" s="72">
        <v>344.76</v>
      </c>
      <c r="I83" s="72">
        <v>347.03136000000001</v>
      </c>
      <c r="J83" s="72">
        <v>332.59199999999998</v>
      </c>
      <c r="K83" s="72">
        <v>373.01679999999999</v>
      </c>
      <c r="L83" s="72">
        <v>373.01679999999999</v>
      </c>
      <c r="M83" s="72">
        <v>324.48</v>
      </c>
      <c r="N83" s="72">
        <v>343.67839999999995</v>
      </c>
      <c r="O83" s="72">
        <v>328.53600000000006</v>
      </c>
      <c r="P83" s="72">
        <v>364.63440000000003</v>
      </c>
      <c r="Q83" s="271">
        <f t="shared" si="24"/>
        <v>1.8547620923757774E-3</v>
      </c>
      <c r="R83" s="72">
        <f t="shared" si="25"/>
        <v>4206.3153599999996</v>
      </c>
      <c r="S83" s="179">
        <f t="shared" si="26"/>
        <v>1.8547620923757774E-3</v>
      </c>
      <c r="T83" s="272"/>
      <c r="U83" s="272"/>
      <c r="V83" s="272"/>
      <c r="W83" s="272"/>
      <c r="X83" s="272"/>
      <c r="AD83" s="127">
        <f t="shared" si="23"/>
        <v>4206.3153599999996</v>
      </c>
      <c r="AE83" s="179">
        <f t="shared" si="27"/>
        <v>1.8547620923757774E-3</v>
      </c>
    </row>
    <row r="84" spans="4:31">
      <c r="D84" s="72" t="s">
        <v>772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  <c r="J84" s="72">
        <v>0</v>
      </c>
      <c r="K84" s="72">
        <v>0</v>
      </c>
      <c r="L84" s="72">
        <v>0</v>
      </c>
      <c r="M84" s="72">
        <v>0</v>
      </c>
      <c r="N84" s="72">
        <v>0</v>
      </c>
      <c r="O84" s="72">
        <v>0</v>
      </c>
      <c r="P84" s="72">
        <v>0</v>
      </c>
      <c r="Q84" s="271">
        <f t="shared" si="24"/>
        <v>0</v>
      </c>
      <c r="R84" s="72">
        <f t="shared" si="25"/>
        <v>0</v>
      </c>
      <c r="S84" s="179">
        <f t="shared" si="26"/>
        <v>0</v>
      </c>
      <c r="T84" s="272"/>
      <c r="U84" s="272"/>
      <c r="V84" s="272"/>
      <c r="W84" s="272"/>
      <c r="X84" s="272"/>
      <c r="AD84" s="127">
        <f t="shared" si="23"/>
        <v>0</v>
      </c>
      <c r="AE84" s="179">
        <f t="shared" si="27"/>
        <v>0</v>
      </c>
    </row>
    <row r="85" spans="4:31">
      <c r="D85" s="72" t="s">
        <v>773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0</v>
      </c>
      <c r="L85" s="72">
        <v>0</v>
      </c>
      <c r="M85" s="72">
        <v>0</v>
      </c>
      <c r="N85" s="72">
        <v>0</v>
      </c>
      <c r="O85" s="72">
        <v>0</v>
      </c>
      <c r="P85" s="72">
        <v>0</v>
      </c>
      <c r="Q85" s="271">
        <f t="shared" si="24"/>
        <v>0</v>
      </c>
      <c r="R85" s="72">
        <f t="shared" si="25"/>
        <v>0</v>
      </c>
      <c r="S85" s="179">
        <f t="shared" si="26"/>
        <v>0</v>
      </c>
      <c r="T85" s="272"/>
      <c r="U85" s="272"/>
      <c r="V85" s="272"/>
      <c r="W85" s="272"/>
      <c r="X85" s="272"/>
      <c r="AD85" s="127">
        <f t="shared" si="23"/>
        <v>0</v>
      </c>
      <c r="AE85" s="179">
        <f t="shared" si="27"/>
        <v>0</v>
      </c>
    </row>
    <row r="86" spans="4:31">
      <c r="D86" s="72" t="s">
        <v>774</v>
      </c>
      <c r="E86" s="72">
        <v>279.76259999999996</v>
      </c>
      <c r="F86" s="72">
        <v>252.68879999999996</v>
      </c>
      <c r="G86" s="72">
        <v>273.47579999999999</v>
      </c>
      <c r="H86" s="72">
        <v>258.57</v>
      </c>
      <c r="I86" s="72">
        <v>260.27351999999996</v>
      </c>
      <c r="J86" s="72">
        <v>249.44399999999996</v>
      </c>
      <c r="K86" s="72">
        <v>279.76259999999996</v>
      </c>
      <c r="L86" s="72">
        <v>279.76259999999996</v>
      </c>
      <c r="M86" s="72">
        <v>243.36</v>
      </c>
      <c r="N86" s="72">
        <v>257.75879999999995</v>
      </c>
      <c r="O86" s="72">
        <v>246.40200000000004</v>
      </c>
      <c r="P86" s="72">
        <v>273.47579999999999</v>
      </c>
      <c r="Q86" s="271">
        <f t="shared" si="24"/>
        <v>1.3910715692818331E-3</v>
      </c>
      <c r="R86" s="72">
        <f t="shared" si="25"/>
        <v>3154.7365199999999</v>
      </c>
      <c r="S86" s="179">
        <f t="shared" si="26"/>
        <v>1.3910715692818331E-3</v>
      </c>
      <c r="T86" s="272"/>
      <c r="U86" s="272"/>
      <c r="V86" s="272"/>
      <c r="W86" s="272"/>
      <c r="X86" s="272"/>
      <c r="AD86" s="127">
        <f t="shared" si="23"/>
        <v>3154.7365199999999</v>
      </c>
      <c r="AE86" s="179">
        <f t="shared" si="27"/>
        <v>1.3910715692818331E-3</v>
      </c>
    </row>
    <row r="87" spans="4:31">
      <c r="D87" s="72" t="s">
        <v>775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  <c r="J87" s="72">
        <v>0</v>
      </c>
      <c r="K87" s="72">
        <v>0</v>
      </c>
      <c r="L87" s="72">
        <v>0</v>
      </c>
      <c r="M87" s="72">
        <v>0</v>
      </c>
      <c r="N87" s="72">
        <v>0</v>
      </c>
      <c r="O87" s="72">
        <v>0</v>
      </c>
      <c r="P87" s="72">
        <v>0</v>
      </c>
      <c r="Q87" s="271">
        <f t="shared" si="24"/>
        <v>0</v>
      </c>
      <c r="R87" s="72">
        <f t="shared" si="25"/>
        <v>0</v>
      </c>
      <c r="S87" s="179">
        <f t="shared" si="26"/>
        <v>0</v>
      </c>
      <c r="T87" s="272"/>
      <c r="U87" s="272"/>
      <c r="V87" s="272"/>
      <c r="W87" s="272"/>
      <c r="X87" s="272"/>
      <c r="AD87" s="127">
        <f t="shared" si="23"/>
        <v>0</v>
      </c>
      <c r="AE87" s="179">
        <f t="shared" si="27"/>
        <v>0</v>
      </c>
    </row>
    <row r="88" spans="4:31">
      <c r="D88" s="72" t="s">
        <v>776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  <c r="J88" s="72">
        <v>0</v>
      </c>
      <c r="K88" s="72">
        <v>0</v>
      </c>
      <c r="L88" s="72">
        <v>0</v>
      </c>
      <c r="M88" s="72">
        <v>0</v>
      </c>
      <c r="N88" s="72">
        <v>0</v>
      </c>
      <c r="O88" s="72">
        <v>0</v>
      </c>
      <c r="P88" s="72">
        <v>0</v>
      </c>
      <c r="Q88" s="271">
        <f t="shared" si="24"/>
        <v>0</v>
      </c>
      <c r="R88" s="72">
        <f t="shared" si="25"/>
        <v>0</v>
      </c>
      <c r="S88" s="179">
        <f t="shared" si="26"/>
        <v>0</v>
      </c>
      <c r="T88" s="272"/>
      <c r="U88" s="272"/>
      <c r="V88" s="272"/>
      <c r="W88" s="272"/>
      <c r="X88" s="272"/>
      <c r="AD88" s="127">
        <f t="shared" si="23"/>
        <v>0</v>
      </c>
      <c r="AE88" s="179">
        <f t="shared" si="27"/>
        <v>0</v>
      </c>
    </row>
    <row r="89" spans="4:31">
      <c r="D89" s="72" t="s">
        <v>777</v>
      </c>
      <c r="E89" s="72">
        <v>1865.0840000000001</v>
      </c>
      <c r="F89" s="72">
        <v>1684.5919999999999</v>
      </c>
      <c r="G89" s="72">
        <v>1823.1720000000003</v>
      </c>
      <c r="H89" s="72">
        <v>1723.8000000000002</v>
      </c>
      <c r="I89" s="72">
        <v>1735.1568</v>
      </c>
      <c r="J89" s="72">
        <v>1662.96</v>
      </c>
      <c r="K89" s="72">
        <v>1865.0840000000001</v>
      </c>
      <c r="L89" s="72">
        <v>1865.0840000000001</v>
      </c>
      <c r="M89" s="72">
        <v>1622.4000000000003</v>
      </c>
      <c r="N89" s="72">
        <v>1718.3919999999998</v>
      </c>
      <c r="O89" s="72">
        <v>1642.6800000000003</v>
      </c>
      <c r="P89" s="72">
        <v>1823.1720000000003</v>
      </c>
      <c r="Q89" s="271">
        <f t="shared" si="24"/>
        <v>9.273810461878888E-3</v>
      </c>
      <c r="R89" s="72">
        <f t="shared" si="25"/>
        <v>21031.576800000003</v>
      </c>
      <c r="S89" s="179">
        <f t="shared" si="26"/>
        <v>9.273810461878888E-3</v>
      </c>
      <c r="T89" s="272"/>
      <c r="U89" s="272"/>
      <c r="V89" s="272"/>
      <c r="W89" s="272"/>
      <c r="X89" s="272"/>
      <c r="AD89" s="127">
        <f t="shared" si="23"/>
        <v>21031.576800000003</v>
      </c>
      <c r="AE89" s="179">
        <f t="shared" si="27"/>
        <v>9.273810461878888E-3</v>
      </c>
    </row>
    <row r="90" spans="4:31">
      <c r="D90" s="72" t="s">
        <v>778</v>
      </c>
      <c r="E90" s="72">
        <v>559.52519999999993</v>
      </c>
      <c r="F90" s="72">
        <v>505.37759999999992</v>
      </c>
      <c r="G90" s="72">
        <v>546.95159999999998</v>
      </c>
      <c r="H90" s="72">
        <v>517.14</v>
      </c>
      <c r="I90" s="72">
        <v>520.54703999999992</v>
      </c>
      <c r="J90" s="72">
        <v>498.88799999999992</v>
      </c>
      <c r="K90" s="72">
        <v>559.52519999999993</v>
      </c>
      <c r="L90" s="72">
        <v>559.52519999999993</v>
      </c>
      <c r="M90" s="72">
        <v>486.72</v>
      </c>
      <c r="N90" s="72">
        <v>515.5175999999999</v>
      </c>
      <c r="O90" s="72">
        <v>492.80400000000009</v>
      </c>
      <c r="P90" s="72">
        <v>546.95159999999998</v>
      </c>
      <c r="Q90" s="271">
        <f t="shared" si="24"/>
        <v>2.7821431385636661E-3</v>
      </c>
      <c r="R90" s="72">
        <f t="shared" si="25"/>
        <v>6309.4730399999999</v>
      </c>
      <c r="S90" s="179">
        <f t="shared" si="26"/>
        <v>2.7821431385636661E-3</v>
      </c>
      <c r="T90" s="272"/>
      <c r="U90" s="272"/>
      <c r="V90" s="272"/>
      <c r="W90" s="272"/>
      <c r="X90" s="272"/>
      <c r="AD90" s="127">
        <f t="shared" si="23"/>
        <v>6309.4730399999999</v>
      </c>
      <c r="AE90" s="179">
        <f t="shared" si="27"/>
        <v>2.7821431385636661E-3</v>
      </c>
    </row>
    <row r="91" spans="4:31">
      <c r="D91" s="72" t="s">
        <v>779</v>
      </c>
      <c r="E91" s="72">
        <v>186.50839999999999</v>
      </c>
      <c r="F91" s="72">
        <v>168.45919999999998</v>
      </c>
      <c r="G91" s="72">
        <v>182.31720000000001</v>
      </c>
      <c r="H91" s="72">
        <v>172.38</v>
      </c>
      <c r="I91" s="72">
        <v>173.51568</v>
      </c>
      <c r="J91" s="72">
        <v>166.29599999999999</v>
      </c>
      <c r="K91" s="72">
        <v>186.50839999999999</v>
      </c>
      <c r="L91" s="72">
        <v>186.50839999999999</v>
      </c>
      <c r="M91" s="72">
        <v>162.24</v>
      </c>
      <c r="N91" s="72">
        <v>171.83919999999998</v>
      </c>
      <c r="O91" s="72">
        <v>164.26800000000003</v>
      </c>
      <c r="P91" s="72">
        <v>182.31720000000001</v>
      </c>
      <c r="Q91" s="271">
        <f t="shared" si="24"/>
        <v>9.2738104618788871E-4</v>
      </c>
      <c r="R91" s="72">
        <f t="shared" si="25"/>
        <v>2103.1576799999998</v>
      </c>
      <c r="S91" s="179">
        <f t="shared" si="26"/>
        <v>9.2738104618788871E-4</v>
      </c>
      <c r="T91" s="272"/>
      <c r="U91" s="272"/>
      <c r="V91" s="272"/>
      <c r="W91" s="272"/>
      <c r="X91" s="272"/>
      <c r="AD91" s="127">
        <f t="shared" si="23"/>
        <v>2103.1576799999998</v>
      </c>
      <c r="AE91" s="179">
        <f t="shared" si="27"/>
        <v>9.2738104618788871E-4</v>
      </c>
    </row>
    <row r="92" spans="4:31">
      <c r="D92" s="72" t="s">
        <v>780</v>
      </c>
      <c r="E92" s="72">
        <v>0</v>
      </c>
      <c r="F92" s="72">
        <v>0</v>
      </c>
      <c r="G92" s="72">
        <v>0</v>
      </c>
      <c r="H92" s="72">
        <v>0</v>
      </c>
      <c r="I92" s="72">
        <v>0</v>
      </c>
      <c r="J92" s="72">
        <v>0</v>
      </c>
      <c r="K92" s="72">
        <v>0</v>
      </c>
      <c r="L92" s="72">
        <v>0</v>
      </c>
      <c r="M92" s="72">
        <v>0</v>
      </c>
      <c r="N92" s="72">
        <v>0</v>
      </c>
      <c r="O92" s="72">
        <v>0</v>
      </c>
      <c r="P92" s="72">
        <v>0</v>
      </c>
      <c r="Q92" s="271">
        <f t="shared" si="24"/>
        <v>0</v>
      </c>
      <c r="R92" s="72">
        <f t="shared" si="25"/>
        <v>0</v>
      </c>
      <c r="S92" s="179">
        <f t="shared" si="26"/>
        <v>0</v>
      </c>
      <c r="T92" s="272"/>
      <c r="U92" s="272"/>
      <c r="V92" s="272"/>
      <c r="W92" s="272"/>
      <c r="X92" s="272"/>
      <c r="AD92" s="127">
        <f t="shared" si="23"/>
        <v>0</v>
      </c>
      <c r="AE92" s="179">
        <f t="shared" si="27"/>
        <v>0</v>
      </c>
    </row>
    <row r="93" spans="4:31">
      <c r="D93" s="72" t="s">
        <v>781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0</v>
      </c>
      <c r="K93" s="72">
        <v>0</v>
      </c>
      <c r="L93" s="72">
        <v>0</v>
      </c>
      <c r="M93" s="72">
        <v>0</v>
      </c>
      <c r="N93" s="72">
        <v>0</v>
      </c>
      <c r="O93" s="72">
        <v>0</v>
      </c>
      <c r="P93" s="72">
        <v>0</v>
      </c>
      <c r="Q93" s="271">
        <f t="shared" si="24"/>
        <v>0</v>
      </c>
      <c r="R93" s="72">
        <f t="shared" si="25"/>
        <v>0</v>
      </c>
      <c r="S93" s="179">
        <f t="shared" si="26"/>
        <v>0</v>
      </c>
      <c r="T93" s="272"/>
      <c r="U93" s="272"/>
      <c r="V93" s="272"/>
      <c r="W93" s="272"/>
      <c r="X93" s="272"/>
      <c r="AD93" s="127">
        <f t="shared" si="23"/>
        <v>0</v>
      </c>
      <c r="AE93" s="179">
        <f t="shared" si="27"/>
        <v>0</v>
      </c>
    </row>
    <row r="94" spans="4:31">
      <c r="D94" s="72" t="s">
        <v>782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72">
        <v>0</v>
      </c>
      <c r="L94" s="72">
        <v>0</v>
      </c>
      <c r="M94" s="72">
        <v>0</v>
      </c>
      <c r="N94" s="72">
        <v>0</v>
      </c>
      <c r="O94" s="72">
        <v>0</v>
      </c>
      <c r="P94" s="72">
        <v>0</v>
      </c>
      <c r="Q94" s="271">
        <f t="shared" si="24"/>
        <v>0</v>
      </c>
      <c r="R94" s="72">
        <f t="shared" si="25"/>
        <v>0</v>
      </c>
      <c r="S94" s="179">
        <f t="shared" si="26"/>
        <v>0</v>
      </c>
      <c r="T94" s="272"/>
      <c r="U94" s="272"/>
      <c r="V94" s="272"/>
      <c r="W94" s="272"/>
      <c r="X94" s="272"/>
      <c r="AD94" s="127">
        <f t="shared" si="23"/>
        <v>0</v>
      </c>
      <c r="AE94" s="179">
        <f t="shared" si="27"/>
        <v>0</v>
      </c>
    </row>
    <row r="95" spans="4:31">
      <c r="D95" s="72" t="s">
        <v>783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72">
        <v>0</v>
      </c>
      <c r="L95" s="72">
        <v>0</v>
      </c>
      <c r="M95" s="72">
        <v>0</v>
      </c>
      <c r="N95" s="72">
        <v>0</v>
      </c>
      <c r="O95" s="72">
        <v>0</v>
      </c>
      <c r="P95" s="72">
        <v>0</v>
      </c>
      <c r="Q95" s="271">
        <f t="shared" si="24"/>
        <v>0</v>
      </c>
      <c r="R95" s="72">
        <f t="shared" si="25"/>
        <v>0</v>
      </c>
      <c r="S95" s="179">
        <f t="shared" si="26"/>
        <v>0</v>
      </c>
      <c r="T95" s="272"/>
      <c r="U95" s="272"/>
      <c r="V95" s="272"/>
      <c r="W95" s="272"/>
      <c r="X95" s="272"/>
      <c r="AD95" s="127">
        <f t="shared" si="23"/>
        <v>0</v>
      </c>
      <c r="AE95" s="179">
        <f t="shared" si="27"/>
        <v>0</v>
      </c>
    </row>
    <row r="96" spans="4:31">
      <c r="D96" s="72" t="s">
        <v>784</v>
      </c>
      <c r="Q96" s="271">
        <f t="shared" si="24"/>
        <v>0</v>
      </c>
      <c r="R96" s="72">
        <f t="shared" si="25"/>
        <v>0</v>
      </c>
      <c r="S96" s="179">
        <f t="shared" si="26"/>
        <v>0</v>
      </c>
      <c r="T96" s="272"/>
      <c r="U96" s="272"/>
      <c r="V96" s="272"/>
      <c r="W96" s="272"/>
      <c r="X96" s="272"/>
      <c r="AD96" s="127">
        <f t="shared" si="23"/>
        <v>0</v>
      </c>
      <c r="AE96" s="179">
        <f t="shared" si="27"/>
        <v>0</v>
      </c>
    </row>
    <row r="97" spans="4:31">
      <c r="D97" s="72" t="s">
        <v>785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  <c r="J97" s="72">
        <v>0</v>
      </c>
      <c r="K97" s="72">
        <v>0</v>
      </c>
      <c r="L97" s="72">
        <v>0</v>
      </c>
      <c r="M97" s="72">
        <v>0</v>
      </c>
      <c r="N97" s="72">
        <v>0</v>
      </c>
      <c r="O97" s="72">
        <v>0</v>
      </c>
      <c r="P97" s="72">
        <v>0</v>
      </c>
      <c r="Q97" s="271">
        <f t="shared" si="24"/>
        <v>0</v>
      </c>
      <c r="R97" s="72">
        <f t="shared" si="25"/>
        <v>0</v>
      </c>
      <c r="S97" s="179">
        <f t="shared" si="26"/>
        <v>0</v>
      </c>
      <c r="T97" s="272"/>
      <c r="U97" s="272"/>
      <c r="V97" s="272"/>
      <c r="W97" s="272"/>
      <c r="X97" s="272"/>
      <c r="AD97" s="127">
        <f t="shared" si="23"/>
        <v>0</v>
      </c>
      <c r="AE97" s="179">
        <f t="shared" si="27"/>
        <v>0</v>
      </c>
    </row>
    <row r="98" spans="4:31">
      <c r="D98" s="72" t="s">
        <v>786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  <c r="J98" s="72">
        <v>0</v>
      </c>
      <c r="K98" s="72">
        <v>0</v>
      </c>
      <c r="L98" s="72">
        <v>0</v>
      </c>
      <c r="M98" s="72">
        <v>0</v>
      </c>
      <c r="N98" s="72">
        <v>0</v>
      </c>
      <c r="O98" s="72">
        <v>0</v>
      </c>
      <c r="P98" s="72">
        <v>0</v>
      </c>
      <c r="Q98" s="271">
        <f t="shared" si="24"/>
        <v>0</v>
      </c>
      <c r="R98" s="72">
        <f t="shared" si="25"/>
        <v>0</v>
      </c>
      <c r="S98" s="179">
        <f t="shared" si="26"/>
        <v>0</v>
      </c>
      <c r="T98" s="272"/>
      <c r="U98" s="272"/>
      <c r="V98" s="272"/>
      <c r="W98" s="272"/>
      <c r="X98" s="272"/>
      <c r="AD98" s="127">
        <f t="shared" si="23"/>
        <v>0</v>
      </c>
      <c r="AE98" s="179">
        <f t="shared" si="27"/>
        <v>0</v>
      </c>
    </row>
    <row r="99" spans="4:31">
      <c r="D99" s="72" t="s">
        <v>787</v>
      </c>
      <c r="E99" s="72">
        <v>31892.936399999999</v>
      </c>
      <c r="F99" s="72">
        <v>28806.523199999996</v>
      </c>
      <c r="G99" s="72">
        <v>31176.2412</v>
      </c>
      <c r="H99" s="72">
        <v>29476.98</v>
      </c>
      <c r="I99" s="72">
        <v>29671.181279999997</v>
      </c>
      <c r="J99" s="72">
        <v>28436.615999999998</v>
      </c>
      <c r="K99" s="72">
        <v>31892.936399999999</v>
      </c>
      <c r="L99" s="72">
        <v>31892.936399999999</v>
      </c>
      <c r="M99" s="72">
        <v>27743.040000000001</v>
      </c>
      <c r="N99" s="72">
        <v>29384.503199999996</v>
      </c>
      <c r="O99" s="72">
        <v>28089.828000000005</v>
      </c>
      <c r="P99" s="72">
        <v>31176.2412</v>
      </c>
      <c r="Q99" s="271">
        <f t="shared" si="24"/>
        <v>0.15858215889812896</v>
      </c>
      <c r="R99" s="72">
        <f t="shared" si="25"/>
        <v>359639.96327999997</v>
      </c>
      <c r="S99" s="179">
        <f t="shared" si="26"/>
        <v>0.15858215889812896</v>
      </c>
      <c r="T99" s="272"/>
      <c r="U99" s="272"/>
      <c r="V99" s="272"/>
      <c r="W99" s="272"/>
      <c r="X99" s="272"/>
      <c r="AD99" s="127">
        <f t="shared" si="23"/>
        <v>359639.96327999997</v>
      </c>
      <c r="AE99" s="179">
        <f t="shared" si="27"/>
        <v>0.15858215889812896</v>
      </c>
    </row>
    <row r="100" spans="4:31">
      <c r="D100" s="72" t="s">
        <v>788</v>
      </c>
      <c r="E100" s="72">
        <v>559.52519999999993</v>
      </c>
      <c r="F100" s="72">
        <v>505.37759999999992</v>
      </c>
      <c r="G100" s="72">
        <v>546.95159999999998</v>
      </c>
      <c r="H100" s="72">
        <v>517.14</v>
      </c>
      <c r="I100" s="72">
        <v>520.54703999999992</v>
      </c>
      <c r="J100" s="72">
        <v>498.88799999999992</v>
      </c>
      <c r="K100" s="72">
        <v>559.52519999999993</v>
      </c>
      <c r="L100" s="72">
        <v>559.52519999999993</v>
      </c>
      <c r="M100" s="72">
        <v>486.72</v>
      </c>
      <c r="N100" s="72">
        <v>515.5175999999999</v>
      </c>
      <c r="O100" s="72">
        <v>492.80400000000009</v>
      </c>
      <c r="P100" s="72">
        <v>546.95159999999998</v>
      </c>
      <c r="Q100" s="271">
        <f t="shared" si="24"/>
        <v>2.7821431385636661E-3</v>
      </c>
      <c r="R100" s="72">
        <f t="shared" si="25"/>
        <v>6309.4730399999999</v>
      </c>
      <c r="S100" s="179">
        <f t="shared" si="26"/>
        <v>2.7821431385636661E-3</v>
      </c>
      <c r="T100" s="272"/>
      <c r="U100" s="272"/>
      <c r="V100" s="272"/>
      <c r="W100" s="272"/>
      <c r="X100" s="272"/>
      <c r="AD100" s="127">
        <f t="shared" si="23"/>
        <v>6309.4730399999999</v>
      </c>
      <c r="AE100" s="179">
        <f t="shared" si="27"/>
        <v>2.7821431385636661E-3</v>
      </c>
    </row>
    <row r="101" spans="4:31">
      <c r="D101" s="72" t="s">
        <v>789</v>
      </c>
      <c r="E101" s="72">
        <v>373.01679999999999</v>
      </c>
      <c r="F101" s="72">
        <v>336.91839999999996</v>
      </c>
      <c r="G101" s="72">
        <v>364.63440000000003</v>
      </c>
      <c r="H101" s="72">
        <v>344.76</v>
      </c>
      <c r="I101" s="72">
        <v>347.03136000000001</v>
      </c>
      <c r="J101" s="72">
        <v>332.59199999999998</v>
      </c>
      <c r="K101" s="72">
        <v>373.01679999999999</v>
      </c>
      <c r="L101" s="72">
        <v>373.01679999999999</v>
      </c>
      <c r="M101" s="72">
        <v>324.48</v>
      </c>
      <c r="N101" s="72">
        <v>343.67839999999995</v>
      </c>
      <c r="O101" s="72">
        <v>328.53600000000006</v>
      </c>
      <c r="P101" s="72">
        <v>364.63440000000003</v>
      </c>
      <c r="Q101" s="271">
        <f t="shared" si="24"/>
        <v>1.8547620923757774E-3</v>
      </c>
      <c r="R101" s="72">
        <f t="shared" si="25"/>
        <v>4206.3153599999996</v>
      </c>
      <c r="S101" s="179">
        <f t="shared" si="26"/>
        <v>1.8547620923757774E-3</v>
      </c>
      <c r="T101" s="272"/>
      <c r="U101" s="272"/>
      <c r="V101" s="272"/>
      <c r="W101" s="272"/>
      <c r="X101" s="272"/>
      <c r="AD101" s="127">
        <f t="shared" si="23"/>
        <v>4206.3153599999996</v>
      </c>
      <c r="AE101" s="179">
        <f t="shared" si="27"/>
        <v>1.8547620923757774E-3</v>
      </c>
    </row>
    <row r="102" spans="4:31">
      <c r="D102" s="72" t="s">
        <v>790</v>
      </c>
      <c r="E102" s="72">
        <v>186.50839999999999</v>
      </c>
      <c r="F102" s="72">
        <v>168.45919999999998</v>
      </c>
      <c r="G102" s="72">
        <v>182.31720000000001</v>
      </c>
      <c r="H102" s="72">
        <v>172.38</v>
      </c>
      <c r="I102" s="72">
        <v>173.51568</v>
      </c>
      <c r="J102" s="72">
        <v>166.29599999999999</v>
      </c>
      <c r="K102" s="72">
        <v>186.50839999999999</v>
      </c>
      <c r="L102" s="72">
        <v>186.50839999999999</v>
      </c>
      <c r="M102" s="72">
        <v>162.24</v>
      </c>
      <c r="N102" s="72">
        <v>171.83919999999998</v>
      </c>
      <c r="O102" s="72">
        <v>164.26800000000003</v>
      </c>
      <c r="P102" s="72">
        <v>182.31720000000001</v>
      </c>
      <c r="Q102" s="271">
        <f t="shared" si="24"/>
        <v>9.2738104618788871E-4</v>
      </c>
      <c r="R102" s="72">
        <f t="shared" si="25"/>
        <v>2103.1576799999998</v>
      </c>
      <c r="S102" s="179">
        <f t="shared" si="26"/>
        <v>9.2738104618788871E-4</v>
      </c>
      <c r="T102" s="272"/>
      <c r="U102" s="272"/>
      <c r="V102" s="272"/>
      <c r="W102" s="272"/>
      <c r="X102" s="272"/>
      <c r="AD102" s="127">
        <f t="shared" si="23"/>
        <v>2103.1576799999998</v>
      </c>
      <c r="AE102" s="179">
        <f t="shared" si="27"/>
        <v>9.2738104618788871E-4</v>
      </c>
    </row>
    <row r="103" spans="4:31">
      <c r="D103" s="72" t="s">
        <v>791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  <c r="J103" s="72">
        <v>0</v>
      </c>
      <c r="K103" s="72">
        <v>0</v>
      </c>
      <c r="L103" s="72">
        <v>0</v>
      </c>
      <c r="M103" s="72">
        <v>0</v>
      </c>
      <c r="N103" s="72">
        <v>0</v>
      </c>
      <c r="O103" s="72">
        <v>0</v>
      </c>
      <c r="P103" s="72">
        <v>0</v>
      </c>
      <c r="Q103" s="271">
        <f t="shared" si="24"/>
        <v>0</v>
      </c>
      <c r="R103" s="72">
        <f t="shared" si="25"/>
        <v>0</v>
      </c>
      <c r="S103" s="179">
        <f t="shared" si="26"/>
        <v>0</v>
      </c>
      <c r="T103" s="272"/>
      <c r="U103" s="272"/>
      <c r="V103" s="272"/>
      <c r="W103" s="272"/>
      <c r="X103" s="272"/>
      <c r="AD103" s="127">
        <f t="shared" si="23"/>
        <v>0</v>
      </c>
      <c r="AE103" s="179">
        <f t="shared" si="27"/>
        <v>0</v>
      </c>
    </row>
    <row r="104" spans="4:31">
      <c r="D104" s="72" t="s">
        <v>792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72">
        <v>0</v>
      </c>
      <c r="L104" s="72">
        <v>0</v>
      </c>
      <c r="M104" s="72">
        <v>0</v>
      </c>
      <c r="N104" s="72">
        <v>0</v>
      </c>
      <c r="O104" s="72">
        <v>0</v>
      </c>
      <c r="P104" s="72">
        <v>0</v>
      </c>
      <c r="Q104" s="271">
        <f t="shared" si="24"/>
        <v>0</v>
      </c>
      <c r="R104" s="72">
        <f t="shared" si="25"/>
        <v>0</v>
      </c>
      <c r="S104" s="179">
        <f t="shared" si="26"/>
        <v>0</v>
      </c>
      <c r="T104" s="272"/>
      <c r="U104" s="272"/>
      <c r="V104" s="272"/>
      <c r="W104" s="272"/>
      <c r="X104" s="272"/>
      <c r="AD104" s="127">
        <f t="shared" si="23"/>
        <v>0</v>
      </c>
      <c r="AE104" s="179">
        <f t="shared" si="27"/>
        <v>0</v>
      </c>
    </row>
    <row r="105" spans="4:31">
      <c r="D105" s="72" t="s">
        <v>793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72">
        <v>0</v>
      </c>
      <c r="L105" s="72">
        <v>0</v>
      </c>
      <c r="M105" s="72">
        <v>0</v>
      </c>
      <c r="N105" s="72">
        <v>0</v>
      </c>
      <c r="O105" s="72">
        <v>0</v>
      </c>
      <c r="P105" s="72">
        <v>0</v>
      </c>
      <c r="Q105" s="271">
        <f t="shared" si="24"/>
        <v>0</v>
      </c>
      <c r="R105" s="72">
        <f t="shared" si="25"/>
        <v>0</v>
      </c>
      <c r="S105" s="179">
        <f t="shared" si="26"/>
        <v>0</v>
      </c>
      <c r="T105" s="272"/>
      <c r="U105" s="272"/>
      <c r="V105" s="272"/>
      <c r="W105" s="272"/>
      <c r="X105" s="272"/>
      <c r="AD105" s="127">
        <f t="shared" si="23"/>
        <v>0</v>
      </c>
      <c r="AE105" s="179">
        <f t="shared" si="27"/>
        <v>0</v>
      </c>
    </row>
    <row r="106" spans="4:31">
      <c r="D106" s="72" t="s">
        <v>794</v>
      </c>
      <c r="E106" s="72">
        <v>88.24</v>
      </c>
      <c r="F106" s="72">
        <v>88.24</v>
      </c>
      <c r="G106" s="72">
        <v>88.24</v>
      </c>
      <c r="H106" s="72">
        <v>88.24</v>
      </c>
      <c r="I106" s="72">
        <v>88.24</v>
      </c>
      <c r="J106" s="72">
        <v>88.24</v>
      </c>
      <c r="K106" s="72">
        <v>88.24</v>
      </c>
      <c r="L106" s="72">
        <v>88.24</v>
      </c>
      <c r="M106" s="72">
        <v>88.24</v>
      </c>
      <c r="N106" s="72">
        <v>88.24</v>
      </c>
      <c r="O106" s="72">
        <v>88.24</v>
      </c>
      <c r="P106" s="72">
        <v>88.24</v>
      </c>
      <c r="Q106" s="271">
        <f t="shared" si="24"/>
        <v>4.669099476114561E-4</v>
      </c>
      <c r="R106" s="72">
        <f t="shared" si="25"/>
        <v>1058.8799999999999</v>
      </c>
      <c r="S106" s="179">
        <f t="shared" si="26"/>
        <v>4.669099476114561E-4</v>
      </c>
      <c r="T106" s="272"/>
      <c r="U106" s="272"/>
      <c r="V106" s="272"/>
      <c r="W106" s="272"/>
      <c r="X106" s="272"/>
      <c r="AD106" s="127">
        <f t="shared" si="23"/>
        <v>1058.8799999999999</v>
      </c>
      <c r="AE106" s="179">
        <f t="shared" si="27"/>
        <v>4.669099476114561E-4</v>
      </c>
    </row>
    <row r="107" spans="4:31">
      <c r="D107" s="72" t="s">
        <v>795</v>
      </c>
      <c r="E107" s="72">
        <v>279.76259999999996</v>
      </c>
      <c r="F107" s="72">
        <v>252.68879999999996</v>
      </c>
      <c r="G107" s="72">
        <v>273.47579999999999</v>
      </c>
      <c r="H107" s="72">
        <v>258.57</v>
      </c>
      <c r="I107" s="72">
        <v>260.27351999999996</v>
      </c>
      <c r="J107" s="72">
        <v>249.44399999999996</v>
      </c>
      <c r="K107" s="72">
        <v>279.76259999999996</v>
      </c>
      <c r="L107" s="72">
        <v>279.76259999999996</v>
      </c>
      <c r="M107" s="72">
        <v>243.36</v>
      </c>
      <c r="N107" s="72">
        <v>257.75879999999995</v>
      </c>
      <c r="O107" s="72">
        <v>246.40200000000004</v>
      </c>
      <c r="P107" s="72">
        <v>273.47579999999999</v>
      </c>
      <c r="Q107" s="271">
        <f t="shared" si="24"/>
        <v>1.3910715692818331E-3</v>
      </c>
      <c r="R107" s="72">
        <f t="shared" si="25"/>
        <v>3154.7365199999999</v>
      </c>
      <c r="S107" s="179">
        <f t="shared" si="26"/>
        <v>1.3910715692818331E-3</v>
      </c>
      <c r="T107" s="272"/>
      <c r="U107" s="272"/>
      <c r="V107" s="272"/>
      <c r="W107" s="272"/>
      <c r="X107" s="272"/>
      <c r="AD107" s="127">
        <f t="shared" si="23"/>
        <v>3154.7365199999999</v>
      </c>
      <c r="AE107" s="179">
        <f t="shared" si="27"/>
        <v>1.3910715692818331E-3</v>
      </c>
    </row>
    <row r="108" spans="4:31">
      <c r="D108" s="72" t="s">
        <v>796</v>
      </c>
      <c r="E108" s="72">
        <v>161.54000000000002</v>
      </c>
      <c r="F108" s="72">
        <v>161.54000000000002</v>
      </c>
      <c r="G108" s="72">
        <v>161.54000000000002</v>
      </c>
      <c r="H108" s="72">
        <v>161.54000000000002</v>
      </c>
      <c r="I108" s="72">
        <v>161.54000000000002</v>
      </c>
      <c r="J108" s="72">
        <v>161.54000000000002</v>
      </c>
      <c r="K108" s="72">
        <v>160.91000000000003</v>
      </c>
      <c r="L108" s="72">
        <v>161.54000000000002</v>
      </c>
      <c r="M108" s="72">
        <v>161.54000000000002</v>
      </c>
      <c r="N108" s="72">
        <v>161.54000000000002</v>
      </c>
      <c r="O108" s="72">
        <v>161.54000000000002</v>
      </c>
      <c r="P108" s="72">
        <v>161.54000000000002</v>
      </c>
      <c r="Q108" s="271">
        <f t="shared" si="24"/>
        <v>8.5448912244905962E-4</v>
      </c>
      <c r="R108" s="72">
        <f t="shared" si="25"/>
        <v>1937.85</v>
      </c>
      <c r="S108" s="179">
        <f t="shared" si="26"/>
        <v>8.5448912244905962E-4</v>
      </c>
      <c r="T108" s="272"/>
      <c r="U108" s="272"/>
      <c r="V108" s="272"/>
      <c r="W108" s="272"/>
      <c r="X108" s="272"/>
      <c r="AD108" s="127">
        <f t="shared" si="23"/>
        <v>1937.85</v>
      </c>
      <c r="AE108" s="179">
        <f t="shared" si="27"/>
        <v>8.5448912244905962E-4</v>
      </c>
    </row>
    <row r="109" spans="4:31">
      <c r="D109" s="72" t="s">
        <v>797</v>
      </c>
      <c r="E109" s="72">
        <v>57.46</v>
      </c>
      <c r="F109" s="72">
        <v>57.46</v>
      </c>
      <c r="G109" s="72">
        <v>57.46</v>
      </c>
      <c r="H109" s="72">
        <v>57.46</v>
      </c>
      <c r="I109" s="72">
        <v>57.46</v>
      </c>
      <c r="J109" s="72">
        <v>57.46</v>
      </c>
      <c r="K109" s="72">
        <v>57.46</v>
      </c>
      <c r="L109" s="72">
        <v>57.46</v>
      </c>
      <c r="M109" s="72">
        <v>57.46</v>
      </c>
      <c r="N109" s="72">
        <v>57.46</v>
      </c>
      <c r="O109" s="72">
        <v>57.46</v>
      </c>
      <c r="P109" s="72">
        <v>57.46</v>
      </c>
      <c r="Q109" s="271">
        <f t="shared" si="24"/>
        <v>3.0404176778959965E-4</v>
      </c>
      <c r="R109" s="72">
        <f t="shared" si="25"/>
        <v>689.5200000000001</v>
      </c>
      <c r="S109" s="179">
        <f t="shared" si="26"/>
        <v>3.0404176778959965E-4</v>
      </c>
      <c r="T109" s="272"/>
      <c r="U109" s="272"/>
      <c r="V109" s="272"/>
      <c r="W109" s="272"/>
      <c r="X109" s="272"/>
      <c r="AD109" s="127">
        <f t="shared" si="23"/>
        <v>689.5200000000001</v>
      </c>
      <c r="AE109" s="179">
        <f t="shared" si="27"/>
        <v>3.0404176778959965E-4</v>
      </c>
    </row>
    <row r="110" spans="4:31">
      <c r="D110" s="72" t="s">
        <v>798</v>
      </c>
      <c r="E110" s="72">
        <v>373.01679999999999</v>
      </c>
      <c r="F110" s="72">
        <v>336.91839999999996</v>
      </c>
      <c r="G110" s="72">
        <v>364.63440000000003</v>
      </c>
      <c r="H110" s="72">
        <v>344.76</v>
      </c>
      <c r="I110" s="72">
        <v>347.03136000000001</v>
      </c>
      <c r="J110" s="72">
        <v>332.59199999999998</v>
      </c>
      <c r="K110" s="72">
        <v>373.01679999999999</v>
      </c>
      <c r="L110" s="72">
        <v>373.01679999999999</v>
      </c>
      <c r="M110" s="72">
        <v>324.48</v>
      </c>
      <c r="N110" s="72">
        <v>343.67839999999995</v>
      </c>
      <c r="O110" s="72">
        <v>328.53600000000006</v>
      </c>
      <c r="P110" s="72">
        <v>364.63440000000003</v>
      </c>
      <c r="Q110" s="271">
        <f t="shared" si="24"/>
        <v>1.8547620923757774E-3</v>
      </c>
      <c r="R110" s="72">
        <f t="shared" si="25"/>
        <v>4206.3153599999996</v>
      </c>
      <c r="S110" s="179">
        <f t="shared" si="26"/>
        <v>1.8547620923757774E-3</v>
      </c>
      <c r="T110" s="272"/>
      <c r="U110" s="272"/>
      <c r="V110" s="272"/>
      <c r="W110" s="272"/>
      <c r="X110" s="272"/>
      <c r="AD110" s="127">
        <f t="shared" si="23"/>
        <v>4206.3153599999996</v>
      </c>
      <c r="AE110" s="179">
        <f t="shared" si="27"/>
        <v>1.8547620923757774E-3</v>
      </c>
    </row>
    <row r="111" spans="4:31">
      <c r="D111" s="72" t="s">
        <v>799</v>
      </c>
      <c r="E111" s="72">
        <v>186.50839999999999</v>
      </c>
      <c r="F111" s="72">
        <v>168.45919999999998</v>
      </c>
      <c r="G111" s="72">
        <v>182.31720000000001</v>
      </c>
      <c r="H111" s="72">
        <v>172.38</v>
      </c>
      <c r="I111" s="72">
        <v>173.51568</v>
      </c>
      <c r="J111" s="72">
        <v>166.29599999999999</v>
      </c>
      <c r="K111" s="72">
        <v>186.50839999999999</v>
      </c>
      <c r="L111" s="72">
        <v>186.50839999999999</v>
      </c>
      <c r="M111" s="72">
        <v>162.24</v>
      </c>
      <c r="N111" s="72">
        <v>171.83919999999998</v>
      </c>
      <c r="O111" s="72">
        <v>164.26800000000003</v>
      </c>
      <c r="P111" s="72">
        <v>182.31720000000001</v>
      </c>
      <c r="Q111" s="271">
        <f t="shared" si="24"/>
        <v>9.2738104618788871E-4</v>
      </c>
      <c r="R111" s="72">
        <f t="shared" si="25"/>
        <v>2103.1576799999998</v>
      </c>
      <c r="S111" s="179">
        <f t="shared" si="26"/>
        <v>9.2738104618788871E-4</v>
      </c>
      <c r="T111" s="272"/>
      <c r="U111" s="272"/>
      <c r="V111" s="272"/>
      <c r="W111" s="272"/>
      <c r="X111" s="272"/>
      <c r="AD111" s="127">
        <f t="shared" si="23"/>
        <v>2103.1576799999998</v>
      </c>
      <c r="AE111" s="179">
        <f t="shared" si="27"/>
        <v>9.2738104618788871E-4</v>
      </c>
    </row>
    <row r="112" spans="4:31">
      <c r="D112" s="72" t="s">
        <v>800</v>
      </c>
      <c r="E112" s="72">
        <v>33.659999999999997</v>
      </c>
      <c r="F112" s="72">
        <v>33.659999999999997</v>
      </c>
      <c r="G112" s="72">
        <v>33.659999999999997</v>
      </c>
      <c r="H112" s="72">
        <v>33.659999999999997</v>
      </c>
      <c r="I112" s="72">
        <v>33.659999999999997</v>
      </c>
      <c r="J112" s="72">
        <v>33.659999999999997</v>
      </c>
      <c r="K112" s="72">
        <v>33.659999999999997</v>
      </c>
      <c r="L112" s="72">
        <v>33.659999999999997</v>
      </c>
      <c r="M112" s="72">
        <v>33.659999999999997</v>
      </c>
      <c r="N112" s="72">
        <v>33.659999999999997</v>
      </c>
      <c r="O112" s="72">
        <v>33.659999999999997</v>
      </c>
      <c r="P112" s="72">
        <v>33.659999999999997</v>
      </c>
      <c r="Q112" s="271">
        <f t="shared" si="24"/>
        <v>1.7810730775840445E-4</v>
      </c>
      <c r="R112" s="72">
        <f t="shared" si="25"/>
        <v>403.91999999999985</v>
      </c>
      <c r="S112" s="179">
        <f t="shared" si="26"/>
        <v>1.7810730775840445E-4</v>
      </c>
      <c r="T112" s="272"/>
      <c r="U112" s="272"/>
      <c r="V112" s="272"/>
      <c r="W112" s="272"/>
      <c r="X112" s="272"/>
      <c r="AD112" s="127">
        <f t="shared" si="23"/>
        <v>403.91999999999985</v>
      </c>
      <c r="AE112" s="179">
        <f t="shared" si="27"/>
        <v>1.7810730775840445E-4</v>
      </c>
    </row>
    <row r="113" spans="4:31">
      <c r="D113" s="72" t="s">
        <v>801</v>
      </c>
      <c r="E113" s="72">
        <v>186.50839999999999</v>
      </c>
      <c r="F113" s="72">
        <v>168.45919999999998</v>
      </c>
      <c r="G113" s="72">
        <v>182.31720000000001</v>
      </c>
      <c r="H113" s="72">
        <v>172.38</v>
      </c>
      <c r="I113" s="72">
        <v>173.51568</v>
      </c>
      <c r="J113" s="72">
        <v>166.29599999999999</v>
      </c>
      <c r="K113" s="72">
        <v>186.50839999999999</v>
      </c>
      <c r="L113" s="72">
        <v>186.50839999999999</v>
      </c>
      <c r="M113" s="72">
        <v>162.24</v>
      </c>
      <c r="N113" s="72">
        <v>171.83919999999998</v>
      </c>
      <c r="O113" s="72">
        <v>164.26800000000003</v>
      </c>
      <c r="P113" s="72">
        <v>182.31720000000001</v>
      </c>
      <c r="Q113" s="271">
        <f t="shared" si="24"/>
        <v>9.2738104618788871E-4</v>
      </c>
      <c r="R113" s="72">
        <f t="shared" si="25"/>
        <v>2103.1576799999998</v>
      </c>
      <c r="S113" s="179">
        <f t="shared" si="26"/>
        <v>9.2738104618788871E-4</v>
      </c>
      <c r="T113" s="272"/>
      <c r="U113" s="272"/>
      <c r="V113" s="272"/>
      <c r="W113" s="272"/>
      <c r="X113" s="272"/>
      <c r="AD113" s="127">
        <f t="shared" si="23"/>
        <v>2103.1576799999998</v>
      </c>
      <c r="AE113" s="179">
        <f t="shared" si="27"/>
        <v>9.2738104618788871E-4</v>
      </c>
    </row>
    <row r="114" spans="4:31">
      <c r="D114" s="72" t="s">
        <v>802</v>
      </c>
      <c r="E114" s="72">
        <v>1305.5588000000002</v>
      </c>
      <c r="F114" s="72">
        <v>1179.2144000000001</v>
      </c>
      <c r="G114" s="72">
        <v>1276.2204000000002</v>
      </c>
      <c r="H114" s="72">
        <v>1206.6600000000001</v>
      </c>
      <c r="I114" s="72">
        <v>1214.6097600000001</v>
      </c>
      <c r="J114" s="72">
        <v>1164.0720000000001</v>
      </c>
      <c r="K114" s="72">
        <v>1305.5588000000002</v>
      </c>
      <c r="L114" s="72">
        <v>1305.5588000000002</v>
      </c>
      <c r="M114" s="72">
        <v>1135.6800000000003</v>
      </c>
      <c r="N114" s="72">
        <v>1202.8743999999999</v>
      </c>
      <c r="O114" s="72">
        <v>1149.8760000000002</v>
      </c>
      <c r="P114" s="72">
        <v>1276.2204000000002</v>
      </c>
      <c r="Q114" s="271">
        <f t="shared" si="24"/>
        <v>6.4916673233152231E-3</v>
      </c>
      <c r="R114" s="72">
        <f t="shared" si="25"/>
        <v>14722.103760000004</v>
      </c>
      <c r="S114" s="179">
        <f t="shared" si="26"/>
        <v>6.4916673233152231E-3</v>
      </c>
      <c r="T114" s="272"/>
      <c r="U114" s="272"/>
      <c r="V114" s="272"/>
      <c r="W114" s="272"/>
      <c r="X114" s="272"/>
      <c r="AD114" s="127">
        <f t="shared" si="23"/>
        <v>14722.103760000004</v>
      </c>
      <c r="AE114" s="179">
        <f t="shared" si="27"/>
        <v>6.4916673233152231E-3</v>
      </c>
    </row>
    <row r="115" spans="4:31">
      <c r="D115" s="72" t="s">
        <v>803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  <c r="J115" s="72">
        <v>0</v>
      </c>
      <c r="K115" s="72">
        <v>0</v>
      </c>
      <c r="L115" s="72">
        <v>0</v>
      </c>
      <c r="M115" s="72">
        <v>0</v>
      </c>
      <c r="N115" s="72">
        <v>0</v>
      </c>
      <c r="O115" s="72">
        <v>0</v>
      </c>
      <c r="P115" s="72">
        <v>0</v>
      </c>
      <c r="Q115" s="271">
        <f t="shared" si="24"/>
        <v>0</v>
      </c>
      <c r="R115" s="72">
        <f t="shared" si="25"/>
        <v>0</v>
      </c>
      <c r="S115" s="179">
        <f t="shared" si="26"/>
        <v>0</v>
      </c>
      <c r="T115" s="272"/>
      <c r="U115" s="272"/>
      <c r="V115" s="272"/>
      <c r="W115" s="272"/>
      <c r="X115" s="272"/>
      <c r="AD115" s="127">
        <f t="shared" si="23"/>
        <v>0</v>
      </c>
      <c r="AE115" s="179">
        <f t="shared" si="27"/>
        <v>0</v>
      </c>
    </row>
    <row r="116" spans="4:31">
      <c r="D116" s="72" t="s">
        <v>804</v>
      </c>
      <c r="E116" s="72">
        <v>746.03359999999998</v>
      </c>
      <c r="F116" s="72">
        <v>673.83679999999993</v>
      </c>
      <c r="G116" s="72">
        <v>729.26880000000006</v>
      </c>
      <c r="H116" s="72">
        <v>689.52</v>
      </c>
      <c r="I116" s="72">
        <v>694.06272000000001</v>
      </c>
      <c r="J116" s="72">
        <v>665.18399999999997</v>
      </c>
      <c r="K116" s="72">
        <v>746.03359999999998</v>
      </c>
      <c r="L116" s="72">
        <v>746.03359999999998</v>
      </c>
      <c r="M116" s="72">
        <v>648.96</v>
      </c>
      <c r="N116" s="72">
        <v>687.35679999999991</v>
      </c>
      <c r="O116" s="72">
        <v>657.07200000000012</v>
      </c>
      <c r="P116" s="72">
        <v>729.26880000000006</v>
      </c>
      <c r="Q116" s="271">
        <f t="shared" si="24"/>
        <v>3.7095241847515548E-3</v>
      </c>
      <c r="R116" s="72">
        <f t="shared" si="25"/>
        <v>8412.6307199999992</v>
      </c>
      <c r="S116" s="179">
        <f t="shared" si="26"/>
        <v>3.7095241847515548E-3</v>
      </c>
      <c r="T116" s="272"/>
      <c r="U116" s="272"/>
      <c r="V116" s="272"/>
      <c r="W116" s="272"/>
      <c r="X116" s="272"/>
      <c r="AD116" s="127">
        <f t="shared" si="23"/>
        <v>8412.6307199999992</v>
      </c>
      <c r="AE116" s="179">
        <f t="shared" si="27"/>
        <v>3.7095241847515548E-3</v>
      </c>
    </row>
    <row r="117" spans="4:31">
      <c r="D117" s="267" t="s">
        <v>805</v>
      </c>
      <c r="E117" s="127">
        <f>SUM(E72:E116)</f>
        <v>198429.71079999997</v>
      </c>
      <c r="F117" s="127">
        <f t="shared" ref="F117:P117" si="28">SUM(F72:F116)</f>
        <v>189261.46040000001</v>
      </c>
      <c r="G117" s="127">
        <f t="shared" si="28"/>
        <v>193978.65640000001</v>
      </c>
      <c r="H117" s="127">
        <f t="shared" si="28"/>
        <v>183425.35000000006</v>
      </c>
      <c r="I117" s="127">
        <f t="shared" si="28"/>
        <v>184631.44215999995</v>
      </c>
      <c r="J117" s="127">
        <f t="shared" si="28"/>
        <v>186964.14199999999</v>
      </c>
      <c r="K117" s="127">
        <f t="shared" si="28"/>
        <v>198429.08079999997</v>
      </c>
      <c r="L117" s="127">
        <f t="shared" si="28"/>
        <v>198429.71079999997</v>
      </c>
      <c r="M117" s="127">
        <f t="shared" si="28"/>
        <v>182656.66999999998</v>
      </c>
      <c r="N117" s="127">
        <f t="shared" si="28"/>
        <v>182851.02039999998</v>
      </c>
      <c r="O117" s="127">
        <f t="shared" si="28"/>
        <v>174810.40600000002</v>
      </c>
      <c r="P117" s="127">
        <f t="shared" si="28"/>
        <v>193978.65640000001</v>
      </c>
      <c r="Q117" s="271">
        <f>SUM(E117:P117)/$P$118</f>
        <v>1</v>
      </c>
      <c r="R117" s="72">
        <f>SUM(E117:P117)</f>
        <v>2267846.3061600002</v>
      </c>
      <c r="S117" s="179">
        <f t="shared" si="26"/>
        <v>1</v>
      </c>
      <c r="T117" s="272"/>
      <c r="U117" s="272"/>
      <c r="V117" s="272"/>
      <c r="W117" s="272"/>
      <c r="X117" s="272"/>
      <c r="AD117" s="127">
        <f t="shared" si="23"/>
        <v>2267846.3061600002</v>
      </c>
      <c r="AE117" s="179">
        <f t="shared" si="27"/>
        <v>1</v>
      </c>
    </row>
    <row r="118" spans="4:31">
      <c r="P118" s="72">
        <f>SUM(E117:P117)</f>
        <v>2267846.3061600002</v>
      </c>
    </row>
    <row r="119" spans="4:31">
      <c r="P119" s="72">
        <f>P118/'Rooms+Summary'!AD55</f>
        <v>10.259566093002846</v>
      </c>
      <c r="Q119" s="127">
        <f>P119*'Rooms+Summary'!Q55</f>
        <v>2191350.9813705711</v>
      </c>
    </row>
    <row r="120" spans="4:31">
      <c r="D120" s="273" t="s">
        <v>760</v>
      </c>
      <c r="E120" s="274">
        <f>((ROUND($Q72*E$25*-1,0)))-0.96</f>
        <v>210015.04</v>
      </c>
      <c r="F120" s="274">
        <f>((ROUND($Q72*F$25*-1,0)))-1.92</f>
        <v>191446.08</v>
      </c>
      <c r="G120" s="274">
        <f>((ROUND($Q72*G$25*-1,0)))-0.42</f>
        <v>193657.58</v>
      </c>
      <c r="H120" s="274">
        <f>((ROUND($Q72*H$25*-1,0)))--0.53</f>
        <v>198977.53</v>
      </c>
      <c r="I120" s="274">
        <f>((ROUND($Q72*I$25*-1,0)))--2.99</f>
        <v>204583.99</v>
      </c>
      <c r="J120" s="274">
        <f>((ROUND($Q72*J$25*-1,0)))-1.75</f>
        <v>195476.25</v>
      </c>
      <c r="K120" s="274">
        <f>((ROUND($Q72*K$25*-1,0)))-2.08</f>
        <v>208444.92</v>
      </c>
      <c r="L120" s="274">
        <f>((ROUND($Q72*L$25*-1,0)))--1.53</f>
        <v>207440.53</v>
      </c>
      <c r="M120" s="274">
        <f>((ROUND($Q72*M$25*-1,0)))--1.53</f>
        <v>200231.53</v>
      </c>
      <c r="N120" s="274">
        <f>((ROUND($Q72*N$25*-1,0)))-0.33</f>
        <v>227832.67</v>
      </c>
      <c r="O120" s="274">
        <f>((ROUND($Q72*O$25*-1,0)))--1.92</f>
        <v>201241.92</v>
      </c>
      <c r="P120" s="274">
        <f>((ROUND($Q72*P$25*-1,0)))--3.53</f>
        <v>200258.53</v>
      </c>
    </row>
    <row r="121" spans="4:31">
      <c r="D121" s="273" t="s">
        <v>761</v>
      </c>
      <c r="E121" s="275">
        <f t="shared" ref="E121:P136" si="29">ROUND($Q73*E$25*-1,0)</f>
        <v>542</v>
      </c>
      <c r="F121" s="275">
        <f t="shared" si="29"/>
        <v>495</v>
      </c>
      <c r="G121" s="275">
        <f t="shared" si="29"/>
        <v>500</v>
      </c>
      <c r="H121" s="275">
        <f t="shared" si="29"/>
        <v>514</v>
      </c>
      <c r="I121" s="275">
        <f t="shared" si="29"/>
        <v>528</v>
      </c>
      <c r="J121" s="275">
        <f t="shared" si="29"/>
        <v>505</v>
      </c>
      <c r="K121" s="275">
        <f t="shared" si="29"/>
        <v>538</v>
      </c>
      <c r="L121" s="275">
        <f t="shared" si="29"/>
        <v>536</v>
      </c>
      <c r="M121" s="275">
        <f t="shared" si="29"/>
        <v>517</v>
      </c>
      <c r="N121" s="275">
        <f t="shared" si="29"/>
        <v>589</v>
      </c>
      <c r="O121" s="275">
        <f t="shared" si="29"/>
        <v>520</v>
      </c>
      <c r="P121" s="275">
        <f t="shared" si="29"/>
        <v>517</v>
      </c>
    </row>
    <row r="122" spans="4:31">
      <c r="D122" s="273" t="s">
        <v>762</v>
      </c>
      <c r="E122" s="275">
        <f t="shared" si="29"/>
        <v>542</v>
      </c>
      <c r="F122" s="275">
        <f t="shared" si="29"/>
        <v>495</v>
      </c>
      <c r="G122" s="275">
        <f t="shared" si="29"/>
        <v>500</v>
      </c>
      <c r="H122" s="275">
        <f t="shared" si="29"/>
        <v>514</v>
      </c>
      <c r="I122" s="275">
        <f t="shared" si="29"/>
        <v>528</v>
      </c>
      <c r="J122" s="275">
        <f t="shared" si="29"/>
        <v>505</v>
      </c>
      <c r="K122" s="275">
        <f t="shared" si="29"/>
        <v>538</v>
      </c>
      <c r="L122" s="275">
        <f t="shared" si="29"/>
        <v>536</v>
      </c>
      <c r="M122" s="275">
        <f t="shared" si="29"/>
        <v>517</v>
      </c>
      <c r="N122" s="275">
        <f t="shared" si="29"/>
        <v>589</v>
      </c>
      <c r="O122" s="275">
        <f t="shared" si="29"/>
        <v>520</v>
      </c>
      <c r="P122" s="275">
        <f t="shared" si="29"/>
        <v>517</v>
      </c>
    </row>
    <row r="123" spans="4:31">
      <c r="D123" s="273" t="s">
        <v>763</v>
      </c>
      <c r="E123" s="275">
        <f t="shared" si="29"/>
        <v>26</v>
      </c>
      <c r="F123" s="275">
        <f t="shared" si="29"/>
        <v>24</v>
      </c>
      <c r="G123" s="275">
        <f t="shared" si="29"/>
        <v>24</v>
      </c>
      <c r="H123" s="275">
        <f t="shared" si="29"/>
        <v>25</v>
      </c>
      <c r="I123" s="275">
        <f t="shared" si="29"/>
        <v>25</v>
      </c>
      <c r="J123" s="275">
        <f t="shared" si="29"/>
        <v>24</v>
      </c>
      <c r="K123" s="275">
        <f t="shared" si="29"/>
        <v>26</v>
      </c>
      <c r="L123" s="275">
        <f t="shared" si="29"/>
        <v>26</v>
      </c>
      <c r="M123" s="275">
        <f t="shared" si="29"/>
        <v>25</v>
      </c>
      <c r="N123" s="275">
        <f t="shared" si="29"/>
        <v>28</v>
      </c>
      <c r="O123" s="275">
        <f t="shared" si="29"/>
        <v>25</v>
      </c>
      <c r="P123" s="275">
        <f t="shared" si="29"/>
        <v>25</v>
      </c>
    </row>
    <row r="124" spans="4:31">
      <c r="D124" s="273" t="s">
        <v>764</v>
      </c>
      <c r="E124" s="275">
        <f t="shared" si="29"/>
        <v>7866</v>
      </c>
      <c r="F124" s="275">
        <f t="shared" si="29"/>
        <v>7171</v>
      </c>
      <c r="G124" s="275">
        <f t="shared" si="29"/>
        <v>7253</v>
      </c>
      <c r="H124" s="275">
        <f t="shared" si="29"/>
        <v>7453</v>
      </c>
      <c r="I124" s="275">
        <f t="shared" si="29"/>
        <v>7663</v>
      </c>
      <c r="J124" s="275">
        <f t="shared" si="29"/>
        <v>7322</v>
      </c>
      <c r="K124" s="275">
        <f t="shared" si="29"/>
        <v>7807</v>
      </c>
      <c r="L124" s="275">
        <f t="shared" si="29"/>
        <v>7770</v>
      </c>
      <c r="M124" s="275">
        <f t="shared" si="29"/>
        <v>7500</v>
      </c>
      <c r="N124" s="275">
        <f t="shared" si="29"/>
        <v>8533</v>
      </c>
      <c r="O124" s="275">
        <f t="shared" si="29"/>
        <v>7537</v>
      </c>
      <c r="P124" s="275">
        <f t="shared" si="29"/>
        <v>7501</v>
      </c>
    </row>
    <row r="125" spans="4:31">
      <c r="D125" s="273" t="s">
        <v>765</v>
      </c>
      <c r="E125" s="275">
        <f t="shared" si="29"/>
        <v>0</v>
      </c>
      <c r="F125" s="275">
        <f t="shared" si="29"/>
        <v>0</v>
      </c>
      <c r="G125" s="275">
        <f t="shared" si="29"/>
        <v>0</v>
      </c>
      <c r="H125" s="275">
        <f t="shared" si="29"/>
        <v>0</v>
      </c>
      <c r="I125" s="275">
        <f t="shared" si="29"/>
        <v>0</v>
      </c>
      <c r="J125" s="275">
        <f t="shared" si="29"/>
        <v>0</v>
      </c>
      <c r="K125" s="275">
        <f t="shared" si="29"/>
        <v>0</v>
      </c>
      <c r="L125" s="275">
        <f t="shared" si="29"/>
        <v>0</v>
      </c>
      <c r="M125" s="275">
        <f t="shared" si="29"/>
        <v>0</v>
      </c>
      <c r="N125" s="275">
        <f t="shared" si="29"/>
        <v>0</v>
      </c>
      <c r="O125" s="275">
        <f t="shared" si="29"/>
        <v>0</v>
      </c>
      <c r="P125" s="275">
        <f t="shared" si="29"/>
        <v>0</v>
      </c>
    </row>
    <row r="126" spans="4:31">
      <c r="D126" s="273" t="s">
        <v>766</v>
      </c>
      <c r="E126" s="275">
        <f t="shared" si="29"/>
        <v>6239</v>
      </c>
      <c r="F126" s="275">
        <f t="shared" si="29"/>
        <v>5687</v>
      </c>
      <c r="G126" s="275">
        <f t="shared" si="29"/>
        <v>5753</v>
      </c>
      <c r="H126" s="275">
        <f t="shared" si="29"/>
        <v>5911</v>
      </c>
      <c r="I126" s="275">
        <f t="shared" si="29"/>
        <v>6077</v>
      </c>
      <c r="J126" s="275">
        <f t="shared" si="29"/>
        <v>5807</v>
      </c>
      <c r="K126" s="275">
        <f t="shared" si="29"/>
        <v>6192</v>
      </c>
      <c r="L126" s="275">
        <f t="shared" si="29"/>
        <v>6162</v>
      </c>
      <c r="M126" s="275">
        <f t="shared" si="29"/>
        <v>5948</v>
      </c>
      <c r="N126" s="275">
        <f t="shared" si="29"/>
        <v>6768</v>
      </c>
      <c r="O126" s="275">
        <f t="shared" si="29"/>
        <v>5978</v>
      </c>
      <c r="P126" s="275">
        <f t="shared" si="29"/>
        <v>5949</v>
      </c>
    </row>
    <row r="127" spans="4:31">
      <c r="D127" s="273" t="s">
        <v>767</v>
      </c>
      <c r="E127" s="275">
        <f t="shared" si="29"/>
        <v>3255</v>
      </c>
      <c r="F127" s="275">
        <f t="shared" si="29"/>
        <v>2967</v>
      </c>
      <c r="G127" s="275">
        <f t="shared" si="29"/>
        <v>3001</v>
      </c>
      <c r="H127" s="275">
        <f t="shared" si="29"/>
        <v>3084</v>
      </c>
      <c r="I127" s="275">
        <f t="shared" si="29"/>
        <v>3171</v>
      </c>
      <c r="J127" s="275">
        <f t="shared" si="29"/>
        <v>3030</v>
      </c>
      <c r="K127" s="275">
        <f t="shared" si="29"/>
        <v>3231</v>
      </c>
      <c r="L127" s="275">
        <f t="shared" si="29"/>
        <v>3215</v>
      </c>
      <c r="M127" s="275">
        <f t="shared" si="29"/>
        <v>3103</v>
      </c>
      <c r="N127" s="275">
        <f t="shared" si="29"/>
        <v>3531</v>
      </c>
      <c r="O127" s="275">
        <f t="shared" si="29"/>
        <v>3119</v>
      </c>
      <c r="P127" s="275">
        <f t="shared" si="29"/>
        <v>3104</v>
      </c>
    </row>
    <row r="128" spans="4:31">
      <c r="D128" s="273" t="s">
        <v>806</v>
      </c>
      <c r="E128" s="275">
        <f t="shared" si="29"/>
        <v>2984</v>
      </c>
      <c r="F128" s="275">
        <f t="shared" si="29"/>
        <v>2720</v>
      </c>
      <c r="G128" s="275">
        <f t="shared" si="29"/>
        <v>2751</v>
      </c>
      <c r="H128" s="275">
        <f t="shared" si="29"/>
        <v>2827</v>
      </c>
      <c r="I128" s="275">
        <f t="shared" si="29"/>
        <v>2906</v>
      </c>
      <c r="J128" s="275">
        <f t="shared" si="29"/>
        <v>2777</v>
      </c>
      <c r="K128" s="275">
        <f t="shared" si="29"/>
        <v>2961</v>
      </c>
      <c r="L128" s="275">
        <f t="shared" si="29"/>
        <v>2947</v>
      </c>
      <c r="M128" s="275">
        <f t="shared" si="29"/>
        <v>2845</v>
      </c>
      <c r="N128" s="275">
        <f t="shared" si="29"/>
        <v>3237</v>
      </c>
      <c r="O128" s="275">
        <f t="shared" si="29"/>
        <v>2859</v>
      </c>
      <c r="P128" s="275">
        <f t="shared" si="29"/>
        <v>2845</v>
      </c>
    </row>
    <row r="129" spans="4:16">
      <c r="D129" s="273" t="s">
        <v>769</v>
      </c>
      <c r="E129" s="275">
        <f t="shared" si="29"/>
        <v>2170</v>
      </c>
      <c r="F129" s="275">
        <f t="shared" si="29"/>
        <v>1978</v>
      </c>
      <c r="G129" s="275">
        <f t="shared" si="29"/>
        <v>2001</v>
      </c>
      <c r="H129" s="275">
        <f t="shared" si="29"/>
        <v>2056</v>
      </c>
      <c r="I129" s="275">
        <f t="shared" si="29"/>
        <v>2114</v>
      </c>
      <c r="J129" s="275">
        <f t="shared" si="29"/>
        <v>2020</v>
      </c>
      <c r="K129" s="275">
        <f t="shared" si="29"/>
        <v>2154</v>
      </c>
      <c r="L129" s="275">
        <f t="shared" si="29"/>
        <v>2143</v>
      </c>
      <c r="M129" s="275">
        <f t="shared" si="29"/>
        <v>2069</v>
      </c>
      <c r="N129" s="275">
        <f t="shared" si="29"/>
        <v>2354</v>
      </c>
      <c r="O129" s="275">
        <f t="shared" si="29"/>
        <v>2079</v>
      </c>
      <c r="P129" s="275">
        <f t="shared" si="29"/>
        <v>2069</v>
      </c>
    </row>
    <row r="130" spans="4:16">
      <c r="D130" s="273" t="s">
        <v>770</v>
      </c>
      <c r="E130" s="275">
        <f t="shared" si="29"/>
        <v>1085</v>
      </c>
      <c r="F130" s="275">
        <f t="shared" si="29"/>
        <v>989</v>
      </c>
      <c r="G130" s="275">
        <f t="shared" si="29"/>
        <v>1000</v>
      </c>
      <c r="H130" s="275">
        <f t="shared" si="29"/>
        <v>1028</v>
      </c>
      <c r="I130" s="275">
        <f t="shared" si="29"/>
        <v>1057</v>
      </c>
      <c r="J130" s="275">
        <f t="shared" si="29"/>
        <v>1010</v>
      </c>
      <c r="K130" s="275">
        <f t="shared" si="29"/>
        <v>1077</v>
      </c>
      <c r="L130" s="275">
        <f t="shared" si="29"/>
        <v>1072</v>
      </c>
      <c r="M130" s="275">
        <f t="shared" si="29"/>
        <v>1034</v>
      </c>
      <c r="N130" s="275">
        <f t="shared" si="29"/>
        <v>1177</v>
      </c>
      <c r="O130" s="275">
        <f t="shared" si="29"/>
        <v>1040</v>
      </c>
      <c r="P130" s="275">
        <f t="shared" si="29"/>
        <v>1035</v>
      </c>
    </row>
    <row r="131" spans="4:16">
      <c r="D131" s="273" t="s">
        <v>771</v>
      </c>
      <c r="E131" s="275">
        <f t="shared" si="29"/>
        <v>542</v>
      </c>
      <c r="F131" s="275">
        <f t="shared" si="29"/>
        <v>495</v>
      </c>
      <c r="G131" s="275">
        <f t="shared" si="29"/>
        <v>500</v>
      </c>
      <c r="H131" s="275">
        <f t="shared" si="29"/>
        <v>514</v>
      </c>
      <c r="I131" s="275">
        <f t="shared" si="29"/>
        <v>528</v>
      </c>
      <c r="J131" s="275">
        <f t="shared" si="29"/>
        <v>505</v>
      </c>
      <c r="K131" s="275">
        <f t="shared" si="29"/>
        <v>538</v>
      </c>
      <c r="L131" s="275">
        <f t="shared" si="29"/>
        <v>536</v>
      </c>
      <c r="M131" s="275">
        <f t="shared" si="29"/>
        <v>517</v>
      </c>
      <c r="N131" s="275">
        <f t="shared" si="29"/>
        <v>589</v>
      </c>
      <c r="O131" s="275">
        <f t="shared" si="29"/>
        <v>520</v>
      </c>
      <c r="P131" s="275">
        <f t="shared" si="29"/>
        <v>517</v>
      </c>
    </row>
    <row r="132" spans="4:16">
      <c r="D132" s="273" t="s">
        <v>772</v>
      </c>
      <c r="E132" s="275">
        <f t="shared" si="29"/>
        <v>0</v>
      </c>
      <c r="F132" s="275">
        <f t="shared" si="29"/>
        <v>0</v>
      </c>
      <c r="G132" s="275">
        <f t="shared" si="29"/>
        <v>0</v>
      </c>
      <c r="H132" s="275">
        <f t="shared" si="29"/>
        <v>0</v>
      </c>
      <c r="I132" s="275">
        <f t="shared" si="29"/>
        <v>0</v>
      </c>
      <c r="J132" s="275">
        <f t="shared" si="29"/>
        <v>0</v>
      </c>
      <c r="K132" s="275">
        <f t="shared" si="29"/>
        <v>0</v>
      </c>
      <c r="L132" s="275">
        <f t="shared" si="29"/>
        <v>0</v>
      </c>
      <c r="M132" s="275">
        <f t="shared" si="29"/>
        <v>0</v>
      </c>
      <c r="N132" s="275">
        <f t="shared" si="29"/>
        <v>0</v>
      </c>
      <c r="O132" s="275">
        <f t="shared" si="29"/>
        <v>0</v>
      </c>
      <c r="P132" s="275">
        <f t="shared" si="29"/>
        <v>0</v>
      </c>
    </row>
    <row r="133" spans="4:16">
      <c r="D133" s="273" t="s">
        <v>773</v>
      </c>
      <c r="E133" s="275">
        <f t="shared" si="29"/>
        <v>0</v>
      </c>
      <c r="F133" s="275">
        <f t="shared" si="29"/>
        <v>0</v>
      </c>
      <c r="G133" s="275">
        <f t="shared" si="29"/>
        <v>0</v>
      </c>
      <c r="H133" s="275">
        <f t="shared" si="29"/>
        <v>0</v>
      </c>
      <c r="I133" s="275">
        <f t="shared" si="29"/>
        <v>0</v>
      </c>
      <c r="J133" s="275">
        <f t="shared" si="29"/>
        <v>0</v>
      </c>
      <c r="K133" s="275">
        <f t="shared" si="29"/>
        <v>0</v>
      </c>
      <c r="L133" s="275">
        <f t="shared" si="29"/>
        <v>0</v>
      </c>
      <c r="M133" s="275">
        <f t="shared" si="29"/>
        <v>0</v>
      </c>
      <c r="N133" s="275">
        <f t="shared" si="29"/>
        <v>0</v>
      </c>
      <c r="O133" s="275">
        <f t="shared" si="29"/>
        <v>0</v>
      </c>
      <c r="P133" s="275">
        <f t="shared" si="29"/>
        <v>0</v>
      </c>
    </row>
    <row r="134" spans="4:16">
      <c r="D134" s="273" t="s">
        <v>774</v>
      </c>
      <c r="E134" s="275">
        <f t="shared" si="29"/>
        <v>407</v>
      </c>
      <c r="F134" s="275">
        <f t="shared" si="29"/>
        <v>371</v>
      </c>
      <c r="G134" s="275">
        <f t="shared" si="29"/>
        <v>375</v>
      </c>
      <c r="H134" s="275">
        <f t="shared" si="29"/>
        <v>385</v>
      </c>
      <c r="I134" s="275">
        <f t="shared" si="29"/>
        <v>396</v>
      </c>
      <c r="J134" s="275">
        <f t="shared" si="29"/>
        <v>379</v>
      </c>
      <c r="K134" s="275">
        <f t="shared" si="29"/>
        <v>404</v>
      </c>
      <c r="L134" s="275">
        <f t="shared" si="29"/>
        <v>402</v>
      </c>
      <c r="M134" s="275">
        <f t="shared" si="29"/>
        <v>388</v>
      </c>
      <c r="N134" s="275">
        <f t="shared" si="29"/>
        <v>441</v>
      </c>
      <c r="O134" s="275">
        <f t="shared" si="29"/>
        <v>390</v>
      </c>
      <c r="P134" s="275">
        <f t="shared" si="29"/>
        <v>388</v>
      </c>
    </row>
    <row r="135" spans="4:16">
      <c r="D135" s="273" t="s">
        <v>775</v>
      </c>
      <c r="E135" s="275">
        <f t="shared" si="29"/>
        <v>0</v>
      </c>
      <c r="F135" s="275">
        <f t="shared" si="29"/>
        <v>0</v>
      </c>
      <c r="G135" s="275">
        <f t="shared" si="29"/>
        <v>0</v>
      </c>
      <c r="H135" s="275">
        <f t="shared" si="29"/>
        <v>0</v>
      </c>
      <c r="I135" s="275">
        <f t="shared" si="29"/>
        <v>0</v>
      </c>
      <c r="J135" s="275">
        <f t="shared" si="29"/>
        <v>0</v>
      </c>
      <c r="K135" s="275">
        <f t="shared" si="29"/>
        <v>0</v>
      </c>
      <c r="L135" s="275">
        <f t="shared" si="29"/>
        <v>0</v>
      </c>
      <c r="M135" s="275">
        <f t="shared" si="29"/>
        <v>0</v>
      </c>
      <c r="N135" s="275">
        <f t="shared" si="29"/>
        <v>0</v>
      </c>
      <c r="O135" s="275">
        <f t="shared" si="29"/>
        <v>0</v>
      </c>
      <c r="P135" s="275">
        <f t="shared" si="29"/>
        <v>0</v>
      </c>
    </row>
    <row r="136" spans="4:16">
      <c r="D136" s="273" t="s">
        <v>776</v>
      </c>
      <c r="E136" s="275">
        <f t="shared" si="29"/>
        <v>0</v>
      </c>
      <c r="F136" s="275">
        <f t="shared" si="29"/>
        <v>0</v>
      </c>
      <c r="G136" s="275">
        <f t="shared" si="29"/>
        <v>0</v>
      </c>
      <c r="H136" s="275">
        <f t="shared" si="29"/>
        <v>0</v>
      </c>
      <c r="I136" s="275">
        <f t="shared" si="29"/>
        <v>0</v>
      </c>
      <c r="J136" s="275">
        <f t="shared" si="29"/>
        <v>0</v>
      </c>
      <c r="K136" s="275">
        <f t="shared" si="29"/>
        <v>0</v>
      </c>
      <c r="L136" s="275">
        <f t="shared" si="29"/>
        <v>0</v>
      </c>
      <c r="M136" s="275">
        <f t="shared" si="29"/>
        <v>0</v>
      </c>
      <c r="N136" s="275">
        <f t="shared" si="29"/>
        <v>0</v>
      </c>
      <c r="O136" s="275">
        <f t="shared" si="29"/>
        <v>0</v>
      </c>
      <c r="P136" s="275">
        <f t="shared" si="29"/>
        <v>0</v>
      </c>
    </row>
    <row r="137" spans="4:16">
      <c r="D137" s="273" t="s">
        <v>777</v>
      </c>
      <c r="E137" s="275">
        <f t="shared" ref="E137:P146" si="30">ROUND($Q89*E$25*-1,0)</f>
        <v>2712</v>
      </c>
      <c r="F137" s="275">
        <f t="shared" si="30"/>
        <v>2473</v>
      </c>
      <c r="G137" s="275">
        <f t="shared" si="30"/>
        <v>2501</v>
      </c>
      <c r="H137" s="275">
        <f t="shared" si="30"/>
        <v>2570</v>
      </c>
      <c r="I137" s="275">
        <f t="shared" si="30"/>
        <v>2642</v>
      </c>
      <c r="J137" s="275">
        <f t="shared" si="30"/>
        <v>2525</v>
      </c>
      <c r="K137" s="275">
        <f t="shared" si="30"/>
        <v>2692</v>
      </c>
      <c r="L137" s="275">
        <f t="shared" si="30"/>
        <v>2679</v>
      </c>
      <c r="M137" s="275">
        <f t="shared" si="30"/>
        <v>2586</v>
      </c>
      <c r="N137" s="275">
        <f t="shared" si="30"/>
        <v>2943</v>
      </c>
      <c r="O137" s="275">
        <f t="shared" si="30"/>
        <v>2599</v>
      </c>
      <c r="P137" s="275">
        <f t="shared" si="30"/>
        <v>2586</v>
      </c>
    </row>
    <row r="138" spans="4:16">
      <c r="D138" s="273" t="s">
        <v>778</v>
      </c>
      <c r="E138" s="275">
        <f t="shared" si="30"/>
        <v>814</v>
      </c>
      <c r="F138" s="275">
        <f t="shared" si="30"/>
        <v>742</v>
      </c>
      <c r="G138" s="275">
        <f t="shared" si="30"/>
        <v>750</v>
      </c>
      <c r="H138" s="275">
        <f t="shared" si="30"/>
        <v>771</v>
      </c>
      <c r="I138" s="275">
        <f t="shared" si="30"/>
        <v>793</v>
      </c>
      <c r="J138" s="275">
        <f t="shared" si="30"/>
        <v>757</v>
      </c>
      <c r="K138" s="275">
        <f t="shared" si="30"/>
        <v>808</v>
      </c>
      <c r="L138" s="275">
        <f t="shared" si="30"/>
        <v>804</v>
      </c>
      <c r="M138" s="275">
        <f t="shared" si="30"/>
        <v>776</v>
      </c>
      <c r="N138" s="275">
        <f t="shared" si="30"/>
        <v>883</v>
      </c>
      <c r="O138" s="275">
        <f t="shared" si="30"/>
        <v>780</v>
      </c>
      <c r="P138" s="275">
        <f t="shared" si="30"/>
        <v>776</v>
      </c>
    </row>
    <row r="139" spans="4:16">
      <c r="D139" s="273" t="s">
        <v>779</v>
      </c>
      <c r="E139" s="275">
        <f t="shared" si="30"/>
        <v>271</v>
      </c>
      <c r="F139" s="275">
        <f t="shared" si="30"/>
        <v>247</v>
      </c>
      <c r="G139" s="275">
        <f t="shared" si="30"/>
        <v>250</v>
      </c>
      <c r="H139" s="275">
        <f t="shared" si="30"/>
        <v>257</v>
      </c>
      <c r="I139" s="275">
        <f t="shared" si="30"/>
        <v>264</v>
      </c>
      <c r="J139" s="275">
        <f t="shared" si="30"/>
        <v>252</v>
      </c>
      <c r="K139" s="275">
        <f t="shared" si="30"/>
        <v>269</v>
      </c>
      <c r="L139" s="275">
        <f t="shared" si="30"/>
        <v>268</v>
      </c>
      <c r="M139" s="275">
        <f t="shared" si="30"/>
        <v>259</v>
      </c>
      <c r="N139" s="275">
        <f t="shared" si="30"/>
        <v>294</v>
      </c>
      <c r="O139" s="275">
        <f t="shared" si="30"/>
        <v>260</v>
      </c>
      <c r="P139" s="275">
        <f t="shared" si="30"/>
        <v>259</v>
      </c>
    </row>
    <row r="140" spans="4:16">
      <c r="D140" s="273" t="s">
        <v>780</v>
      </c>
      <c r="E140" s="275">
        <f t="shared" si="30"/>
        <v>0</v>
      </c>
      <c r="F140" s="275">
        <f t="shared" si="30"/>
        <v>0</v>
      </c>
      <c r="G140" s="275">
        <f t="shared" si="30"/>
        <v>0</v>
      </c>
      <c r="H140" s="275">
        <f t="shared" si="30"/>
        <v>0</v>
      </c>
      <c r="I140" s="275">
        <f t="shared" si="30"/>
        <v>0</v>
      </c>
      <c r="J140" s="275">
        <f t="shared" si="30"/>
        <v>0</v>
      </c>
      <c r="K140" s="275">
        <f t="shared" si="30"/>
        <v>0</v>
      </c>
      <c r="L140" s="275">
        <f t="shared" si="30"/>
        <v>0</v>
      </c>
      <c r="M140" s="275">
        <f t="shared" si="30"/>
        <v>0</v>
      </c>
      <c r="N140" s="275">
        <f t="shared" si="30"/>
        <v>0</v>
      </c>
      <c r="O140" s="275">
        <f t="shared" si="30"/>
        <v>0</v>
      </c>
      <c r="P140" s="275">
        <f t="shared" si="30"/>
        <v>0</v>
      </c>
    </row>
    <row r="141" spans="4:16">
      <c r="D141" s="273" t="s">
        <v>781</v>
      </c>
      <c r="E141" s="275">
        <f t="shared" si="30"/>
        <v>0</v>
      </c>
      <c r="F141" s="275">
        <f t="shared" si="30"/>
        <v>0</v>
      </c>
      <c r="G141" s="275">
        <f t="shared" si="30"/>
        <v>0</v>
      </c>
      <c r="H141" s="275">
        <f t="shared" si="30"/>
        <v>0</v>
      </c>
      <c r="I141" s="275">
        <f t="shared" si="30"/>
        <v>0</v>
      </c>
      <c r="J141" s="275">
        <f t="shared" si="30"/>
        <v>0</v>
      </c>
      <c r="K141" s="275">
        <f t="shared" si="30"/>
        <v>0</v>
      </c>
      <c r="L141" s="275">
        <f t="shared" si="30"/>
        <v>0</v>
      </c>
      <c r="M141" s="275">
        <f t="shared" si="30"/>
        <v>0</v>
      </c>
      <c r="N141" s="275">
        <f t="shared" si="30"/>
        <v>0</v>
      </c>
      <c r="O141" s="275">
        <f t="shared" si="30"/>
        <v>0</v>
      </c>
      <c r="P141" s="275">
        <f t="shared" si="30"/>
        <v>0</v>
      </c>
    </row>
    <row r="142" spans="4:16">
      <c r="D142" s="273" t="s">
        <v>782</v>
      </c>
      <c r="E142" s="275">
        <f t="shared" si="30"/>
        <v>0</v>
      </c>
      <c r="F142" s="275">
        <f t="shared" si="30"/>
        <v>0</v>
      </c>
      <c r="G142" s="275">
        <f t="shared" si="30"/>
        <v>0</v>
      </c>
      <c r="H142" s="275">
        <f t="shared" si="30"/>
        <v>0</v>
      </c>
      <c r="I142" s="275">
        <f t="shared" si="30"/>
        <v>0</v>
      </c>
      <c r="J142" s="275">
        <f t="shared" si="30"/>
        <v>0</v>
      </c>
      <c r="K142" s="275">
        <f t="shared" si="30"/>
        <v>0</v>
      </c>
      <c r="L142" s="275">
        <f t="shared" si="30"/>
        <v>0</v>
      </c>
      <c r="M142" s="275">
        <f t="shared" si="30"/>
        <v>0</v>
      </c>
      <c r="N142" s="275">
        <f t="shared" si="30"/>
        <v>0</v>
      </c>
      <c r="O142" s="275">
        <f t="shared" si="30"/>
        <v>0</v>
      </c>
      <c r="P142" s="275">
        <f t="shared" si="30"/>
        <v>0</v>
      </c>
    </row>
    <row r="143" spans="4:16">
      <c r="D143" s="273" t="s">
        <v>783</v>
      </c>
      <c r="E143" s="275">
        <f t="shared" si="30"/>
        <v>0</v>
      </c>
      <c r="F143" s="275">
        <f t="shared" si="30"/>
        <v>0</v>
      </c>
      <c r="G143" s="275">
        <f t="shared" si="30"/>
        <v>0</v>
      </c>
      <c r="H143" s="275">
        <f t="shared" si="30"/>
        <v>0</v>
      </c>
      <c r="I143" s="275">
        <f t="shared" si="30"/>
        <v>0</v>
      </c>
      <c r="J143" s="275">
        <f t="shared" si="30"/>
        <v>0</v>
      </c>
      <c r="K143" s="275">
        <f t="shared" si="30"/>
        <v>0</v>
      </c>
      <c r="L143" s="275">
        <f t="shared" si="30"/>
        <v>0</v>
      </c>
      <c r="M143" s="275">
        <f t="shared" si="30"/>
        <v>0</v>
      </c>
      <c r="N143" s="275">
        <f t="shared" si="30"/>
        <v>0</v>
      </c>
      <c r="O143" s="275">
        <f t="shared" si="30"/>
        <v>0</v>
      </c>
      <c r="P143" s="275">
        <f t="shared" si="30"/>
        <v>0</v>
      </c>
    </row>
    <row r="144" spans="4:16">
      <c r="D144" s="273" t="s">
        <v>784</v>
      </c>
      <c r="E144" s="275">
        <f t="shared" si="30"/>
        <v>0</v>
      </c>
      <c r="F144" s="275">
        <f t="shared" si="30"/>
        <v>0</v>
      </c>
      <c r="G144" s="275">
        <f t="shared" si="30"/>
        <v>0</v>
      </c>
      <c r="H144" s="275">
        <f t="shared" si="30"/>
        <v>0</v>
      </c>
      <c r="I144" s="275">
        <f t="shared" si="30"/>
        <v>0</v>
      </c>
      <c r="J144" s="275">
        <f t="shared" si="30"/>
        <v>0</v>
      </c>
      <c r="K144" s="275">
        <f t="shared" si="30"/>
        <v>0</v>
      </c>
      <c r="L144" s="275">
        <f t="shared" si="30"/>
        <v>0</v>
      </c>
      <c r="M144" s="275">
        <f t="shared" si="30"/>
        <v>0</v>
      </c>
      <c r="N144" s="275">
        <f t="shared" si="30"/>
        <v>0</v>
      </c>
      <c r="O144" s="275">
        <f t="shared" si="30"/>
        <v>0</v>
      </c>
      <c r="P144" s="275">
        <f t="shared" si="30"/>
        <v>0</v>
      </c>
    </row>
    <row r="145" spans="4:16">
      <c r="D145" s="273" t="s">
        <v>785</v>
      </c>
      <c r="E145" s="275">
        <f t="shared" si="30"/>
        <v>0</v>
      </c>
      <c r="F145" s="275">
        <f t="shared" si="30"/>
        <v>0</v>
      </c>
      <c r="G145" s="275">
        <f t="shared" si="30"/>
        <v>0</v>
      </c>
      <c r="H145" s="275">
        <f t="shared" si="30"/>
        <v>0</v>
      </c>
      <c r="I145" s="275">
        <f t="shared" si="30"/>
        <v>0</v>
      </c>
      <c r="J145" s="275">
        <f t="shared" si="30"/>
        <v>0</v>
      </c>
      <c r="K145" s="275">
        <f t="shared" si="30"/>
        <v>0</v>
      </c>
      <c r="L145" s="275">
        <f t="shared" si="30"/>
        <v>0</v>
      </c>
      <c r="M145" s="275">
        <f t="shared" si="30"/>
        <v>0</v>
      </c>
      <c r="N145" s="275">
        <f t="shared" si="30"/>
        <v>0</v>
      </c>
      <c r="O145" s="275">
        <f t="shared" si="30"/>
        <v>0</v>
      </c>
      <c r="P145" s="275">
        <f t="shared" si="30"/>
        <v>0</v>
      </c>
    </row>
    <row r="146" spans="4:16">
      <c r="D146" s="273" t="s">
        <v>786</v>
      </c>
      <c r="E146" s="275">
        <f>ROUND($Q98*E$25*-1,0)</f>
        <v>0</v>
      </c>
      <c r="F146" s="275">
        <f t="shared" si="30"/>
        <v>0</v>
      </c>
      <c r="G146" s="275">
        <f t="shared" si="30"/>
        <v>0</v>
      </c>
      <c r="H146" s="275">
        <f t="shared" si="30"/>
        <v>0</v>
      </c>
      <c r="I146" s="275">
        <f t="shared" si="30"/>
        <v>0</v>
      </c>
      <c r="J146" s="275">
        <f t="shared" si="30"/>
        <v>0</v>
      </c>
      <c r="K146" s="275">
        <f t="shared" si="30"/>
        <v>0</v>
      </c>
      <c r="L146" s="275">
        <f t="shared" si="30"/>
        <v>0</v>
      </c>
      <c r="M146" s="275">
        <f t="shared" si="30"/>
        <v>0</v>
      </c>
      <c r="N146" s="275">
        <f t="shared" si="30"/>
        <v>0</v>
      </c>
      <c r="O146" s="275">
        <f t="shared" si="30"/>
        <v>0</v>
      </c>
      <c r="P146" s="275">
        <f t="shared" si="30"/>
        <v>0</v>
      </c>
    </row>
    <row r="147" spans="4:16">
      <c r="D147" s="273" t="s">
        <v>787</v>
      </c>
      <c r="E147" s="276">
        <f t="shared" ref="E147:P147" si="31">(ROUND($Q99*E$25*-1,0))</f>
        <v>46383</v>
      </c>
      <c r="F147" s="276">
        <f t="shared" si="31"/>
        <v>42282</v>
      </c>
      <c r="G147" s="276">
        <f t="shared" si="31"/>
        <v>42770</v>
      </c>
      <c r="H147" s="276">
        <f t="shared" si="31"/>
        <v>43945</v>
      </c>
      <c r="I147" s="276">
        <f t="shared" si="31"/>
        <v>45183</v>
      </c>
      <c r="J147" s="276">
        <f t="shared" si="31"/>
        <v>43172</v>
      </c>
      <c r="K147" s="276">
        <f t="shared" si="31"/>
        <v>46037</v>
      </c>
      <c r="L147" s="276">
        <f t="shared" si="31"/>
        <v>45814</v>
      </c>
      <c r="M147" s="276">
        <f t="shared" si="31"/>
        <v>44222</v>
      </c>
      <c r="N147" s="276">
        <f t="shared" si="31"/>
        <v>50318</v>
      </c>
      <c r="O147" s="276">
        <f t="shared" si="31"/>
        <v>44445</v>
      </c>
      <c r="P147" s="276">
        <f t="shared" si="31"/>
        <v>44227</v>
      </c>
    </row>
    <row r="148" spans="4:16">
      <c r="D148" s="273" t="s">
        <v>788</v>
      </c>
      <c r="E148" s="275">
        <f t="shared" ref="E148:P163" si="32">ROUND($Q100*E$25*-1,0)</f>
        <v>814</v>
      </c>
      <c r="F148" s="275">
        <f t="shared" si="32"/>
        <v>742</v>
      </c>
      <c r="G148" s="275">
        <f t="shared" si="32"/>
        <v>750</v>
      </c>
      <c r="H148" s="275">
        <f t="shared" si="32"/>
        <v>771</v>
      </c>
      <c r="I148" s="275">
        <f t="shared" si="32"/>
        <v>793</v>
      </c>
      <c r="J148" s="275">
        <f t="shared" si="32"/>
        <v>757</v>
      </c>
      <c r="K148" s="275">
        <f t="shared" si="32"/>
        <v>808</v>
      </c>
      <c r="L148" s="275">
        <f t="shared" si="32"/>
        <v>804</v>
      </c>
      <c r="M148" s="275">
        <f t="shared" si="32"/>
        <v>776</v>
      </c>
      <c r="N148" s="275">
        <f t="shared" si="32"/>
        <v>883</v>
      </c>
      <c r="O148" s="275">
        <f t="shared" si="32"/>
        <v>780</v>
      </c>
      <c r="P148" s="275">
        <f t="shared" si="32"/>
        <v>776</v>
      </c>
    </row>
    <row r="149" spans="4:16">
      <c r="D149" s="273" t="s">
        <v>789</v>
      </c>
      <c r="E149" s="275">
        <f t="shared" si="32"/>
        <v>542</v>
      </c>
      <c r="F149" s="275">
        <f t="shared" si="32"/>
        <v>495</v>
      </c>
      <c r="G149" s="275">
        <f t="shared" si="32"/>
        <v>500</v>
      </c>
      <c r="H149" s="275">
        <f t="shared" si="32"/>
        <v>514</v>
      </c>
      <c r="I149" s="275">
        <f t="shared" si="32"/>
        <v>528</v>
      </c>
      <c r="J149" s="275">
        <f t="shared" si="32"/>
        <v>505</v>
      </c>
      <c r="K149" s="275">
        <f t="shared" si="32"/>
        <v>538</v>
      </c>
      <c r="L149" s="275">
        <f t="shared" si="32"/>
        <v>536</v>
      </c>
      <c r="M149" s="275">
        <f t="shared" si="32"/>
        <v>517</v>
      </c>
      <c r="N149" s="275">
        <f t="shared" si="32"/>
        <v>589</v>
      </c>
      <c r="O149" s="275">
        <f t="shared" si="32"/>
        <v>520</v>
      </c>
      <c r="P149" s="275">
        <f t="shared" si="32"/>
        <v>517</v>
      </c>
    </row>
    <row r="150" spans="4:16">
      <c r="D150" s="273" t="s">
        <v>790</v>
      </c>
      <c r="E150" s="275">
        <f t="shared" si="32"/>
        <v>271</v>
      </c>
      <c r="F150" s="275">
        <f t="shared" si="32"/>
        <v>247</v>
      </c>
      <c r="G150" s="275">
        <f t="shared" si="32"/>
        <v>250</v>
      </c>
      <c r="H150" s="275">
        <f t="shared" si="32"/>
        <v>257</v>
      </c>
      <c r="I150" s="275">
        <f t="shared" si="32"/>
        <v>264</v>
      </c>
      <c r="J150" s="275">
        <f t="shared" si="32"/>
        <v>252</v>
      </c>
      <c r="K150" s="275">
        <f t="shared" si="32"/>
        <v>269</v>
      </c>
      <c r="L150" s="275">
        <f t="shared" si="32"/>
        <v>268</v>
      </c>
      <c r="M150" s="275">
        <f t="shared" si="32"/>
        <v>259</v>
      </c>
      <c r="N150" s="275">
        <f t="shared" si="32"/>
        <v>294</v>
      </c>
      <c r="O150" s="275">
        <f t="shared" si="32"/>
        <v>260</v>
      </c>
      <c r="P150" s="275">
        <f t="shared" si="32"/>
        <v>259</v>
      </c>
    </row>
    <row r="151" spans="4:16">
      <c r="D151" s="273" t="s">
        <v>791</v>
      </c>
      <c r="E151" s="275">
        <f t="shared" si="32"/>
        <v>0</v>
      </c>
      <c r="F151" s="275">
        <f t="shared" si="32"/>
        <v>0</v>
      </c>
      <c r="G151" s="275">
        <f t="shared" si="32"/>
        <v>0</v>
      </c>
      <c r="H151" s="275">
        <f t="shared" si="32"/>
        <v>0</v>
      </c>
      <c r="I151" s="275">
        <f t="shared" si="32"/>
        <v>0</v>
      </c>
      <c r="J151" s="275">
        <f t="shared" si="32"/>
        <v>0</v>
      </c>
      <c r="K151" s="275">
        <f t="shared" si="32"/>
        <v>0</v>
      </c>
      <c r="L151" s="275">
        <f t="shared" si="32"/>
        <v>0</v>
      </c>
      <c r="M151" s="275">
        <f t="shared" si="32"/>
        <v>0</v>
      </c>
      <c r="N151" s="275">
        <f t="shared" si="32"/>
        <v>0</v>
      </c>
      <c r="O151" s="275">
        <f t="shared" si="32"/>
        <v>0</v>
      </c>
      <c r="P151" s="275">
        <f t="shared" si="32"/>
        <v>0</v>
      </c>
    </row>
    <row r="152" spans="4:16">
      <c r="D152" s="273" t="s">
        <v>792</v>
      </c>
      <c r="E152" s="275">
        <f t="shared" si="32"/>
        <v>0</v>
      </c>
      <c r="F152" s="275">
        <f t="shared" si="32"/>
        <v>0</v>
      </c>
      <c r="G152" s="275">
        <f t="shared" si="32"/>
        <v>0</v>
      </c>
      <c r="H152" s="275">
        <f t="shared" si="32"/>
        <v>0</v>
      </c>
      <c r="I152" s="275">
        <f t="shared" si="32"/>
        <v>0</v>
      </c>
      <c r="J152" s="275">
        <f t="shared" si="32"/>
        <v>0</v>
      </c>
      <c r="K152" s="275">
        <f t="shared" si="32"/>
        <v>0</v>
      </c>
      <c r="L152" s="275">
        <f t="shared" si="32"/>
        <v>0</v>
      </c>
      <c r="M152" s="275">
        <f t="shared" si="32"/>
        <v>0</v>
      </c>
      <c r="N152" s="275">
        <f t="shared" si="32"/>
        <v>0</v>
      </c>
      <c r="O152" s="275">
        <f t="shared" si="32"/>
        <v>0</v>
      </c>
      <c r="P152" s="275">
        <f t="shared" si="32"/>
        <v>0</v>
      </c>
    </row>
    <row r="153" spans="4:16">
      <c r="D153" s="273" t="s">
        <v>793</v>
      </c>
      <c r="E153" s="275">
        <f t="shared" si="32"/>
        <v>0</v>
      </c>
      <c r="F153" s="275">
        <f t="shared" si="32"/>
        <v>0</v>
      </c>
      <c r="G153" s="275">
        <f t="shared" si="32"/>
        <v>0</v>
      </c>
      <c r="H153" s="275">
        <f t="shared" si="32"/>
        <v>0</v>
      </c>
      <c r="I153" s="275">
        <f t="shared" si="32"/>
        <v>0</v>
      </c>
      <c r="J153" s="275">
        <f t="shared" si="32"/>
        <v>0</v>
      </c>
      <c r="K153" s="275">
        <f t="shared" si="32"/>
        <v>0</v>
      </c>
      <c r="L153" s="275">
        <f t="shared" si="32"/>
        <v>0</v>
      </c>
      <c r="M153" s="275">
        <f t="shared" si="32"/>
        <v>0</v>
      </c>
      <c r="N153" s="275">
        <f t="shared" si="32"/>
        <v>0</v>
      </c>
      <c r="O153" s="275">
        <f t="shared" si="32"/>
        <v>0</v>
      </c>
      <c r="P153" s="275">
        <f t="shared" si="32"/>
        <v>0</v>
      </c>
    </row>
    <row r="154" spans="4:16">
      <c r="D154" s="273" t="s">
        <v>794</v>
      </c>
      <c r="E154" s="275">
        <f t="shared" si="32"/>
        <v>137</v>
      </c>
      <c r="F154" s="275">
        <f t="shared" si="32"/>
        <v>124</v>
      </c>
      <c r="G154" s="275">
        <f t="shared" si="32"/>
        <v>126</v>
      </c>
      <c r="H154" s="275">
        <f t="shared" si="32"/>
        <v>129</v>
      </c>
      <c r="I154" s="275">
        <f t="shared" si="32"/>
        <v>133</v>
      </c>
      <c r="J154" s="275">
        <f t="shared" si="32"/>
        <v>127</v>
      </c>
      <c r="K154" s="275">
        <f t="shared" si="32"/>
        <v>136</v>
      </c>
      <c r="L154" s="275">
        <f t="shared" si="32"/>
        <v>135</v>
      </c>
      <c r="M154" s="275">
        <f t="shared" si="32"/>
        <v>130</v>
      </c>
      <c r="N154" s="275">
        <f t="shared" si="32"/>
        <v>148</v>
      </c>
      <c r="O154" s="275">
        <f t="shared" si="32"/>
        <v>131</v>
      </c>
      <c r="P154" s="275">
        <f t="shared" si="32"/>
        <v>130</v>
      </c>
    </row>
    <row r="155" spans="4:16">
      <c r="D155" s="273" t="s">
        <v>795</v>
      </c>
      <c r="E155" s="275">
        <f t="shared" si="32"/>
        <v>407</v>
      </c>
      <c r="F155" s="275">
        <f t="shared" si="32"/>
        <v>371</v>
      </c>
      <c r="G155" s="275">
        <f t="shared" si="32"/>
        <v>375</v>
      </c>
      <c r="H155" s="275">
        <f t="shared" si="32"/>
        <v>385</v>
      </c>
      <c r="I155" s="275">
        <f t="shared" si="32"/>
        <v>396</v>
      </c>
      <c r="J155" s="275">
        <f t="shared" si="32"/>
        <v>379</v>
      </c>
      <c r="K155" s="275">
        <f t="shared" si="32"/>
        <v>404</v>
      </c>
      <c r="L155" s="275">
        <f t="shared" si="32"/>
        <v>402</v>
      </c>
      <c r="M155" s="275">
        <f t="shared" si="32"/>
        <v>388</v>
      </c>
      <c r="N155" s="275">
        <f t="shared" si="32"/>
        <v>441</v>
      </c>
      <c r="O155" s="275">
        <f t="shared" si="32"/>
        <v>390</v>
      </c>
      <c r="P155" s="275">
        <f t="shared" si="32"/>
        <v>388</v>
      </c>
    </row>
    <row r="156" spans="4:16">
      <c r="D156" s="273" t="s">
        <v>796</v>
      </c>
      <c r="E156" s="275">
        <f t="shared" si="32"/>
        <v>250</v>
      </c>
      <c r="F156" s="275">
        <f t="shared" si="32"/>
        <v>228</v>
      </c>
      <c r="G156" s="275">
        <f t="shared" si="32"/>
        <v>230</v>
      </c>
      <c r="H156" s="275">
        <f t="shared" si="32"/>
        <v>237</v>
      </c>
      <c r="I156" s="275">
        <f t="shared" si="32"/>
        <v>243</v>
      </c>
      <c r="J156" s="275">
        <f t="shared" si="32"/>
        <v>233</v>
      </c>
      <c r="K156" s="275">
        <f t="shared" si="32"/>
        <v>248</v>
      </c>
      <c r="L156" s="275">
        <f t="shared" si="32"/>
        <v>247</v>
      </c>
      <c r="M156" s="275">
        <f t="shared" si="32"/>
        <v>238</v>
      </c>
      <c r="N156" s="275">
        <f t="shared" si="32"/>
        <v>271</v>
      </c>
      <c r="O156" s="275">
        <f t="shared" si="32"/>
        <v>239</v>
      </c>
      <c r="P156" s="275">
        <f t="shared" si="32"/>
        <v>238</v>
      </c>
    </row>
    <row r="157" spans="4:16">
      <c r="D157" s="273" t="s">
        <v>797</v>
      </c>
      <c r="E157" s="275">
        <f t="shared" si="32"/>
        <v>89</v>
      </c>
      <c r="F157" s="275">
        <f t="shared" si="32"/>
        <v>81</v>
      </c>
      <c r="G157" s="275">
        <f t="shared" si="32"/>
        <v>82</v>
      </c>
      <c r="H157" s="275">
        <f t="shared" si="32"/>
        <v>84</v>
      </c>
      <c r="I157" s="275">
        <f t="shared" si="32"/>
        <v>87</v>
      </c>
      <c r="J157" s="275">
        <f t="shared" si="32"/>
        <v>83</v>
      </c>
      <c r="K157" s="275">
        <f t="shared" si="32"/>
        <v>88</v>
      </c>
      <c r="L157" s="275">
        <f t="shared" si="32"/>
        <v>88</v>
      </c>
      <c r="M157" s="275">
        <f t="shared" si="32"/>
        <v>85</v>
      </c>
      <c r="N157" s="275">
        <f t="shared" si="32"/>
        <v>96</v>
      </c>
      <c r="O157" s="275">
        <f t="shared" si="32"/>
        <v>85</v>
      </c>
      <c r="P157" s="275">
        <f t="shared" si="32"/>
        <v>85</v>
      </c>
    </row>
    <row r="158" spans="4:16">
      <c r="D158" s="273" t="s">
        <v>798</v>
      </c>
      <c r="E158" s="275">
        <f t="shared" si="32"/>
        <v>542</v>
      </c>
      <c r="F158" s="275">
        <f t="shared" si="32"/>
        <v>495</v>
      </c>
      <c r="G158" s="275">
        <f t="shared" si="32"/>
        <v>500</v>
      </c>
      <c r="H158" s="275">
        <f t="shared" si="32"/>
        <v>514</v>
      </c>
      <c r="I158" s="275">
        <f t="shared" si="32"/>
        <v>528</v>
      </c>
      <c r="J158" s="275">
        <f t="shared" si="32"/>
        <v>505</v>
      </c>
      <c r="K158" s="275">
        <f t="shared" si="32"/>
        <v>538</v>
      </c>
      <c r="L158" s="275">
        <f t="shared" si="32"/>
        <v>536</v>
      </c>
      <c r="M158" s="275">
        <f t="shared" si="32"/>
        <v>517</v>
      </c>
      <c r="N158" s="275">
        <f t="shared" si="32"/>
        <v>589</v>
      </c>
      <c r="O158" s="275">
        <f t="shared" si="32"/>
        <v>520</v>
      </c>
      <c r="P158" s="275">
        <f t="shared" si="32"/>
        <v>517</v>
      </c>
    </row>
    <row r="159" spans="4:16">
      <c r="D159" s="273" t="s">
        <v>799</v>
      </c>
      <c r="E159" s="275">
        <f t="shared" si="32"/>
        <v>271</v>
      </c>
      <c r="F159" s="275">
        <f t="shared" si="32"/>
        <v>247</v>
      </c>
      <c r="G159" s="275">
        <f t="shared" si="32"/>
        <v>250</v>
      </c>
      <c r="H159" s="275">
        <f t="shared" si="32"/>
        <v>257</v>
      </c>
      <c r="I159" s="275">
        <f t="shared" si="32"/>
        <v>264</v>
      </c>
      <c r="J159" s="275">
        <f t="shared" si="32"/>
        <v>252</v>
      </c>
      <c r="K159" s="275">
        <f t="shared" si="32"/>
        <v>269</v>
      </c>
      <c r="L159" s="275">
        <f t="shared" si="32"/>
        <v>268</v>
      </c>
      <c r="M159" s="275">
        <f t="shared" si="32"/>
        <v>259</v>
      </c>
      <c r="N159" s="275">
        <f t="shared" si="32"/>
        <v>294</v>
      </c>
      <c r="O159" s="275">
        <f t="shared" si="32"/>
        <v>260</v>
      </c>
      <c r="P159" s="275">
        <f t="shared" si="32"/>
        <v>259</v>
      </c>
    </row>
    <row r="160" spans="4:16">
      <c r="D160" s="273" t="s">
        <v>800</v>
      </c>
      <c r="E160" s="275">
        <f t="shared" si="32"/>
        <v>52</v>
      </c>
      <c r="F160" s="275">
        <f t="shared" si="32"/>
        <v>47</v>
      </c>
      <c r="G160" s="275">
        <f t="shared" si="32"/>
        <v>48</v>
      </c>
      <c r="H160" s="275">
        <f t="shared" si="32"/>
        <v>49</v>
      </c>
      <c r="I160" s="275">
        <f t="shared" si="32"/>
        <v>51</v>
      </c>
      <c r="J160" s="275">
        <f t="shared" si="32"/>
        <v>48</v>
      </c>
      <c r="K160" s="275">
        <f t="shared" si="32"/>
        <v>52</v>
      </c>
      <c r="L160" s="275">
        <f t="shared" si="32"/>
        <v>51</v>
      </c>
      <c r="M160" s="275">
        <f t="shared" si="32"/>
        <v>50</v>
      </c>
      <c r="N160" s="275">
        <f t="shared" si="32"/>
        <v>57</v>
      </c>
      <c r="O160" s="275">
        <f t="shared" si="32"/>
        <v>50</v>
      </c>
      <c r="P160" s="275">
        <f t="shared" si="32"/>
        <v>50</v>
      </c>
    </row>
    <row r="161" spans="4:34">
      <c r="D161" s="273" t="s">
        <v>801</v>
      </c>
      <c r="E161" s="275">
        <f t="shared" si="32"/>
        <v>271</v>
      </c>
      <c r="F161" s="275">
        <f t="shared" si="32"/>
        <v>247</v>
      </c>
      <c r="G161" s="275">
        <f t="shared" si="32"/>
        <v>250</v>
      </c>
      <c r="H161" s="275">
        <f t="shared" si="32"/>
        <v>257</v>
      </c>
      <c r="I161" s="275">
        <f t="shared" si="32"/>
        <v>264</v>
      </c>
      <c r="J161" s="275">
        <f t="shared" si="32"/>
        <v>252</v>
      </c>
      <c r="K161" s="275">
        <f t="shared" si="32"/>
        <v>269</v>
      </c>
      <c r="L161" s="275">
        <f t="shared" si="32"/>
        <v>268</v>
      </c>
      <c r="M161" s="275">
        <f t="shared" si="32"/>
        <v>259</v>
      </c>
      <c r="N161" s="275">
        <f t="shared" si="32"/>
        <v>294</v>
      </c>
      <c r="O161" s="275">
        <f t="shared" si="32"/>
        <v>260</v>
      </c>
      <c r="P161" s="275">
        <f t="shared" si="32"/>
        <v>259</v>
      </c>
    </row>
    <row r="162" spans="4:34">
      <c r="D162" s="273" t="s">
        <v>802</v>
      </c>
      <c r="E162" s="275">
        <f t="shared" si="32"/>
        <v>1899</v>
      </c>
      <c r="F162" s="275">
        <f t="shared" si="32"/>
        <v>1731</v>
      </c>
      <c r="G162" s="275">
        <f t="shared" si="32"/>
        <v>1751</v>
      </c>
      <c r="H162" s="275">
        <f t="shared" si="32"/>
        <v>1799</v>
      </c>
      <c r="I162" s="275">
        <f t="shared" si="32"/>
        <v>1850</v>
      </c>
      <c r="J162" s="275">
        <f t="shared" si="32"/>
        <v>1767</v>
      </c>
      <c r="K162" s="275">
        <f t="shared" si="32"/>
        <v>1885</v>
      </c>
      <c r="L162" s="275">
        <f t="shared" si="32"/>
        <v>1875</v>
      </c>
      <c r="M162" s="275">
        <f t="shared" si="32"/>
        <v>1810</v>
      </c>
      <c r="N162" s="275">
        <f t="shared" si="32"/>
        <v>2060</v>
      </c>
      <c r="O162" s="275">
        <f t="shared" si="32"/>
        <v>1819</v>
      </c>
      <c r="P162" s="275">
        <f t="shared" si="32"/>
        <v>1810</v>
      </c>
    </row>
    <row r="163" spans="4:34">
      <c r="D163" s="273" t="s">
        <v>803</v>
      </c>
      <c r="E163" s="275">
        <f t="shared" si="32"/>
        <v>0</v>
      </c>
      <c r="F163" s="275">
        <f t="shared" si="32"/>
        <v>0</v>
      </c>
      <c r="G163" s="275">
        <f t="shared" si="32"/>
        <v>0</v>
      </c>
      <c r="H163" s="275">
        <f t="shared" si="32"/>
        <v>0</v>
      </c>
      <c r="I163" s="275">
        <f t="shared" si="32"/>
        <v>0</v>
      </c>
      <c r="J163" s="275">
        <f t="shared" si="32"/>
        <v>0</v>
      </c>
      <c r="K163" s="275">
        <f t="shared" si="32"/>
        <v>0</v>
      </c>
      <c r="L163" s="275">
        <f t="shared" si="32"/>
        <v>0</v>
      </c>
      <c r="M163" s="275">
        <f t="shared" si="32"/>
        <v>0</v>
      </c>
      <c r="N163" s="275">
        <f t="shared" si="32"/>
        <v>0</v>
      </c>
      <c r="O163" s="275">
        <f t="shared" si="32"/>
        <v>0</v>
      </c>
      <c r="P163" s="275">
        <f t="shared" si="32"/>
        <v>0</v>
      </c>
    </row>
    <row r="164" spans="4:34">
      <c r="D164" s="273" t="s">
        <v>804</v>
      </c>
      <c r="E164" s="275">
        <f t="shared" ref="E164:P164" si="33">ROUND($Q116*E$25*-1,0)</f>
        <v>1085</v>
      </c>
      <c r="F164" s="275">
        <f t="shared" si="33"/>
        <v>989</v>
      </c>
      <c r="G164" s="275">
        <f t="shared" si="33"/>
        <v>1000</v>
      </c>
      <c r="H164" s="275">
        <f t="shared" si="33"/>
        <v>1028</v>
      </c>
      <c r="I164" s="275">
        <f t="shared" si="33"/>
        <v>1057</v>
      </c>
      <c r="J164" s="275">
        <f t="shared" si="33"/>
        <v>1010</v>
      </c>
      <c r="K164" s="275">
        <f t="shared" si="33"/>
        <v>1077</v>
      </c>
      <c r="L164" s="275">
        <f t="shared" si="33"/>
        <v>1072</v>
      </c>
      <c r="M164" s="275">
        <f t="shared" si="33"/>
        <v>1034</v>
      </c>
      <c r="N164" s="275">
        <f t="shared" si="33"/>
        <v>1177</v>
      </c>
      <c r="O164" s="275">
        <f t="shared" si="33"/>
        <v>1040</v>
      </c>
      <c r="P164" s="275">
        <f t="shared" si="33"/>
        <v>1035</v>
      </c>
    </row>
    <row r="165" spans="4:34">
      <c r="D165" s="277"/>
      <c r="E165" s="275">
        <f>SUM(E120:E164)</f>
        <v>292483.04000000004</v>
      </c>
      <c r="F165" s="275">
        <f t="shared" ref="F165:P165" si="34">SUM(F120:F164)</f>
        <v>266626.07999999996</v>
      </c>
      <c r="G165" s="275">
        <f t="shared" si="34"/>
        <v>269698.57999999996</v>
      </c>
      <c r="H165" s="275">
        <f t="shared" si="34"/>
        <v>277112.53000000003</v>
      </c>
      <c r="I165" s="275">
        <f t="shared" si="34"/>
        <v>284916.99</v>
      </c>
      <c r="J165" s="275">
        <f t="shared" si="34"/>
        <v>272236.25</v>
      </c>
      <c r="K165" s="275">
        <f t="shared" si="34"/>
        <v>290297.92000000004</v>
      </c>
      <c r="L165" s="275">
        <f t="shared" si="34"/>
        <v>288900.53000000003</v>
      </c>
      <c r="M165" s="275">
        <f t="shared" si="34"/>
        <v>278859.53000000003</v>
      </c>
      <c r="N165" s="275">
        <f t="shared" si="34"/>
        <v>317299.67000000004</v>
      </c>
      <c r="O165" s="275">
        <f t="shared" si="34"/>
        <v>280266.92000000004</v>
      </c>
      <c r="P165" s="275">
        <f t="shared" si="34"/>
        <v>278896.53000000003</v>
      </c>
    </row>
    <row r="167" spans="4:34" s="109" customFormat="1">
      <c r="D167" s="109" t="s">
        <v>807</v>
      </c>
      <c r="E167" s="127">
        <f>E165+E25</f>
        <v>-2.2199999999720603</v>
      </c>
      <c r="F167" s="127">
        <f t="shared" ref="F167:P167" si="35">F165+F25</f>
        <v>-0.84000000002561137</v>
      </c>
      <c r="G167" s="127">
        <f t="shared" si="35"/>
        <v>-6.3400000000256114</v>
      </c>
      <c r="H167" s="127">
        <f t="shared" si="35"/>
        <v>2.0000000018626451E-2</v>
      </c>
      <c r="I167" s="127">
        <f t="shared" si="35"/>
        <v>0.40999999997438863</v>
      </c>
      <c r="J167" s="127">
        <f t="shared" si="35"/>
        <v>-2.6699999999837019</v>
      </c>
      <c r="K167" s="127">
        <f t="shared" si="35"/>
        <v>-3.059999999939464</v>
      </c>
      <c r="L167" s="127">
        <f t="shared" si="35"/>
        <v>2.8699999999953434</v>
      </c>
      <c r="M167" s="127">
        <f t="shared" si="35"/>
        <v>2.8699999999953434</v>
      </c>
      <c r="N167" s="127">
        <f t="shared" si="35"/>
        <v>5.0000000046566129E-2</v>
      </c>
      <c r="O167" s="127">
        <f t="shared" si="35"/>
        <v>2.940000000060536</v>
      </c>
      <c r="P167" s="127">
        <f t="shared" si="35"/>
        <v>4.8699999999953434</v>
      </c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D167" s="127"/>
      <c r="AE167" s="127"/>
      <c r="AH167" s="129"/>
    </row>
    <row r="168" spans="4:34" s="109" customFormat="1">
      <c r="E168" s="127">
        <f>ROUND(E167,2)</f>
        <v>-2.2200000000000002</v>
      </c>
      <c r="F168" s="127">
        <f t="shared" ref="F168:P168" si="36">ROUND(F167,2)</f>
        <v>-0.84</v>
      </c>
      <c r="G168" s="127">
        <f t="shared" si="36"/>
        <v>-6.34</v>
      </c>
      <c r="H168" s="127">
        <f t="shared" si="36"/>
        <v>0.02</v>
      </c>
      <c r="I168" s="127">
        <f t="shared" si="36"/>
        <v>0.41</v>
      </c>
      <c r="J168" s="127">
        <f t="shared" si="36"/>
        <v>-2.67</v>
      </c>
      <c r="K168" s="127">
        <f t="shared" si="36"/>
        <v>-3.06</v>
      </c>
      <c r="L168" s="127">
        <f t="shared" si="36"/>
        <v>2.87</v>
      </c>
      <c r="M168" s="127">
        <f t="shared" si="36"/>
        <v>2.87</v>
      </c>
      <c r="N168" s="127">
        <f t="shared" si="36"/>
        <v>0.05</v>
      </c>
      <c r="O168" s="127">
        <f t="shared" si="36"/>
        <v>2.94</v>
      </c>
      <c r="P168" s="127">
        <f t="shared" si="36"/>
        <v>4.87</v>
      </c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  <c r="AD168" s="127"/>
      <c r="AE168" s="127"/>
      <c r="AH168" s="129"/>
    </row>
  </sheetData>
  <phoneticPr fontId="7" type="noConversion"/>
  <dataValidations count="80">
    <dataValidation type="textLength" errorStyle="information" allowBlank="1" showInputMessage="1" showErrorMessage="1" error="XLBVal:6=2015.41_x000d__x000a_" sqref="R34">
      <formula1>0</formula1>
      <formula2>300</formula2>
    </dataValidation>
    <dataValidation type="textLength" errorStyle="information" allowBlank="1" showInputMessage="1" showErrorMessage="1" error="XLBVal:6=1103.46_x000d__x000a_" sqref="W33">
      <formula1>0</formula1>
      <formula2>300</formula2>
    </dataValidation>
    <dataValidation type="textLength" errorStyle="information" allowBlank="1" showInputMessage="1" showErrorMessage="1" error="XLBVal:6=34.2_x000d__x000a_" sqref="W19">
      <formula1>0</formula1>
      <formula2>300</formula2>
    </dataValidation>
    <dataValidation type="textLength" errorStyle="information" allowBlank="1" showInputMessage="1" showErrorMessage="1" error="XLBVal:6=17.1_x000d__x000a_" sqref="T19">
      <formula1>0</formula1>
      <formula2>300</formula2>
    </dataValidation>
    <dataValidation type="textLength" errorStyle="information" allowBlank="1" showInputMessage="1" showErrorMessage="1" error="XLBVal:6=31.8_x000d__x000a_" sqref="S19">
      <formula1>0</formula1>
      <formula2>300</formula2>
    </dataValidation>
    <dataValidation type="textLength" errorStyle="information" allowBlank="1" showInputMessage="1" showErrorMessage="1" error="XLBVal:6=466_x000d__x000a_" sqref="W17">
      <formula1>0</formula1>
      <formula2>300</formula2>
    </dataValidation>
    <dataValidation type="textLength" errorStyle="information" allowBlank="1" showInputMessage="1" showErrorMessage="1" error="XLBVal:6=453.1_x000d__x000a_" sqref="V17">
      <formula1>0</formula1>
      <formula2>300</formula2>
    </dataValidation>
    <dataValidation type="textLength" errorStyle="information" allowBlank="1" showInputMessage="1" showErrorMessage="1" error="XLBVal:6=262.14_x000d__x000a_" sqref="T17">
      <formula1>0</formula1>
      <formula2>300</formula2>
    </dataValidation>
    <dataValidation type="textLength" errorStyle="information" allowBlank="1" showInputMessage="1" showErrorMessage="1" error="XLBVal:6=34143_x000d__x000a_" sqref="E29:E30 E33:P37 E40:P47 E50:P58 E62:P62">
      <formula1>0</formula1>
      <formula2>300</formula2>
    </dataValidation>
    <dataValidation type="textLength" errorStyle="information" allowBlank="1" showInputMessage="1" showErrorMessage="1" error="XLBVal:6=1364.51_x000d__x000a_" sqref="W34">
      <formula1>0</formula1>
      <formula2>300</formula2>
    </dataValidation>
    <dataValidation type="textLength" errorStyle="information" allowBlank="1" showInputMessage="1" showErrorMessage="1" error="XLBVal:6=-181.5_x000d__x000a_" sqref="U16">
      <formula1>0</formula1>
      <formula2>300</formula2>
    </dataValidation>
    <dataValidation type="textLength" errorStyle="information" allowBlank="1" showInputMessage="1" showErrorMessage="1" error="XLBVal:6=1356.24_x000d__x000a_" sqref="V34">
      <formula1>0</formula1>
      <formula2>300</formula2>
    </dataValidation>
    <dataValidation type="textLength" errorStyle="information" allowBlank="1" showInputMessage="1" showErrorMessage="1" error="XLBVal:6=4060_x000d__x000a_" sqref="X40:AC47 X29:AC30 X33:AC37 X62:AC62 X50:AC58">
      <formula1>0</formula1>
      <formula2>300</formula2>
    </dataValidation>
    <dataValidation type="textLength" errorStyle="information" allowBlank="1" showInputMessage="1" showErrorMessage="1" error="XLBVal:6=63973.94_x000d__x000a_" sqref="X12:AC23">
      <formula1>0</formula1>
      <formula2>300</formula2>
    </dataValidation>
    <dataValidation type="textLength" errorStyle="information" allowBlank="1" showInputMessage="1" showErrorMessage="1" error="XLBVal:6=2030.98_x000d__x000a_" sqref="T34">
      <formula1>0</formula1>
      <formula2>300</formula2>
    </dataValidation>
    <dataValidation type="textLength" errorStyle="information" allowBlank="1" showInputMessage="1" showErrorMessage="1" error="XLBVal:6=2038.03_x000d__x000a_" sqref="S34">
      <formula1>0</formula1>
      <formula2>300</formula2>
    </dataValidation>
    <dataValidation type="textLength" errorStyle="information" allowBlank="1" showInputMessage="1" showErrorMessage="1" error="XLBVal:6=460.29_x000d__x000a_" sqref="R17">
      <formula1>0</formula1>
      <formula2>300</formula2>
    </dataValidation>
    <dataValidation type="textLength" errorStyle="information" allowBlank="1" showInputMessage="1" showErrorMessage="1" error="XLBVal:6=3339.99_x000d__x000a_" sqref="T16">
      <formula1>0</formula1>
      <formula2>300</formula2>
    </dataValidation>
    <dataValidation type="textLength" errorStyle="information" allowBlank="1" showInputMessage="1" showErrorMessage="1" error="XLBVal:6=277542.57_x000d__x000a_" sqref="S13">
      <formula1>0</formula1>
      <formula2>300</formula2>
    </dataValidation>
    <dataValidation type="textLength" errorStyle="information" allowBlank="1" showInputMessage="1" showErrorMessage="1" error="XLBVal:6=96.6_x000d__x000a_" sqref="R42:W42">
      <formula1>0</formula1>
      <formula2>300</formula2>
    </dataValidation>
    <dataValidation type="textLength" errorStyle="information" allowBlank="1" showInputMessage="1" showErrorMessage="1" error="XLBVal:6=3604_x000d__x000a_" sqref="V35">
      <formula1>0</formula1>
      <formula2>300</formula2>
    </dataValidation>
    <dataValidation type="textLength" errorStyle="information" allowBlank="1" showInputMessage="1" showErrorMessage="1" error="XLBVal:6=1370.84_x000d__x000a_" sqref="U34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202.58_x000d__x000a_" sqref="R21">
      <formula1>0</formula1>
      <formula2>300</formula2>
    </dataValidation>
    <dataValidation type="textLength" errorStyle="information" allowBlank="1" showInputMessage="1" showErrorMessage="1" error="XLBVal:6=167.52_x000d__x000a_" sqref="W55">
      <formula1>0</formula1>
      <formula2>300</formula2>
    </dataValidation>
    <dataValidation type="textLength" errorStyle="information" allowBlank="1" showInputMessage="1" showErrorMessage="1" error="XLBVal:6=90.66_x000d__x000a_" sqref="V55">
      <formula1>0</formula1>
      <formula2>300</formula2>
    </dataValidation>
    <dataValidation type="textLength" errorStyle="information" allowBlank="1" showInputMessage="1" showErrorMessage="1" error="XLBVal:6=96.35_x000d__x000a_" sqref="U55">
      <formula1>0</formula1>
      <formula2>300</formula2>
    </dataValidation>
    <dataValidation type="textLength" errorStyle="information" allowBlank="1" showInputMessage="1" showErrorMessage="1" error="XLBVal:6=95.1_x000d__x000a_" sqref="T55">
      <formula1>0</formula1>
      <formula2>300</formula2>
    </dataValidation>
    <dataValidation type="textLength" errorStyle="information" allowBlank="1" showInputMessage="1" showErrorMessage="1" error="XLBVal:6=106.15_x000d__x000a_" sqref="S55">
      <formula1>0</formula1>
      <formula2>300</formula2>
    </dataValidation>
    <dataValidation type="textLength" errorStyle="information" allowBlank="1" showInputMessage="1" showErrorMessage="1" error="XLBVal:6=87.29_x000d__x000a_" sqref="R55">
      <formula1>0</formula1>
      <formula2>300</formula2>
    </dataValidation>
    <dataValidation type="textLength" errorStyle="information" allowBlank="1" showInputMessage="1" showErrorMessage="1" error="XLBVal:6=79.04_x000d__x000a_" sqref="W54">
      <formula1>0</formula1>
      <formula2>300</formula2>
    </dataValidation>
    <dataValidation type="textLength" errorStyle="information" allowBlank="1" showInputMessage="1" showErrorMessage="1" error="XLBVal:6=78.7_x000d__x000a_" sqref="V54">
      <formula1>0</formula1>
      <formula2>300</formula2>
    </dataValidation>
    <dataValidation type="textLength" errorStyle="information" allowBlank="1" showInputMessage="1" showErrorMessage="1" error="XLBVal:6=76.04_x000d__x000a_" sqref="S54">
      <formula1>0</formula1>
      <formula2>300</formula2>
    </dataValidation>
    <dataValidation type="textLength" errorStyle="information" allowBlank="1" showInputMessage="1" showErrorMessage="1" error="XLBVal:6=75.4_x000d__x000a_" sqref="R54 T54:U54">
      <formula1>0</formula1>
      <formula2>300</formula2>
    </dataValidation>
    <dataValidation type="textLength" errorStyle="information" allowBlank="1" showInputMessage="1" showErrorMessage="1" error="XLBVal:6=318.47_x000d__x000a_" sqref="W46">
      <formula1>0</formula1>
      <formula2>300</formula2>
    </dataValidation>
    <dataValidation type="textLength" errorStyle="information" allowBlank="1" showInputMessage="1" showErrorMessage="1" error="XLBVal:6=317.4_x000d__x000a_" sqref="V46">
      <formula1>0</formula1>
      <formula2>300</formula2>
    </dataValidation>
    <dataValidation type="textLength" errorStyle="information" allowBlank="1" showInputMessage="1" showErrorMessage="1" error="XLBVal:6=488.86_x000d__x000a_" sqref="U46">
      <formula1>0</formula1>
      <formula2>300</formula2>
    </dataValidation>
    <dataValidation type="textLength" errorStyle="information" allowBlank="1" showInputMessage="1" showErrorMessage="1" error="XLBVal:6=562.5_x000d__x000a_" sqref="T46">
      <formula1>0</formula1>
      <formula2>300</formula2>
    </dataValidation>
    <dataValidation type="textLength" errorStyle="information" allowBlank="1" showInputMessage="1" showErrorMessage="1" error="XLBVal:6=363.16_x000d__x000a_" sqref="S46">
      <formula1>0</formula1>
      <formula2>300</formula2>
    </dataValidation>
    <dataValidation type="textLength" errorStyle="information" allowBlank="1" showInputMessage="1" showErrorMessage="1" error="XLBVal:6=325.92_x000d__x000a_" sqref="R46">
      <formula1>0</formula1>
      <formula2>300</formula2>
    </dataValidation>
    <dataValidation type="textLength" errorStyle="information" allowBlank="1" showInputMessage="1" showErrorMessage="1" error="XLBVal:6=912_x000d__x000a_" sqref="R45:W45">
      <formula1>0</formula1>
      <formula2>300</formula2>
    </dataValidation>
    <dataValidation type="textLength" errorStyle="information" allowBlank="1" showInputMessage="1" showErrorMessage="1" error="XLBVal:6=23.2_x000d__x000a_" sqref="R43:W43">
      <formula1>0</formula1>
      <formula2>300</formula2>
    </dataValidation>
    <dataValidation type="textLength" errorStyle="information" allowBlank="1" showInputMessage="1" showErrorMessage="1" error="XLBVal:6=1642.2_x000d__x000a_" sqref="R41:W41">
      <formula1>0</formula1>
      <formula2>300</formula2>
    </dataValidation>
    <dataValidation type="textLength" errorStyle="information" allowBlank="1" showInputMessage="1" showErrorMessage="1" error="XLBVal:6=3091.2_x000d__x000a_" sqref="R40:W40">
      <formula1>0</formula1>
      <formula2>300</formula2>
    </dataValidation>
    <dataValidation type="textLength" errorStyle="information" allowBlank="1" showInputMessage="1" showErrorMessage="1" error="XLBVal:6=2100_x000d__x000a_" sqref="V37">
      <formula1>0</formula1>
      <formula2>300</formula2>
    </dataValidation>
    <dataValidation type="textLength" errorStyle="information" allowBlank="1" showInputMessage="1" showErrorMessage="1" error="XLBVal:6=2294.24_x000d__x000a_" sqref="U37">
      <formula1>0</formula1>
      <formula2>300</formula2>
    </dataValidation>
    <dataValidation type="textLength" errorStyle="information" allowBlank="1" showInputMessage="1" showErrorMessage="1" error="XLBVal:6=2300_x000d__x000a_" sqref="W37 R37:T37">
      <formula1>0</formula1>
      <formula2>300</formula2>
    </dataValidation>
    <dataValidation type="textLength" errorStyle="information" allowBlank="1" showInputMessage="1" showErrorMessage="1" error="XLBVal:6=2925_x000d__x000a_" sqref="W35">
      <formula1>0</formula1>
      <formula2>300</formula2>
    </dataValidation>
    <dataValidation type="textLength" errorStyle="information" allowBlank="1" showInputMessage="1" showErrorMessage="1" error="XLBVal:6=3320_x000d__x000a_" sqref="R35:U35">
      <formula1>0</formula1>
      <formula2>300</formula2>
    </dataValidation>
    <dataValidation type="textLength" errorStyle="information" allowBlank="1" showInputMessage="1" showErrorMessage="1" error="XLBVal:6=758.64_x000d__x000a_" sqref="U33">
      <formula1>0</formula1>
      <formula2>300</formula2>
    </dataValidation>
    <dataValidation type="textLength" errorStyle="information" allowBlank="1" showInputMessage="1" showErrorMessage="1" error="XLBVal:6=3337.98_x000d__x000a_" sqref="S33">
      <formula1>0</formula1>
      <formula2>300</formula2>
    </dataValidation>
    <dataValidation type="textLength" errorStyle="information" allowBlank="1" showInputMessage="1" showErrorMessage="1" error="XLBVal:6=1475.88_x000d__x000a_" sqref="R33 V33">
      <formula1>0</formula1>
      <formula2>300</formula2>
    </dataValidation>
    <dataValidation type="textLength" errorStyle="information" allowBlank="1" showInputMessage="1" showErrorMessage="1" error="XLBVal:6=10585.06_x000d__x000a_" sqref="V30">
      <formula1>0</formula1>
      <formula2>300</formula2>
    </dataValidation>
    <dataValidation type="textLength" errorStyle="information" allowBlank="1" showInputMessage="1" showErrorMessage="1" error="XLBVal:6=10700_x000d__x000a_" sqref="W30 R30:U30">
      <formula1>0</formula1>
      <formula2>300</formula2>
    </dataValidation>
    <dataValidation type="textLength" errorStyle="information" allowBlank="1" showInputMessage="1" showErrorMessage="1" error="XLBVal:6=1077.66_x000d__x000a_" sqref="W23">
      <formula1>0</formula1>
      <formula2>300</formula2>
    </dataValidation>
    <dataValidation type="textLength" errorStyle="information" allowBlank="1" showInputMessage="1" showErrorMessage="1" error="XLBVal:6=145.6_x000d__x000a_" sqref="V23">
      <formula1>0</formula1>
      <formula2>300</formula2>
    </dataValidation>
    <dataValidation type="textLength" errorStyle="information" allowBlank="1" showInputMessage="1" showErrorMessage="1" error="XLBVal:6=611.61_x000d__x000a_" sqref="T23">
      <formula1>0</formula1>
      <formula2>300</formula2>
    </dataValidation>
    <dataValidation type="textLength" errorStyle="information" allowBlank="1" showInputMessage="1" showErrorMessage="1" error="XLBVal:6=198.4_x000d__x000a_" sqref="S23">
      <formula1>0</formula1>
      <formula2>300</formula2>
    </dataValidation>
    <dataValidation type="textLength" errorStyle="information" allowBlank="1" showInputMessage="1" showErrorMessage="1" error="XLBVal:6=1995.2_x000d__x000a_" sqref="R23">
      <formula1>0</formula1>
      <formula2>300</formula2>
    </dataValidation>
    <dataValidation type="textLength" errorStyle="information" allowBlank="1" showInputMessage="1" showErrorMessage="1" error="XLBVal:6=203_x000d__x000a_" sqref="S21:W21">
      <formula1>0</formula1>
      <formula2>300</formula2>
    </dataValidation>
    <dataValidation type="textLength" errorStyle="information" allowBlank="1" showInputMessage="1" showErrorMessage="1" error="XLBVal:6=168.54_x000d__x000a_" sqref="V19">
      <formula1>0</formula1>
      <formula2>300</formula2>
    </dataValidation>
    <dataValidation type="textLength" errorStyle="information" allowBlank="1" showInputMessage="1" showErrorMessage="1" error="XLBVal:6=331.02_x000d__x000a_" sqref="R19">
      <formula1>0</formula1>
      <formula2>300</formula2>
    </dataValidation>
    <dataValidation type="textLength" errorStyle="information" allowBlank="1" showInputMessage="1" showErrorMessage="1" error="XLBVal:6=-62.1_x000d__x000a_" sqref="W16">
      <formula1>0</formula1>
      <formula2>300</formula2>
    </dataValidation>
    <dataValidation type="textLength" errorStyle="information" allowBlank="1" showInputMessage="1" showErrorMessage="1" error="XLBVal:6=-6123.11_x000d__x000a_" sqref="V16">
      <formula1>0</formula1>
      <formula2>300</formula2>
    </dataValidation>
    <dataValidation type="textLength" errorStyle="information" allowBlank="1" showInputMessage="1" showErrorMessage="1" error="XLBVal:6=4454.64_x000d__x000a_" sqref="S16">
      <formula1>0</formula1>
      <formula2>300</formula2>
    </dataValidation>
    <dataValidation type="textLength" errorStyle="information" allowBlank="1" showInputMessage="1" showErrorMessage="1" error="XLBVal:6=3387.9_x000d__x000a_" sqref="R16">
      <formula1>0</formula1>
      <formula2>300</formula2>
    </dataValidation>
    <dataValidation type="textLength" errorStyle="information" allowBlank="1" showInputMessage="1" showErrorMessage="1" error="XLBVal:6=85920.27_x000d__x000a_" sqref="W15">
      <formula1>0</formula1>
      <formula2>300</formula2>
    </dataValidation>
    <dataValidation type="textLength" errorStyle="information" allowBlank="1" showInputMessage="1" showErrorMessage="1" error="XLBVal:6=-106005.9_x000d__x000a_" sqref="V15">
      <formula1>0</formula1>
      <formula2>300</formula2>
    </dataValidation>
    <dataValidation type="textLength" errorStyle="information" allowBlank="1" showInputMessage="1" showErrorMessage="1" error="XLBVal:6=34209.35_x000d__x000a_" sqref="U15">
      <formula1>0</formula1>
      <formula2>300</formula2>
    </dataValidation>
    <dataValidation type="textLength" errorStyle="information" allowBlank="1" showInputMessage="1" showErrorMessage="1" error="XLBVal:6=42334.67_x000d__x000a_" sqref="T15">
      <formula1>0</formula1>
      <formula2>300</formula2>
    </dataValidation>
    <dataValidation type="textLength" errorStyle="information" allowBlank="1" showInputMessage="1" showErrorMessage="1" error="XLBVal:6=106739.46_x000d__x000a_" sqref="S15">
      <formula1>0</formula1>
      <formula2>300</formula2>
    </dataValidation>
    <dataValidation type="textLength" errorStyle="information" allowBlank="1" showInputMessage="1" showErrorMessage="1" error="XLBVal:6=98393.31_x000d__x000a_" sqref="R15">
      <formula1>0</formula1>
      <formula2>300</formula2>
    </dataValidation>
    <dataValidation type="textLength" errorStyle="information" allowBlank="1" showInputMessage="1" showErrorMessage="1" error="XLBVal:6=188676.19_x000d__x000a_" sqref="W13">
      <formula1>0</formula1>
      <formula2>300</formula2>
    </dataValidation>
    <dataValidation type="textLength" errorStyle="information" allowBlank="1" showInputMessage="1" showErrorMessage="1" error="XLBVal:6=186559.7_x000d__x000a_" sqref="V13">
      <formula1>0</formula1>
      <formula2>300</formula2>
    </dataValidation>
    <dataValidation type="textLength" errorStyle="information" allowBlank="1" showInputMessage="1" showErrorMessage="1" error="XLBVal:6=210308.57_x000d__x000a_" sqref="U13">
      <formula1>0</formula1>
      <formula2>300</formula2>
    </dataValidation>
    <dataValidation type="textLength" errorStyle="information" allowBlank="1" showInputMessage="1" showErrorMessage="1" error="XLBVal:6=216378.94_x000d__x000a_" sqref="T13">
      <formula1>0</formula1>
      <formula2>300</formula2>
    </dataValidation>
    <dataValidation type="textLength" errorStyle="information" allowBlank="1" showInputMessage="1" showErrorMessage="1" error="XLBVal:6=236033.95_x000d__x000a_" sqref="R13">
      <formula1>0</formula1>
      <formula2>300</formula2>
    </dataValidation>
    <dataValidation type="textLength" errorStyle="information" allowBlank="1" showInputMessage="1" showErrorMessage="1" error="XLBVal:6=4_x000d__x000a_" sqref="R62:W62">
      <formula1>0</formula1>
      <formula2>300</formula2>
    </dataValidation>
    <dataValidation type="textLength" errorStyle="information" allowBlank="1" showInputMessage="1" showErrorMessage="1" error="XLBVal:6=15000_x000d__x000a_" sqref="F29:P30">
      <formula1>0</formula1>
      <formula2>300</formula2>
    </dataValidation>
    <dataValidation type="textLength" errorStyle="information" allowBlank="1" showInputMessage="1" showErrorMessage="1" error="XLBVal:2=0_x000d__x000a_" sqref="R44:W44 T33 R56:W58 R36:W36 S17 R50:W53 R14:W14 R47:W47 R20:W20 R22:W22 R18:W18 R12:W12 U23 R29:W29 U19 U17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AH22"/>
  <sheetViews>
    <sheetView view="pageBreakPreview" zoomScaleNormal="100" zoomScaleSheetLayoutView="100" workbookViewId="0">
      <pane xSplit="5" ySplit="7" topLeftCell="N8" activePane="bottomRight" state="frozen"/>
      <selection activeCell="AP43" sqref="AP43"/>
      <selection pane="topRight" activeCell="AP43" sqref="AP43"/>
      <selection pane="bottomLeft" activeCell="AP43" sqref="AP43"/>
      <selection pane="bottomRight" activeCell="P12" sqref="P12"/>
    </sheetView>
  </sheetViews>
  <sheetFormatPr defaultColWidth="9" defaultRowHeight="14.25" outlineLevelCol="2"/>
  <cols>
    <col min="1" max="3" width="9" style="105" hidden="1" customWidth="1" outlineLevel="1"/>
    <col min="4" max="4" width="54" style="105" customWidth="1" collapsed="1"/>
    <col min="5" max="16" width="15.875" style="72" bestFit="1" customWidth="1"/>
    <col min="17" max="17" width="18.375" style="127" bestFit="1" customWidth="1"/>
    <col min="18" max="24" width="13.75" style="72" hidden="1" customWidth="1" outlineLevel="1"/>
    <col min="25" max="29" width="13.75" style="72" hidden="1" customWidth="1" outlineLevel="2"/>
    <col min="30" max="30" width="18.375" style="127" customWidth="1" collapsed="1"/>
    <col min="31" max="31" width="18.25" style="72" customWidth="1"/>
    <col min="32" max="32" width="10.5" style="105" customWidth="1"/>
    <col min="33" max="33" width="15.75" style="109" hidden="1" customWidth="1"/>
    <col min="34" max="34" width="15" style="124" hidden="1" customWidth="1"/>
    <col min="35" max="16384" width="9" style="105"/>
  </cols>
  <sheetData>
    <row r="1" spans="1:34" s="100" customFormat="1">
      <c r="A1" s="100" t="s">
        <v>118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  <c r="AH1" s="183"/>
    </row>
    <row r="2" spans="1:34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  <c r="AH2" s="183"/>
    </row>
    <row r="3" spans="1:34">
      <c r="D3" s="105" t="s">
        <v>808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  <c r="AH3" s="184"/>
    </row>
    <row r="4" spans="1:34" s="100" customFormat="1" ht="18">
      <c r="C4" s="18">
        <f>+'2025 Summay'!$D$7</f>
        <v>2025</v>
      </c>
      <c r="D4" s="18">
        <f>+'2025 Summay'!$D$7</f>
        <v>2025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83"/>
      <c r="Z4" s="101"/>
      <c r="AA4" s="101"/>
      <c r="AB4" s="101"/>
      <c r="AC4" s="101"/>
      <c r="AD4" s="172"/>
      <c r="AE4" s="101"/>
      <c r="AG4" s="103"/>
      <c r="AH4" s="183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83"/>
      <c r="Z5" s="101"/>
      <c r="AA5" s="101"/>
      <c r="AB5" s="101"/>
      <c r="AC5" s="101"/>
      <c r="AD5" s="172"/>
      <c r="AE5" s="101"/>
      <c r="AG5" s="103"/>
      <c r="AH5" s="183"/>
    </row>
    <row r="6" spans="1:34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6</v>
      </c>
      <c r="AF6" s="243" t="s">
        <v>156</v>
      </c>
      <c r="AG6" s="172">
        <v>2019</v>
      </c>
      <c r="AH6" s="183"/>
    </row>
    <row r="7" spans="1:34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4">
      <c r="D8" s="105" t="s">
        <v>682</v>
      </c>
      <c r="AG8" s="129"/>
    </row>
    <row r="9" spans="1:34">
      <c r="A9" s="105" t="s">
        <v>809</v>
      </c>
      <c r="B9" s="105" t="s">
        <v>656</v>
      </c>
      <c r="C9" s="105" t="s">
        <v>810</v>
      </c>
      <c r="D9" s="105" t="s">
        <v>811</v>
      </c>
      <c r="E9" s="116">
        <v>9512</v>
      </c>
      <c r="F9" s="116">
        <v>8591</v>
      </c>
      <c r="G9" s="116">
        <v>9298</v>
      </c>
      <c r="H9" s="116">
        <v>8791</v>
      </c>
      <c r="I9" s="116">
        <v>8849</v>
      </c>
      <c r="J9" s="116">
        <v>8481</v>
      </c>
      <c r="K9" s="116">
        <v>9512</v>
      </c>
      <c r="L9" s="116">
        <v>9512</v>
      </c>
      <c r="M9" s="116">
        <v>8274</v>
      </c>
      <c r="N9" s="116">
        <v>8764</v>
      </c>
      <c r="O9" s="116">
        <v>8378</v>
      </c>
      <c r="P9" s="116">
        <v>9298</v>
      </c>
      <c r="Q9" s="117">
        <f>SUM(E9:P9)</f>
        <v>107260</v>
      </c>
      <c r="R9" s="72">
        <v>10966.3</v>
      </c>
      <c r="S9" s="72">
        <v>21585.55</v>
      </c>
      <c r="T9" s="72">
        <v>10498.5</v>
      </c>
      <c r="U9" s="72">
        <v>6882</v>
      </c>
      <c r="V9" s="72">
        <v>5176</v>
      </c>
      <c r="W9" s="72">
        <v>4776.5</v>
      </c>
      <c r="X9" s="72">
        <v>7748.4</v>
      </c>
      <c r="Y9" s="72">
        <v>5658.3</v>
      </c>
      <c r="Z9" s="72">
        <v>4396</v>
      </c>
      <c r="AA9" s="72">
        <v>6262</v>
      </c>
      <c r="AB9" s="72">
        <v>6153</v>
      </c>
      <c r="AC9" s="72">
        <v>13127</v>
      </c>
      <c r="AD9" s="127">
        <f>SUM(R9:AC9)</f>
        <v>103229.55</v>
      </c>
      <c r="AE9" s="72">
        <f>Q9-AD9</f>
        <v>4030.4499999999971</v>
      </c>
      <c r="AG9" s="129">
        <v>142113.24</v>
      </c>
      <c r="AH9" s="124">
        <f>Q9-AG9</f>
        <v>-34853.239999999991</v>
      </c>
    </row>
    <row r="10" spans="1:34">
      <c r="A10" s="105" t="s">
        <v>729</v>
      </c>
      <c r="B10" s="105" t="s">
        <v>656</v>
      </c>
      <c r="D10" s="105" t="s">
        <v>812</v>
      </c>
      <c r="E10" s="116">
        <v>933</v>
      </c>
      <c r="F10" s="116">
        <v>842</v>
      </c>
      <c r="G10" s="116">
        <v>912</v>
      </c>
      <c r="H10" s="116">
        <v>832</v>
      </c>
      <c r="I10" s="116">
        <v>898</v>
      </c>
      <c r="J10" s="116">
        <v>831</v>
      </c>
      <c r="K10" s="116">
        <v>933</v>
      </c>
      <c r="L10" s="116">
        <v>933</v>
      </c>
      <c r="M10" s="116">
        <v>811</v>
      </c>
      <c r="N10" s="116">
        <v>859</v>
      </c>
      <c r="O10" s="116">
        <v>821</v>
      </c>
      <c r="P10" s="116">
        <v>912</v>
      </c>
      <c r="Q10" s="117">
        <f>SUM(E10:P10)</f>
        <v>10517</v>
      </c>
      <c r="R10" s="72">
        <v>1101</v>
      </c>
      <c r="S10" s="72">
        <v>2107.8000000000002</v>
      </c>
      <c r="T10" s="72">
        <v>1028.25</v>
      </c>
      <c r="U10" s="72">
        <v>652</v>
      </c>
      <c r="V10" s="72">
        <v>508.65</v>
      </c>
      <c r="W10" s="72">
        <v>465.95</v>
      </c>
      <c r="X10" s="72">
        <v>766.2</v>
      </c>
      <c r="Y10" s="72">
        <v>542.35</v>
      </c>
      <c r="Z10" s="72">
        <v>488</v>
      </c>
      <c r="AA10" s="72">
        <v>696</v>
      </c>
      <c r="AB10" s="72">
        <v>684</v>
      </c>
      <c r="AC10" s="72">
        <v>1459</v>
      </c>
      <c r="AD10" s="127">
        <f>SUM(R10:AC10)</f>
        <v>10499.2</v>
      </c>
      <c r="AE10" s="72">
        <f>Q10-AD10</f>
        <v>17.799999999999272</v>
      </c>
      <c r="AG10" s="129">
        <v>13705.539999999999</v>
      </c>
      <c r="AH10" s="124">
        <f>Q10-AG10</f>
        <v>-3188.5399999999991</v>
      </c>
    </row>
    <row r="11" spans="1:34">
      <c r="D11" s="109" t="s">
        <v>500</v>
      </c>
      <c r="E11" s="117">
        <f t="shared" ref="E11:AD11" si="0">SUM(E9:E10)</f>
        <v>10445</v>
      </c>
      <c r="F11" s="117">
        <f t="shared" si="0"/>
        <v>9433</v>
      </c>
      <c r="G11" s="117">
        <f t="shared" si="0"/>
        <v>10210</v>
      </c>
      <c r="H11" s="117">
        <f t="shared" si="0"/>
        <v>9623</v>
      </c>
      <c r="I11" s="117">
        <f t="shared" si="0"/>
        <v>9747</v>
      </c>
      <c r="J11" s="117">
        <f t="shared" si="0"/>
        <v>9312</v>
      </c>
      <c r="K11" s="117">
        <f t="shared" si="0"/>
        <v>10445</v>
      </c>
      <c r="L11" s="117">
        <f t="shared" si="0"/>
        <v>10445</v>
      </c>
      <c r="M11" s="117">
        <f t="shared" si="0"/>
        <v>9085</v>
      </c>
      <c r="N11" s="117">
        <f t="shared" si="0"/>
        <v>9623</v>
      </c>
      <c r="O11" s="117">
        <f t="shared" si="0"/>
        <v>9199</v>
      </c>
      <c r="P11" s="117">
        <f t="shared" si="0"/>
        <v>10210</v>
      </c>
      <c r="Q11" s="117">
        <f t="shared" si="0"/>
        <v>117777</v>
      </c>
      <c r="R11" s="127">
        <f t="shared" si="0"/>
        <v>12067.3</v>
      </c>
      <c r="S11" s="127">
        <f t="shared" si="0"/>
        <v>23693.35</v>
      </c>
      <c r="T11" s="127">
        <f t="shared" si="0"/>
        <v>11526.75</v>
      </c>
      <c r="U11" s="127">
        <f t="shared" si="0"/>
        <v>7534</v>
      </c>
      <c r="V11" s="127">
        <f t="shared" si="0"/>
        <v>5684.65</v>
      </c>
      <c r="W11" s="127">
        <f t="shared" si="0"/>
        <v>5242.45</v>
      </c>
      <c r="X11" s="127">
        <f t="shared" si="0"/>
        <v>8514.6</v>
      </c>
      <c r="Y11" s="127">
        <f t="shared" si="0"/>
        <v>6200.6500000000005</v>
      </c>
      <c r="Z11" s="127">
        <f t="shared" si="0"/>
        <v>4884</v>
      </c>
      <c r="AA11" s="127">
        <f t="shared" si="0"/>
        <v>6958</v>
      </c>
      <c r="AB11" s="127">
        <f t="shared" si="0"/>
        <v>6837</v>
      </c>
      <c r="AC11" s="127">
        <f t="shared" si="0"/>
        <v>14586</v>
      </c>
      <c r="AD11" s="127">
        <f t="shared" si="0"/>
        <v>113728.75</v>
      </c>
      <c r="AE11" s="127">
        <f>SUM(AE9:AE9)</f>
        <v>4030.4499999999971</v>
      </c>
      <c r="AF11" s="192">
        <f t="shared" ref="AF11:AF17" si="1">AE11/AD11</f>
        <v>3.5439147972698169E-2</v>
      </c>
      <c r="AG11" s="129">
        <v>155818.78</v>
      </c>
      <c r="AH11" s="124">
        <f>Q11-AG11</f>
        <v>-38041.78</v>
      </c>
    </row>
    <row r="12" spans="1:34">
      <c r="D12" s="105" t="s">
        <v>154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7"/>
      <c r="AF12" s="192"/>
      <c r="AG12" s="129"/>
    </row>
    <row r="13" spans="1:34">
      <c r="D13" s="105" t="s">
        <v>289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7">
        <f>SUM(E13:P13)</f>
        <v>0</v>
      </c>
      <c r="AE13" s="72">
        <f>AD13-Q13</f>
        <v>0</v>
      </c>
      <c r="AF13" s="192" t="e">
        <f t="shared" si="1"/>
        <v>#DIV/0!</v>
      </c>
      <c r="AG13" s="129"/>
    </row>
    <row r="14" spans="1:34">
      <c r="D14" s="105" t="s">
        <v>154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  <c r="AF14" s="192"/>
      <c r="AG14" s="129"/>
    </row>
    <row r="15" spans="1:34">
      <c r="D15" s="105" t="s">
        <v>502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7"/>
      <c r="AF15" s="192"/>
      <c r="AG15" s="129"/>
    </row>
    <row r="16" spans="1:34">
      <c r="A16" s="105" t="s">
        <v>813</v>
      </c>
      <c r="B16" s="105" t="s">
        <v>656</v>
      </c>
      <c r="D16" s="105" t="s">
        <v>677</v>
      </c>
      <c r="E16" s="278">
        <f>Laundry!E149</f>
        <v>542</v>
      </c>
      <c r="F16" s="278">
        <f>Laundry!F149</f>
        <v>495</v>
      </c>
      <c r="G16" s="278">
        <f>Laundry!G149</f>
        <v>500</v>
      </c>
      <c r="H16" s="278">
        <f>Laundry!H149</f>
        <v>514</v>
      </c>
      <c r="I16" s="278">
        <f>Laundry!I149</f>
        <v>528</v>
      </c>
      <c r="J16" s="278">
        <f>Laundry!J149</f>
        <v>505</v>
      </c>
      <c r="K16" s="278">
        <f>Laundry!K149</f>
        <v>538</v>
      </c>
      <c r="L16" s="278">
        <f>Laundry!L149</f>
        <v>536</v>
      </c>
      <c r="M16" s="278">
        <f>Laundry!M149</f>
        <v>517</v>
      </c>
      <c r="N16" s="278">
        <f>Laundry!N149</f>
        <v>589</v>
      </c>
      <c r="O16" s="278">
        <f>Laundry!O149</f>
        <v>520</v>
      </c>
      <c r="P16" s="278">
        <f>Laundry!P149</f>
        <v>517</v>
      </c>
      <c r="Q16" s="117">
        <f>SUM(E16:P16)</f>
        <v>6301</v>
      </c>
      <c r="R16" s="72">
        <v>953.71</v>
      </c>
      <c r="S16" s="72">
        <v>1209.68</v>
      </c>
      <c r="T16" s="72">
        <v>719.87</v>
      </c>
      <c r="U16" s="72">
        <v>619.66999999999996</v>
      </c>
      <c r="V16" s="72">
        <v>241.7</v>
      </c>
      <c r="W16" s="72">
        <v>632.02</v>
      </c>
      <c r="X16" s="72">
        <v>556.44000000000005</v>
      </c>
      <c r="Y16" s="72">
        <v>451.06</v>
      </c>
      <c r="Z16" s="72">
        <v>760</v>
      </c>
      <c r="AA16" s="72">
        <v>851</v>
      </c>
      <c r="AB16" s="72">
        <v>715</v>
      </c>
      <c r="AC16" s="72">
        <v>731</v>
      </c>
      <c r="AD16" s="127">
        <f>SUM(R16:AC16)</f>
        <v>8441.1500000000015</v>
      </c>
      <c r="AE16" s="72">
        <f>AD16-Q16</f>
        <v>2140.1500000000015</v>
      </c>
      <c r="AF16" s="192">
        <f t="shared" si="1"/>
        <v>0.25353772886395826</v>
      </c>
      <c r="AG16" s="129">
        <v>7774.2</v>
      </c>
      <c r="AH16" s="124">
        <f>AG16-Q16</f>
        <v>1473.1999999999998</v>
      </c>
    </row>
    <row r="17" spans="4:34">
      <c r="D17" s="105" t="s">
        <v>507</v>
      </c>
      <c r="E17" s="117">
        <f t="shared" ref="E17:AD17" si="2">SUM(E16:E16)</f>
        <v>542</v>
      </c>
      <c r="F17" s="117">
        <f t="shared" si="2"/>
        <v>495</v>
      </c>
      <c r="G17" s="117">
        <f t="shared" si="2"/>
        <v>500</v>
      </c>
      <c r="H17" s="117">
        <f t="shared" si="2"/>
        <v>514</v>
      </c>
      <c r="I17" s="117">
        <f t="shared" si="2"/>
        <v>528</v>
      </c>
      <c r="J17" s="117">
        <f t="shared" si="2"/>
        <v>505</v>
      </c>
      <c r="K17" s="117">
        <f t="shared" si="2"/>
        <v>538</v>
      </c>
      <c r="L17" s="117">
        <f t="shared" si="2"/>
        <v>536</v>
      </c>
      <c r="M17" s="117">
        <f t="shared" si="2"/>
        <v>517</v>
      </c>
      <c r="N17" s="117">
        <f t="shared" si="2"/>
        <v>589</v>
      </c>
      <c r="O17" s="117">
        <f t="shared" si="2"/>
        <v>520</v>
      </c>
      <c r="P17" s="117">
        <f t="shared" si="2"/>
        <v>517</v>
      </c>
      <c r="Q17" s="117">
        <f t="shared" si="2"/>
        <v>6301</v>
      </c>
      <c r="R17" s="127">
        <f t="shared" si="2"/>
        <v>953.71</v>
      </c>
      <c r="S17" s="127">
        <f t="shared" si="2"/>
        <v>1209.68</v>
      </c>
      <c r="T17" s="127">
        <f t="shared" si="2"/>
        <v>719.87</v>
      </c>
      <c r="U17" s="127">
        <f t="shared" si="2"/>
        <v>619.66999999999996</v>
      </c>
      <c r="V17" s="127">
        <f t="shared" si="2"/>
        <v>241.7</v>
      </c>
      <c r="W17" s="127">
        <f t="shared" si="2"/>
        <v>632.02</v>
      </c>
      <c r="X17" s="127">
        <f t="shared" si="2"/>
        <v>556.44000000000005</v>
      </c>
      <c r="Y17" s="127">
        <f t="shared" si="2"/>
        <v>451.06</v>
      </c>
      <c r="Z17" s="127">
        <f t="shared" si="2"/>
        <v>760</v>
      </c>
      <c r="AA17" s="127">
        <f t="shared" si="2"/>
        <v>851</v>
      </c>
      <c r="AB17" s="127">
        <f t="shared" si="2"/>
        <v>715</v>
      </c>
      <c r="AC17" s="127">
        <f t="shared" si="2"/>
        <v>731</v>
      </c>
      <c r="AD17" s="127">
        <f t="shared" si="2"/>
        <v>8441.1500000000015</v>
      </c>
      <c r="AE17" s="72">
        <f>AD17-Q17</f>
        <v>2140.1500000000015</v>
      </c>
      <c r="AF17" s="192">
        <f t="shared" si="1"/>
        <v>0.25353772886395826</v>
      </c>
      <c r="AG17" s="129">
        <v>7774.2</v>
      </c>
      <c r="AH17" s="124">
        <f>AG17-Q17</f>
        <v>1473.1999999999998</v>
      </c>
    </row>
    <row r="18" spans="4:34">
      <c r="D18" s="105" t="s">
        <v>508</v>
      </c>
      <c r="E18" s="117">
        <f t="shared" ref="E18:AD18" si="3">E11-E13-E17</f>
        <v>9903</v>
      </c>
      <c r="F18" s="117">
        <f t="shared" si="3"/>
        <v>8938</v>
      </c>
      <c r="G18" s="117">
        <f t="shared" si="3"/>
        <v>9710</v>
      </c>
      <c r="H18" s="117">
        <f t="shared" si="3"/>
        <v>9109</v>
      </c>
      <c r="I18" s="117">
        <f t="shared" si="3"/>
        <v>9219</v>
      </c>
      <c r="J18" s="117">
        <f t="shared" si="3"/>
        <v>8807</v>
      </c>
      <c r="K18" s="117">
        <f t="shared" si="3"/>
        <v>9907</v>
      </c>
      <c r="L18" s="117">
        <f t="shared" si="3"/>
        <v>9909</v>
      </c>
      <c r="M18" s="117">
        <f t="shared" si="3"/>
        <v>8568</v>
      </c>
      <c r="N18" s="117">
        <f t="shared" si="3"/>
        <v>9034</v>
      </c>
      <c r="O18" s="117">
        <f t="shared" si="3"/>
        <v>8679</v>
      </c>
      <c r="P18" s="117">
        <f t="shared" si="3"/>
        <v>9693</v>
      </c>
      <c r="Q18" s="117">
        <f t="shared" si="3"/>
        <v>111476</v>
      </c>
      <c r="R18" s="127">
        <f t="shared" si="3"/>
        <v>11113.59</v>
      </c>
      <c r="S18" s="127">
        <f t="shared" si="3"/>
        <v>22483.67</v>
      </c>
      <c r="T18" s="127">
        <f t="shared" si="3"/>
        <v>10806.88</v>
      </c>
      <c r="U18" s="127">
        <f t="shared" si="3"/>
        <v>6914.33</v>
      </c>
      <c r="V18" s="127">
        <f t="shared" si="3"/>
        <v>5442.95</v>
      </c>
      <c r="W18" s="127">
        <f t="shared" si="3"/>
        <v>4610.43</v>
      </c>
      <c r="X18" s="127">
        <f t="shared" si="3"/>
        <v>7958.16</v>
      </c>
      <c r="Y18" s="127">
        <f t="shared" si="3"/>
        <v>5749.59</v>
      </c>
      <c r="Z18" s="127">
        <f t="shared" si="3"/>
        <v>4124</v>
      </c>
      <c r="AA18" s="127">
        <f t="shared" si="3"/>
        <v>6107</v>
      </c>
      <c r="AB18" s="127">
        <f t="shared" si="3"/>
        <v>6122</v>
      </c>
      <c r="AC18" s="127">
        <f t="shared" si="3"/>
        <v>13855</v>
      </c>
      <c r="AD18" s="127">
        <f t="shared" si="3"/>
        <v>105287.6</v>
      </c>
      <c r="AE18" s="72">
        <f>AD18-Q18</f>
        <v>-6188.3999999999942</v>
      </c>
      <c r="AF18" s="192"/>
      <c r="AG18" s="129">
        <v>148044.57999999999</v>
      </c>
      <c r="AH18" s="124">
        <f>Q18-AG18</f>
        <v>-36568.579999999987</v>
      </c>
    </row>
    <row r="19" spans="4:34">
      <c r="D19" s="105" t="s">
        <v>154</v>
      </c>
      <c r="AF19" s="192"/>
    </row>
    <row r="22" spans="4:34"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</row>
  </sheetData>
  <phoneticPr fontId="7" type="noConversion"/>
  <dataValidations count="32">
    <dataValidation type="textLength" errorStyle="information" allowBlank="1" showInputMessage="1" showErrorMessage="1" error="XLBVal:6=2445.85_x000d__x000a_" sqref="AC10">
      <formula1>0</formula1>
      <formula2>300</formula2>
    </dataValidation>
    <dataValidation type="textLength" errorStyle="information" allowBlank="1" showInputMessage="1" showErrorMessage="1" error="XLBVal:6=24628.25_x000d__x000a_" sqref="AC9">
      <formula1>0</formula1>
      <formula2>300</formula2>
    </dataValidation>
    <dataValidation type="textLength" errorStyle="information" allowBlank="1" showInputMessage="1" showErrorMessage="1" error="XLBVal:6=2048.7_x000d__x000a_" sqref="AB10">
      <formula1>0</formula1>
      <formula2>300</formula2>
    </dataValidation>
    <dataValidation type="textLength" errorStyle="information" allowBlank="1" showInputMessage="1" showErrorMessage="1" error="XLBVal:6=746.35_x000d__x000a_" sqref="AA10">
      <formula1>0</formula1>
      <formula2>300</formula2>
    </dataValidation>
    <dataValidation type="textLength" errorStyle="information" allowBlank="1" showInputMessage="1" showErrorMessage="1" error="XLBVal:6=20142.85_x000d__x000a_" sqref="AB9">
      <formula1>0</formula1>
      <formula2>300</formula2>
    </dataValidation>
    <dataValidation type="textLength" errorStyle="information" allowBlank="1" showInputMessage="1" showErrorMessage="1" error="XLBVal:6=7503.6_x000d__x000a_" sqref="AA9">
      <formula1>0</formula1>
      <formula2>300</formula2>
    </dataValidation>
    <dataValidation type="textLength" errorStyle="information" allowBlank="1" showInputMessage="1" showErrorMessage="1" error="XLBVal:6=8_x000d__x000a_" sqref="Z10">
      <formula1>0</formula1>
      <formula2>300</formula2>
    </dataValidation>
    <dataValidation type="textLength" errorStyle="information" allowBlank="1" showInputMessage="1" showErrorMessage="1" error="XLBVal:6=80_x000d__x000a_" sqref="Z9">
      <formula1>0</formula1>
      <formula2>300</formula2>
    </dataValidation>
    <dataValidation type="textLength" errorStyle="information" allowBlank="1" showInputMessage="1" showErrorMessage="1" error="XLBVal:6=440.6_x000d__x000a_" sqref="Y10">
      <formula1>0</formula1>
      <formula2>300</formula2>
    </dataValidation>
    <dataValidation type="textLength" errorStyle="information" allowBlank="1" showInputMessage="1" showErrorMessage="1" error="XLBVal:6=4756.25_x000d__x000a_" sqref="Y9">
      <formula1>0</formula1>
      <formula2>300</formula2>
    </dataValidation>
    <dataValidation type="textLength" errorStyle="information" allowBlank="1" showInputMessage="1" showErrorMessage="1" error="XLBVal:6=1841.6_x000d__x000a_" sqref="X10">
      <formula1>0</formula1>
      <formula2>300</formula2>
    </dataValidation>
    <dataValidation type="textLength" errorStyle="information" allowBlank="1" showInputMessage="1" showErrorMessage="1" error="XLBVal:6=18510_x000d__x000a_" sqref="X9 X16:AC16">
      <formula1>0</formula1>
      <formula2>300</formula2>
    </dataValidation>
    <dataValidation type="textLength" errorStyle="information" allowBlank="1" showInputMessage="1" showErrorMessage="1" error="XLBVal:6=31532.31_x000d__x000a_" sqref="E9:P10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632.02_x000d__x000a_" sqref="W16">
      <formula1>0</formula1>
      <formula2>300</formula2>
    </dataValidation>
    <dataValidation type="textLength" errorStyle="information" allowBlank="1" showInputMessage="1" showErrorMessage="1" error="XLBVal:6=241.7_x000d__x000a_" sqref="V16">
      <formula1>0</formula1>
      <formula2>300</formula2>
    </dataValidation>
    <dataValidation type="textLength" errorStyle="information" allowBlank="1" showInputMessage="1" showErrorMessage="1" error="XLBVal:6=619.67_x000d__x000a_" sqref="U16">
      <formula1>0</formula1>
      <formula2>300</formula2>
    </dataValidation>
    <dataValidation type="textLength" errorStyle="information" allowBlank="1" showInputMessage="1" showErrorMessage="1" error="XLBVal:6=719.87_x000d__x000a_" sqref="T16">
      <formula1>0</formula1>
      <formula2>300</formula2>
    </dataValidation>
    <dataValidation type="textLength" errorStyle="information" allowBlank="1" showInputMessage="1" showErrorMessage="1" error="XLBVal:6=1209.68_x000d__x000a_" sqref="S16">
      <formula1>0</formula1>
      <formula2>300</formula2>
    </dataValidation>
    <dataValidation type="textLength" errorStyle="information" allowBlank="1" showInputMessage="1" showErrorMessage="1" error="XLBVal:6=953.71_x000d__x000a_" sqref="R16">
      <formula1>0</formula1>
      <formula2>300</formula2>
    </dataValidation>
    <dataValidation type="textLength" errorStyle="information" allowBlank="1" showInputMessage="1" showErrorMessage="1" error="XLBVal:6=465.95_x000d__x000a_" sqref="W10">
      <formula1>0</formula1>
      <formula2>300</formula2>
    </dataValidation>
    <dataValidation type="textLength" errorStyle="information" allowBlank="1" showInputMessage="1" showErrorMessage="1" error="XLBVal:6=508.65_x000d__x000a_" sqref="V10">
      <formula1>0</formula1>
      <formula2>300</formula2>
    </dataValidation>
    <dataValidation type="textLength" errorStyle="information" allowBlank="1" showInputMessage="1" showErrorMessage="1" error="XLBVal:6=652_x000d__x000a_" sqref="U10">
      <formula1>0</formula1>
      <formula2>300</formula2>
    </dataValidation>
    <dataValidation type="textLength" errorStyle="information" allowBlank="1" showInputMessage="1" showErrorMessage="1" error="XLBVal:6=1028.25_x000d__x000a_" sqref="T10">
      <formula1>0</formula1>
      <formula2>300</formula2>
    </dataValidation>
    <dataValidation type="textLength" errorStyle="information" allowBlank="1" showInputMessage="1" showErrorMessage="1" error="XLBVal:6=2107.8_x000d__x000a_" sqref="S10">
      <formula1>0</formula1>
      <formula2>300</formula2>
    </dataValidation>
    <dataValidation type="textLength" errorStyle="information" allowBlank="1" showInputMessage="1" showErrorMessage="1" error="XLBVal:6=1101_x000d__x000a_" sqref="R10">
      <formula1>0</formula1>
      <formula2>300</formula2>
    </dataValidation>
    <dataValidation type="textLength" errorStyle="information" allowBlank="1" showInputMessage="1" showErrorMessage="1" error="XLBVal:6=4776.5_x000d__x000a_" sqref="W9">
      <formula1>0</formula1>
      <formula2>300</formula2>
    </dataValidation>
    <dataValidation type="textLength" errorStyle="information" allowBlank="1" showInputMessage="1" showErrorMessage="1" error="XLBVal:6=5176_x000d__x000a_" sqref="V9">
      <formula1>0</formula1>
      <formula2>300</formula2>
    </dataValidation>
    <dataValidation type="textLength" errorStyle="information" allowBlank="1" showInputMessage="1" showErrorMessage="1" error="XLBVal:6=6882_x000d__x000a_" sqref="U9">
      <formula1>0</formula1>
      <formula2>300</formula2>
    </dataValidation>
    <dataValidation type="textLength" errorStyle="information" allowBlank="1" showInputMessage="1" showErrorMessage="1" error="XLBVal:6=10498.5_x000d__x000a_" sqref="T9">
      <formula1>0</formula1>
      <formula2>300</formula2>
    </dataValidation>
    <dataValidation type="textLength" errorStyle="information" allowBlank="1" showInputMessage="1" showErrorMessage="1" error="XLBVal:6=21585.55_x000d__x000a_" sqref="S9">
      <formula1>0</formula1>
      <formula2>300</formula2>
    </dataValidation>
    <dataValidation type="textLength" errorStyle="information" allowBlank="1" showInputMessage="1" showErrorMessage="1" error="XLBVal:6=10966.3_x000d__x000a_" sqref="R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4" orientation="landscape" r:id="rId1"/>
  <headerFooter>
    <oddFooter>Page &amp;P of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AH21"/>
  <sheetViews>
    <sheetView view="pageBreakPreview" topLeftCell="D1" zoomScaleNormal="100" zoomScaleSheetLayoutView="100" workbookViewId="0">
      <pane xSplit="2" ySplit="7" topLeftCell="K8" activePane="bottomRight" state="frozen"/>
      <selection activeCell="AP43" sqref="AP43"/>
      <selection pane="topRight" activeCell="AP43" sqref="AP43"/>
      <selection pane="bottomLeft" activeCell="AP43" sqref="AP43"/>
      <selection pane="bottomRight" activeCell="Q11" sqref="Q11"/>
    </sheetView>
  </sheetViews>
  <sheetFormatPr defaultColWidth="9" defaultRowHeight="14.25" outlineLevelCol="2"/>
  <cols>
    <col min="1" max="3" width="9" style="105" hidden="1" customWidth="1" outlineLevel="1"/>
    <col min="4" max="4" width="40.625" style="105" customWidth="1" collapsed="1"/>
    <col min="5" max="16" width="15.875" style="72" bestFit="1" customWidth="1"/>
    <col min="17" max="17" width="18.375" style="127" bestFit="1" customWidth="1"/>
    <col min="18" max="24" width="13" style="72" hidden="1" customWidth="1" outlineLevel="1"/>
    <col min="25" max="29" width="13" style="72" hidden="1" customWidth="1" outlineLevel="2"/>
    <col min="30" max="30" width="18.375" style="127" customWidth="1" collapsed="1"/>
    <col min="31" max="31" width="14.5" style="72" bestFit="1" customWidth="1"/>
    <col min="32" max="32" width="10.5" style="105" customWidth="1"/>
    <col min="33" max="33" width="18.25" style="109" hidden="1" customWidth="1"/>
    <col min="34" max="34" width="17.25" style="124" hidden="1" customWidth="1"/>
    <col min="35" max="16384" width="9" style="105"/>
  </cols>
  <sheetData>
    <row r="1" spans="1:34" s="100" customFormat="1">
      <c r="A1" s="100" t="s">
        <v>814</v>
      </c>
      <c r="D1" s="100" t="s">
        <v>680</v>
      </c>
      <c r="E1" s="101">
        <f>'Front office'!E$1</f>
        <v>2025001</v>
      </c>
      <c r="F1" s="101">
        <f>'Front office'!F$1</f>
        <v>2025002</v>
      </c>
      <c r="G1" s="101">
        <f>'Front office'!G$1</f>
        <v>2025003</v>
      </c>
      <c r="H1" s="101">
        <f>'Front office'!H$1</f>
        <v>2025004</v>
      </c>
      <c r="I1" s="101">
        <f>'Front office'!I$1</f>
        <v>2025005</v>
      </c>
      <c r="J1" s="101">
        <f>'Front office'!J$1</f>
        <v>2025006</v>
      </c>
      <c r="K1" s="101">
        <f>'Front office'!K$1</f>
        <v>2025007</v>
      </c>
      <c r="L1" s="101">
        <f>'Front office'!L$1</f>
        <v>2025008</v>
      </c>
      <c r="M1" s="101">
        <f>'Front office'!M$1</f>
        <v>2025009</v>
      </c>
      <c r="N1" s="101">
        <f>'Front office'!N$1</f>
        <v>2025010</v>
      </c>
      <c r="O1" s="101">
        <f>'Front office'!O$1</f>
        <v>2025011</v>
      </c>
      <c r="P1" s="101">
        <f>'Front office'!P$1</f>
        <v>2025012</v>
      </c>
      <c r="Q1" s="102"/>
      <c r="R1" s="101">
        <v>2024001</v>
      </c>
      <c r="S1" s="101">
        <v>2024002</v>
      </c>
      <c r="T1" s="101">
        <v>2024003</v>
      </c>
      <c r="U1" s="101">
        <v>2024004</v>
      </c>
      <c r="V1" s="101">
        <v>2024005</v>
      </c>
      <c r="W1" s="101">
        <v>2024006</v>
      </c>
      <c r="X1" s="101">
        <v>2024007</v>
      </c>
      <c r="Y1" s="101">
        <v>2024008</v>
      </c>
      <c r="Z1" s="101">
        <v>2024009</v>
      </c>
      <c r="AA1" s="101">
        <v>2024010</v>
      </c>
      <c r="AB1" s="101">
        <v>2024011</v>
      </c>
      <c r="AC1" s="101">
        <v>2024012</v>
      </c>
      <c r="AD1" s="172"/>
      <c r="AE1" s="101"/>
      <c r="AG1" s="103"/>
      <c r="AH1" s="183"/>
    </row>
    <row r="2" spans="1:34" s="100" customFormat="1">
      <c r="D2" s="100" t="s">
        <v>681</v>
      </c>
      <c r="E2" s="101">
        <f>'Front office'!E$2</f>
        <v>2025001</v>
      </c>
      <c r="F2" s="101">
        <f>'Front office'!F$2</f>
        <v>2025002</v>
      </c>
      <c r="G2" s="101">
        <f>'Front office'!G$2</f>
        <v>2025003</v>
      </c>
      <c r="H2" s="101">
        <f>'Front office'!H$2</f>
        <v>2025004</v>
      </c>
      <c r="I2" s="101">
        <f>'Front office'!I$2</f>
        <v>2025005</v>
      </c>
      <c r="J2" s="101">
        <f>'Front office'!J$2</f>
        <v>2025006</v>
      </c>
      <c r="K2" s="101">
        <f>'Front office'!K$2</f>
        <v>2025007</v>
      </c>
      <c r="L2" s="101">
        <f>'Front office'!L$2</f>
        <v>2025008</v>
      </c>
      <c r="M2" s="101">
        <f>'Front office'!M$2</f>
        <v>2025009</v>
      </c>
      <c r="N2" s="101">
        <f>'Front office'!N$2</f>
        <v>2025010</v>
      </c>
      <c r="O2" s="101">
        <f>'Front office'!O$2</f>
        <v>2025011</v>
      </c>
      <c r="P2" s="101">
        <f>'Front office'!P$2</f>
        <v>2025012</v>
      </c>
      <c r="Q2" s="102"/>
      <c r="R2" s="101">
        <v>2024001</v>
      </c>
      <c r="S2" s="101">
        <v>2024002</v>
      </c>
      <c r="T2" s="101">
        <v>2024003</v>
      </c>
      <c r="U2" s="101">
        <v>2024004</v>
      </c>
      <c r="V2" s="101">
        <v>2024005</v>
      </c>
      <c r="W2" s="101">
        <v>2024006</v>
      </c>
      <c r="X2" s="101">
        <v>2024007</v>
      </c>
      <c r="Y2" s="101">
        <v>2024008</v>
      </c>
      <c r="Z2" s="101">
        <v>2024009</v>
      </c>
      <c r="AA2" s="101">
        <v>2024010</v>
      </c>
      <c r="AB2" s="101">
        <v>2024011</v>
      </c>
      <c r="AC2" s="101">
        <v>2024012</v>
      </c>
      <c r="AD2" s="172"/>
      <c r="AE2" s="101"/>
      <c r="AG2" s="103"/>
      <c r="AH2" s="183"/>
    </row>
    <row r="3" spans="1:34">
      <c r="D3" s="106" t="s">
        <v>815</v>
      </c>
      <c r="E3" s="2" t="s">
        <v>0</v>
      </c>
      <c r="F3" s="2" t="s">
        <v>0</v>
      </c>
      <c r="G3" s="2" t="s">
        <v>0</v>
      </c>
      <c r="H3" s="2" t="s">
        <v>816</v>
      </c>
      <c r="I3" s="2" t="s">
        <v>0</v>
      </c>
      <c r="J3" s="2" t="s">
        <v>0</v>
      </c>
      <c r="K3" s="2" t="s">
        <v>817</v>
      </c>
      <c r="L3" s="2" t="s">
        <v>151</v>
      </c>
      <c r="M3" s="2" t="s">
        <v>151</v>
      </c>
      <c r="N3" s="2" t="s">
        <v>817</v>
      </c>
      <c r="O3" s="2" t="s">
        <v>151</v>
      </c>
      <c r="P3" s="2" t="s">
        <v>151</v>
      </c>
      <c r="Q3" s="107"/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816</v>
      </c>
      <c r="X3" s="108" t="s">
        <v>816</v>
      </c>
      <c r="Y3" s="108" t="s">
        <v>0</v>
      </c>
      <c r="Z3" s="108" t="s">
        <v>0</v>
      </c>
      <c r="AA3" s="108" t="s">
        <v>0</v>
      </c>
      <c r="AB3" s="108" t="s">
        <v>0</v>
      </c>
      <c r="AC3" s="108" t="s">
        <v>0</v>
      </c>
      <c r="AD3" s="209"/>
      <c r="AE3" s="2"/>
      <c r="AH3" s="184"/>
    </row>
    <row r="4" spans="1:34" s="100" customFormat="1" ht="18">
      <c r="C4" s="18">
        <f>+'2025 Summay'!$D$7</f>
        <v>2025</v>
      </c>
      <c r="D4" s="18">
        <f>+'2025 Summay'!$D$7</f>
        <v>2025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2"/>
      <c r="R4" s="101"/>
      <c r="S4" s="101"/>
      <c r="T4" s="101"/>
      <c r="U4" s="101"/>
      <c r="V4" s="101"/>
      <c r="W4" s="101"/>
      <c r="X4" s="101"/>
      <c r="Y4" s="183"/>
      <c r="Z4" s="101"/>
      <c r="AA4" s="101"/>
      <c r="AB4" s="101"/>
      <c r="AC4" s="101"/>
      <c r="AD4" s="172"/>
      <c r="AE4" s="101"/>
      <c r="AG4" s="103"/>
      <c r="AH4" s="183"/>
    </row>
    <row r="5" spans="1:34" s="100" customFormat="1">
      <c r="D5" s="100" t="s">
        <v>154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  <c r="R5" s="101"/>
      <c r="S5" s="101"/>
      <c r="T5" s="101"/>
      <c r="U5" s="101"/>
      <c r="V5" s="101"/>
      <c r="W5" s="101"/>
      <c r="X5" s="101"/>
      <c r="Y5" s="183"/>
      <c r="Z5" s="101"/>
      <c r="AA5" s="101"/>
      <c r="AB5" s="101"/>
      <c r="AC5" s="101"/>
      <c r="AD5" s="172"/>
      <c r="AE5" s="101"/>
      <c r="AG5" s="103"/>
      <c r="AH5" s="183"/>
    </row>
    <row r="6" spans="1:34" s="100" customFormat="1">
      <c r="D6" s="100" t="s">
        <v>154</v>
      </c>
      <c r="E6" s="101">
        <f>'OOD '!D6</f>
        <v>1</v>
      </c>
      <c r="F6" s="101">
        <f>'OOD '!E6</f>
        <v>2</v>
      </c>
      <c r="G6" s="101">
        <f>'OOD '!F6</f>
        <v>3</v>
      </c>
      <c r="H6" s="101">
        <f>'OOD '!G6</f>
        <v>4</v>
      </c>
      <c r="I6" s="101">
        <f>'OOD '!H6</f>
        <v>5</v>
      </c>
      <c r="J6" s="101">
        <f>'OOD '!I6</f>
        <v>6</v>
      </c>
      <c r="K6" s="101">
        <f>'OOD '!J6</f>
        <v>7</v>
      </c>
      <c r="L6" s="101">
        <f>'OOD '!K6</f>
        <v>8</v>
      </c>
      <c r="M6" s="101">
        <f>'OOD '!L6</f>
        <v>9</v>
      </c>
      <c r="N6" s="101">
        <f>'OOD '!M6</f>
        <v>10</v>
      </c>
      <c r="O6" s="101">
        <f>'OOD '!N6</f>
        <v>11</v>
      </c>
      <c r="P6" s="101">
        <f>'OOD '!O6</f>
        <v>12</v>
      </c>
      <c r="Q6" s="239">
        <f>'OOD '!P6</f>
        <v>2025</v>
      </c>
      <c r="R6" s="114">
        <f>'OOD '!Q6</f>
        <v>202401</v>
      </c>
      <c r="S6" s="114">
        <f>'OOD '!R6</f>
        <v>202402</v>
      </c>
      <c r="T6" s="114">
        <f>'OOD '!S6</f>
        <v>202403</v>
      </c>
      <c r="U6" s="114">
        <f>'OOD '!T6</f>
        <v>202404</v>
      </c>
      <c r="V6" s="114">
        <f>'OOD '!U6</f>
        <v>202405</v>
      </c>
      <c r="W6" s="114">
        <f>'OOD '!V6</f>
        <v>202406</v>
      </c>
      <c r="X6" s="114">
        <f>'OOD '!W6</f>
        <v>202407</v>
      </c>
      <c r="Y6" s="114">
        <f>'OOD '!X6</f>
        <v>202408</v>
      </c>
      <c r="Z6" s="114">
        <f>'OOD '!Y6</f>
        <v>202409</v>
      </c>
      <c r="AA6" s="114">
        <f>'OOD '!Z6</f>
        <v>202410</v>
      </c>
      <c r="AB6" s="114">
        <f>'OOD '!AA6</f>
        <v>202411</v>
      </c>
      <c r="AC6" s="114">
        <f>'OOD '!AB6</f>
        <v>202412</v>
      </c>
      <c r="AD6" s="115">
        <f>'OOD '!AC6</f>
        <v>2024</v>
      </c>
      <c r="AE6" s="188" t="s">
        <v>818</v>
      </c>
      <c r="AF6" s="243" t="s">
        <v>156</v>
      </c>
      <c r="AG6" s="172">
        <v>2019</v>
      </c>
      <c r="AH6" s="183"/>
    </row>
    <row r="7" spans="1:34">
      <c r="D7" s="105" t="s">
        <v>154</v>
      </c>
      <c r="E7" s="72" t="str">
        <f>'OOD '!D7</f>
        <v>Budget</v>
      </c>
      <c r="F7" s="72" t="str">
        <f>'OOD '!E7</f>
        <v>Budget</v>
      </c>
      <c r="G7" s="72" t="str">
        <f>'OOD '!F7</f>
        <v>Budget</v>
      </c>
      <c r="H7" s="72" t="str">
        <f>'OOD '!G7</f>
        <v>Budget</v>
      </c>
      <c r="I7" s="72" t="str">
        <f>'OOD '!H7</f>
        <v>Budget</v>
      </c>
      <c r="J7" s="72" t="str">
        <f>'OOD '!I7</f>
        <v>Budget</v>
      </c>
      <c r="K7" s="72" t="str">
        <f>'OOD '!J7</f>
        <v>Budget</v>
      </c>
      <c r="L7" s="72" t="str">
        <f>'OOD '!K7</f>
        <v>Budget</v>
      </c>
      <c r="M7" s="72" t="str">
        <f>'OOD '!L7</f>
        <v>Budget</v>
      </c>
      <c r="N7" s="72" t="str">
        <f>'OOD '!M7</f>
        <v>Budget</v>
      </c>
      <c r="O7" s="72" t="str">
        <f>'OOD '!N7</f>
        <v>Budget</v>
      </c>
      <c r="P7" s="72" t="str">
        <f>'OOD '!O7</f>
        <v>Budget</v>
      </c>
      <c r="Q7" s="127" t="str">
        <f>'OOD '!P7</f>
        <v>Budget</v>
      </c>
      <c r="R7" s="244" t="str">
        <f>'OOD '!Q7</f>
        <v>Actual</v>
      </c>
      <c r="S7" s="244" t="str">
        <f>'OOD '!R7</f>
        <v>Actual</v>
      </c>
      <c r="T7" s="244" t="str">
        <f>'OOD '!S7</f>
        <v>Actual</v>
      </c>
      <c r="U7" s="244" t="str">
        <f>'OOD '!T7</f>
        <v>Actual</v>
      </c>
      <c r="V7" s="244" t="str">
        <f>'OOD '!U7</f>
        <v>Actual</v>
      </c>
      <c r="W7" s="244" t="str">
        <f>'OOD '!V7</f>
        <v>Actual</v>
      </c>
      <c r="X7" s="244" t="str">
        <f>'OOD '!W7</f>
        <v>Actual</v>
      </c>
      <c r="Y7" s="244" t="str">
        <f>'OOD '!X7</f>
        <v>Actual</v>
      </c>
      <c r="Z7" s="244" t="str">
        <f>'OOD '!Y7</f>
        <v>Forecast</v>
      </c>
      <c r="AA7" s="244" t="str">
        <f>'OOD '!Z7</f>
        <v>Forecast</v>
      </c>
      <c r="AB7" s="244" t="str">
        <f>'OOD '!AA7</f>
        <v>Forecast</v>
      </c>
      <c r="AC7" s="244" t="str">
        <f>'OOD '!AB7</f>
        <v>Forecast</v>
      </c>
      <c r="AD7" s="245" t="str">
        <f>'OOD '!AC7</f>
        <v>Forecast</v>
      </c>
      <c r="AE7" s="259"/>
      <c r="AF7" s="246"/>
      <c r="AG7" s="129" t="s">
        <v>12</v>
      </c>
    </row>
    <row r="8" spans="1:34">
      <c r="D8" s="105" t="s">
        <v>682</v>
      </c>
      <c r="AG8" s="129"/>
    </row>
    <row r="9" spans="1:34">
      <c r="A9" s="105" t="s">
        <v>819</v>
      </c>
      <c r="B9" s="105" t="s">
        <v>659</v>
      </c>
      <c r="D9" s="105" t="s">
        <v>820</v>
      </c>
      <c r="E9" s="116">
        <f t="shared" ref="E9:O9" si="0">282480+30000+41666</f>
        <v>354146</v>
      </c>
      <c r="F9" s="116">
        <f t="shared" si="0"/>
        <v>354146</v>
      </c>
      <c r="G9" s="116">
        <f t="shared" si="0"/>
        <v>354146</v>
      </c>
      <c r="H9" s="116">
        <f t="shared" si="0"/>
        <v>354146</v>
      </c>
      <c r="I9" s="116">
        <f t="shared" si="0"/>
        <v>354146</v>
      </c>
      <c r="J9" s="116">
        <f t="shared" si="0"/>
        <v>354146</v>
      </c>
      <c r="K9" s="116">
        <f t="shared" si="0"/>
        <v>354146</v>
      </c>
      <c r="L9" s="116">
        <f t="shared" si="0"/>
        <v>354146</v>
      </c>
      <c r="M9" s="116">
        <f t="shared" si="0"/>
        <v>354146</v>
      </c>
      <c r="N9" s="116">
        <f t="shared" si="0"/>
        <v>354146</v>
      </c>
      <c r="O9" s="116">
        <f t="shared" si="0"/>
        <v>354146</v>
      </c>
      <c r="P9" s="116">
        <f>282480+30000+41674</f>
        <v>354154</v>
      </c>
      <c r="Q9" s="117">
        <f>SUM(E9:P9)</f>
        <v>4249760</v>
      </c>
      <c r="R9" s="72">
        <v>274421.34000000003</v>
      </c>
      <c r="S9" s="72">
        <v>325261.56</v>
      </c>
      <c r="T9" s="72">
        <v>368758.67</v>
      </c>
      <c r="U9" s="72">
        <v>303970.49</v>
      </c>
      <c r="V9" s="72">
        <v>280657.18</v>
      </c>
      <c r="W9" s="72">
        <v>276915.02</v>
      </c>
      <c r="X9" s="72">
        <v>264193.96999999997</v>
      </c>
      <c r="Y9" s="72">
        <v>312553.67</v>
      </c>
      <c r="Z9" s="72">
        <v>278033</v>
      </c>
      <c r="AA9" s="72">
        <v>278033</v>
      </c>
      <c r="AB9" s="72">
        <v>278033</v>
      </c>
      <c r="AC9" s="72">
        <v>278033</v>
      </c>
      <c r="AD9" s="127">
        <f>SUM(R9:AC9)</f>
        <v>3518863.9</v>
      </c>
      <c r="AE9" s="72">
        <f>Q9-AD9</f>
        <v>730896.10000000009</v>
      </c>
      <c r="AG9" s="129">
        <v>4549679.7</v>
      </c>
      <c r="AH9" s="124">
        <f>Q9-AG9</f>
        <v>-299919.70000000019</v>
      </c>
    </row>
    <row r="10" spans="1:34">
      <c r="D10" s="109" t="s">
        <v>500</v>
      </c>
      <c r="E10" s="117">
        <f t="shared" ref="E10:AE10" si="1">SUM(E9:E9)</f>
        <v>354146</v>
      </c>
      <c r="F10" s="117">
        <f t="shared" si="1"/>
        <v>354146</v>
      </c>
      <c r="G10" s="117">
        <f t="shared" si="1"/>
        <v>354146</v>
      </c>
      <c r="H10" s="117">
        <f t="shared" si="1"/>
        <v>354146</v>
      </c>
      <c r="I10" s="117">
        <f t="shared" si="1"/>
        <v>354146</v>
      </c>
      <c r="J10" s="117">
        <f t="shared" si="1"/>
        <v>354146</v>
      </c>
      <c r="K10" s="117">
        <f t="shared" si="1"/>
        <v>354146</v>
      </c>
      <c r="L10" s="117">
        <f t="shared" si="1"/>
        <v>354146</v>
      </c>
      <c r="M10" s="117">
        <f t="shared" si="1"/>
        <v>354146</v>
      </c>
      <c r="N10" s="117">
        <f t="shared" si="1"/>
        <v>354146</v>
      </c>
      <c r="O10" s="117">
        <f t="shared" si="1"/>
        <v>354146</v>
      </c>
      <c r="P10" s="117">
        <f t="shared" si="1"/>
        <v>354154</v>
      </c>
      <c r="Q10" s="117">
        <f t="shared" si="1"/>
        <v>4249760</v>
      </c>
      <c r="R10" s="127">
        <f t="shared" si="1"/>
        <v>274421.34000000003</v>
      </c>
      <c r="S10" s="127">
        <f t="shared" si="1"/>
        <v>325261.56</v>
      </c>
      <c r="T10" s="127">
        <f t="shared" si="1"/>
        <v>368758.67</v>
      </c>
      <c r="U10" s="127">
        <f t="shared" si="1"/>
        <v>303970.49</v>
      </c>
      <c r="V10" s="127">
        <f t="shared" si="1"/>
        <v>280657.18</v>
      </c>
      <c r="W10" s="127">
        <f t="shared" si="1"/>
        <v>276915.02</v>
      </c>
      <c r="X10" s="127">
        <f t="shared" si="1"/>
        <v>264193.96999999997</v>
      </c>
      <c r="Y10" s="127">
        <f t="shared" si="1"/>
        <v>312553.67</v>
      </c>
      <c r="Z10" s="127">
        <f t="shared" si="1"/>
        <v>278033</v>
      </c>
      <c r="AA10" s="127">
        <f t="shared" si="1"/>
        <v>278033</v>
      </c>
      <c r="AB10" s="127">
        <f t="shared" si="1"/>
        <v>278033</v>
      </c>
      <c r="AC10" s="127">
        <f t="shared" si="1"/>
        <v>278033</v>
      </c>
      <c r="AD10" s="127">
        <f t="shared" si="1"/>
        <v>3518863.9</v>
      </c>
      <c r="AE10" s="127">
        <f t="shared" si="1"/>
        <v>730896.10000000009</v>
      </c>
      <c r="AF10" s="192">
        <f t="shared" ref="AF10:AF16" si="2">AE10/AD10</f>
        <v>0.20770797642955163</v>
      </c>
      <c r="AG10" s="129">
        <v>4549679.7</v>
      </c>
    </row>
    <row r="11" spans="1:34">
      <c r="D11" s="105" t="s">
        <v>154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AF11" s="192"/>
      <c r="AG11" s="129"/>
    </row>
    <row r="12" spans="1:34">
      <c r="D12" s="105" t="s">
        <v>289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7">
        <f>SUM(E12:P12)</f>
        <v>0</v>
      </c>
      <c r="AE12" s="72">
        <f>AD12-Q12</f>
        <v>0</v>
      </c>
      <c r="AF12" s="192" t="e">
        <f t="shared" si="2"/>
        <v>#DIV/0!</v>
      </c>
      <c r="AG12" s="129"/>
    </row>
    <row r="13" spans="1:34">
      <c r="D13" s="105" t="s">
        <v>154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7"/>
      <c r="AF13" s="192"/>
      <c r="AG13" s="129"/>
    </row>
    <row r="14" spans="1:34">
      <c r="D14" s="105" t="s">
        <v>502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  <c r="AF14" s="192"/>
      <c r="AG14" s="129"/>
    </row>
    <row r="15" spans="1:34">
      <c r="A15" s="105" t="s">
        <v>821</v>
      </c>
      <c r="B15" s="105" t="s">
        <v>659</v>
      </c>
      <c r="D15" s="105" t="s">
        <v>822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7">
        <f>SUM(E15:P15)</f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  <c r="Z15" s="72">
        <v>0</v>
      </c>
      <c r="AA15" s="72">
        <v>0</v>
      </c>
      <c r="AB15" s="72">
        <v>0</v>
      </c>
      <c r="AC15" s="72">
        <v>0</v>
      </c>
      <c r="AD15" s="127">
        <f>SUM(R15:AC15)</f>
        <v>0</v>
      </c>
      <c r="AE15" s="72">
        <f>AD15-Q15</f>
        <v>0</v>
      </c>
      <c r="AF15" s="192" t="e">
        <f t="shared" si="2"/>
        <v>#DIV/0!</v>
      </c>
      <c r="AG15" s="129">
        <v>0</v>
      </c>
    </row>
    <row r="16" spans="1:34">
      <c r="D16" s="105" t="s">
        <v>507</v>
      </c>
      <c r="E16" s="117">
        <f t="shared" ref="E16:AD16" si="3">SUM(E15:E15)</f>
        <v>0</v>
      </c>
      <c r="F16" s="117">
        <f t="shared" si="3"/>
        <v>0</v>
      </c>
      <c r="G16" s="117">
        <f t="shared" si="3"/>
        <v>0</v>
      </c>
      <c r="H16" s="117">
        <f t="shared" si="3"/>
        <v>0</v>
      </c>
      <c r="I16" s="117">
        <f t="shared" si="3"/>
        <v>0</v>
      </c>
      <c r="J16" s="117">
        <f t="shared" si="3"/>
        <v>0</v>
      </c>
      <c r="K16" s="117">
        <f t="shared" si="3"/>
        <v>0</v>
      </c>
      <c r="L16" s="117">
        <f t="shared" si="3"/>
        <v>0</v>
      </c>
      <c r="M16" s="117">
        <f t="shared" si="3"/>
        <v>0</v>
      </c>
      <c r="N16" s="117">
        <f t="shared" si="3"/>
        <v>0</v>
      </c>
      <c r="O16" s="117">
        <f t="shared" si="3"/>
        <v>0</v>
      </c>
      <c r="P16" s="117">
        <f t="shared" si="3"/>
        <v>0</v>
      </c>
      <c r="Q16" s="117">
        <f t="shared" si="3"/>
        <v>0</v>
      </c>
      <c r="R16" s="127">
        <f t="shared" si="3"/>
        <v>0</v>
      </c>
      <c r="S16" s="127">
        <f t="shared" si="3"/>
        <v>0</v>
      </c>
      <c r="T16" s="127">
        <f t="shared" si="3"/>
        <v>0</v>
      </c>
      <c r="U16" s="127">
        <f t="shared" si="3"/>
        <v>0</v>
      </c>
      <c r="V16" s="127">
        <f t="shared" si="3"/>
        <v>0</v>
      </c>
      <c r="W16" s="127">
        <f t="shared" si="3"/>
        <v>0</v>
      </c>
      <c r="X16" s="127">
        <f t="shared" si="3"/>
        <v>0</v>
      </c>
      <c r="Y16" s="127">
        <f t="shared" si="3"/>
        <v>0</v>
      </c>
      <c r="Z16" s="127">
        <f t="shared" si="3"/>
        <v>0</v>
      </c>
      <c r="AA16" s="127">
        <f t="shared" si="3"/>
        <v>0</v>
      </c>
      <c r="AB16" s="127">
        <f t="shared" si="3"/>
        <v>0</v>
      </c>
      <c r="AC16" s="127">
        <f t="shared" si="3"/>
        <v>0</v>
      </c>
      <c r="AD16" s="127">
        <f t="shared" si="3"/>
        <v>0</v>
      </c>
      <c r="AE16" s="72">
        <f>AD16-Q16</f>
        <v>0</v>
      </c>
      <c r="AF16" s="192" t="e">
        <f t="shared" si="2"/>
        <v>#DIV/0!</v>
      </c>
      <c r="AG16" s="129">
        <v>0</v>
      </c>
    </row>
    <row r="17" spans="4:33">
      <c r="D17" s="105" t="s">
        <v>508</v>
      </c>
      <c r="E17" s="117">
        <f t="shared" ref="E17:AD17" si="4">E10-E12-E16</f>
        <v>354146</v>
      </c>
      <c r="F17" s="117">
        <f t="shared" si="4"/>
        <v>354146</v>
      </c>
      <c r="G17" s="117">
        <f t="shared" si="4"/>
        <v>354146</v>
      </c>
      <c r="H17" s="117">
        <f t="shared" si="4"/>
        <v>354146</v>
      </c>
      <c r="I17" s="117">
        <f t="shared" si="4"/>
        <v>354146</v>
      </c>
      <c r="J17" s="117">
        <f t="shared" si="4"/>
        <v>354146</v>
      </c>
      <c r="K17" s="117">
        <f t="shared" si="4"/>
        <v>354146</v>
      </c>
      <c r="L17" s="117">
        <f t="shared" si="4"/>
        <v>354146</v>
      </c>
      <c r="M17" s="117">
        <f t="shared" si="4"/>
        <v>354146</v>
      </c>
      <c r="N17" s="117">
        <f t="shared" si="4"/>
        <v>354146</v>
      </c>
      <c r="O17" s="117">
        <f t="shared" si="4"/>
        <v>354146</v>
      </c>
      <c r="P17" s="117">
        <f t="shared" si="4"/>
        <v>354154</v>
      </c>
      <c r="Q17" s="117">
        <f t="shared" si="4"/>
        <v>4249760</v>
      </c>
      <c r="R17" s="127">
        <f t="shared" si="4"/>
        <v>274421.34000000003</v>
      </c>
      <c r="S17" s="127">
        <f t="shared" si="4"/>
        <v>325261.56</v>
      </c>
      <c r="T17" s="127">
        <f t="shared" si="4"/>
        <v>368758.67</v>
      </c>
      <c r="U17" s="127">
        <f t="shared" si="4"/>
        <v>303970.49</v>
      </c>
      <c r="V17" s="127">
        <f t="shared" si="4"/>
        <v>280657.18</v>
      </c>
      <c r="W17" s="127">
        <f t="shared" si="4"/>
        <v>276915.02</v>
      </c>
      <c r="X17" s="127">
        <f t="shared" si="4"/>
        <v>264193.96999999997</v>
      </c>
      <c r="Y17" s="127">
        <f t="shared" si="4"/>
        <v>312553.67</v>
      </c>
      <c r="Z17" s="127">
        <f t="shared" si="4"/>
        <v>278033</v>
      </c>
      <c r="AA17" s="127">
        <f t="shared" si="4"/>
        <v>278033</v>
      </c>
      <c r="AB17" s="127">
        <f t="shared" si="4"/>
        <v>278033</v>
      </c>
      <c r="AC17" s="127">
        <f t="shared" si="4"/>
        <v>278033</v>
      </c>
      <c r="AD17" s="127">
        <f t="shared" si="4"/>
        <v>3518863.9</v>
      </c>
      <c r="AE17" s="72">
        <f>AD17-Q17</f>
        <v>-730896.10000000009</v>
      </c>
      <c r="AF17" s="192"/>
      <c r="AG17" s="129">
        <v>4549679.7</v>
      </c>
    </row>
    <row r="18" spans="4:33">
      <c r="D18" s="105" t="s">
        <v>154</v>
      </c>
      <c r="AF18" s="192"/>
    </row>
    <row r="20" spans="4:33"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</row>
    <row r="21" spans="4:33">
      <c r="E21" s="72">
        <f>ROUND(252757*1.1,0)</f>
        <v>278033</v>
      </c>
    </row>
  </sheetData>
  <phoneticPr fontId="7" type="noConversion"/>
  <dataValidations count="15">
    <dataValidation type="textLength" errorStyle="information" allowBlank="1" showInputMessage="1" showErrorMessage="1" error="XLBVal:6=282095.71_x000d__x000a_" sqref="AC9">
      <formula1>0</formula1>
      <formula2>300</formula2>
    </dataValidation>
    <dataValidation type="textLength" errorStyle="information" allowBlank="1" showInputMessage="1" showErrorMessage="1" error="XLBVal:6=-221451.48_x000d__x000a_" sqref="AB9">
      <formula1>0</formula1>
      <formula2>300</formula2>
    </dataValidation>
    <dataValidation type="textLength" errorStyle="information" allowBlank="1" showInputMessage="1" showErrorMessage="1" error="XLBVal:6=258380.29_x000d__x000a_" sqref="AA9">
      <formula1>0</formula1>
      <formula2>300</formula2>
    </dataValidation>
    <dataValidation type="textLength" errorStyle="information" allowBlank="1" showInputMessage="1" showErrorMessage="1" error="XLBVal:6=263322.52_x000d__x000a_" sqref="Z9">
      <formula1>0</formula1>
      <formula2>300</formula2>
    </dataValidation>
    <dataValidation type="textLength" errorStyle="information" allowBlank="1" showInputMessage="1" showErrorMessage="1" error="XLBVal:6=264967.91_x000d__x000a_" sqref="Y9">
      <formula1>0</formula1>
      <formula2>300</formula2>
    </dataValidation>
    <dataValidation type="textLength" errorStyle="information" allowBlank="1" showInputMessage="1" showErrorMessage="1" error="XLBVal:6=325555_x000d__x000a_" sqref="E9:P9">
      <formula1>0</formula1>
      <formula2>300</formula2>
    </dataValidation>
    <dataValidation type="textLength" errorStyle="information" allowBlank="1" showInputMessage="1" showErrorMessage="1" error="XLBVal:6=289716.59_x000d__x000a_" sqref="X9 X15:AC15">
      <formula1>0</formula1>
      <formula2>300</formula2>
    </dataValidation>
    <dataValidation type="textLength" errorStyle="information" allowBlank="1" showInputMessage="1" showErrorMessage="1" error="XLBVal:8=Oct 2016_x000d__x000a_" sqref="C4:D4">
      <formula1>0</formula1>
      <formula2>300</formula2>
    </dataValidation>
    <dataValidation type="textLength" errorStyle="information" allowBlank="1" showInputMessage="1" showErrorMessage="1" error="XLBVal:6=276915.02_x000d__x000a_" sqref="W9">
      <formula1>0</formula1>
      <formula2>300</formula2>
    </dataValidation>
    <dataValidation type="textLength" errorStyle="information" allowBlank="1" showInputMessage="1" showErrorMessage="1" error="XLBVal:6=280657.18_x000d__x000a_" sqref="V9">
      <formula1>0</formula1>
      <formula2>300</formula2>
    </dataValidation>
    <dataValidation type="textLength" errorStyle="information" allowBlank="1" showInputMessage="1" showErrorMessage="1" error="XLBVal:6=303970.49_x000d__x000a_" sqref="U9">
      <formula1>0</formula1>
      <formula2>300</formula2>
    </dataValidation>
    <dataValidation type="textLength" errorStyle="information" allowBlank="1" showInputMessage="1" showErrorMessage="1" error="XLBVal:6=368758.67_x000d__x000a_" sqref="T9">
      <formula1>0</formula1>
      <formula2>300</formula2>
    </dataValidation>
    <dataValidation type="textLength" errorStyle="information" allowBlank="1" showInputMessage="1" showErrorMessage="1" error="XLBVal:6=325261.56_x000d__x000a_" sqref="S9">
      <formula1>0</formula1>
      <formula2>300</formula2>
    </dataValidation>
    <dataValidation type="textLength" errorStyle="information" allowBlank="1" showInputMessage="1" showErrorMessage="1" error="XLBVal:6=274421.34_x000d__x000a_" sqref="R9">
      <formula1>0</formula1>
      <formula2>300</formula2>
    </dataValidation>
    <dataValidation type="textLength" errorStyle="information" allowBlank="1" showInputMessage="1" showErrorMessage="1" error="XLBVal:2=0_x000d__x000a_" sqref="E15:J15 R15:W15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D7C3F6"/>
  </sheetPr>
  <dimension ref="A1:AI93"/>
  <sheetViews>
    <sheetView view="pageBreakPreview" zoomScaleNormal="100" zoomScaleSheetLayoutView="100" workbookViewId="0">
      <pane xSplit="4" ySplit="7" topLeftCell="X8" activePane="bottomRight" state="frozen"/>
      <selection activeCell="AP43" sqref="AP43"/>
      <selection pane="topRight" activeCell="AP43" sqref="AP43"/>
      <selection pane="bottomLeft" activeCell="AP43" sqref="AP43"/>
      <selection pane="bottomRight" activeCell="AA21" sqref="AA21"/>
    </sheetView>
  </sheetViews>
  <sheetFormatPr defaultColWidth="9" defaultRowHeight="14.25" outlineLevelCol="2"/>
  <cols>
    <col min="1" max="1" width="13.625" style="105" hidden="1" customWidth="1" outlineLevel="1"/>
    <col min="2" max="2" width="9" style="105" hidden="1" customWidth="1" outlineLevel="1"/>
    <col min="3" max="3" width="36.75" style="105" customWidth="1" collapsed="1"/>
    <col min="4" max="15" width="15.75" style="105" customWidth="1"/>
    <col min="16" max="16" width="17.25" style="109" bestFit="1" customWidth="1"/>
    <col min="17" max="23" width="17.25" style="105" customWidth="1" outlineLevel="1"/>
    <col min="24" max="27" width="17" style="105" customWidth="1" outlineLevel="2"/>
    <col min="28" max="28" width="18.625" style="105" customWidth="1" outlineLevel="2"/>
    <col min="29" max="29" width="20.75" style="129" customWidth="1"/>
    <col min="30" max="30" width="17" style="105" bestFit="1" customWidth="1"/>
    <col min="31" max="31" width="10.5" style="192" customWidth="1"/>
    <col min="32" max="32" width="19.5" style="109" hidden="1" customWidth="1"/>
    <col min="33" max="33" width="18.375" style="105" hidden="1" customWidth="1"/>
    <col min="34" max="34" width="11.5" style="105" customWidth="1"/>
    <col min="35" max="35" width="17.25" style="105" bestFit="1" customWidth="1"/>
    <col min="36" max="16384" width="9" style="105"/>
  </cols>
  <sheetData>
    <row r="1" spans="1:35" s="100" customFormat="1">
      <c r="C1" s="100" t="s">
        <v>146</v>
      </c>
      <c r="P1" s="103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E1" s="186"/>
      <c r="AF1" s="103"/>
    </row>
    <row r="2" spans="1:35" s="100" customFormat="1">
      <c r="C2" s="100" t="s">
        <v>147</v>
      </c>
      <c r="P2" s="103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E2" s="186"/>
      <c r="AF2" s="103"/>
    </row>
    <row r="3" spans="1:35">
      <c r="C3" s="105" t="s">
        <v>823</v>
      </c>
      <c r="Q3" s="108" t="s">
        <v>824</v>
      </c>
      <c r="R3" s="108" t="s">
        <v>825</v>
      </c>
      <c r="S3" s="108" t="s">
        <v>826</v>
      </c>
      <c r="T3" s="108" t="s">
        <v>0</v>
      </c>
      <c r="U3" s="108" t="s">
        <v>827</v>
      </c>
      <c r="V3" s="108" t="s">
        <v>828</v>
      </c>
      <c r="W3" s="108" t="s">
        <v>825</v>
      </c>
      <c r="X3" s="108" t="s">
        <v>825</v>
      </c>
      <c r="Y3" s="108" t="s">
        <v>0</v>
      </c>
      <c r="Z3" s="108" t="s">
        <v>825</v>
      </c>
      <c r="AA3" s="108" t="s">
        <v>824</v>
      </c>
      <c r="AB3" s="108" t="s">
        <v>826</v>
      </c>
      <c r="AC3" s="209"/>
      <c r="AE3" s="279"/>
    </row>
    <row r="4" spans="1:35" s="100" customFormat="1" ht="18">
      <c r="C4" s="18">
        <f>+'2025 Summay'!$D$7</f>
        <v>2025</v>
      </c>
      <c r="P4" s="103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172"/>
      <c r="AE4" s="186"/>
      <c r="AF4" s="103"/>
    </row>
    <row r="5" spans="1:35" s="100" customFormat="1">
      <c r="C5" s="100" t="s">
        <v>154</v>
      </c>
      <c r="P5" s="103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172"/>
      <c r="AE5" s="186"/>
      <c r="AF5" s="103"/>
    </row>
    <row r="6" spans="1:35" s="100" customFormat="1">
      <c r="C6" s="100" t="s">
        <v>154</v>
      </c>
      <c r="D6" s="100">
        <f>'2025 Summay'!E9</f>
        <v>1</v>
      </c>
      <c r="E6" s="100">
        <f>'2025 Summay'!F9</f>
        <v>2</v>
      </c>
      <c r="F6" s="100">
        <f>'2025 Summay'!G9</f>
        <v>3</v>
      </c>
      <c r="G6" s="100">
        <f>'2025 Summay'!H9</f>
        <v>4</v>
      </c>
      <c r="H6" s="100">
        <f>'2025 Summay'!I9</f>
        <v>5</v>
      </c>
      <c r="I6" s="100">
        <f>'2025 Summay'!J9</f>
        <v>6</v>
      </c>
      <c r="J6" s="100">
        <f>'2025 Summay'!K9</f>
        <v>7</v>
      </c>
      <c r="K6" s="100">
        <f>'2025 Summay'!L9</f>
        <v>8</v>
      </c>
      <c r="L6" s="100">
        <f>'2025 Summay'!M9</f>
        <v>9</v>
      </c>
      <c r="M6" s="100">
        <f>'2025 Summay'!N9</f>
        <v>10</v>
      </c>
      <c r="N6" s="100">
        <f>'2025 Summay'!O9</f>
        <v>11</v>
      </c>
      <c r="O6" s="100">
        <f>'2025 Summay'!P9</f>
        <v>12</v>
      </c>
      <c r="P6" s="280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 t="s">
        <v>829</v>
      </c>
      <c r="AE6" s="177" t="s">
        <v>156</v>
      </c>
      <c r="AF6" s="157">
        <v>2019</v>
      </c>
    </row>
    <row r="7" spans="1:35">
      <c r="C7" s="105" t="s">
        <v>154</v>
      </c>
      <c r="D7" s="105" t="str">
        <f>'2025 Summay'!E10</f>
        <v>Budget</v>
      </c>
      <c r="E7" s="105" t="str">
        <f>'2025 Summay'!F10</f>
        <v>Budget</v>
      </c>
      <c r="F7" s="105" t="str">
        <f>'2025 Summay'!G10</f>
        <v>Budget</v>
      </c>
      <c r="G7" s="105" t="str">
        <f>'2025 Summay'!H10</f>
        <v>Budget</v>
      </c>
      <c r="H7" s="105" t="str">
        <f>'2025 Summay'!I10</f>
        <v>Budget</v>
      </c>
      <c r="I7" s="105" t="str">
        <f>'2025 Summay'!J10</f>
        <v>Budget</v>
      </c>
      <c r="J7" s="105" t="str">
        <f>'2025 Summay'!K10</f>
        <v>Budget</v>
      </c>
      <c r="K7" s="105" t="str">
        <f>'2025 Summay'!L10</f>
        <v>Budget</v>
      </c>
      <c r="L7" s="105" t="str">
        <f>'2025 Summay'!M10</f>
        <v>Budget</v>
      </c>
      <c r="M7" s="105" t="str">
        <f>'2025 Summay'!N10</f>
        <v>Budget</v>
      </c>
      <c r="N7" s="105" t="str">
        <f>'2025 Summay'!O10</f>
        <v>Budget</v>
      </c>
      <c r="O7" s="105" t="str">
        <f>'2025 Summay'!P10</f>
        <v>Budget</v>
      </c>
      <c r="P7" s="109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189"/>
      <c r="AE7" s="132"/>
      <c r="AF7" s="158" t="s">
        <v>12</v>
      </c>
    </row>
    <row r="8" spans="1:35">
      <c r="C8" s="105" t="s">
        <v>154</v>
      </c>
      <c r="D8" s="105" t="s">
        <v>830</v>
      </c>
      <c r="E8" s="105" t="s">
        <v>831</v>
      </c>
      <c r="F8" s="105" t="s">
        <v>831</v>
      </c>
      <c r="G8" s="105" t="s">
        <v>831</v>
      </c>
      <c r="H8" s="105" t="s">
        <v>831</v>
      </c>
      <c r="I8" s="105" t="s">
        <v>831</v>
      </c>
      <c r="L8" s="105" t="s">
        <v>831</v>
      </c>
      <c r="M8" s="105" t="s">
        <v>831</v>
      </c>
      <c r="O8" s="105" t="s">
        <v>831</v>
      </c>
      <c r="P8" s="109" t="s">
        <v>831</v>
      </c>
      <c r="AF8" s="129"/>
    </row>
    <row r="9" spans="1:35">
      <c r="A9" s="105" t="s">
        <v>832</v>
      </c>
      <c r="B9" s="105" t="s">
        <v>833</v>
      </c>
      <c r="C9" s="109" t="s">
        <v>175</v>
      </c>
      <c r="D9" s="281">
        <f>D83</f>
        <v>1194853.9099999999</v>
      </c>
      <c r="E9" s="281">
        <f t="shared" ref="E9:O9" si="0">E83</f>
        <v>1144063.52</v>
      </c>
      <c r="F9" s="281">
        <f t="shared" si="0"/>
        <v>1154912.1499999999</v>
      </c>
      <c r="G9" s="281">
        <f t="shared" si="0"/>
        <v>1176870.3900000001</v>
      </c>
      <c r="H9" s="281">
        <f t="shared" si="0"/>
        <v>1190685.6400000001</v>
      </c>
      <c r="I9" s="281">
        <f t="shared" si="0"/>
        <v>1166734.49</v>
      </c>
      <c r="J9" s="281">
        <f t="shared" si="0"/>
        <v>1172210.21</v>
      </c>
      <c r="K9" s="281">
        <f t="shared" si="0"/>
        <v>1172578.06</v>
      </c>
      <c r="L9" s="281">
        <f t="shared" si="0"/>
        <v>1173017.06</v>
      </c>
      <c r="M9" s="281">
        <f t="shared" si="0"/>
        <v>1223434.19</v>
      </c>
      <c r="N9" s="281">
        <f t="shared" si="0"/>
        <v>1172645.27</v>
      </c>
      <c r="O9" s="281">
        <f t="shared" si="0"/>
        <v>1171445.58</v>
      </c>
      <c r="P9" s="281">
        <f>SUM(D9:O9)</f>
        <v>14113450.469999999</v>
      </c>
      <c r="Q9" s="282">
        <f t="shared" ref="Q9:X9" si="1">Q83</f>
        <v>1243047.23</v>
      </c>
      <c r="R9" s="282">
        <f t="shared" si="1"/>
        <v>1294398.3799999999</v>
      </c>
      <c r="S9" s="282">
        <f t="shared" si="1"/>
        <v>1273921.5499999998</v>
      </c>
      <c r="T9" s="282">
        <f t="shared" si="1"/>
        <v>1196443.97</v>
      </c>
      <c r="U9" s="282">
        <f t="shared" si="1"/>
        <v>1165589.5299999998</v>
      </c>
      <c r="V9" s="282">
        <f t="shared" si="1"/>
        <v>1165611.1400000001</v>
      </c>
      <c r="W9" s="282">
        <f t="shared" si="1"/>
        <v>1117650.08</v>
      </c>
      <c r="X9" s="282">
        <f t="shared" si="1"/>
        <v>1139414.4100000001</v>
      </c>
      <c r="Y9" s="282">
        <f>Y83</f>
        <v>1184042.6499999999</v>
      </c>
      <c r="Z9" s="282">
        <f>Z83</f>
        <v>1215628.43</v>
      </c>
      <c r="AA9" s="129">
        <f>AA83</f>
        <v>1200501.8799999999</v>
      </c>
      <c r="AB9" s="129">
        <f>AB83</f>
        <v>1170702.3600000001</v>
      </c>
      <c r="AC9" s="129">
        <f>SUM(Q9:AB9)</f>
        <v>14366951.609999999</v>
      </c>
      <c r="AD9" s="281">
        <f>AC9-P9</f>
        <v>253501.1400000006</v>
      </c>
      <c r="AE9" s="132">
        <f>AD9/AC9</f>
        <v>1.7644740991787932E-2</v>
      </c>
      <c r="AF9" s="129">
        <v>13760104.830000002</v>
      </c>
      <c r="AG9" s="123">
        <f>AF9-P9</f>
        <v>-353345.63999999687</v>
      </c>
      <c r="AH9" s="124"/>
      <c r="AI9" s="124"/>
    </row>
    <row r="10" spans="1:35">
      <c r="C10" s="105" t="s">
        <v>154</v>
      </c>
      <c r="D10" s="283" t="s">
        <v>830</v>
      </c>
      <c r="E10" s="283" t="s">
        <v>831</v>
      </c>
      <c r="F10" s="283" t="s">
        <v>831</v>
      </c>
      <c r="G10" s="283" t="s">
        <v>831</v>
      </c>
      <c r="H10" s="283" t="s">
        <v>831</v>
      </c>
      <c r="I10" s="283" t="s">
        <v>831</v>
      </c>
      <c r="J10" s="283"/>
      <c r="K10" s="283"/>
      <c r="L10" s="283" t="s">
        <v>831</v>
      </c>
      <c r="M10" s="283" t="s">
        <v>831</v>
      </c>
      <c r="N10" s="283"/>
      <c r="O10" s="283" t="s">
        <v>831</v>
      </c>
      <c r="P10" s="281" t="s">
        <v>831</v>
      </c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F10" s="129"/>
      <c r="AG10" s="123"/>
      <c r="AH10" s="124"/>
      <c r="AI10" s="124"/>
    </row>
    <row r="11" spans="1:35">
      <c r="C11" s="105" t="s">
        <v>176</v>
      </c>
      <c r="D11" s="283" t="s">
        <v>830</v>
      </c>
      <c r="E11" s="283" t="s">
        <v>831</v>
      </c>
      <c r="F11" s="283" t="s">
        <v>831</v>
      </c>
      <c r="G11" s="283" t="s">
        <v>831</v>
      </c>
      <c r="H11" s="283" t="s">
        <v>831</v>
      </c>
      <c r="I11" s="283" t="s">
        <v>831</v>
      </c>
      <c r="J11" s="283"/>
      <c r="K11" s="283"/>
      <c r="L11" s="283" t="s">
        <v>831</v>
      </c>
      <c r="M11" s="283" t="s">
        <v>831</v>
      </c>
      <c r="N11" s="283"/>
      <c r="O11" s="283" t="s">
        <v>831</v>
      </c>
      <c r="P11" s="281" t="s">
        <v>831</v>
      </c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F11" s="129"/>
      <c r="AG11" s="123"/>
      <c r="AH11" s="124"/>
      <c r="AI11" s="124"/>
    </row>
    <row r="12" spans="1:35">
      <c r="A12" s="105" t="s">
        <v>687</v>
      </c>
      <c r="B12" s="105" t="s">
        <v>833</v>
      </c>
      <c r="C12" s="105" t="s">
        <v>144</v>
      </c>
      <c r="D12" s="283">
        <f>SUM('Executive Office:IT'!D12)</f>
        <v>64721.41</v>
      </c>
      <c r="E12" s="283">
        <f>SUM('Executive Office:IT'!E12)</f>
        <v>64612.41</v>
      </c>
      <c r="F12" s="283">
        <f>SUM('Executive Office:IT'!F12)</f>
        <v>64625.41</v>
      </c>
      <c r="G12" s="283">
        <f>SUM('Executive Office:IT'!G12)</f>
        <v>64700.41</v>
      </c>
      <c r="H12" s="283">
        <f>SUM('Executive Office:IT'!H12)</f>
        <v>64744.41</v>
      </c>
      <c r="I12" s="283">
        <f>SUM('Executive Office:IT'!I12)</f>
        <v>64685.41</v>
      </c>
      <c r="J12" s="283">
        <f>SUM('Executive Office:IT'!J12)</f>
        <v>64683.41</v>
      </c>
      <c r="K12" s="283">
        <f>SUM('Executive Office:IT'!K12)</f>
        <v>64693.41</v>
      </c>
      <c r="L12" s="283">
        <f>SUM('Executive Office:IT'!L12)</f>
        <v>64698.41</v>
      </c>
      <c r="M12" s="283">
        <f>SUM('Executive Office:IT'!M12)</f>
        <v>64780.41</v>
      </c>
      <c r="N12" s="283">
        <f>SUM('Executive Office:IT'!N12)</f>
        <v>64663.41</v>
      </c>
      <c r="O12" s="283">
        <f>SUM('Executive Office:IT'!O12)</f>
        <v>64661.33</v>
      </c>
      <c r="P12" s="281">
        <f>SUM(D12:O12)</f>
        <v>776269.8400000002</v>
      </c>
      <c r="Q12" s="284">
        <f>SUM('Executive Office:IT'!Q12)</f>
        <v>76165.58</v>
      </c>
      <c r="R12" s="284">
        <f>SUM('Executive Office:IT'!R12)</f>
        <v>76150.569999999992</v>
      </c>
      <c r="S12" s="284">
        <f>SUM('Executive Office:IT'!S12)</f>
        <v>41770.449999999997</v>
      </c>
      <c r="T12" s="284">
        <f>SUM('Executive Office:IT'!T12)</f>
        <v>61095.630000000005</v>
      </c>
      <c r="U12" s="284">
        <f>SUM('Executive Office:IT'!U12)</f>
        <v>75755.929999999993</v>
      </c>
      <c r="V12" s="284">
        <f>SUM('Executive Office:IT'!V12)</f>
        <v>78351.08</v>
      </c>
      <c r="W12" s="284">
        <f>SUM('Executive Office:IT'!W12)</f>
        <v>77898.3</v>
      </c>
      <c r="X12" s="284">
        <f>SUM('Executive Office:IT'!X12)</f>
        <v>82204.170000000013</v>
      </c>
      <c r="Y12" s="284">
        <f>SUM('Executive Office:IT'!Y12)</f>
        <v>52196.68</v>
      </c>
      <c r="Z12" s="284">
        <f>SUM('Executive Office:IT'!Z12)</f>
        <v>51200.9</v>
      </c>
      <c r="AA12" s="284">
        <f>SUM('Executive Office:IT'!AA12)</f>
        <v>20940.449999999997</v>
      </c>
      <c r="AB12" s="284">
        <f>SUM('Executive Office:IT'!AB12)</f>
        <v>50963.979999999989</v>
      </c>
      <c r="AC12" s="129">
        <f t="shared" ref="AC12:AC45" si="2">SUM(Q12:AB12)</f>
        <v>744693.72</v>
      </c>
      <c r="AD12" s="283">
        <f t="shared" ref="AD12:AD47" si="3">AC12-P12</f>
        <v>-31576.120000000228</v>
      </c>
      <c r="AE12" s="192">
        <f t="shared" ref="AE12:AE47" si="4">AD12/AC12</f>
        <v>-4.2401485539585629E-2</v>
      </c>
      <c r="AF12" s="129">
        <v>40776.759999999987</v>
      </c>
      <c r="AG12" s="123">
        <f t="shared" ref="AG12:AG75" si="5">AF12-P12</f>
        <v>-735493.08000000019</v>
      </c>
      <c r="AH12" s="124"/>
      <c r="AI12" s="124"/>
    </row>
    <row r="13" spans="1:35">
      <c r="A13" s="105">
        <v>60010060</v>
      </c>
      <c r="C13" s="105" t="s">
        <v>182</v>
      </c>
      <c r="D13" s="283">
        <f>SUM('Executive Office:IT'!D13)</f>
        <v>0</v>
      </c>
      <c r="E13" s="283">
        <f>SUM('Executive Office:IT'!E13)</f>
        <v>0</v>
      </c>
      <c r="F13" s="283">
        <f>SUM('Executive Office:IT'!F13)</f>
        <v>0</v>
      </c>
      <c r="G13" s="283">
        <f>SUM('Executive Office:IT'!G13)</f>
        <v>0</v>
      </c>
      <c r="H13" s="283">
        <f>SUM('Executive Office:IT'!H13)</f>
        <v>0</v>
      </c>
      <c r="I13" s="283">
        <f>SUM('Executive Office:IT'!I13)</f>
        <v>0</v>
      </c>
      <c r="J13" s="283">
        <f>SUM('Executive Office:IT'!J13)</f>
        <v>0</v>
      </c>
      <c r="K13" s="283">
        <f>SUM('Executive Office:IT'!K13)</f>
        <v>0</v>
      </c>
      <c r="L13" s="283">
        <f>SUM('Executive Office:IT'!L13)</f>
        <v>0</v>
      </c>
      <c r="M13" s="283">
        <f>SUM('Executive Office:IT'!M13)</f>
        <v>0</v>
      </c>
      <c r="N13" s="283">
        <f>SUM('Executive Office:IT'!N13)</f>
        <v>0</v>
      </c>
      <c r="O13" s="283">
        <f>SUM('Executive Office:IT'!O13)</f>
        <v>0</v>
      </c>
      <c r="P13" s="281">
        <f t="shared" ref="P13:P45" si="6">SUM(D13:O13)</f>
        <v>0</v>
      </c>
      <c r="Q13" s="284">
        <f>SUM('Executive Office:IT'!Q13)</f>
        <v>0</v>
      </c>
      <c r="R13" s="284">
        <f>SUM('Executive Office:IT'!R13)</f>
        <v>0</v>
      </c>
      <c r="S13" s="284">
        <f>SUM('Executive Office:IT'!S13)</f>
        <v>0</v>
      </c>
      <c r="T13" s="284">
        <f>SUM('Executive Office:IT'!T13)</f>
        <v>0</v>
      </c>
      <c r="U13" s="284">
        <f>SUM('Executive Office:IT'!U13)</f>
        <v>0</v>
      </c>
      <c r="V13" s="284">
        <f>SUM('Executive Office:IT'!V13)</f>
        <v>0</v>
      </c>
      <c r="W13" s="284">
        <f>SUM('Executive Office:IT'!W13)</f>
        <v>0</v>
      </c>
      <c r="X13" s="284">
        <f>SUM('Executive Office:IT'!X13)</f>
        <v>0</v>
      </c>
      <c r="Y13" s="284">
        <f>SUM('Executive Office:IT'!Y13)</f>
        <v>0</v>
      </c>
      <c r="Z13" s="284">
        <f>SUM('Executive Office:IT'!Z13)</f>
        <v>0</v>
      </c>
      <c r="AA13" s="284">
        <f>SUM('Executive Office:IT'!AA13)</f>
        <v>0</v>
      </c>
      <c r="AB13" s="284">
        <f>SUM('Executive Office:IT'!AB13)</f>
        <v>0</v>
      </c>
      <c r="AC13" s="129">
        <f t="shared" si="2"/>
        <v>0</v>
      </c>
      <c r="AF13" s="129">
        <v>0</v>
      </c>
      <c r="AG13" s="123">
        <f t="shared" si="5"/>
        <v>0</v>
      </c>
      <c r="AH13" s="124"/>
      <c r="AI13" s="124"/>
    </row>
    <row r="14" spans="1:35">
      <c r="A14" s="105" t="s">
        <v>834</v>
      </c>
      <c r="B14" s="105" t="s">
        <v>833</v>
      </c>
      <c r="C14" s="105" t="s">
        <v>431</v>
      </c>
      <c r="D14" s="283">
        <f>SUM('Executive Office:IT'!D14)</f>
        <v>1400</v>
      </c>
      <c r="E14" s="283">
        <f>SUM('Executive Office:IT'!E14)</f>
        <v>1400</v>
      </c>
      <c r="F14" s="283">
        <f>SUM('Executive Office:IT'!F14)</f>
        <v>1400</v>
      </c>
      <c r="G14" s="283">
        <f>SUM('Executive Office:IT'!G14)</f>
        <v>1400</v>
      </c>
      <c r="H14" s="283">
        <f>SUM('Executive Office:IT'!H14)</f>
        <v>1400</v>
      </c>
      <c r="I14" s="283">
        <f>SUM('Executive Office:IT'!I14)</f>
        <v>1400</v>
      </c>
      <c r="J14" s="283">
        <f>SUM('Executive Office:IT'!J14)</f>
        <v>1400</v>
      </c>
      <c r="K14" s="283">
        <f>SUM('Executive Office:IT'!K14)</f>
        <v>1400</v>
      </c>
      <c r="L14" s="283">
        <f>SUM('Executive Office:IT'!L14)</f>
        <v>1400</v>
      </c>
      <c r="M14" s="283">
        <f>SUM('Executive Office:IT'!M14)</f>
        <v>1400</v>
      </c>
      <c r="N14" s="283">
        <f>SUM('Executive Office:IT'!N14)</f>
        <v>1400</v>
      </c>
      <c r="O14" s="283">
        <f>SUM('Executive Office:IT'!O14)</f>
        <v>1400</v>
      </c>
      <c r="P14" s="281">
        <f t="shared" si="6"/>
        <v>16800</v>
      </c>
      <c r="Q14" s="284">
        <f>SUM('Executive Office:IT'!Q14)</f>
        <v>0</v>
      </c>
      <c r="R14" s="284">
        <f>SUM('Executive Office:IT'!R14)</f>
        <v>376.22</v>
      </c>
      <c r="S14" s="285">
        <f>SUM('Executive Office:IT'!S14)</f>
        <v>188.11</v>
      </c>
      <c r="T14" s="285">
        <f>SUM('Executive Office:IT'!T14)</f>
        <v>188.11</v>
      </c>
      <c r="U14" s="284">
        <f>SUM('Executive Office:IT'!U14)</f>
        <v>2188.11</v>
      </c>
      <c r="V14" s="284">
        <f>SUM('Executive Office:IT'!V14)</f>
        <v>188.11</v>
      </c>
      <c r="W14" s="284">
        <f>SUM('Executive Office:IT'!W14)</f>
        <v>12762.37</v>
      </c>
      <c r="X14" s="284">
        <f>SUM('Executive Office:IT'!X14)</f>
        <v>188.11</v>
      </c>
      <c r="Y14" s="284">
        <f>SUM('Executive Office:IT'!Y14)</f>
        <v>850</v>
      </c>
      <c r="Z14" s="284">
        <f>SUM('Executive Office:IT'!Z14)</f>
        <v>850</v>
      </c>
      <c r="AA14" s="284">
        <f>SUM('Executive Office:IT'!AA14)</f>
        <v>850</v>
      </c>
      <c r="AB14" s="284">
        <f>SUM('Executive Office:IT'!AB14)</f>
        <v>850</v>
      </c>
      <c r="AC14" s="129">
        <f t="shared" si="2"/>
        <v>19479.14</v>
      </c>
      <c r="AD14" s="283">
        <f t="shared" si="3"/>
        <v>2679.1399999999994</v>
      </c>
      <c r="AE14" s="192">
        <f t="shared" si="4"/>
        <v>0.13753892625649794</v>
      </c>
      <c r="AF14" s="129">
        <v>14900</v>
      </c>
      <c r="AG14" s="123">
        <f t="shared" si="5"/>
        <v>-1900</v>
      </c>
      <c r="AH14" s="124"/>
      <c r="AI14" s="124"/>
    </row>
    <row r="15" spans="1:35">
      <c r="A15" s="105" t="s">
        <v>688</v>
      </c>
      <c r="B15" s="105" t="s">
        <v>833</v>
      </c>
      <c r="C15" s="105" t="s">
        <v>184</v>
      </c>
      <c r="D15" s="283">
        <f>SUM('Executive Office:IT'!D15)</f>
        <v>16500</v>
      </c>
      <c r="E15" s="283">
        <f>SUM('Executive Office:IT'!E15)</f>
        <v>8500</v>
      </c>
      <c r="F15" s="283">
        <f>SUM('Executive Office:IT'!F15)</f>
        <v>9500</v>
      </c>
      <c r="G15" s="283">
        <f>SUM('Executive Office:IT'!G15)</f>
        <v>8500</v>
      </c>
      <c r="H15" s="283">
        <f>SUM('Executive Office:IT'!H15)</f>
        <v>8500</v>
      </c>
      <c r="I15" s="283">
        <f>SUM('Executive Office:IT'!I15)</f>
        <v>5500</v>
      </c>
      <c r="J15" s="283">
        <f>SUM('Executive Office:IT'!J15)</f>
        <v>7200</v>
      </c>
      <c r="K15" s="283">
        <f>SUM('Executive Office:IT'!K15)</f>
        <v>9500</v>
      </c>
      <c r="L15" s="283">
        <f>SUM('Executive Office:IT'!L15)</f>
        <v>11000</v>
      </c>
      <c r="M15" s="283">
        <f>SUM('Executive Office:IT'!M15)</f>
        <v>10000</v>
      </c>
      <c r="N15" s="283">
        <f>SUM('Executive Office:IT'!N15)</f>
        <v>10500</v>
      </c>
      <c r="O15" s="283">
        <f>SUM('Executive Office:IT'!O15)</f>
        <v>11200</v>
      </c>
      <c r="P15" s="286">
        <f t="shared" si="6"/>
        <v>116400</v>
      </c>
      <c r="Q15" s="284">
        <f>SUM('Executive Office:IT'!Q15)</f>
        <v>13608.81</v>
      </c>
      <c r="R15" s="284">
        <f>SUM('Executive Office:IT'!R15)</f>
        <v>3994.12</v>
      </c>
      <c r="S15" s="284">
        <f>SUM('Executive Office:IT'!S15)</f>
        <v>6653.13</v>
      </c>
      <c r="T15" s="284">
        <f>SUM('Executive Office:IT'!T15)</f>
        <v>6619.75</v>
      </c>
      <c r="U15" s="284">
        <f>SUM('Executive Office:IT'!U15)</f>
        <v>6888.27</v>
      </c>
      <c r="V15" s="284">
        <f>SUM('Executive Office:IT'!V15)</f>
        <v>3739.12</v>
      </c>
      <c r="W15" s="284">
        <f>SUM('Executive Office:IT'!W15)</f>
        <v>6559.22</v>
      </c>
      <c r="X15" s="284">
        <f>SUM('Executive Office:IT'!X15)</f>
        <v>4152</v>
      </c>
      <c r="Y15" s="284">
        <f>SUM('Executive Office:IT'!Y15)</f>
        <v>19500</v>
      </c>
      <c r="Z15" s="284">
        <f>SUM('Executive Office:IT'!Z15)</f>
        <v>15000</v>
      </c>
      <c r="AA15" s="284">
        <f>SUM('Executive Office:IT'!AA15)</f>
        <v>10500</v>
      </c>
      <c r="AB15" s="284">
        <f>SUM('Executive Office:IT'!AB15)</f>
        <v>10500</v>
      </c>
      <c r="AC15" s="133">
        <f t="shared" si="2"/>
        <v>107714.42000000001</v>
      </c>
      <c r="AD15" s="283">
        <f t="shared" si="3"/>
        <v>-8685.5799999999872</v>
      </c>
      <c r="AE15" s="196">
        <f t="shared" si="4"/>
        <v>-8.0635257563471868E-2</v>
      </c>
      <c r="AF15" s="133">
        <v>271523.53000000003</v>
      </c>
      <c r="AG15" s="123">
        <f t="shared" si="5"/>
        <v>155123.53000000003</v>
      </c>
      <c r="AH15" s="124"/>
      <c r="AI15" s="124"/>
    </row>
    <row r="16" spans="1:35">
      <c r="A16" s="105" t="s">
        <v>835</v>
      </c>
      <c r="B16" s="105" t="s">
        <v>833</v>
      </c>
      <c r="C16" s="105" t="s">
        <v>305</v>
      </c>
      <c r="D16" s="283">
        <f>SUM('Executive Office:IT'!D16)</f>
        <v>0</v>
      </c>
      <c r="E16" s="283">
        <f>SUM('Executive Office:IT'!E16)</f>
        <v>0</v>
      </c>
      <c r="F16" s="283">
        <f>SUM('Executive Office:IT'!F16)</f>
        <v>0</v>
      </c>
      <c r="G16" s="283">
        <f>SUM('Executive Office:IT'!G16)</f>
        <v>0</v>
      </c>
      <c r="H16" s="283">
        <f>SUM('Executive Office:IT'!H16)</f>
        <v>0</v>
      </c>
      <c r="I16" s="283">
        <f>SUM('Executive Office:IT'!I16)</f>
        <v>0</v>
      </c>
      <c r="J16" s="283">
        <f>SUM('Executive Office:IT'!J16)</f>
        <v>0</v>
      </c>
      <c r="K16" s="283">
        <f>SUM('Executive Office:IT'!K16)</f>
        <v>0</v>
      </c>
      <c r="L16" s="283">
        <f>SUM('Executive Office:IT'!L16)</f>
        <v>0</v>
      </c>
      <c r="M16" s="283">
        <f>SUM('Executive Office:IT'!M16)</f>
        <v>0</v>
      </c>
      <c r="N16" s="283">
        <f>SUM('Executive Office:IT'!N16)</f>
        <v>0</v>
      </c>
      <c r="O16" s="283">
        <f>SUM('Executive Office:IT'!O16)</f>
        <v>0</v>
      </c>
      <c r="P16" s="281">
        <f t="shared" si="6"/>
        <v>0</v>
      </c>
      <c r="Q16" s="284">
        <f>SUM('Executive Office:IT'!Q16)</f>
        <v>0</v>
      </c>
      <c r="R16" s="284">
        <f>SUM('Executive Office:IT'!R16)</f>
        <v>0</v>
      </c>
      <c r="S16" s="284">
        <f>SUM('Executive Office:IT'!S16)</f>
        <v>0</v>
      </c>
      <c r="T16" s="284">
        <f>SUM('Executive Office:IT'!T16)</f>
        <v>0</v>
      </c>
      <c r="U16" s="284">
        <f>SUM('Executive Office:IT'!U16)</f>
        <v>0</v>
      </c>
      <c r="V16" s="284">
        <f>SUM('Executive Office:IT'!V16)</f>
        <v>0</v>
      </c>
      <c r="W16" s="284">
        <f>SUM('Executive Office:IT'!W16)</f>
        <v>0</v>
      </c>
      <c r="X16" s="284">
        <f>SUM('Executive Office:IT'!X16)</f>
        <v>0</v>
      </c>
      <c r="Y16" s="284">
        <f>SUM('Executive Office:IT'!Y16)</f>
        <v>0</v>
      </c>
      <c r="Z16" s="284">
        <f>SUM('Executive Office:IT'!Z16)</f>
        <v>0</v>
      </c>
      <c r="AA16" s="284">
        <f>SUM('Executive Office:IT'!AA16)</f>
        <v>0</v>
      </c>
      <c r="AB16" s="284">
        <f>SUM('Executive Office:IT'!AB16)</f>
        <v>0</v>
      </c>
      <c r="AC16" s="133">
        <f t="shared" si="2"/>
        <v>0</v>
      </c>
      <c r="AD16" s="283">
        <f t="shared" si="3"/>
        <v>0</v>
      </c>
      <c r="AE16" s="196" t="e">
        <f t="shared" si="4"/>
        <v>#DIV/0!</v>
      </c>
      <c r="AF16" s="133">
        <v>0</v>
      </c>
      <c r="AG16" s="123">
        <f t="shared" si="5"/>
        <v>0</v>
      </c>
      <c r="AH16" s="124"/>
      <c r="AI16" s="124"/>
    </row>
    <row r="17" spans="1:35">
      <c r="A17" s="105" t="s">
        <v>689</v>
      </c>
      <c r="B17" s="105" t="s">
        <v>833</v>
      </c>
      <c r="C17" s="105" t="s">
        <v>202</v>
      </c>
      <c r="D17" s="283">
        <f>SUM('Executive Office:IT'!D17)</f>
        <v>0</v>
      </c>
      <c r="E17" s="283">
        <f>SUM('Executive Office:IT'!E17)</f>
        <v>0</v>
      </c>
      <c r="F17" s="283">
        <f>SUM('Executive Office:IT'!F17)</f>
        <v>0</v>
      </c>
      <c r="G17" s="283">
        <f>SUM('Executive Office:IT'!G17)</f>
        <v>0</v>
      </c>
      <c r="H17" s="283">
        <f>SUM('Executive Office:IT'!H17)</f>
        <v>0</v>
      </c>
      <c r="I17" s="283">
        <f>SUM('Executive Office:IT'!I17)</f>
        <v>0</v>
      </c>
      <c r="J17" s="283">
        <f>SUM('Executive Office:IT'!J17)</f>
        <v>0</v>
      </c>
      <c r="K17" s="283">
        <f>SUM('Executive Office:IT'!K17)</f>
        <v>0</v>
      </c>
      <c r="L17" s="283">
        <f>SUM('Executive Office:IT'!L17)</f>
        <v>0</v>
      </c>
      <c r="M17" s="283">
        <f>SUM('Executive Office:IT'!M17)</f>
        <v>0</v>
      </c>
      <c r="N17" s="283">
        <f>SUM('Executive Office:IT'!N17)</f>
        <v>0</v>
      </c>
      <c r="O17" s="283">
        <f>SUM('Executive Office:IT'!O17)</f>
        <v>0</v>
      </c>
      <c r="P17" s="281">
        <f t="shared" si="6"/>
        <v>0</v>
      </c>
      <c r="Q17" s="284">
        <f>SUM('Executive Office:IT'!Q17)</f>
        <v>0</v>
      </c>
      <c r="R17" s="284">
        <f>SUM('Executive Office:IT'!R17)</f>
        <v>0</v>
      </c>
      <c r="S17" s="284">
        <f>SUM('Executive Office:IT'!S17)</f>
        <v>0</v>
      </c>
      <c r="T17" s="284">
        <f>SUM('Executive Office:IT'!T17)</f>
        <v>0</v>
      </c>
      <c r="U17" s="284">
        <f>SUM('Executive Office:IT'!U17)</f>
        <v>0</v>
      </c>
      <c r="V17" s="284">
        <f>SUM('Executive Office:IT'!V17)</f>
        <v>0</v>
      </c>
      <c r="W17" s="284">
        <f>SUM('Executive Office:IT'!W17)</f>
        <v>0</v>
      </c>
      <c r="X17" s="284">
        <f>SUM('Executive Office:IT'!X17)</f>
        <v>0</v>
      </c>
      <c r="Y17" s="284">
        <f>SUM('Executive Office:IT'!Y17)</f>
        <v>0</v>
      </c>
      <c r="Z17" s="284">
        <f>SUM('Executive Office:IT'!Z17)</f>
        <v>0</v>
      </c>
      <c r="AA17" s="284">
        <f>SUM('Executive Office:IT'!AA17)</f>
        <v>0</v>
      </c>
      <c r="AB17" s="284">
        <f>SUM('Executive Office:IT'!AB17)</f>
        <v>0</v>
      </c>
      <c r="AC17" s="133">
        <f t="shared" si="2"/>
        <v>0</v>
      </c>
      <c r="AE17" s="196"/>
      <c r="AF17" s="133">
        <v>0</v>
      </c>
      <c r="AG17" s="123">
        <f t="shared" si="5"/>
        <v>0</v>
      </c>
      <c r="AH17" s="124"/>
      <c r="AI17" s="124"/>
    </row>
    <row r="18" spans="1:35">
      <c r="A18" s="105" t="s">
        <v>692</v>
      </c>
      <c r="B18" s="105" t="s">
        <v>833</v>
      </c>
      <c r="C18" s="105" t="s">
        <v>204</v>
      </c>
      <c r="D18" s="283">
        <f>SUM('Executive Office:IT'!D18)</f>
        <v>4400</v>
      </c>
      <c r="E18" s="283">
        <f>SUM('Executive Office:IT'!E18)</f>
        <v>4400</v>
      </c>
      <c r="F18" s="283">
        <f>SUM('Executive Office:IT'!F18)</f>
        <v>4400</v>
      </c>
      <c r="G18" s="283">
        <f>SUM('Executive Office:IT'!G18)</f>
        <v>4400</v>
      </c>
      <c r="H18" s="283">
        <f>SUM('Executive Office:IT'!H18)</f>
        <v>4400</v>
      </c>
      <c r="I18" s="283">
        <f>SUM('Executive Office:IT'!I18)</f>
        <v>4400</v>
      </c>
      <c r="J18" s="283">
        <f>SUM('Executive Office:IT'!J18)</f>
        <v>4400</v>
      </c>
      <c r="K18" s="283">
        <f>SUM('Executive Office:IT'!K18)</f>
        <v>4400</v>
      </c>
      <c r="L18" s="283">
        <f>SUM('Executive Office:IT'!L18)</f>
        <v>4400</v>
      </c>
      <c r="M18" s="283">
        <f>SUM('Executive Office:IT'!M18)</f>
        <v>4400</v>
      </c>
      <c r="N18" s="283">
        <f>SUM('Executive Office:IT'!N18)</f>
        <v>4400</v>
      </c>
      <c r="O18" s="283">
        <f>SUM('Executive Office:IT'!O18)</f>
        <v>4400</v>
      </c>
      <c r="P18" s="281">
        <f t="shared" si="6"/>
        <v>52800</v>
      </c>
      <c r="Q18" s="284">
        <f>SUM('Executive Office:IT'!Q18)</f>
        <v>17644</v>
      </c>
      <c r="R18" s="284">
        <f>SUM('Executive Office:IT'!R18)</f>
        <v>17644</v>
      </c>
      <c r="S18" s="284">
        <f>SUM('Executive Office:IT'!S18)</f>
        <v>17644</v>
      </c>
      <c r="T18" s="284">
        <f>SUM('Executive Office:IT'!T18)</f>
        <v>-38.4</v>
      </c>
      <c r="U18" s="284">
        <f>SUM('Executive Office:IT'!U18)</f>
        <v>0</v>
      </c>
      <c r="V18" s="284">
        <f>SUM('Executive Office:IT'!V18)</f>
        <v>0</v>
      </c>
      <c r="W18" s="284">
        <f>SUM('Executive Office:IT'!W18)</f>
        <v>0</v>
      </c>
      <c r="X18" s="284">
        <f>SUM('Executive Office:IT'!X18)</f>
        <v>0</v>
      </c>
      <c r="Y18" s="284">
        <f>SUM('Executive Office:IT'!Y18)</f>
        <v>0</v>
      </c>
      <c r="Z18" s="284">
        <f>SUM('Executive Office:IT'!Z18)</f>
        <v>0</v>
      </c>
      <c r="AA18" s="284">
        <f>SUM('Executive Office:IT'!AA18)</f>
        <v>0</v>
      </c>
      <c r="AB18" s="284">
        <f>SUM('Executive Office:IT'!AB18)</f>
        <v>0</v>
      </c>
      <c r="AC18" s="133">
        <f t="shared" si="2"/>
        <v>52893.599999999999</v>
      </c>
      <c r="AD18" s="283">
        <f t="shared" si="3"/>
        <v>93.599999999998545</v>
      </c>
      <c r="AE18" s="196">
        <f t="shared" si="4"/>
        <v>1.7695902717908885E-3</v>
      </c>
      <c r="AF18" s="133">
        <v>26989.63</v>
      </c>
      <c r="AG18" s="123">
        <f t="shared" si="5"/>
        <v>-25810.37</v>
      </c>
      <c r="AH18" s="124"/>
      <c r="AI18" s="124"/>
    </row>
    <row r="19" spans="1:35">
      <c r="A19" s="105" t="s">
        <v>717</v>
      </c>
      <c r="B19" s="105" t="s">
        <v>833</v>
      </c>
      <c r="C19" s="105" t="s">
        <v>208</v>
      </c>
      <c r="D19" s="283">
        <f>SUM('Executive Office:IT'!D19)</f>
        <v>924</v>
      </c>
      <c r="E19" s="283">
        <f>SUM('Executive Office:IT'!E19)</f>
        <v>924</v>
      </c>
      <c r="F19" s="283">
        <f>SUM('Executive Office:IT'!F19)</f>
        <v>924</v>
      </c>
      <c r="G19" s="283">
        <f>SUM('Executive Office:IT'!G19)</f>
        <v>924</v>
      </c>
      <c r="H19" s="283">
        <f>SUM('Executive Office:IT'!H19)</f>
        <v>924</v>
      </c>
      <c r="I19" s="283">
        <f>SUM('Executive Office:IT'!I19)</f>
        <v>924</v>
      </c>
      <c r="J19" s="283">
        <f>SUM('Executive Office:IT'!J19)</f>
        <v>924</v>
      </c>
      <c r="K19" s="283">
        <f>SUM('Executive Office:IT'!K19)</f>
        <v>924</v>
      </c>
      <c r="L19" s="283">
        <f>SUM('Executive Office:IT'!L19)</f>
        <v>924</v>
      </c>
      <c r="M19" s="283">
        <f>SUM('Executive Office:IT'!M19)</f>
        <v>924</v>
      </c>
      <c r="N19" s="283">
        <f>SUM('Executive Office:IT'!N19)</f>
        <v>924</v>
      </c>
      <c r="O19" s="283">
        <f>SUM('Executive Office:IT'!O19)</f>
        <v>924</v>
      </c>
      <c r="P19" s="281">
        <f t="shared" si="6"/>
        <v>11088</v>
      </c>
      <c r="Q19" s="284">
        <f>SUM('Executive Office:IT'!Q19)</f>
        <v>1464.59</v>
      </c>
      <c r="R19" s="284">
        <f>SUM('Executive Office:IT'!R19)</f>
        <v>1464.59</v>
      </c>
      <c r="S19" s="285">
        <f>SUM('Executive Office:IT'!S19)</f>
        <v>1464.59</v>
      </c>
      <c r="T19" s="285">
        <f>SUM('Executive Office:IT'!T19)</f>
        <v>1439.82</v>
      </c>
      <c r="U19" s="284">
        <f>SUM('Executive Office:IT'!U19)</f>
        <v>1199.1099999999999</v>
      </c>
      <c r="V19" s="284">
        <f>SUM('Executive Office:IT'!V19)</f>
        <v>1199.1099999999999</v>
      </c>
      <c r="W19" s="284">
        <f>SUM('Executive Office:IT'!W19)</f>
        <v>1199.1099999999999</v>
      </c>
      <c r="X19" s="284">
        <f>SUM('Executive Office:IT'!X19)</f>
        <v>1110.5999999999999</v>
      </c>
      <c r="Y19" s="284">
        <f>SUM('Executive Office:IT'!Y19)</f>
        <v>1378.57</v>
      </c>
      <c r="Z19" s="284">
        <f>SUM('Executive Office:IT'!Z19)</f>
        <v>1378.57</v>
      </c>
      <c r="AA19" s="284">
        <f>SUM('Executive Office:IT'!AA19)</f>
        <v>1378.57</v>
      </c>
      <c r="AB19" s="284">
        <f>SUM('Executive Office:IT'!AB19)</f>
        <v>1378.57</v>
      </c>
      <c r="AC19" s="133">
        <f t="shared" si="2"/>
        <v>16055.8</v>
      </c>
      <c r="AD19" s="283">
        <f t="shared" si="3"/>
        <v>4967.7999999999993</v>
      </c>
      <c r="AE19" s="196">
        <f t="shared" si="4"/>
        <v>0.30940843807222307</v>
      </c>
      <c r="AF19" s="133">
        <v>16336.37</v>
      </c>
      <c r="AG19" s="123">
        <f t="shared" si="5"/>
        <v>5248.3700000000008</v>
      </c>
      <c r="AH19" s="124"/>
      <c r="AI19" s="124"/>
    </row>
    <row r="20" spans="1:35">
      <c r="A20" s="105" t="s">
        <v>690</v>
      </c>
      <c r="B20" s="105" t="s">
        <v>833</v>
      </c>
      <c r="C20" s="105" t="s">
        <v>210</v>
      </c>
      <c r="D20" s="283">
        <f>SUM('Executive Office:IT'!D20)</f>
        <v>650</v>
      </c>
      <c r="E20" s="283">
        <f>SUM('Executive Office:IT'!E20)</f>
        <v>650</v>
      </c>
      <c r="F20" s="283">
        <f>SUM('Executive Office:IT'!F20)</f>
        <v>650</v>
      </c>
      <c r="G20" s="283">
        <f>SUM('Executive Office:IT'!G20)</f>
        <v>650</v>
      </c>
      <c r="H20" s="283">
        <f>SUM('Executive Office:IT'!H20)</f>
        <v>650</v>
      </c>
      <c r="I20" s="283">
        <f>SUM('Executive Office:IT'!I20)</f>
        <v>650</v>
      </c>
      <c r="J20" s="283">
        <f>SUM('Executive Office:IT'!J20)</f>
        <v>650</v>
      </c>
      <c r="K20" s="283">
        <f>SUM('Executive Office:IT'!K20)</f>
        <v>650</v>
      </c>
      <c r="L20" s="283">
        <f>SUM('Executive Office:IT'!L20)</f>
        <v>650</v>
      </c>
      <c r="M20" s="283">
        <f>SUM('Executive Office:IT'!M20)</f>
        <v>650</v>
      </c>
      <c r="N20" s="283">
        <f>SUM('Executive Office:IT'!N20)</f>
        <v>650</v>
      </c>
      <c r="O20" s="283">
        <f>SUM('Executive Office:IT'!O20)</f>
        <v>650</v>
      </c>
      <c r="P20" s="281">
        <f t="shared" si="6"/>
        <v>7800</v>
      </c>
      <c r="Q20" s="284">
        <f>SUM('Executive Office:IT'!Q20)</f>
        <v>487.74</v>
      </c>
      <c r="R20" s="284">
        <f>SUM('Executive Office:IT'!R20)</f>
        <v>0</v>
      </c>
      <c r="S20" s="285">
        <f>SUM('Executive Office:IT'!S20)</f>
        <v>433.02</v>
      </c>
      <c r="T20" s="285">
        <f>SUM('Executive Office:IT'!T20)</f>
        <v>1766.98</v>
      </c>
      <c r="U20" s="284">
        <f>SUM('Executive Office:IT'!U20)</f>
        <v>0</v>
      </c>
      <c r="V20" s="284">
        <f>SUM('Executive Office:IT'!V20)</f>
        <v>1017.3599999999999</v>
      </c>
      <c r="W20" s="284">
        <f>SUM('Executive Office:IT'!W20)</f>
        <v>325.47000000000003</v>
      </c>
      <c r="X20" s="284">
        <f>SUM('Executive Office:IT'!X20)</f>
        <v>0</v>
      </c>
      <c r="Y20" s="284">
        <f>SUM('Executive Office:IT'!Y20)</f>
        <v>1100</v>
      </c>
      <c r="Z20" s="284">
        <f>SUM('Executive Office:IT'!Z20)</f>
        <v>800</v>
      </c>
      <c r="AA20" s="284">
        <f>SUM('Executive Office:IT'!AA20)</f>
        <v>800</v>
      </c>
      <c r="AB20" s="284">
        <f>SUM('Executive Office:IT'!AB20)</f>
        <v>800</v>
      </c>
      <c r="AC20" s="133">
        <f t="shared" si="2"/>
        <v>7530.57</v>
      </c>
      <c r="AD20" s="283">
        <f t="shared" si="3"/>
        <v>-269.43000000000029</v>
      </c>
      <c r="AE20" s="196">
        <f t="shared" si="4"/>
        <v>-3.5778168186471983E-2</v>
      </c>
      <c r="AF20" s="133">
        <v>19904.909999999996</v>
      </c>
      <c r="AG20" s="123">
        <f t="shared" si="5"/>
        <v>12104.909999999996</v>
      </c>
      <c r="AH20" s="124"/>
      <c r="AI20" s="124"/>
    </row>
    <row r="21" spans="1:35">
      <c r="A21" s="105" t="s">
        <v>694</v>
      </c>
      <c r="B21" s="105" t="s">
        <v>833</v>
      </c>
      <c r="C21" s="105" t="s">
        <v>212</v>
      </c>
      <c r="D21" s="283">
        <f>SUM('Executive Office:IT'!D21)</f>
        <v>7500</v>
      </c>
      <c r="E21" s="283">
        <f>SUM('Executive Office:IT'!E21)</f>
        <v>7500</v>
      </c>
      <c r="F21" s="283">
        <f>SUM('Executive Office:IT'!F21)</f>
        <v>7500</v>
      </c>
      <c r="G21" s="283">
        <f>SUM('Executive Office:IT'!G21)</f>
        <v>7500</v>
      </c>
      <c r="H21" s="283">
        <f>SUM('Executive Office:IT'!H21)</f>
        <v>7500</v>
      </c>
      <c r="I21" s="283">
        <f>SUM('Executive Office:IT'!I21)</f>
        <v>7500</v>
      </c>
      <c r="J21" s="283">
        <f>SUM('Executive Office:IT'!J21)</f>
        <v>7500</v>
      </c>
      <c r="K21" s="283">
        <f>SUM('Executive Office:IT'!K21)</f>
        <v>7500</v>
      </c>
      <c r="L21" s="283">
        <f>SUM('Executive Office:IT'!L21)</f>
        <v>5500</v>
      </c>
      <c r="M21" s="283">
        <f>SUM('Executive Office:IT'!M21)</f>
        <v>5500</v>
      </c>
      <c r="N21" s="283">
        <f>SUM('Executive Office:IT'!N21)</f>
        <v>7500</v>
      </c>
      <c r="O21" s="283">
        <f>SUM('Executive Office:IT'!O21)</f>
        <v>7500</v>
      </c>
      <c r="P21" s="281">
        <f>SUM(D21:O21)</f>
        <v>86000</v>
      </c>
      <c r="Q21" s="284">
        <f>SUM('Executive Office:IT'!Q21)</f>
        <v>19701.47</v>
      </c>
      <c r="R21" s="284">
        <f>SUM('Executive Office:IT'!R21)</f>
        <v>6864.5199999999995</v>
      </c>
      <c r="S21" s="285">
        <f>SUM('Executive Office:IT'!S21)</f>
        <v>5738.96</v>
      </c>
      <c r="T21" s="285">
        <f>SUM('Executive Office:IT'!T21)</f>
        <v>59098.400000000001</v>
      </c>
      <c r="U21" s="284">
        <f>SUM('Executive Office:IT'!U21)</f>
        <v>6129.4000000000005</v>
      </c>
      <c r="V21" s="284">
        <f>SUM('Executive Office:IT'!V21)</f>
        <v>3918.72</v>
      </c>
      <c r="W21" s="284">
        <f>SUM('Executive Office:IT'!W21)</f>
        <v>3689.16</v>
      </c>
      <c r="X21" s="284">
        <f>SUM('Executive Office:IT'!X21)</f>
        <v>8742.7000000000007</v>
      </c>
      <c r="Y21" s="284">
        <f>SUM('Executive Office:IT'!Y21)</f>
        <v>6520</v>
      </c>
      <c r="Z21" s="284">
        <f>SUM('Executive Office:IT'!Z21)</f>
        <v>6520</v>
      </c>
      <c r="AA21" s="284">
        <f>SUM('Executive Office:IT'!AA21)</f>
        <v>6520</v>
      </c>
      <c r="AB21" s="284">
        <f>SUM('Executive Office:IT'!AB21)</f>
        <v>6520</v>
      </c>
      <c r="AC21" s="133">
        <f t="shared" si="2"/>
        <v>139963.33000000002</v>
      </c>
      <c r="AD21" s="283">
        <f t="shared" si="3"/>
        <v>53963.330000000016</v>
      </c>
      <c r="AE21" s="196">
        <f t="shared" si="4"/>
        <v>0.38555334457961243</v>
      </c>
      <c r="AF21" s="133">
        <v>97566.96</v>
      </c>
      <c r="AG21" s="123">
        <f t="shared" si="5"/>
        <v>11566.960000000006</v>
      </c>
      <c r="AH21" s="124"/>
      <c r="AI21" s="124"/>
    </row>
    <row r="22" spans="1:35">
      <c r="A22" s="287" t="s">
        <v>709</v>
      </c>
      <c r="B22" s="288" t="s">
        <v>833</v>
      </c>
      <c r="C22" s="288" t="s">
        <v>214</v>
      </c>
      <c r="D22" s="283">
        <f>SUM('Executive Office:IT'!D22)</f>
        <v>1425</v>
      </c>
      <c r="E22" s="283">
        <f>SUM('Executive Office:IT'!E22)</f>
        <v>1299</v>
      </c>
      <c r="F22" s="283">
        <f>SUM('Executive Office:IT'!F22)</f>
        <v>1313</v>
      </c>
      <c r="G22" s="283">
        <f>SUM('Executive Office:IT'!G22)</f>
        <v>1349</v>
      </c>
      <c r="H22" s="283">
        <f>SUM('Executive Office:IT'!H22)</f>
        <v>1387</v>
      </c>
      <c r="I22" s="283">
        <f>SUM('Executive Office:IT'!I22)</f>
        <v>1327</v>
      </c>
      <c r="J22" s="283">
        <f>SUM('Executive Office:IT'!J22)</f>
        <v>1414</v>
      </c>
      <c r="K22" s="283">
        <f>SUM('Executive Office:IT'!K22)</f>
        <v>1408</v>
      </c>
      <c r="L22" s="283">
        <f>SUM('Executive Office:IT'!L22)</f>
        <v>1358</v>
      </c>
      <c r="M22" s="283">
        <f>SUM('Executive Office:IT'!M22)</f>
        <v>1545</v>
      </c>
      <c r="N22" s="283">
        <f>SUM('Executive Office:IT'!N22)</f>
        <v>1365</v>
      </c>
      <c r="O22" s="283">
        <f>SUM('Executive Office:IT'!O22)</f>
        <v>1358</v>
      </c>
      <c r="P22" s="281">
        <f t="shared" si="6"/>
        <v>16548</v>
      </c>
      <c r="Q22" s="284">
        <f>SUM('Executive Office:IT'!Q22)</f>
        <v>1761</v>
      </c>
      <c r="R22" s="284">
        <f>SUM('Executive Office:IT'!R22)</f>
        <v>1668.73</v>
      </c>
      <c r="S22" s="284">
        <f>SUM('Executive Office:IT'!S22)</f>
        <v>1230.4000000000001</v>
      </c>
      <c r="T22" s="284">
        <f>SUM('Executive Office:IT'!T22)</f>
        <v>1050.69</v>
      </c>
      <c r="U22" s="284">
        <f>SUM('Executive Office:IT'!U22)</f>
        <v>413.20000000000005</v>
      </c>
      <c r="V22" s="284">
        <f>SUM('Executive Office:IT'!V22)</f>
        <v>1505.23</v>
      </c>
      <c r="W22" s="284">
        <f>SUM('Executive Office:IT'!W22)</f>
        <v>1307.95</v>
      </c>
      <c r="X22" s="284">
        <f>SUM('Executive Office:IT'!X22)</f>
        <v>1082.8599999999999</v>
      </c>
      <c r="Y22" s="284">
        <f>SUM('Executive Office:IT'!Y22)</f>
        <v>1436</v>
      </c>
      <c r="Z22" s="284">
        <f>SUM('Executive Office:IT'!Z22)</f>
        <v>1607</v>
      </c>
      <c r="AA22" s="284">
        <f>SUM('Executive Office:IT'!AA22)</f>
        <v>1350</v>
      </c>
      <c r="AB22" s="284">
        <f>SUM('Executive Office:IT'!AB22)</f>
        <v>1381</v>
      </c>
      <c r="AC22" s="133">
        <f t="shared" si="2"/>
        <v>15794.060000000001</v>
      </c>
      <c r="AD22" s="283">
        <f t="shared" si="3"/>
        <v>-753.93999999999869</v>
      </c>
      <c r="AE22" s="196">
        <f t="shared" si="4"/>
        <v>-4.773566771305153E-2</v>
      </c>
      <c r="AF22" s="133">
        <v>12666.12</v>
      </c>
      <c r="AG22" s="123">
        <f t="shared" si="5"/>
        <v>-3881.8799999999992</v>
      </c>
      <c r="AH22" s="124"/>
      <c r="AI22" s="124"/>
    </row>
    <row r="23" spans="1:35">
      <c r="A23" s="105" t="s">
        <v>306</v>
      </c>
      <c r="C23" s="105" t="s">
        <v>206</v>
      </c>
      <c r="D23" s="283">
        <f>SUM('Executive Office:IT'!D23)</f>
        <v>0</v>
      </c>
      <c r="E23" s="283">
        <f>SUM('Executive Office:IT'!E23)</f>
        <v>0</v>
      </c>
      <c r="F23" s="283">
        <f>SUM('Executive Office:IT'!F23)</f>
        <v>0</v>
      </c>
      <c r="G23" s="283">
        <f>SUM('Executive Office:IT'!G23)</f>
        <v>0</v>
      </c>
      <c r="H23" s="283">
        <f>SUM('Executive Office:IT'!H23)</f>
        <v>0</v>
      </c>
      <c r="I23" s="283">
        <f>SUM('Executive Office:IT'!I23)</f>
        <v>0</v>
      </c>
      <c r="J23" s="283">
        <f>SUM('Executive Office:IT'!J23)</f>
        <v>0</v>
      </c>
      <c r="K23" s="283">
        <f>SUM('Executive Office:IT'!K23)</f>
        <v>0</v>
      </c>
      <c r="L23" s="283">
        <f>SUM('Executive Office:IT'!L23)</f>
        <v>0</v>
      </c>
      <c r="M23" s="283">
        <f>SUM('Executive Office:IT'!M23)</f>
        <v>0</v>
      </c>
      <c r="N23" s="283">
        <f>SUM('Executive Office:IT'!N23)</f>
        <v>0</v>
      </c>
      <c r="O23" s="283">
        <f>SUM('Executive Office:IT'!O23)</f>
        <v>0</v>
      </c>
      <c r="P23" s="281">
        <f t="shared" si="6"/>
        <v>0</v>
      </c>
      <c r="Q23" s="284">
        <f>SUM('Executive Office:IT'!Q23)</f>
        <v>0</v>
      </c>
      <c r="R23" s="284">
        <f>SUM('Executive Office:IT'!R23)</f>
        <v>0</v>
      </c>
      <c r="S23" s="284">
        <f>SUM('Executive Office:IT'!S23)</f>
        <v>0</v>
      </c>
      <c r="T23" s="284">
        <f>SUM('Executive Office:IT'!T23)</f>
        <v>0</v>
      </c>
      <c r="U23" s="284">
        <f>SUM('Executive Office:IT'!U23)</f>
        <v>0</v>
      </c>
      <c r="V23" s="284">
        <f>SUM('Executive Office:IT'!V23)</f>
        <v>0</v>
      </c>
      <c r="W23" s="284">
        <f>SUM('Executive Office:IT'!W23)</f>
        <v>0</v>
      </c>
      <c r="X23" s="284">
        <f>SUM('Executive Office:IT'!X23)</f>
        <v>0</v>
      </c>
      <c r="Y23" s="284">
        <f>SUM('Executive Office:IT'!Y23)</f>
        <v>0</v>
      </c>
      <c r="Z23" s="284">
        <f>SUM('Executive Office:IT'!Z23)</f>
        <v>0</v>
      </c>
      <c r="AA23" s="284">
        <f>SUM('Executive Office:IT'!AA23)</f>
        <v>0</v>
      </c>
      <c r="AB23" s="284">
        <f>SUM('Executive Office:IT'!AB23)</f>
        <v>0</v>
      </c>
      <c r="AC23" s="133">
        <f t="shared" si="2"/>
        <v>0</v>
      </c>
      <c r="AE23" s="196"/>
      <c r="AF23" s="133">
        <v>0</v>
      </c>
      <c r="AG23" s="123">
        <f t="shared" si="5"/>
        <v>0</v>
      </c>
      <c r="AH23" s="124"/>
      <c r="AI23" s="124"/>
    </row>
    <row r="24" spans="1:35">
      <c r="A24" s="105" t="s">
        <v>696</v>
      </c>
      <c r="B24" s="105" t="s">
        <v>833</v>
      </c>
      <c r="C24" s="105" t="s">
        <v>216</v>
      </c>
      <c r="D24" s="283">
        <f>SUM('Executive Office:IT'!D24)</f>
        <v>6568</v>
      </c>
      <c r="E24" s="283">
        <f>SUM('Executive Office:IT'!E24)</f>
        <v>6568</v>
      </c>
      <c r="F24" s="283">
        <f>SUM('Executive Office:IT'!F24)</f>
        <v>6568</v>
      </c>
      <c r="G24" s="283">
        <f>SUM('Executive Office:IT'!G24)</f>
        <v>6568</v>
      </c>
      <c r="H24" s="283">
        <f>SUM('Executive Office:IT'!H24)</f>
        <v>6568</v>
      </c>
      <c r="I24" s="283">
        <f>SUM('Executive Office:IT'!I24)</f>
        <v>6568</v>
      </c>
      <c r="J24" s="283">
        <f>SUM('Executive Office:IT'!J24)</f>
        <v>6568</v>
      </c>
      <c r="K24" s="283">
        <f>SUM('Executive Office:IT'!K24)</f>
        <v>6568</v>
      </c>
      <c r="L24" s="283">
        <f>SUM('Executive Office:IT'!L24)</f>
        <v>6568</v>
      </c>
      <c r="M24" s="283">
        <f>SUM('Executive Office:IT'!M24)</f>
        <v>6568</v>
      </c>
      <c r="N24" s="283">
        <f>SUM('Executive Office:IT'!N24)</f>
        <v>6568</v>
      </c>
      <c r="O24" s="283">
        <f>SUM('Executive Office:IT'!O24)</f>
        <v>6568</v>
      </c>
      <c r="P24" s="281">
        <f t="shared" si="6"/>
        <v>78816</v>
      </c>
      <c r="Q24" s="284">
        <f>SUM('Executive Office:IT'!Q24)</f>
        <v>8096.79</v>
      </c>
      <c r="R24" s="284">
        <f>SUM('Executive Office:IT'!R24)</f>
        <v>8944.86</v>
      </c>
      <c r="S24" s="285">
        <f>SUM('Executive Office:IT'!S24)</f>
        <v>10320.73</v>
      </c>
      <c r="T24" s="285">
        <f>SUM('Executive Office:IT'!T24)</f>
        <v>10331.09</v>
      </c>
      <c r="U24" s="284">
        <f>SUM('Executive Office:IT'!U24)</f>
        <v>8937.5499999999993</v>
      </c>
      <c r="V24" s="284">
        <f>SUM('Executive Office:IT'!V24)</f>
        <v>9755.32</v>
      </c>
      <c r="W24" s="284">
        <f>SUM('Executive Office:IT'!W24)</f>
        <v>-3568.4199999999996</v>
      </c>
      <c r="X24" s="284">
        <f>SUM('Executive Office:IT'!X24)</f>
        <v>-3117.0599999999995</v>
      </c>
      <c r="Y24" s="284">
        <f>SUM('Executive Office:IT'!Y24)</f>
        <v>11328</v>
      </c>
      <c r="Z24" s="284">
        <f>SUM('Executive Office:IT'!Z24)</f>
        <v>11328</v>
      </c>
      <c r="AA24" s="284">
        <f>SUM('Executive Office:IT'!AA24)</f>
        <v>11328</v>
      </c>
      <c r="AB24" s="284">
        <f>SUM('Executive Office:IT'!AB24)</f>
        <v>11328</v>
      </c>
      <c r="AC24" s="133">
        <f t="shared" si="2"/>
        <v>95012.860000000015</v>
      </c>
      <c r="AD24" s="283">
        <f t="shared" si="3"/>
        <v>16196.860000000015</v>
      </c>
      <c r="AE24" s="196">
        <f t="shared" si="4"/>
        <v>0.17047018687786067</v>
      </c>
      <c r="AF24" s="133">
        <v>167569.68999999997</v>
      </c>
      <c r="AG24" s="123">
        <f t="shared" si="5"/>
        <v>88753.689999999973</v>
      </c>
      <c r="AH24" s="124"/>
      <c r="AI24" s="124"/>
    </row>
    <row r="25" spans="1:35">
      <c r="A25" s="105" t="s">
        <v>697</v>
      </c>
      <c r="B25" s="105" t="s">
        <v>833</v>
      </c>
      <c r="C25" s="105" t="s">
        <v>218</v>
      </c>
      <c r="D25" s="283">
        <f>SUM('Executive Office:IT'!D25)</f>
        <v>13560</v>
      </c>
      <c r="E25" s="283">
        <f>SUM('Executive Office:IT'!E25)</f>
        <v>13560</v>
      </c>
      <c r="F25" s="283">
        <f>SUM('Executive Office:IT'!F25)</f>
        <v>13560</v>
      </c>
      <c r="G25" s="283">
        <f>SUM('Executive Office:IT'!G25)</f>
        <v>13560</v>
      </c>
      <c r="H25" s="283">
        <f>SUM('Executive Office:IT'!H25)</f>
        <v>13560</v>
      </c>
      <c r="I25" s="283">
        <f>SUM('Executive Office:IT'!I25)</f>
        <v>13560</v>
      </c>
      <c r="J25" s="283">
        <f>SUM('Executive Office:IT'!J25)</f>
        <v>13560</v>
      </c>
      <c r="K25" s="283">
        <f>SUM('Executive Office:IT'!K25)</f>
        <v>13560</v>
      </c>
      <c r="L25" s="283">
        <f>SUM('Executive Office:IT'!L25)</f>
        <v>13560</v>
      </c>
      <c r="M25" s="283">
        <f>SUM('Executive Office:IT'!M25)</f>
        <v>13560</v>
      </c>
      <c r="N25" s="283">
        <f>SUM('Executive Office:IT'!N25)</f>
        <v>13560</v>
      </c>
      <c r="O25" s="283">
        <f>SUM('Executive Office:IT'!O25)</f>
        <v>13560</v>
      </c>
      <c r="P25" s="281">
        <f t="shared" si="6"/>
        <v>162720</v>
      </c>
      <c r="Q25" s="284">
        <f>SUM('Executive Office:IT'!Q25)</f>
        <v>17975.609999999997</v>
      </c>
      <c r="R25" s="284">
        <f>SUM('Executive Office:IT'!R25)</f>
        <v>17857.559999999998</v>
      </c>
      <c r="S25" s="284">
        <f>SUM('Executive Office:IT'!S25)</f>
        <v>-23628.25</v>
      </c>
      <c r="T25" s="284">
        <f>SUM('Executive Office:IT'!T25)</f>
        <v>-10218.830000000002</v>
      </c>
      <c r="U25" s="284">
        <f>SUM('Executive Office:IT'!U25)</f>
        <v>17921.04</v>
      </c>
      <c r="V25" s="284">
        <f>SUM('Executive Office:IT'!V25)</f>
        <v>16313.67</v>
      </c>
      <c r="W25" s="284">
        <f>SUM('Executive Office:IT'!W25)</f>
        <v>19010.080000000002</v>
      </c>
      <c r="X25" s="284">
        <f>SUM('Executive Office:IT'!X25)</f>
        <v>15424.960000000003</v>
      </c>
      <c r="Y25" s="284">
        <f>SUM('Executive Office:IT'!Y25)</f>
        <v>19000</v>
      </c>
      <c r="Z25" s="284">
        <f>SUM('Executive Office:IT'!Z25)</f>
        <v>19000</v>
      </c>
      <c r="AA25" s="284">
        <f>SUM('Executive Office:IT'!AA25)</f>
        <v>19000</v>
      </c>
      <c r="AB25" s="284">
        <f>SUM('Executive Office:IT'!AB25)</f>
        <v>19000</v>
      </c>
      <c r="AC25" s="133">
        <f t="shared" si="2"/>
        <v>146655.84</v>
      </c>
      <c r="AD25" s="283">
        <f t="shared" si="3"/>
        <v>-16064.160000000003</v>
      </c>
      <c r="AE25" s="196">
        <f t="shared" si="4"/>
        <v>-0.10953644941790251</v>
      </c>
      <c r="AF25" s="133">
        <v>223197.79</v>
      </c>
      <c r="AG25" s="123">
        <f t="shared" si="5"/>
        <v>60477.790000000008</v>
      </c>
      <c r="AH25" s="124"/>
      <c r="AI25" s="124"/>
    </row>
    <row r="26" spans="1:35">
      <c r="A26" s="267" t="s">
        <v>836</v>
      </c>
      <c r="B26" s="105" t="s">
        <v>833</v>
      </c>
      <c r="C26" s="105" t="s">
        <v>220</v>
      </c>
      <c r="D26" s="283">
        <f>SUM('Executive Office:IT'!D26)</f>
        <v>5000</v>
      </c>
      <c r="E26" s="283">
        <f>SUM('Executive Office:IT'!E26)</f>
        <v>5000</v>
      </c>
      <c r="F26" s="283">
        <f>SUM('Executive Office:IT'!F26)</f>
        <v>15000</v>
      </c>
      <c r="G26" s="283">
        <f>SUM('Executive Office:IT'!G26)</f>
        <v>13000</v>
      </c>
      <c r="H26" s="283">
        <f>SUM('Executive Office:IT'!H26)</f>
        <v>5000</v>
      </c>
      <c r="I26" s="283">
        <f>SUM('Executive Office:IT'!I26)</f>
        <v>5000</v>
      </c>
      <c r="J26" s="283">
        <f>SUM('Executive Office:IT'!J26)</f>
        <v>5000</v>
      </c>
      <c r="K26" s="283">
        <f>SUM('Executive Office:IT'!K26)</f>
        <v>5000</v>
      </c>
      <c r="L26" s="283">
        <f>SUM('Executive Office:IT'!L26)</f>
        <v>5000</v>
      </c>
      <c r="M26" s="283">
        <f>SUM('Executive Office:IT'!M26)</f>
        <v>15000</v>
      </c>
      <c r="N26" s="283">
        <f>SUM('Executive Office:IT'!N26)</f>
        <v>5000</v>
      </c>
      <c r="O26" s="283">
        <f>SUM('Executive Office:IT'!O26)</f>
        <v>5000</v>
      </c>
      <c r="P26" s="286">
        <f t="shared" si="6"/>
        <v>88000</v>
      </c>
      <c r="Q26" s="284">
        <f>SUM('Executive Office:IT'!Q26)</f>
        <v>11115</v>
      </c>
      <c r="R26" s="284">
        <f>SUM('Executive Office:IT'!R26)</f>
        <v>-5498.75</v>
      </c>
      <c r="S26" s="284">
        <f>SUM('Executive Office:IT'!S26)</f>
        <v>5689.41</v>
      </c>
      <c r="T26" s="284">
        <f>SUM('Executive Office:IT'!T26)</f>
        <v>14790.529999999999</v>
      </c>
      <c r="U26" s="284">
        <f>SUM('Executive Office:IT'!U26)</f>
        <v>16769</v>
      </c>
      <c r="V26" s="284">
        <f>SUM('Executive Office:IT'!V26)</f>
        <v>-7837.75</v>
      </c>
      <c r="W26" s="284">
        <f>SUM('Executive Office:IT'!W26)</f>
        <v>25927.82</v>
      </c>
      <c r="X26" s="284">
        <f>SUM('Executive Office:IT'!X26)</f>
        <v>-8986.8700000000008</v>
      </c>
      <c r="Y26" s="284">
        <f>SUM('Executive Office:IT'!Y26)</f>
        <v>5000</v>
      </c>
      <c r="Z26" s="284">
        <f>SUM('Executive Office:IT'!Z26)</f>
        <v>15000</v>
      </c>
      <c r="AA26" s="284">
        <f>SUM('Executive Office:IT'!AA26)</f>
        <v>5000</v>
      </c>
      <c r="AB26" s="284">
        <f>SUM('Executive Office:IT'!AB26)</f>
        <v>5000</v>
      </c>
      <c r="AC26" s="133">
        <f t="shared" si="2"/>
        <v>81968.39</v>
      </c>
      <c r="AD26" s="283">
        <f t="shared" si="3"/>
        <v>-6031.6100000000006</v>
      </c>
      <c r="AE26" s="196">
        <f t="shared" si="4"/>
        <v>-7.3584585472521793E-2</v>
      </c>
      <c r="AF26" s="133">
        <v>74276.740000000005</v>
      </c>
      <c r="AG26" s="123">
        <f t="shared" si="5"/>
        <v>-13723.259999999995</v>
      </c>
      <c r="AH26" s="124"/>
      <c r="AI26" s="124"/>
    </row>
    <row r="27" spans="1:35">
      <c r="A27" s="289">
        <v>60014101</v>
      </c>
      <c r="C27" s="105" t="s">
        <v>459</v>
      </c>
      <c r="D27" s="283">
        <f>SUM('Executive Office:IT'!D27)</f>
        <v>0</v>
      </c>
      <c r="E27" s="283">
        <f>SUM('Executive Office:IT'!E27)</f>
        <v>0</v>
      </c>
      <c r="F27" s="283">
        <f>SUM('Executive Office:IT'!F27)</f>
        <v>0</v>
      </c>
      <c r="G27" s="283">
        <f>SUM('Executive Office:IT'!G27)</f>
        <v>0</v>
      </c>
      <c r="H27" s="283">
        <f>SUM('Executive Office:IT'!H27)</f>
        <v>0</v>
      </c>
      <c r="I27" s="283">
        <f>SUM('Executive Office:IT'!I27)</f>
        <v>0</v>
      </c>
      <c r="J27" s="283">
        <f>SUM('Executive Office:IT'!J27)</f>
        <v>0</v>
      </c>
      <c r="K27" s="283">
        <f>SUM('Executive Office:IT'!K27)</f>
        <v>0</v>
      </c>
      <c r="L27" s="283">
        <f>SUM('Executive Office:IT'!L27)</f>
        <v>0</v>
      </c>
      <c r="M27" s="283">
        <f>SUM('Executive Office:IT'!M27)</f>
        <v>0</v>
      </c>
      <c r="N27" s="283">
        <f>SUM('Executive Office:IT'!N27)</f>
        <v>0</v>
      </c>
      <c r="O27" s="283">
        <f>SUM('Executive Office:IT'!O27)</f>
        <v>0</v>
      </c>
      <c r="P27" s="281">
        <f t="shared" si="6"/>
        <v>0</v>
      </c>
      <c r="Q27" s="284">
        <f>SUM('Executive Office:IT'!Q27)</f>
        <v>0</v>
      </c>
      <c r="R27" s="284">
        <f>SUM('Executive Office:IT'!R27)</f>
        <v>0</v>
      </c>
      <c r="S27" s="284">
        <f>SUM('Executive Office:IT'!S27)</f>
        <v>0</v>
      </c>
      <c r="T27" s="284">
        <f>SUM('Executive Office:IT'!T27)</f>
        <v>0</v>
      </c>
      <c r="U27" s="284">
        <f>SUM('Executive Office:IT'!U27)</f>
        <v>0</v>
      </c>
      <c r="V27" s="284">
        <f>SUM('Executive Office:IT'!V27)</f>
        <v>0</v>
      </c>
      <c r="W27" s="284">
        <f>SUM('Executive Office:IT'!W27)</f>
        <v>0</v>
      </c>
      <c r="X27" s="284">
        <f>SUM('Executive Office:IT'!X27)</f>
        <v>0</v>
      </c>
      <c r="Y27" s="284">
        <f>SUM('Executive Office:IT'!Y27)</f>
        <v>0</v>
      </c>
      <c r="Z27" s="284">
        <f>SUM('Executive Office:IT'!Z27)</f>
        <v>0</v>
      </c>
      <c r="AA27" s="284">
        <f>SUM('Executive Office:IT'!AA27)</f>
        <v>0</v>
      </c>
      <c r="AB27" s="284">
        <f>SUM('Executive Office:IT'!AB27)</f>
        <v>0</v>
      </c>
      <c r="AC27" s="133">
        <f t="shared" si="2"/>
        <v>0</v>
      </c>
      <c r="AE27" s="196"/>
      <c r="AF27" s="133">
        <v>0</v>
      </c>
      <c r="AG27" s="123">
        <f t="shared" si="5"/>
        <v>0</v>
      </c>
      <c r="AH27" s="124"/>
      <c r="AI27" s="124"/>
    </row>
    <row r="28" spans="1:35">
      <c r="A28" s="267" t="s">
        <v>746</v>
      </c>
      <c r="B28" s="105" t="s">
        <v>833</v>
      </c>
      <c r="C28" s="105" t="s">
        <v>678</v>
      </c>
      <c r="D28" s="283">
        <f>SUM('Executive Office:IT'!D28)</f>
        <v>0</v>
      </c>
      <c r="E28" s="283">
        <f>SUM('Executive Office:IT'!E28)</f>
        <v>0</v>
      </c>
      <c r="F28" s="283">
        <f>SUM('Executive Office:IT'!F28)</f>
        <v>0</v>
      </c>
      <c r="G28" s="283">
        <f>SUM('Executive Office:IT'!G28)</f>
        <v>0</v>
      </c>
      <c r="H28" s="283">
        <f>SUM('Executive Office:IT'!H28)</f>
        <v>0</v>
      </c>
      <c r="I28" s="283">
        <f>SUM('Executive Office:IT'!I28)</f>
        <v>0</v>
      </c>
      <c r="J28" s="283">
        <f>SUM('Executive Office:IT'!J28)</f>
        <v>0</v>
      </c>
      <c r="K28" s="283">
        <f>SUM('Executive Office:IT'!K28)</f>
        <v>0</v>
      </c>
      <c r="L28" s="283">
        <f>SUM('Executive Office:IT'!L28)</f>
        <v>0</v>
      </c>
      <c r="M28" s="283">
        <f>SUM('Executive Office:IT'!M28)</f>
        <v>0</v>
      </c>
      <c r="N28" s="283">
        <f>SUM('Executive Office:IT'!N28)</f>
        <v>0</v>
      </c>
      <c r="O28" s="283">
        <f>SUM('Executive Office:IT'!O28)</f>
        <v>0</v>
      </c>
      <c r="P28" s="281">
        <f t="shared" si="6"/>
        <v>0</v>
      </c>
      <c r="Q28" s="284">
        <f>SUM('Executive Office:IT'!Q28)</f>
        <v>0</v>
      </c>
      <c r="R28" s="284">
        <f>SUM('Executive Office:IT'!R28)</f>
        <v>0</v>
      </c>
      <c r="S28" s="285">
        <f>SUM('Executive Office:IT'!S28)</f>
        <v>112500</v>
      </c>
      <c r="T28" s="285">
        <f>SUM('Executive Office:IT'!T28)</f>
        <v>70509.710000000006</v>
      </c>
      <c r="U28" s="284">
        <f>SUM('Executive Office:IT'!U28)</f>
        <v>37500</v>
      </c>
      <c r="V28" s="284">
        <f>SUM('Executive Office:IT'!V28)</f>
        <v>37500</v>
      </c>
      <c r="W28" s="284">
        <f>SUM('Executive Office:IT'!W28)</f>
        <v>37500</v>
      </c>
      <c r="X28" s="284">
        <f>SUM('Executive Office:IT'!X28)</f>
        <v>37500</v>
      </c>
      <c r="Y28" s="284">
        <f>SUM('Executive Office:IT'!Y28)</f>
        <v>37500</v>
      </c>
      <c r="Z28" s="284">
        <f>SUM('Executive Office:IT'!Z28)</f>
        <v>37500</v>
      </c>
      <c r="AA28" s="284">
        <f>SUM('Executive Office:IT'!AA28)</f>
        <v>37500</v>
      </c>
      <c r="AB28" s="284">
        <f>SUM('Executive Office:IT'!AB28)</f>
        <v>37500</v>
      </c>
      <c r="AC28" s="133">
        <f t="shared" si="2"/>
        <v>483009.71</v>
      </c>
      <c r="AD28" s="283">
        <f t="shared" si="3"/>
        <v>483009.71</v>
      </c>
      <c r="AE28" s="196">
        <f t="shared" si="4"/>
        <v>1</v>
      </c>
      <c r="AF28" s="133">
        <v>629003.23</v>
      </c>
      <c r="AG28" s="123">
        <f t="shared" si="5"/>
        <v>629003.23</v>
      </c>
      <c r="AH28" s="124"/>
      <c r="AI28" s="124"/>
    </row>
    <row r="29" spans="1:35">
      <c r="A29" s="267" t="s">
        <v>837</v>
      </c>
      <c r="C29" s="105" t="s">
        <v>838</v>
      </c>
      <c r="D29" s="283">
        <f>SUM('Executive Office:IT'!D29)</f>
        <v>0</v>
      </c>
      <c r="E29" s="283">
        <f>SUM('Executive Office:IT'!E29)</f>
        <v>0</v>
      </c>
      <c r="F29" s="283">
        <f>SUM('Executive Office:IT'!F29)</f>
        <v>0</v>
      </c>
      <c r="G29" s="283">
        <f>SUM('Executive Office:IT'!G29)</f>
        <v>0</v>
      </c>
      <c r="H29" s="283">
        <f>SUM('Executive Office:IT'!H29)</f>
        <v>0</v>
      </c>
      <c r="I29" s="283">
        <f>SUM('Executive Office:IT'!I29)</f>
        <v>0</v>
      </c>
      <c r="J29" s="283">
        <f>SUM('Executive Office:IT'!J29)</f>
        <v>0</v>
      </c>
      <c r="K29" s="283">
        <f>SUM('Executive Office:IT'!K29)</f>
        <v>0</v>
      </c>
      <c r="L29" s="283">
        <f>SUM('Executive Office:IT'!L29)</f>
        <v>0</v>
      </c>
      <c r="M29" s="283">
        <f>SUM('Executive Office:IT'!M29)</f>
        <v>0</v>
      </c>
      <c r="N29" s="283">
        <f>SUM('Executive Office:IT'!N29)</f>
        <v>0</v>
      </c>
      <c r="O29" s="283">
        <f>SUM('Executive Office:IT'!O29)</f>
        <v>0</v>
      </c>
      <c r="P29" s="281">
        <f t="shared" si="6"/>
        <v>0</v>
      </c>
      <c r="Q29" s="284">
        <f>SUM('Executive Office:IT'!Q29)</f>
        <v>-37.89</v>
      </c>
      <c r="R29" s="284">
        <f>SUM('Executive Office:IT'!R29)</f>
        <v>0</v>
      </c>
      <c r="S29" s="284">
        <f>SUM('Executive Office:IT'!S29)</f>
        <v>-32.54</v>
      </c>
      <c r="T29" s="284">
        <f>SUM('Executive Office:IT'!T29)</f>
        <v>-15772.66</v>
      </c>
      <c r="U29" s="284">
        <f>SUM('Executive Office:IT'!U29)</f>
        <v>-32.71</v>
      </c>
      <c r="V29" s="284">
        <f>SUM('Executive Office:IT'!V29)</f>
        <v>-14.59</v>
      </c>
      <c r="W29" s="284">
        <f>SUM('Executive Office:IT'!W29)</f>
        <v>-12.51</v>
      </c>
      <c r="X29" s="284">
        <f>SUM('Executive Office:IT'!X29)</f>
        <v>-0.55000000000000004</v>
      </c>
      <c r="Y29" s="284">
        <f>SUM('Executive Office:IT'!Y29)</f>
        <v>0</v>
      </c>
      <c r="Z29" s="284">
        <f>SUM('Executive Office:IT'!Z29)</f>
        <v>0</v>
      </c>
      <c r="AA29" s="284">
        <f>SUM('Executive Office:IT'!AA29)</f>
        <v>0</v>
      </c>
      <c r="AB29" s="284">
        <f>SUM('Executive Office:IT'!AB29)</f>
        <v>0</v>
      </c>
      <c r="AC29" s="133">
        <f t="shared" si="2"/>
        <v>-15903.449999999999</v>
      </c>
      <c r="AE29" s="196"/>
      <c r="AF29" s="133">
        <v>-850.89</v>
      </c>
      <c r="AG29" s="123">
        <f t="shared" si="5"/>
        <v>-850.89</v>
      </c>
      <c r="AH29" s="124"/>
      <c r="AI29" s="124"/>
    </row>
    <row r="30" spans="1:35">
      <c r="A30" s="289" t="s">
        <v>839</v>
      </c>
      <c r="C30" s="105" t="s">
        <v>840</v>
      </c>
      <c r="D30" s="283">
        <f>SUM('Executive Office:IT'!D30)</f>
        <v>0</v>
      </c>
      <c r="E30" s="283">
        <f>SUM('Executive Office:IT'!E30)</f>
        <v>0</v>
      </c>
      <c r="F30" s="283">
        <f>SUM('Executive Office:IT'!F30)</f>
        <v>0</v>
      </c>
      <c r="G30" s="283">
        <f>SUM('Executive Office:IT'!G30)</f>
        <v>0</v>
      </c>
      <c r="H30" s="283">
        <f>SUM('Executive Office:IT'!H30)</f>
        <v>0</v>
      </c>
      <c r="I30" s="283">
        <f>SUM('Executive Office:IT'!I30)</f>
        <v>0</v>
      </c>
      <c r="J30" s="283">
        <f>SUM('Executive Office:IT'!J30)</f>
        <v>0</v>
      </c>
      <c r="K30" s="283">
        <f>SUM('Executive Office:IT'!K30)</f>
        <v>0</v>
      </c>
      <c r="L30" s="283">
        <f>SUM('Executive Office:IT'!L30)</f>
        <v>0</v>
      </c>
      <c r="M30" s="283">
        <f>SUM('Executive Office:IT'!M30)</f>
        <v>0</v>
      </c>
      <c r="N30" s="283">
        <f>SUM('Executive Office:IT'!N30)</f>
        <v>0</v>
      </c>
      <c r="O30" s="283">
        <f>SUM('Executive Office:IT'!O30)</f>
        <v>0</v>
      </c>
      <c r="P30" s="281">
        <f t="shared" si="6"/>
        <v>0</v>
      </c>
      <c r="Q30" s="284">
        <f>SUM('Executive Office:IT'!Q30)</f>
        <v>0</v>
      </c>
      <c r="R30" s="284">
        <f>SUM('Executive Office:IT'!R30)</f>
        <v>0</v>
      </c>
      <c r="S30" s="284">
        <f>SUM('Executive Office:IT'!S30)</f>
        <v>0</v>
      </c>
      <c r="T30" s="284">
        <f>SUM('Executive Office:IT'!T30)</f>
        <v>0</v>
      </c>
      <c r="U30" s="284">
        <f>SUM('Executive Office:IT'!U30)</f>
        <v>0</v>
      </c>
      <c r="V30" s="284">
        <f>SUM('Executive Office:IT'!V30)</f>
        <v>0</v>
      </c>
      <c r="W30" s="284">
        <f>SUM('Executive Office:IT'!W30)</f>
        <v>0</v>
      </c>
      <c r="X30" s="284">
        <f>SUM('Executive Office:IT'!X30)</f>
        <v>0</v>
      </c>
      <c r="Y30" s="284">
        <f>SUM('Executive Office:IT'!Y30)</f>
        <v>0</v>
      </c>
      <c r="Z30" s="284">
        <f>SUM('Executive Office:IT'!Z30)</f>
        <v>0</v>
      </c>
      <c r="AA30" s="284">
        <f>SUM('Executive Office:IT'!AA30)</f>
        <v>0</v>
      </c>
      <c r="AB30" s="284">
        <f>SUM('Executive Office:IT'!AB30)</f>
        <v>0</v>
      </c>
      <c r="AC30" s="133">
        <f t="shared" si="2"/>
        <v>0</v>
      </c>
      <c r="AE30" s="196"/>
      <c r="AF30" s="133">
        <v>0</v>
      </c>
      <c r="AG30" s="123">
        <f t="shared" si="5"/>
        <v>0</v>
      </c>
      <c r="AH30" s="124"/>
      <c r="AI30" s="124"/>
    </row>
    <row r="31" spans="1:35">
      <c r="A31" s="267" t="s">
        <v>841</v>
      </c>
      <c r="B31" s="105" t="s">
        <v>833</v>
      </c>
      <c r="C31" s="105" t="s">
        <v>842</v>
      </c>
      <c r="D31" s="283">
        <f>SUM('Executive Office:IT'!D31)</f>
        <v>0</v>
      </c>
      <c r="E31" s="283">
        <f>SUM('Executive Office:IT'!E31)</f>
        <v>0</v>
      </c>
      <c r="F31" s="283">
        <f>SUM('Executive Office:IT'!F31)</f>
        <v>0</v>
      </c>
      <c r="G31" s="283">
        <f>SUM('Executive Office:IT'!G31)</f>
        <v>0</v>
      </c>
      <c r="H31" s="283">
        <f>SUM('Executive Office:IT'!H31)</f>
        <v>0</v>
      </c>
      <c r="I31" s="283">
        <f>SUM('Executive Office:IT'!I31)</f>
        <v>0</v>
      </c>
      <c r="J31" s="283">
        <f>SUM('Executive Office:IT'!J31)</f>
        <v>0</v>
      </c>
      <c r="K31" s="283">
        <f>SUM('Executive Office:IT'!K31)</f>
        <v>0</v>
      </c>
      <c r="L31" s="283">
        <f>SUM('Executive Office:IT'!L31)</f>
        <v>0</v>
      </c>
      <c r="M31" s="283">
        <f>SUM('Executive Office:IT'!M31)</f>
        <v>0</v>
      </c>
      <c r="N31" s="283">
        <f>SUM('Executive Office:IT'!N31)</f>
        <v>0</v>
      </c>
      <c r="O31" s="283">
        <f>SUM('Executive Office:IT'!O31)</f>
        <v>0</v>
      </c>
      <c r="P31" s="281">
        <f t="shared" si="6"/>
        <v>0</v>
      </c>
      <c r="Q31" s="284">
        <f>SUM('Executive Office:IT'!Q31)</f>
        <v>0</v>
      </c>
      <c r="R31" s="284">
        <f>SUM('Executive Office:IT'!R31)</f>
        <v>0</v>
      </c>
      <c r="S31" s="284">
        <f>SUM('Executive Office:IT'!S31)</f>
        <v>0</v>
      </c>
      <c r="T31" s="284">
        <f>SUM('Executive Office:IT'!T31)</f>
        <v>0</v>
      </c>
      <c r="U31" s="284">
        <f>SUM('Executive Office:IT'!U31)</f>
        <v>0</v>
      </c>
      <c r="V31" s="284">
        <f>SUM('Executive Office:IT'!V31)</f>
        <v>0</v>
      </c>
      <c r="W31" s="284">
        <f>SUM('Executive Office:IT'!W31)</f>
        <v>0</v>
      </c>
      <c r="X31" s="284">
        <f>SUM('Executive Office:IT'!X31)</f>
        <v>0</v>
      </c>
      <c r="Y31" s="284">
        <f>SUM('Executive Office:IT'!Y31)</f>
        <v>0</v>
      </c>
      <c r="Z31" s="284">
        <f>SUM('Executive Office:IT'!Z31)</f>
        <v>0</v>
      </c>
      <c r="AA31" s="284">
        <f>SUM('Executive Office:IT'!AA31)</f>
        <v>0</v>
      </c>
      <c r="AB31" s="284">
        <f>SUM('Executive Office:IT'!AB31)</f>
        <v>0</v>
      </c>
      <c r="AC31" s="133">
        <f t="shared" si="2"/>
        <v>0</v>
      </c>
      <c r="AD31" s="283">
        <f t="shared" si="3"/>
        <v>0</v>
      </c>
      <c r="AE31" s="196" t="e">
        <f t="shared" si="4"/>
        <v>#DIV/0!</v>
      </c>
      <c r="AF31" s="133">
        <v>1358.52</v>
      </c>
      <c r="AG31" s="123">
        <f t="shared" si="5"/>
        <v>1358.52</v>
      </c>
      <c r="AH31" s="124"/>
      <c r="AI31" s="124"/>
    </row>
    <row r="32" spans="1:35">
      <c r="A32" s="267" t="s">
        <v>843</v>
      </c>
      <c r="B32" s="105" t="s">
        <v>833</v>
      </c>
      <c r="C32" s="105" t="s">
        <v>844</v>
      </c>
      <c r="D32" s="283">
        <f>SUM('Executive Office:IT'!D32)</f>
        <v>4717</v>
      </c>
      <c r="E32" s="283">
        <f>SUM('Executive Office:IT'!E32)</f>
        <v>4717</v>
      </c>
      <c r="F32" s="283">
        <f>SUM('Executive Office:IT'!F32)</f>
        <v>4717</v>
      </c>
      <c r="G32" s="283">
        <f>SUM('Executive Office:IT'!G32)</f>
        <v>4717</v>
      </c>
      <c r="H32" s="283">
        <f>SUM('Executive Office:IT'!H32)</f>
        <v>4717</v>
      </c>
      <c r="I32" s="283">
        <f>SUM('Executive Office:IT'!I32)</f>
        <v>4717</v>
      </c>
      <c r="J32" s="283">
        <f>SUM('Executive Office:IT'!J32)</f>
        <v>4717</v>
      </c>
      <c r="K32" s="283">
        <f>SUM('Executive Office:IT'!K32)</f>
        <v>4717</v>
      </c>
      <c r="L32" s="283">
        <f>SUM('Executive Office:IT'!L32)</f>
        <v>4717</v>
      </c>
      <c r="M32" s="283">
        <f>SUM('Executive Office:IT'!M32)</f>
        <v>4717</v>
      </c>
      <c r="N32" s="283">
        <f>SUM('Executive Office:IT'!N32)</f>
        <v>4717</v>
      </c>
      <c r="O32" s="283">
        <f>SUM('Executive Office:IT'!O32)</f>
        <v>4717</v>
      </c>
      <c r="P32" s="281">
        <f t="shared" si="6"/>
        <v>56604</v>
      </c>
      <c r="Q32" s="284">
        <f>SUM('Executive Office:IT'!Q32)</f>
        <v>6711.5</v>
      </c>
      <c r="R32" s="284">
        <f>SUM('Executive Office:IT'!R32)</f>
        <v>4716.9799999999996</v>
      </c>
      <c r="S32" s="284">
        <f>SUM('Executive Office:IT'!S32)</f>
        <v>8490.56</v>
      </c>
      <c r="T32" s="284">
        <f>SUM('Executive Office:IT'!T32)</f>
        <v>4716.9799999999996</v>
      </c>
      <c r="U32" s="284">
        <f>SUM('Executive Office:IT'!U32)</f>
        <v>38657.26</v>
      </c>
      <c r="V32" s="284">
        <f>SUM('Executive Office:IT'!V32)</f>
        <v>9433.9599999999991</v>
      </c>
      <c r="W32" s="284">
        <f>SUM('Executive Office:IT'!W32)</f>
        <v>4716.9799999999996</v>
      </c>
      <c r="X32" s="284">
        <f>SUM('Executive Office:IT'!X32)</f>
        <v>4716.9799999999996</v>
      </c>
      <c r="Y32" s="284">
        <f>SUM('Executive Office:IT'!Y32)</f>
        <v>5000</v>
      </c>
      <c r="Z32" s="284">
        <f>SUM('Executive Office:IT'!Z32)</f>
        <v>5000</v>
      </c>
      <c r="AA32" s="284">
        <f>SUM('Executive Office:IT'!AA32)</f>
        <v>5000</v>
      </c>
      <c r="AB32" s="284">
        <f>SUM('Executive Office:IT'!AB32)</f>
        <v>5000</v>
      </c>
      <c r="AC32" s="133">
        <f t="shared" si="2"/>
        <v>102161.19999999998</v>
      </c>
      <c r="AD32" s="283">
        <f t="shared" si="3"/>
        <v>45557.199999999983</v>
      </c>
      <c r="AE32" s="196">
        <f t="shared" si="4"/>
        <v>0.44593446435633088</v>
      </c>
      <c r="AF32" s="133">
        <v>98129.529999999984</v>
      </c>
      <c r="AG32" s="123">
        <f t="shared" si="5"/>
        <v>41525.529999999984</v>
      </c>
      <c r="AH32" s="124"/>
      <c r="AI32" s="124"/>
    </row>
    <row r="33" spans="1:35">
      <c r="A33" s="289">
        <v>60014110</v>
      </c>
      <c r="B33" s="105" t="s">
        <v>833</v>
      </c>
      <c r="C33" s="105" t="s">
        <v>845</v>
      </c>
      <c r="D33" s="283">
        <f>SUM('Executive Office:IT'!D33)</f>
        <v>0</v>
      </c>
      <c r="E33" s="283">
        <f>SUM('Executive Office:IT'!E33)</f>
        <v>0</v>
      </c>
      <c r="F33" s="283">
        <f>SUM('Executive Office:IT'!F33)</f>
        <v>0</v>
      </c>
      <c r="G33" s="283">
        <f>SUM('Executive Office:IT'!G33)</f>
        <v>0</v>
      </c>
      <c r="H33" s="283">
        <f>SUM('Executive Office:IT'!H33)</f>
        <v>0</v>
      </c>
      <c r="I33" s="283">
        <f>SUM('Executive Office:IT'!I33)</f>
        <v>0</v>
      </c>
      <c r="J33" s="283">
        <f>SUM('Executive Office:IT'!J33)</f>
        <v>0</v>
      </c>
      <c r="K33" s="283">
        <f>SUM('Executive Office:IT'!K33)</f>
        <v>0</v>
      </c>
      <c r="L33" s="283">
        <f>SUM('Executive Office:IT'!L33)</f>
        <v>0</v>
      </c>
      <c r="M33" s="283">
        <f>SUM('Executive Office:IT'!M33)</f>
        <v>0</v>
      </c>
      <c r="N33" s="283">
        <f>SUM('Executive Office:IT'!N33)</f>
        <v>0</v>
      </c>
      <c r="O33" s="283">
        <f>SUM('Executive Office:IT'!O33)</f>
        <v>0</v>
      </c>
      <c r="P33" s="281">
        <f t="shared" si="6"/>
        <v>0</v>
      </c>
      <c r="Q33" s="284">
        <f>SUM('Executive Office:IT'!Q33)</f>
        <v>0</v>
      </c>
      <c r="R33" s="284">
        <f>SUM('Executive Office:IT'!R33)</f>
        <v>0</v>
      </c>
      <c r="S33" s="284">
        <f>SUM('Executive Office:IT'!S33)</f>
        <v>0</v>
      </c>
      <c r="T33" s="284">
        <f>SUM('Executive Office:IT'!T33)</f>
        <v>0</v>
      </c>
      <c r="U33" s="284">
        <f>SUM('Executive Office:IT'!U33)</f>
        <v>0</v>
      </c>
      <c r="V33" s="284">
        <f>SUM('Executive Office:IT'!V33)</f>
        <v>0</v>
      </c>
      <c r="W33" s="284">
        <f>SUM('Executive Office:IT'!W33)</f>
        <v>0</v>
      </c>
      <c r="X33" s="284">
        <f>SUM('Executive Office:IT'!X33)</f>
        <v>0</v>
      </c>
      <c r="Y33" s="284">
        <f>SUM('Executive Office:IT'!Y33)</f>
        <v>0</v>
      </c>
      <c r="Z33" s="284">
        <f>SUM('Executive Office:IT'!Z33)</f>
        <v>0</v>
      </c>
      <c r="AA33" s="284">
        <f>SUM('Executive Office:IT'!AA33)</f>
        <v>0</v>
      </c>
      <c r="AB33" s="284">
        <f>SUM('Executive Office:IT'!AB33)</f>
        <v>0</v>
      </c>
      <c r="AC33" s="133">
        <f t="shared" si="2"/>
        <v>0</v>
      </c>
      <c r="AE33" s="196"/>
      <c r="AF33" s="133">
        <v>0</v>
      </c>
      <c r="AG33" s="123">
        <f t="shared" si="5"/>
        <v>0</v>
      </c>
      <c r="AH33" s="124"/>
      <c r="AI33" s="124"/>
    </row>
    <row r="34" spans="1:35">
      <c r="A34" s="289">
        <v>60014111</v>
      </c>
      <c r="B34" s="105" t="s">
        <v>833</v>
      </c>
      <c r="C34" s="105" t="s">
        <v>846</v>
      </c>
      <c r="D34" s="283">
        <f>SUM('Executive Office:IT'!D34)</f>
        <v>0</v>
      </c>
      <c r="E34" s="283">
        <f>SUM('Executive Office:IT'!E34)</f>
        <v>0</v>
      </c>
      <c r="F34" s="283">
        <f>SUM('Executive Office:IT'!F34)</f>
        <v>0</v>
      </c>
      <c r="G34" s="283">
        <f>SUM('Executive Office:IT'!G34)</f>
        <v>0</v>
      </c>
      <c r="H34" s="283">
        <f>SUM('Executive Office:IT'!H34)</f>
        <v>0</v>
      </c>
      <c r="I34" s="283">
        <f>SUM('Executive Office:IT'!I34)</f>
        <v>0</v>
      </c>
      <c r="J34" s="283">
        <f>SUM('Executive Office:IT'!J34)</f>
        <v>0</v>
      </c>
      <c r="K34" s="283">
        <f>SUM('Executive Office:IT'!K34)</f>
        <v>0</v>
      </c>
      <c r="L34" s="283">
        <f>SUM('Executive Office:IT'!L34)</f>
        <v>0</v>
      </c>
      <c r="M34" s="283">
        <f>SUM('Executive Office:IT'!M34)</f>
        <v>0</v>
      </c>
      <c r="N34" s="283">
        <f>SUM('Executive Office:IT'!N34)</f>
        <v>0</v>
      </c>
      <c r="O34" s="283">
        <f>SUM('Executive Office:IT'!O34)</f>
        <v>0</v>
      </c>
      <c r="P34" s="281">
        <f t="shared" si="6"/>
        <v>0</v>
      </c>
      <c r="Q34" s="284">
        <f>SUM('Executive Office:IT'!Q34)</f>
        <v>0</v>
      </c>
      <c r="R34" s="284">
        <f>SUM('Executive Office:IT'!R34)</f>
        <v>0</v>
      </c>
      <c r="S34" s="284">
        <f>SUM('Executive Office:IT'!S34)</f>
        <v>0</v>
      </c>
      <c r="T34" s="284">
        <f>SUM('Executive Office:IT'!T34)</f>
        <v>0</v>
      </c>
      <c r="U34" s="284">
        <f>SUM('Executive Office:IT'!U34)</f>
        <v>0</v>
      </c>
      <c r="V34" s="284">
        <f>SUM('Executive Office:IT'!V34)</f>
        <v>0</v>
      </c>
      <c r="W34" s="284">
        <f>SUM('Executive Office:IT'!W34)</f>
        <v>0</v>
      </c>
      <c r="X34" s="284">
        <f>SUM('Executive Office:IT'!X34)</f>
        <v>0</v>
      </c>
      <c r="Y34" s="284">
        <f>SUM('Executive Office:IT'!Y34)</f>
        <v>0</v>
      </c>
      <c r="Z34" s="284">
        <f>SUM('Executive Office:IT'!Z34)</f>
        <v>0</v>
      </c>
      <c r="AA34" s="284">
        <f>SUM('Executive Office:IT'!AA34)</f>
        <v>0</v>
      </c>
      <c r="AB34" s="284">
        <f>SUM('Executive Office:IT'!AB34)</f>
        <v>0</v>
      </c>
      <c r="AC34" s="133">
        <f t="shared" si="2"/>
        <v>0</v>
      </c>
      <c r="AE34" s="196"/>
      <c r="AF34" s="133">
        <v>14647.27</v>
      </c>
      <c r="AG34" s="123">
        <f t="shared" si="5"/>
        <v>14647.27</v>
      </c>
      <c r="AH34" s="124"/>
      <c r="AI34" s="124"/>
    </row>
    <row r="35" spans="1:35">
      <c r="A35" s="105" t="s">
        <v>847</v>
      </c>
      <c r="B35" s="105" t="s">
        <v>833</v>
      </c>
      <c r="C35" s="105" t="s">
        <v>848</v>
      </c>
      <c r="D35" s="283">
        <f>SUM('Executive Office:IT'!D35)</f>
        <v>0</v>
      </c>
      <c r="E35" s="283">
        <f>SUM('Executive Office:IT'!E35)</f>
        <v>0</v>
      </c>
      <c r="F35" s="283">
        <f>SUM('Executive Office:IT'!F35)</f>
        <v>0</v>
      </c>
      <c r="G35" s="283">
        <f>SUM('Executive Office:IT'!G35)</f>
        <v>0</v>
      </c>
      <c r="H35" s="283">
        <f>SUM('Executive Office:IT'!H35)</f>
        <v>0</v>
      </c>
      <c r="I35" s="283">
        <f>SUM('Executive Office:IT'!I35)</f>
        <v>0</v>
      </c>
      <c r="J35" s="283">
        <f>SUM('Executive Office:IT'!J35)</f>
        <v>0</v>
      </c>
      <c r="K35" s="283">
        <f>SUM('Executive Office:IT'!K35)</f>
        <v>0</v>
      </c>
      <c r="L35" s="283">
        <f>SUM('Executive Office:IT'!L35)</f>
        <v>0</v>
      </c>
      <c r="M35" s="283">
        <f>SUM('Executive Office:IT'!M35)</f>
        <v>0</v>
      </c>
      <c r="N35" s="283">
        <f>SUM('Executive Office:IT'!N35)</f>
        <v>0</v>
      </c>
      <c r="O35" s="283">
        <f>SUM('Executive Office:IT'!O35)</f>
        <v>0</v>
      </c>
      <c r="P35" s="281">
        <f t="shared" si="6"/>
        <v>0</v>
      </c>
      <c r="Q35" s="284">
        <f>SUM('Executive Office:IT'!Q35)</f>
        <v>-1</v>
      </c>
      <c r="R35" s="284">
        <f>SUM('Executive Office:IT'!R35)</f>
        <v>-196.59</v>
      </c>
      <c r="S35" s="284">
        <f>SUM('Executive Office:IT'!S35)</f>
        <v>-44.9</v>
      </c>
      <c r="T35" s="284">
        <f>SUM('Executive Office:IT'!T35)</f>
        <v>0</v>
      </c>
      <c r="U35" s="284">
        <f>SUM('Executive Office:IT'!U35)</f>
        <v>-1.3</v>
      </c>
      <c r="V35" s="284">
        <f>SUM('Executive Office:IT'!V35)</f>
        <v>0</v>
      </c>
      <c r="W35" s="284">
        <f>SUM('Executive Office:IT'!W35)</f>
        <v>0</v>
      </c>
      <c r="X35" s="284">
        <f>SUM('Executive Office:IT'!X35)</f>
        <v>-1</v>
      </c>
      <c r="Y35" s="284">
        <f>SUM('Executive Office:IT'!Y35)</f>
        <v>0</v>
      </c>
      <c r="Z35" s="284">
        <f>SUM('Executive Office:IT'!Z35)</f>
        <v>0</v>
      </c>
      <c r="AA35" s="284">
        <f>SUM('Executive Office:IT'!AA35)</f>
        <v>0</v>
      </c>
      <c r="AB35" s="284">
        <f>SUM('Executive Office:IT'!AB35)</f>
        <v>0</v>
      </c>
      <c r="AC35" s="133">
        <f t="shared" si="2"/>
        <v>-244.79000000000002</v>
      </c>
      <c r="AD35" s="283">
        <f>AC35-P35</f>
        <v>-244.79000000000002</v>
      </c>
      <c r="AE35" s="196">
        <f t="shared" si="4"/>
        <v>1</v>
      </c>
      <c r="AF35" s="133">
        <v>-603.66999999999996</v>
      </c>
      <c r="AG35" s="123">
        <f t="shared" si="5"/>
        <v>-603.66999999999996</v>
      </c>
      <c r="AH35" s="124"/>
      <c r="AI35" s="124"/>
    </row>
    <row r="36" spans="1:35">
      <c r="A36" s="105" t="s">
        <v>849</v>
      </c>
      <c r="B36" s="105" t="s">
        <v>833</v>
      </c>
      <c r="C36" s="105" t="s">
        <v>850</v>
      </c>
      <c r="D36" s="283">
        <f>SUM('Executive Office:IT'!D36)</f>
        <v>37271</v>
      </c>
      <c r="E36" s="283">
        <f>SUM('Executive Office:IT'!E36)</f>
        <v>41280</v>
      </c>
      <c r="F36" s="283">
        <f>SUM('Executive Office:IT'!F36)</f>
        <v>25679</v>
      </c>
      <c r="G36" s="283">
        <f>SUM('Executive Office:IT'!G36)</f>
        <v>23776</v>
      </c>
      <c r="H36" s="283">
        <f>SUM('Executive Office:IT'!H36)</f>
        <v>22617</v>
      </c>
      <c r="I36" s="283">
        <f>SUM('Executive Office:IT'!I36)</f>
        <v>20231</v>
      </c>
      <c r="J36" s="283">
        <f>SUM('Executive Office:IT'!J36)</f>
        <v>29361</v>
      </c>
      <c r="K36" s="283">
        <f>SUM('Executive Office:IT'!K36)</f>
        <v>33078</v>
      </c>
      <c r="L36" s="283">
        <f>SUM('Executive Office:IT'!L36)</f>
        <v>19072</v>
      </c>
      <c r="M36" s="283">
        <f>SUM('Executive Office:IT'!M36)</f>
        <v>24112</v>
      </c>
      <c r="N36" s="283">
        <f>SUM('Executive Office:IT'!N36)</f>
        <v>20840</v>
      </c>
      <c r="O36" s="283">
        <f>SUM('Executive Office:IT'!O36)</f>
        <v>26277</v>
      </c>
      <c r="P36" s="281">
        <f t="shared" si="6"/>
        <v>323594</v>
      </c>
      <c r="Q36" s="284">
        <f>SUM('Executive Office:IT'!Q36)</f>
        <v>66700.36</v>
      </c>
      <c r="R36" s="284">
        <f>SUM('Executive Office:IT'!R36)</f>
        <v>96575.85</v>
      </c>
      <c r="S36" s="284">
        <f>SUM('Executive Office:IT'!S36)</f>
        <v>25619.03</v>
      </c>
      <c r="T36" s="284">
        <f>SUM('Executive Office:IT'!T36)</f>
        <v>27197.71</v>
      </c>
      <c r="U36" s="284">
        <f>SUM('Executive Office:IT'!U36)</f>
        <v>28889.16</v>
      </c>
      <c r="V36" s="284">
        <f>SUM('Executive Office:IT'!V36)</f>
        <v>20555.07</v>
      </c>
      <c r="W36" s="284">
        <f>SUM('Executive Office:IT'!W36)</f>
        <v>30653.74</v>
      </c>
      <c r="X36" s="284">
        <f>SUM('Executive Office:IT'!X36)</f>
        <v>39730.129999999997</v>
      </c>
      <c r="Y36" s="284">
        <f>SUM('Executive Office:IT'!Y36)</f>
        <v>17956</v>
      </c>
      <c r="Z36" s="284">
        <f>SUM('Executive Office:IT'!Z36)</f>
        <v>21246</v>
      </c>
      <c r="AA36" s="284">
        <f>SUM('Executive Office:IT'!AA36)</f>
        <v>19522</v>
      </c>
      <c r="AB36" s="284">
        <f>SUM('Executive Office:IT'!AB36)</f>
        <v>23686</v>
      </c>
      <c r="AC36" s="133">
        <f t="shared" si="2"/>
        <v>418331.05</v>
      </c>
      <c r="AD36" s="290">
        <f>AC36-P36</f>
        <v>94737.049999999988</v>
      </c>
      <c r="AE36" s="196">
        <f t="shared" si="4"/>
        <v>0.22646430380914825</v>
      </c>
      <c r="AF36" s="133">
        <v>613385.66999999993</v>
      </c>
      <c r="AG36" s="123">
        <f t="shared" si="5"/>
        <v>289791.66999999993</v>
      </c>
      <c r="AH36" s="124"/>
      <c r="AI36" s="124"/>
    </row>
    <row r="37" spans="1:35">
      <c r="A37" s="105" t="s">
        <v>851</v>
      </c>
      <c r="B37" s="105" t="s">
        <v>833</v>
      </c>
      <c r="C37" s="105" t="s">
        <v>852</v>
      </c>
      <c r="D37" s="283">
        <f>SUM('Executive Office:IT'!D37)</f>
        <v>1765</v>
      </c>
      <c r="E37" s="283">
        <f>SUM('Executive Office:IT'!E37)</f>
        <v>1955</v>
      </c>
      <c r="F37" s="283">
        <f>SUM('Executive Office:IT'!F37)</f>
        <v>1216</v>
      </c>
      <c r="G37" s="283">
        <f>SUM('Executive Office:IT'!G37)</f>
        <v>1126</v>
      </c>
      <c r="H37" s="283">
        <f>SUM('Executive Office:IT'!H37)</f>
        <v>1071</v>
      </c>
      <c r="I37" s="283">
        <f>SUM('Executive Office:IT'!I37)</f>
        <v>958</v>
      </c>
      <c r="J37" s="283">
        <f>SUM('Executive Office:IT'!J37)</f>
        <v>1391</v>
      </c>
      <c r="K37" s="283">
        <f>SUM('Executive Office:IT'!K37)</f>
        <v>1567</v>
      </c>
      <c r="L37" s="283">
        <f>SUM('Executive Office:IT'!L37)</f>
        <v>903</v>
      </c>
      <c r="M37" s="283">
        <f>SUM('Executive Office:IT'!M37)</f>
        <v>1142</v>
      </c>
      <c r="N37" s="283">
        <f>SUM('Executive Office:IT'!N37)</f>
        <v>987</v>
      </c>
      <c r="O37" s="283">
        <f>SUM('Executive Office:IT'!O37)</f>
        <v>1245</v>
      </c>
      <c r="P37" s="281">
        <f t="shared" si="6"/>
        <v>15326</v>
      </c>
      <c r="Q37" s="284">
        <f>SUM('Executive Office:IT'!Q37)</f>
        <v>1350.4</v>
      </c>
      <c r="R37" s="284">
        <f>SUM('Executive Office:IT'!R37)</f>
        <v>1982</v>
      </c>
      <c r="S37" s="284">
        <f>SUM('Executive Office:IT'!S37)</f>
        <v>2084.0300000000002</v>
      </c>
      <c r="T37" s="284">
        <f>SUM('Executive Office:IT'!T37)</f>
        <v>2041.15</v>
      </c>
      <c r="U37" s="284">
        <f>SUM('Executive Office:IT'!U37)</f>
        <v>1401.33</v>
      </c>
      <c r="V37" s="284">
        <f>SUM('Executive Office:IT'!V37)</f>
        <v>752.19</v>
      </c>
      <c r="W37" s="284">
        <f>SUM('Executive Office:IT'!W37)</f>
        <v>1499.94</v>
      </c>
      <c r="X37" s="284">
        <f>SUM('Executive Office:IT'!X37)</f>
        <v>1512</v>
      </c>
      <c r="Y37" s="284">
        <f>SUM('Executive Office:IT'!Y37)</f>
        <v>851</v>
      </c>
      <c r="Z37" s="284">
        <f>SUM('Executive Office:IT'!Z37)</f>
        <v>1006</v>
      </c>
      <c r="AA37" s="284">
        <f>SUM('Executive Office:IT'!AA37)</f>
        <v>925</v>
      </c>
      <c r="AB37" s="284">
        <f>SUM('Executive Office:IT'!AB37)</f>
        <v>1122</v>
      </c>
      <c r="AC37" s="133">
        <f t="shared" si="2"/>
        <v>16527.04</v>
      </c>
      <c r="AD37" s="283">
        <f t="shared" si="3"/>
        <v>1201.0400000000009</v>
      </c>
      <c r="AE37" s="196">
        <f t="shared" si="4"/>
        <v>7.2671210331674688E-2</v>
      </c>
      <c r="AF37" s="133">
        <v>21154.18</v>
      </c>
      <c r="AG37" s="123">
        <f t="shared" si="5"/>
        <v>5828.18</v>
      </c>
      <c r="AH37" s="124"/>
      <c r="AI37" s="124"/>
    </row>
    <row r="38" spans="1:35">
      <c r="A38" s="105" t="s">
        <v>853</v>
      </c>
      <c r="B38" s="105" t="s">
        <v>833</v>
      </c>
      <c r="C38" s="105" t="s">
        <v>854</v>
      </c>
      <c r="D38" s="283">
        <f>SUM('Executive Office:IT'!D38)</f>
        <v>108450</v>
      </c>
      <c r="E38" s="283">
        <f>SUM('Executive Office:IT'!E38)</f>
        <v>19500</v>
      </c>
      <c r="F38" s="283">
        <f>SUM('Executive Office:IT'!F38)</f>
        <v>19620</v>
      </c>
      <c r="G38" s="283">
        <f>SUM('Executive Office:IT'!G38)</f>
        <v>183036</v>
      </c>
      <c r="H38" s="283">
        <f>SUM('Executive Office:IT'!H38)</f>
        <v>14000</v>
      </c>
      <c r="I38" s="283">
        <f>SUM('Executive Office:IT'!I38)</f>
        <v>12700</v>
      </c>
      <c r="J38" s="283">
        <f>SUM('Executive Office:IT'!J38)</f>
        <v>27000</v>
      </c>
      <c r="K38" s="283">
        <f>SUM('Executive Office:IT'!K38)</f>
        <v>7350</v>
      </c>
      <c r="L38" s="283">
        <f>SUM('Executive Office:IT'!L38)</f>
        <v>5300</v>
      </c>
      <c r="M38" s="283">
        <f>SUM('Executive Office:IT'!M38)</f>
        <v>27950.000000000007</v>
      </c>
      <c r="N38" s="283">
        <f>SUM('Executive Office:IT'!N38)</f>
        <v>171500</v>
      </c>
      <c r="O38" s="283">
        <f>SUM('Executive Office:IT'!O38)</f>
        <v>18640</v>
      </c>
      <c r="P38" s="281">
        <f t="shared" si="6"/>
        <v>615046</v>
      </c>
      <c r="Q38" s="284">
        <f>SUM('Executive Office:IT'!Q38)</f>
        <v>124786.77</v>
      </c>
      <c r="R38" s="284">
        <f>SUM('Executive Office:IT'!R38)</f>
        <v>288831.96000000002</v>
      </c>
      <c r="S38" s="284">
        <f>SUM('Executive Office:IT'!S38)</f>
        <v>37752.6</v>
      </c>
      <c r="T38" s="284">
        <f>SUM('Executive Office:IT'!T38)</f>
        <v>241800</v>
      </c>
      <c r="U38" s="284">
        <f>SUM('Executive Office:IT'!U38)</f>
        <v>4100</v>
      </c>
      <c r="V38" s="284">
        <f>SUM('Executive Office:IT'!V38)</f>
        <v>74891.740000000005</v>
      </c>
      <c r="W38" s="284">
        <f>SUM('Executive Office:IT'!W38)</f>
        <v>68080</v>
      </c>
      <c r="X38" s="284">
        <f>SUM('Executive Office:IT'!X38)</f>
        <v>-281890</v>
      </c>
      <c r="Y38" s="284">
        <f>SUM('Executive Office:IT'!Y38)</f>
        <v>0</v>
      </c>
      <c r="Z38" s="284">
        <f>SUM('Executive Office:IT'!Z38)</f>
        <v>31900</v>
      </c>
      <c r="AA38" s="284">
        <f>SUM('Executive Office:IT'!AA38)</f>
        <v>264100</v>
      </c>
      <c r="AB38" s="284">
        <f>SUM('Executive Office:IT'!AB38)</f>
        <v>69300</v>
      </c>
      <c r="AC38" s="133">
        <f t="shared" si="2"/>
        <v>923653.07000000007</v>
      </c>
      <c r="AD38" s="283">
        <f t="shared" si="3"/>
        <v>308607.07000000007</v>
      </c>
      <c r="AE38" s="196">
        <f t="shared" si="4"/>
        <v>0.33411578440376977</v>
      </c>
      <c r="AF38" s="133">
        <v>943199.4</v>
      </c>
      <c r="AG38" s="123">
        <f t="shared" si="5"/>
        <v>328153.40000000002</v>
      </c>
      <c r="AH38" s="124"/>
      <c r="AI38" s="124"/>
    </row>
    <row r="39" spans="1:35">
      <c r="A39" s="105" t="s">
        <v>855</v>
      </c>
      <c r="B39" s="105" t="s">
        <v>833</v>
      </c>
      <c r="C39" s="105" t="s">
        <v>856</v>
      </c>
      <c r="D39" s="283">
        <f>SUM('Executive Office:IT'!D39)</f>
        <v>8000</v>
      </c>
      <c r="E39" s="283">
        <f>SUM('Executive Office:IT'!E39)</f>
        <v>20000</v>
      </c>
      <c r="F39" s="283">
        <f>SUM('Executive Office:IT'!F39)</f>
        <v>89275</v>
      </c>
      <c r="G39" s="283">
        <f>SUM('Executive Office:IT'!G39)</f>
        <v>46200</v>
      </c>
      <c r="H39" s="283">
        <f>SUM('Executive Office:IT'!H39)</f>
        <v>49000</v>
      </c>
      <c r="I39" s="283">
        <f>SUM('Executive Office:IT'!I39)</f>
        <v>72818.75</v>
      </c>
      <c r="J39" s="283">
        <f>SUM('Executive Office:IT'!J39)</f>
        <v>32000</v>
      </c>
      <c r="K39" s="283">
        <f>SUM('Executive Office:IT'!K39)</f>
        <v>11000</v>
      </c>
      <c r="L39" s="283">
        <f>SUM('Executive Office:IT'!L39)</f>
        <v>41875</v>
      </c>
      <c r="M39" s="283">
        <f>SUM('Executive Office:IT'!M39)</f>
        <v>14400</v>
      </c>
      <c r="N39" s="283">
        <f>SUM('Executive Office:IT'!N39)</f>
        <v>23000</v>
      </c>
      <c r="O39" s="283">
        <f>SUM('Executive Office:IT'!O39)</f>
        <v>47047.5</v>
      </c>
      <c r="P39" s="281">
        <f t="shared" si="6"/>
        <v>454616.25</v>
      </c>
      <c r="Q39" s="284">
        <f>SUM('Executive Office:IT'!Q39)</f>
        <v>6300</v>
      </c>
      <c r="R39" s="284">
        <f>SUM('Executive Office:IT'!R39)</f>
        <v>23025.77</v>
      </c>
      <c r="S39" s="284">
        <f>SUM('Executive Office:IT'!S39)</f>
        <v>73735.070000000007</v>
      </c>
      <c r="T39" s="284">
        <f>SUM('Executive Office:IT'!T39)</f>
        <v>39317.760000000002</v>
      </c>
      <c r="U39" s="284">
        <f>SUM('Executive Office:IT'!U39)</f>
        <v>42500</v>
      </c>
      <c r="V39" s="284">
        <f>SUM('Executive Office:IT'!V39)</f>
        <v>38275</v>
      </c>
      <c r="W39" s="284">
        <f>SUM('Executive Office:IT'!W39)</f>
        <v>22400</v>
      </c>
      <c r="X39" s="284">
        <f>SUM('Executive Office:IT'!X39)</f>
        <v>11000</v>
      </c>
      <c r="Y39" s="284">
        <f>SUM('Executive Office:IT'!Y39)</f>
        <v>0</v>
      </c>
      <c r="Z39" s="284">
        <f>SUM('Executive Office:IT'!Z39)</f>
        <v>14600</v>
      </c>
      <c r="AA39" s="284">
        <f>SUM('Executive Office:IT'!AA39)</f>
        <v>30200</v>
      </c>
      <c r="AB39" s="284">
        <f>SUM('Executive Office:IT'!AB39)</f>
        <v>35275</v>
      </c>
      <c r="AC39" s="133">
        <f t="shared" si="2"/>
        <v>336628.6</v>
      </c>
      <c r="AD39" s="283">
        <f t="shared" si="3"/>
        <v>-117987.65000000002</v>
      </c>
      <c r="AE39" s="196">
        <f t="shared" si="4"/>
        <v>-0.35049799690222411</v>
      </c>
      <c r="AF39" s="133">
        <v>0</v>
      </c>
      <c r="AG39" s="123">
        <f t="shared" si="5"/>
        <v>-454616.25</v>
      </c>
      <c r="AH39" s="124"/>
      <c r="AI39" s="124"/>
    </row>
    <row r="40" spans="1:35">
      <c r="A40" s="105" t="s">
        <v>857</v>
      </c>
      <c r="B40" s="105" t="s">
        <v>833</v>
      </c>
      <c r="C40" s="105" t="s">
        <v>858</v>
      </c>
      <c r="D40" s="283">
        <f>SUM('Executive Office:IT'!D40)</f>
        <v>8926.5</v>
      </c>
      <c r="E40" s="283">
        <f>SUM('Executive Office:IT'!E40)</f>
        <v>6718.33</v>
      </c>
      <c r="F40" s="283">
        <f>SUM('Executive Office:IT'!F40)</f>
        <v>10240.999999999998</v>
      </c>
      <c r="G40" s="283">
        <f>SUM('Executive Office:IT'!G40)</f>
        <v>21174.67</v>
      </c>
      <c r="H40" s="283">
        <f>SUM('Executive Office:IT'!H40)</f>
        <v>26125.48</v>
      </c>
      <c r="I40" s="283">
        <f>SUM('Executive Office:IT'!I40)</f>
        <v>11176.5</v>
      </c>
      <c r="J40" s="283">
        <f>SUM('Executive Office:IT'!J40)</f>
        <v>12211.5</v>
      </c>
      <c r="K40" s="283">
        <f>SUM('Executive Office:IT'!K40)</f>
        <v>8934.67</v>
      </c>
      <c r="L40" s="283">
        <f>SUM('Executive Office:IT'!L40)</f>
        <v>8374.67</v>
      </c>
      <c r="M40" s="283">
        <f>SUM('Executive Office:IT'!M40)</f>
        <v>7390.9999999999991</v>
      </c>
      <c r="N40" s="283">
        <f>SUM('Executive Office:IT'!N40)</f>
        <v>18039.43</v>
      </c>
      <c r="O40" s="283">
        <f>SUM('Executive Office:IT'!O40)</f>
        <v>11679.43</v>
      </c>
      <c r="P40" s="281">
        <f t="shared" si="6"/>
        <v>150993.18</v>
      </c>
      <c r="Q40" s="284">
        <f>SUM('Executive Office:IT'!Q40)</f>
        <v>8719.44</v>
      </c>
      <c r="R40" s="284">
        <f>SUM('Executive Office:IT'!R40)</f>
        <v>6011.25</v>
      </c>
      <c r="S40" s="284">
        <f>SUM('Executive Office:IT'!S40)</f>
        <v>5614.76</v>
      </c>
      <c r="T40" s="284">
        <f>SUM('Executive Office:IT'!T40)</f>
        <v>14988.09</v>
      </c>
      <c r="U40" s="284">
        <f>SUM('Executive Office:IT'!U40)</f>
        <v>30818.98</v>
      </c>
      <c r="V40" s="284">
        <f>SUM('Executive Office:IT'!V40)</f>
        <v>-438.64</v>
      </c>
      <c r="W40" s="284">
        <f>SUM('Executive Office:IT'!W40)</f>
        <v>-400.43</v>
      </c>
      <c r="X40" s="284">
        <f>SUM('Executive Office:IT'!X40)</f>
        <v>1679.72</v>
      </c>
      <c r="Y40" s="284">
        <f>SUM('Executive Office:IT'!Y40)</f>
        <v>0</v>
      </c>
      <c r="Z40" s="284">
        <f>SUM('Executive Office:IT'!Z40)</f>
        <v>5205</v>
      </c>
      <c r="AA40" s="284">
        <f>SUM('Executive Office:IT'!AA40)</f>
        <v>39955</v>
      </c>
      <c r="AB40" s="284">
        <f>SUM('Executive Office:IT'!AB40)</f>
        <v>32905</v>
      </c>
      <c r="AC40" s="133">
        <f t="shared" si="2"/>
        <v>145058.16999999998</v>
      </c>
      <c r="AD40" s="283">
        <f t="shared" si="3"/>
        <v>-5935.0100000000093</v>
      </c>
      <c r="AE40" s="196">
        <f t="shared" si="4"/>
        <v>-4.0914689603488104E-2</v>
      </c>
      <c r="AF40" s="133">
        <v>125237.78</v>
      </c>
      <c r="AG40" s="123">
        <f t="shared" si="5"/>
        <v>-25755.399999999994</v>
      </c>
      <c r="AH40" s="124"/>
      <c r="AI40" s="124"/>
    </row>
    <row r="41" spans="1:35">
      <c r="A41" s="105" t="s">
        <v>859</v>
      </c>
      <c r="B41" s="105" t="s">
        <v>833</v>
      </c>
      <c r="C41" s="105" t="s">
        <v>860</v>
      </c>
      <c r="D41" s="283">
        <f>SUM('Executive Office:IT'!D41)</f>
        <v>800</v>
      </c>
      <c r="E41" s="283">
        <f>SUM('Executive Office:IT'!E41)</f>
        <v>800</v>
      </c>
      <c r="F41" s="283">
        <f>SUM('Executive Office:IT'!F41)</f>
        <v>800</v>
      </c>
      <c r="G41" s="283">
        <f>SUM('Executive Office:IT'!G41)</f>
        <v>800</v>
      </c>
      <c r="H41" s="283">
        <f>SUM('Executive Office:IT'!H41)</f>
        <v>800</v>
      </c>
      <c r="I41" s="283">
        <f>SUM('Executive Office:IT'!I41)</f>
        <v>800</v>
      </c>
      <c r="J41" s="283">
        <f>SUM('Executive Office:IT'!J41)</f>
        <v>800</v>
      </c>
      <c r="K41" s="283">
        <f>SUM('Executive Office:IT'!K41)</f>
        <v>800</v>
      </c>
      <c r="L41" s="283">
        <f>SUM('Executive Office:IT'!L41)</f>
        <v>800</v>
      </c>
      <c r="M41" s="283">
        <f>SUM('Executive Office:IT'!M41)</f>
        <v>800</v>
      </c>
      <c r="N41" s="283">
        <f>SUM('Executive Office:IT'!N41)</f>
        <v>800</v>
      </c>
      <c r="O41" s="283">
        <f>SUM('Executive Office:IT'!O41)</f>
        <v>800</v>
      </c>
      <c r="P41" s="281">
        <f t="shared" si="6"/>
        <v>9600</v>
      </c>
      <c r="Q41" s="284">
        <f>SUM('Executive Office:IT'!Q41)</f>
        <v>0</v>
      </c>
      <c r="R41" s="284">
        <f>SUM('Executive Office:IT'!R41)</f>
        <v>0</v>
      </c>
      <c r="S41" s="284">
        <f>SUM('Executive Office:IT'!S41)</f>
        <v>0</v>
      </c>
      <c r="T41" s="284">
        <f>SUM('Executive Office:IT'!T41)</f>
        <v>2500</v>
      </c>
      <c r="U41" s="284">
        <f>SUM('Executive Office:IT'!U41)</f>
        <v>0</v>
      </c>
      <c r="V41" s="284">
        <f>SUM('Executive Office:IT'!V41)</f>
        <v>0</v>
      </c>
      <c r="W41" s="284">
        <f>SUM('Executive Office:IT'!W41)</f>
        <v>0</v>
      </c>
      <c r="X41" s="284">
        <f>SUM('Executive Office:IT'!X41)</f>
        <v>0</v>
      </c>
      <c r="Y41" s="284">
        <f>SUM('Executive Office:IT'!Y41)</f>
        <v>0</v>
      </c>
      <c r="Z41" s="284">
        <f>SUM('Executive Office:IT'!Z41)</f>
        <v>1250</v>
      </c>
      <c r="AA41" s="284">
        <f>SUM('Executive Office:IT'!AA41)</f>
        <v>1250</v>
      </c>
      <c r="AB41" s="284">
        <f>SUM('Executive Office:IT'!AB41)</f>
        <v>1250</v>
      </c>
      <c r="AC41" s="133">
        <f t="shared" si="2"/>
        <v>6250</v>
      </c>
      <c r="AD41" s="283">
        <f t="shared" si="3"/>
        <v>-3350</v>
      </c>
      <c r="AE41" s="196"/>
      <c r="AF41" s="133">
        <v>0</v>
      </c>
      <c r="AG41" s="123">
        <f t="shared" si="5"/>
        <v>-9600</v>
      </c>
      <c r="AH41" s="124"/>
      <c r="AI41" s="124"/>
    </row>
    <row r="42" spans="1:35">
      <c r="A42" s="105" t="s">
        <v>861</v>
      </c>
      <c r="B42" s="105" t="s">
        <v>833</v>
      </c>
      <c r="C42" s="105" t="s">
        <v>862</v>
      </c>
      <c r="D42" s="283">
        <f>SUM('Executive Office:IT'!D42)</f>
        <v>13752</v>
      </c>
      <c r="E42" s="283">
        <f>SUM('Executive Office:IT'!E42)</f>
        <v>13752</v>
      </c>
      <c r="F42" s="283">
        <f>SUM('Executive Office:IT'!F42)</f>
        <v>13752</v>
      </c>
      <c r="G42" s="283">
        <f>SUM('Executive Office:IT'!G42)</f>
        <v>13752</v>
      </c>
      <c r="H42" s="283">
        <f>SUM('Executive Office:IT'!H42)</f>
        <v>13752</v>
      </c>
      <c r="I42" s="283">
        <f>SUM('Executive Office:IT'!I42)</f>
        <v>13752</v>
      </c>
      <c r="J42" s="283">
        <f>SUM('Executive Office:IT'!J42)</f>
        <v>13752</v>
      </c>
      <c r="K42" s="283">
        <f>SUM('Executive Office:IT'!K42)</f>
        <v>13752</v>
      </c>
      <c r="L42" s="283">
        <f>SUM('Executive Office:IT'!L42)</f>
        <v>13752</v>
      </c>
      <c r="M42" s="283">
        <f>SUM('Executive Office:IT'!M42)</f>
        <v>13752</v>
      </c>
      <c r="N42" s="283">
        <f>SUM('Executive Office:IT'!N42)</f>
        <v>13752</v>
      </c>
      <c r="O42" s="283">
        <f>SUM('Executive Office:IT'!O42)</f>
        <v>13752</v>
      </c>
      <c r="P42" s="281">
        <f t="shared" si="6"/>
        <v>165024</v>
      </c>
      <c r="Q42" s="284">
        <f>SUM('Executive Office:IT'!Q42)</f>
        <v>4765.93</v>
      </c>
      <c r="R42" s="284">
        <f>SUM('Executive Office:IT'!R42)</f>
        <v>5835.49</v>
      </c>
      <c r="S42" s="284">
        <f>SUM('Executive Office:IT'!S42)</f>
        <v>5835.49</v>
      </c>
      <c r="T42" s="284">
        <f>SUM('Executive Office:IT'!T42)</f>
        <v>9270.08</v>
      </c>
      <c r="U42" s="284">
        <f>SUM('Executive Office:IT'!U42)</f>
        <v>5835.49</v>
      </c>
      <c r="V42" s="284">
        <f>SUM('Executive Office:IT'!V42)</f>
        <v>5835.49</v>
      </c>
      <c r="W42" s="284">
        <f>SUM('Executive Office:IT'!W42)</f>
        <v>5835.51</v>
      </c>
      <c r="X42" s="284">
        <f>SUM('Executive Office:IT'!X42)</f>
        <v>5835.49</v>
      </c>
      <c r="Y42" s="284">
        <f>SUM('Executive Office:IT'!Y42)</f>
        <v>11035</v>
      </c>
      <c r="Z42" s="284">
        <f>SUM('Executive Office:IT'!Z42)</f>
        <v>11035</v>
      </c>
      <c r="AA42" s="284">
        <f>SUM('Executive Office:IT'!AA42)</f>
        <v>11035</v>
      </c>
      <c r="AB42" s="284">
        <f>SUM('Executive Office:IT'!AB42)</f>
        <v>11035</v>
      </c>
      <c r="AC42" s="133">
        <f t="shared" si="2"/>
        <v>93188.97</v>
      </c>
      <c r="AD42" s="283">
        <f t="shared" si="3"/>
        <v>-71835.03</v>
      </c>
      <c r="AE42" s="196">
        <f t="shared" si="4"/>
        <v>-0.77085335313825232</v>
      </c>
      <c r="AF42" s="133">
        <v>189713.75</v>
      </c>
      <c r="AG42" s="123">
        <f t="shared" si="5"/>
        <v>24689.75</v>
      </c>
      <c r="AH42" s="124"/>
      <c r="AI42" s="124"/>
    </row>
    <row r="43" spans="1:35">
      <c r="A43" s="105" t="s">
        <v>863</v>
      </c>
      <c r="B43" s="105" t="s">
        <v>833</v>
      </c>
      <c r="C43" s="105" t="s">
        <v>864</v>
      </c>
      <c r="D43" s="283">
        <f>SUM('Executive Office:IT'!D43)</f>
        <v>91249</v>
      </c>
      <c r="E43" s="283">
        <f>SUM('Executive Office:IT'!E43)</f>
        <v>76628</v>
      </c>
      <c r="F43" s="283">
        <f>SUM('Executive Office:IT'!F43)</f>
        <v>76689</v>
      </c>
      <c r="G43" s="283">
        <f>SUM('Executive Office:IT'!G43)</f>
        <v>76689</v>
      </c>
      <c r="H43" s="283">
        <f>SUM('Executive Office:IT'!H43)</f>
        <v>76689</v>
      </c>
      <c r="I43" s="283">
        <f>SUM('Executive Office:IT'!I43)</f>
        <v>76689</v>
      </c>
      <c r="J43" s="283">
        <f>SUM('Executive Office:IT'!J43)</f>
        <v>76689</v>
      </c>
      <c r="K43" s="283">
        <f>SUM('Executive Office:IT'!K43)</f>
        <v>76689</v>
      </c>
      <c r="L43" s="283">
        <f>SUM('Executive Office:IT'!L43)</f>
        <v>76689</v>
      </c>
      <c r="M43" s="283">
        <f>SUM('Executive Office:IT'!M43)</f>
        <v>76689</v>
      </c>
      <c r="N43" s="283">
        <f>SUM('Executive Office:IT'!N43)</f>
        <v>76836</v>
      </c>
      <c r="O43" s="283">
        <f>SUM('Executive Office:IT'!O43)</f>
        <v>76836</v>
      </c>
      <c r="P43" s="281">
        <f t="shared" si="6"/>
        <v>935061</v>
      </c>
      <c r="Q43" s="284">
        <f>SUM('Executive Office:IT'!Q43)</f>
        <v>79046.259999999995</v>
      </c>
      <c r="R43" s="284">
        <f>SUM('Executive Office:IT'!R43)</f>
        <v>78801.210000000006</v>
      </c>
      <c r="S43" s="284">
        <f>SUM('Executive Office:IT'!S43)</f>
        <v>78903.460000000006</v>
      </c>
      <c r="T43" s="284">
        <f>SUM('Executive Office:IT'!T43)</f>
        <v>78802.84</v>
      </c>
      <c r="U43" s="284">
        <f>SUM('Executive Office:IT'!U43)</f>
        <v>77930.990000000005</v>
      </c>
      <c r="V43" s="284">
        <f>SUM('Executive Office:IT'!V43)</f>
        <v>78855.399999999994</v>
      </c>
      <c r="W43" s="284">
        <f>SUM('Executive Office:IT'!W43)</f>
        <v>75989.39</v>
      </c>
      <c r="X43" s="284">
        <f>SUM('Executive Office:IT'!X43)</f>
        <v>219723.15</v>
      </c>
      <c r="Y43" s="284">
        <f>SUM('Executive Office:IT'!Y43)</f>
        <v>89964</v>
      </c>
      <c r="Z43" s="284">
        <f>SUM('Executive Office:IT'!Z43)</f>
        <v>89964</v>
      </c>
      <c r="AA43" s="284">
        <f>SUM('Executive Office:IT'!AA43)</f>
        <v>89964</v>
      </c>
      <c r="AB43" s="284">
        <f>SUM('Executive Office:IT'!AB43)</f>
        <v>89964</v>
      </c>
      <c r="AC43" s="133">
        <f t="shared" si="2"/>
        <v>1127908.7000000002</v>
      </c>
      <c r="AD43" s="283">
        <f t="shared" si="3"/>
        <v>192847.70000000019</v>
      </c>
      <c r="AE43" s="196">
        <f t="shared" si="4"/>
        <v>0.17097811196952392</v>
      </c>
      <c r="AF43" s="133">
        <v>1149676.1599999999</v>
      </c>
      <c r="AG43" s="123">
        <f t="shared" si="5"/>
        <v>214615.15999999992</v>
      </c>
      <c r="AH43" s="124"/>
      <c r="AI43" s="124"/>
    </row>
    <row r="44" spans="1:35">
      <c r="A44" s="105" t="s">
        <v>865</v>
      </c>
      <c r="B44" s="105" t="s">
        <v>833</v>
      </c>
      <c r="C44" s="105" t="s">
        <v>866</v>
      </c>
      <c r="D44" s="283">
        <f>SUM('Executive Office:IT'!D44)</f>
        <v>28585</v>
      </c>
      <c r="E44" s="283">
        <f>SUM('Executive Office:IT'!E44)</f>
        <v>28585</v>
      </c>
      <c r="F44" s="283">
        <f>SUM('Executive Office:IT'!F44)</f>
        <v>28585</v>
      </c>
      <c r="G44" s="283">
        <f>SUM('Executive Office:IT'!G44)</f>
        <v>28585</v>
      </c>
      <c r="H44" s="283">
        <f>SUM('Executive Office:IT'!H44)</f>
        <v>28585</v>
      </c>
      <c r="I44" s="283">
        <f>SUM('Executive Office:IT'!I44)</f>
        <v>28585</v>
      </c>
      <c r="J44" s="283">
        <f>SUM('Executive Office:IT'!J44)</f>
        <v>28585</v>
      </c>
      <c r="K44" s="283">
        <f>SUM('Executive Office:IT'!K44)</f>
        <v>28585</v>
      </c>
      <c r="L44" s="283">
        <f>SUM('Executive Office:IT'!L44)</f>
        <v>28585</v>
      </c>
      <c r="M44" s="283">
        <f>SUM('Executive Office:IT'!M44)</f>
        <v>28585</v>
      </c>
      <c r="N44" s="283">
        <f>SUM('Executive Office:IT'!N44)</f>
        <v>28585</v>
      </c>
      <c r="O44" s="283">
        <f>SUM('Executive Office:IT'!O44)</f>
        <v>28585</v>
      </c>
      <c r="P44" s="281">
        <f t="shared" si="6"/>
        <v>343020</v>
      </c>
      <c r="Q44" s="284">
        <f>SUM('Executive Office:IT'!Q44)</f>
        <v>33174</v>
      </c>
      <c r="R44" s="284">
        <f>SUM('Executive Office:IT'!R44)</f>
        <v>33174</v>
      </c>
      <c r="S44" s="284">
        <f>SUM('Executive Office:IT'!S44)</f>
        <v>33174</v>
      </c>
      <c r="T44" s="284">
        <f>SUM('Executive Office:IT'!T44)</f>
        <v>33174</v>
      </c>
      <c r="U44" s="284">
        <f>SUM('Executive Office:IT'!U44)</f>
        <v>28584.91</v>
      </c>
      <c r="V44" s="284">
        <f>SUM('Executive Office:IT'!V44)</f>
        <v>28584.91</v>
      </c>
      <c r="W44" s="284">
        <f>SUM('Executive Office:IT'!W44)</f>
        <v>28584.9</v>
      </c>
      <c r="X44" s="284">
        <f>SUM('Executive Office:IT'!X44)</f>
        <v>28584.91</v>
      </c>
      <c r="Y44" s="284">
        <f>SUM('Executive Office:IT'!Y44)</f>
        <v>28584.91</v>
      </c>
      <c r="Z44" s="284">
        <f>SUM('Executive Office:IT'!Z44)</f>
        <v>28584.91</v>
      </c>
      <c r="AA44" s="284">
        <f>SUM('Executive Office:IT'!AA44)</f>
        <v>28584.91</v>
      </c>
      <c r="AB44" s="284">
        <f>SUM('Executive Office:IT'!AB44)</f>
        <v>28584.91</v>
      </c>
      <c r="AC44" s="133">
        <f t="shared" si="2"/>
        <v>361375.2699999999</v>
      </c>
      <c r="AD44" s="283">
        <f t="shared" si="3"/>
        <v>18355.269999999902</v>
      </c>
      <c r="AE44" s="196">
        <f t="shared" si="4"/>
        <v>5.0792822652197277E-2</v>
      </c>
      <c r="AF44" s="133">
        <v>368932</v>
      </c>
      <c r="AG44" s="123">
        <f t="shared" si="5"/>
        <v>25912</v>
      </c>
      <c r="AH44" s="124"/>
      <c r="AI44" s="124"/>
    </row>
    <row r="45" spans="1:35">
      <c r="A45" s="105" t="s">
        <v>698</v>
      </c>
      <c r="B45" s="105" t="s">
        <v>833</v>
      </c>
      <c r="C45" s="105" t="s">
        <v>222</v>
      </c>
      <c r="D45" s="283">
        <f>SUM('Executive Office:IT'!D45)</f>
        <v>7000</v>
      </c>
      <c r="E45" s="283">
        <f>SUM('Executive Office:IT'!E45)</f>
        <v>7000</v>
      </c>
      <c r="F45" s="283">
        <f>SUM('Executive Office:IT'!F45)</f>
        <v>7000</v>
      </c>
      <c r="G45" s="283">
        <f>SUM('Executive Office:IT'!G45)</f>
        <v>7000</v>
      </c>
      <c r="H45" s="283">
        <f>SUM('Executive Office:IT'!H45)</f>
        <v>7000</v>
      </c>
      <c r="I45" s="283">
        <f>SUM('Executive Office:IT'!I45)</f>
        <v>7000</v>
      </c>
      <c r="J45" s="283">
        <f>SUM('Executive Office:IT'!J45)</f>
        <v>7000</v>
      </c>
      <c r="K45" s="283">
        <f>SUM('Executive Office:IT'!K45)</f>
        <v>7000</v>
      </c>
      <c r="L45" s="283">
        <f>SUM('Executive Office:IT'!L45)</f>
        <v>7000</v>
      </c>
      <c r="M45" s="283">
        <f>SUM('Executive Office:IT'!M45)</f>
        <v>7000</v>
      </c>
      <c r="N45" s="283">
        <f>SUM('Executive Office:IT'!N45)</f>
        <v>7000</v>
      </c>
      <c r="O45" s="283">
        <f>SUM('Executive Office:IT'!O45)</f>
        <v>7000</v>
      </c>
      <c r="P45" s="281">
        <f t="shared" si="6"/>
        <v>84000</v>
      </c>
      <c r="Q45" s="284">
        <f>SUM('Executive Office:IT'!Q45)</f>
        <v>12935.32</v>
      </c>
      <c r="R45" s="284">
        <f>SUM('Executive Office:IT'!R45)</f>
        <v>90221.510000000009</v>
      </c>
      <c r="S45" s="284">
        <f>SUM('Executive Office:IT'!S45)</f>
        <v>4522.76</v>
      </c>
      <c r="T45" s="284">
        <f>SUM('Executive Office:IT'!T45)</f>
        <v>1719.8899999999999</v>
      </c>
      <c r="U45" s="284">
        <f>SUM('Executive Office:IT'!U45)</f>
        <v>32787.480000000003</v>
      </c>
      <c r="V45" s="284">
        <f>SUM('Executive Office:IT'!V45)</f>
        <v>23532.809999999998</v>
      </c>
      <c r="W45" s="284">
        <f>SUM('Executive Office:IT'!W45)</f>
        <v>-1362.58</v>
      </c>
      <c r="X45" s="284">
        <f>SUM('Executive Office:IT'!X45)</f>
        <v>63584.149999999994</v>
      </c>
      <c r="Y45" s="284">
        <f>SUM('Executive Office:IT'!Y45)</f>
        <v>11860</v>
      </c>
      <c r="Z45" s="284">
        <f>SUM('Executive Office:IT'!Z45)</f>
        <v>12360</v>
      </c>
      <c r="AA45" s="284">
        <f>SUM('Executive Office:IT'!AA45)</f>
        <v>12360</v>
      </c>
      <c r="AB45" s="284">
        <f>SUM('Executive Office:IT'!AB45)</f>
        <v>13360</v>
      </c>
      <c r="AC45" s="129">
        <f t="shared" si="2"/>
        <v>277881.34000000003</v>
      </c>
      <c r="AD45" s="283">
        <f t="shared" si="3"/>
        <v>193881.34000000003</v>
      </c>
      <c r="AE45" s="192">
        <f t="shared" si="4"/>
        <v>0.69771269996035001</v>
      </c>
      <c r="AF45" s="129">
        <v>215736.61000000004</v>
      </c>
      <c r="AG45" s="123">
        <f t="shared" si="5"/>
        <v>131736.61000000004</v>
      </c>
      <c r="AH45" s="124"/>
      <c r="AI45" s="124"/>
    </row>
    <row r="46" spans="1:35">
      <c r="C46" s="109" t="s">
        <v>867</v>
      </c>
      <c r="D46" s="281">
        <f t="shared" ref="D46:X46" si="7">SUM(D12:D45)</f>
        <v>433163.91000000003</v>
      </c>
      <c r="E46" s="281">
        <f t="shared" si="7"/>
        <v>335348.74</v>
      </c>
      <c r="F46" s="281">
        <f t="shared" si="7"/>
        <v>403014.41000000003</v>
      </c>
      <c r="G46" s="281">
        <f t="shared" si="7"/>
        <v>529407.08000000007</v>
      </c>
      <c r="H46" s="281">
        <f t="shared" si="7"/>
        <v>358989.89</v>
      </c>
      <c r="I46" s="281">
        <f t="shared" si="7"/>
        <v>360941.66000000003</v>
      </c>
      <c r="J46" s="281">
        <f t="shared" si="7"/>
        <v>346805.91000000003</v>
      </c>
      <c r="K46" s="281">
        <f t="shared" si="7"/>
        <v>309076.08</v>
      </c>
      <c r="L46" s="281">
        <f t="shared" si="7"/>
        <v>322126.08000000002</v>
      </c>
      <c r="M46" s="281">
        <f t="shared" si="7"/>
        <v>330865.41000000003</v>
      </c>
      <c r="N46" s="281">
        <f t="shared" si="7"/>
        <v>482586.84</v>
      </c>
      <c r="O46" s="281">
        <f t="shared" si="7"/>
        <v>353800.26</v>
      </c>
      <c r="P46" s="281">
        <f t="shared" si="7"/>
        <v>4566126.2700000005</v>
      </c>
      <c r="Q46" s="282">
        <f t="shared" si="7"/>
        <v>512471.68</v>
      </c>
      <c r="R46" s="282">
        <f t="shared" si="7"/>
        <v>758445.85</v>
      </c>
      <c r="S46" s="282">
        <f t="shared" si="7"/>
        <v>455658.87000000005</v>
      </c>
      <c r="T46" s="282">
        <f t="shared" si="7"/>
        <v>656389.31999999995</v>
      </c>
      <c r="U46" s="282">
        <f t="shared" si="7"/>
        <v>465173.1999999999</v>
      </c>
      <c r="V46" s="282">
        <f t="shared" si="7"/>
        <v>425913.30999999994</v>
      </c>
      <c r="W46" s="282">
        <f t="shared" si="7"/>
        <v>418596</v>
      </c>
      <c r="X46" s="282">
        <f t="shared" si="7"/>
        <v>232776.45000000007</v>
      </c>
      <c r="Y46" s="282">
        <f>SUM(Y12:Y45)</f>
        <v>321060.15999999997</v>
      </c>
      <c r="Z46" s="282">
        <f>SUM(Z12:Z45)</f>
        <v>382335.37999999995</v>
      </c>
      <c r="AA46" s="282">
        <f>SUM(AA12:AA45)</f>
        <v>618062.93000000005</v>
      </c>
      <c r="AB46" s="282">
        <f>SUM(AB12:AB45)</f>
        <v>456703.45999999996</v>
      </c>
      <c r="AC46" s="129">
        <f>SUM(AC12:AC45)</f>
        <v>5703586.6100000003</v>
      </c>
      <c r="AD46" s="281">
        <f t="shared" si="3"/>
        <v>1137460.3399999999</v>
      </c>
      <c r="AE46" s="132">
        <f t="shared" si="4"/>
        <v>0.19942895896517293</v>
      </c>
      <c r="AF46" s="129">
        <v>5334428.04</v>
      </c>
      <c r="AG46" s="123">
        <f t="shared" si="5"/>
        <v>768301.76999999955</v>
      </c>
      <c r="AH46" s="124"/>
      <c r="AI46" s="124"/>
    </row>
    <row r="47" spans="1:35">
      <c r="C47" s="109" t="s">
        <v>868</v>
      </c>
      <c r="D47" s="281">
        <f t="shared" ref="D47:X47" si="8">D46+D83</f>
        <v>1628017.8199999998</v>
      </c>
      <c r="E47" s="281">
        <f t="shared" si="8"/>
        <v>1479412.26</v>
      </c>
      <c r="F47" s="281">
        <f t="shared" si="8"/>
        <v>1557926.56</v>
      </c>
      <c r="G47" s="281">
        <f t="shared" si="8"/>
        <v>1706277.4700000002</v>
      </c>
      <c r="H47" s="281">
        <f t="shared" si="8"/>
        <v>1549675.5300000003</v>
      </c>
      <c r="I47" s="281">
        <f t="shared" si="8"/>
        <v>1527676.15</v>
      </c>
      <c r="J47" s="281">
        <f t="shared" si="8"/>
        <v>1519016.12</v>
      </c>
      <c r="K47" s="281">
        <f t="shared" si="8"/>
        <v>1481654.1400000001</v>
      </c>
      <c r="L47" s="281">
        <f t="shared" si="8"/>
        <v>1495143.1400000001</v>
      </c>
      <c r="M47" s="281">
        <f t="shared" si="8"/>
        <v>1554299.6</v>
      </c>
      <c r="N47" s="281">
        <f t="shared" si="8"/>
        <v>1655232.11</v>
      </c>
      <c r="O47" s="281">
        <f t="shared" si="8"/>
        <v>1525245.84</v>
      </c>
      <c r="P47" s="281">
        <f t="shared" si="8"/>
        <v>18679576.739999998</v>
      </c>
      <c r="Q47" s="282">
        <f t="shared" si="8"/>
        <v>1755518.91</v>
      </c>
      <c r="R47" s="282">
        <f t="shared" si="8"/>
        <v>2052844.23</v>
      </c>
      <c r="S47" s="282">
        <f t="shared" si="8"/>
        <v>1729580.42</v>
      </c>
      <c r="T47" s="282">
        <f t="shared" si="8"/>
        <v>1852833.29</v>
      </c>
      <c r="U47" s="282">
        <f t="shared" si="8"/>
        <v>1630762.7299999997</v>
      </c>
      <c r="V47" s="282">
        <f t="shared" si="8"/>
        <v>1591524.4500000002</v>
      </c>
      <c r="W47" s="282">
        <f t="shared" si="8"/>
        <v>1536246.08</v>
      </c>
      <c r="X47" s="282">
        <f t="shared" si="8"/>
        <v>1372190.8600000003</v>
      </c>
      <c r="Y47" s="282">
        <f>Y46+Y83</f>
        <v>1505102.8099999998</v>
      </c>
      <c r="Z47" s="282">
        <f>Z46+Z83</f>
        <v>1597963.8099999998</v>
      </c>
      <c r="AA47" s="282">
        <f>AA46+AA83</f>
        <v>1818564.81</v>
      </c>
      <c r="AB47" s="282">
        <f>AB46+AB83</f>
        <v>1627405.82</v>
      </c>
      <c r="AC47" s="129">
        <f>AC46+AC83</f>
        <v>20070538.220000003</v>
      </c>
      <c r="AD47" s="281">
        <f t="shared" si="3"/>
        <v>1390961.4800000042</v>
      </c>
      <c r="AE47" s="132">
        <f t="shared" si="4"/>
        <v>6.9303646207849623E-2</v>
      </c>
      <c r="AF47" s="129">
        <v>19094532.870000001</v>
      </c>
      <c r="AG47" s="123">
        <f t="shared" si="5"/>
        <v>414956.13000000268</v>
      </c>
      <c r="AH47" s="124"/>
      <c r="AI47" s="124"/>
    </row>
    <row r="48" spans="1:35">
      <c r="C48" s="105" t="s">
        <v>154</v>
      </c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1"/>
      <c r="Q48" s="284"/>
      <c r="R48" s="284"/>
      <c r="S48" s="284"/>
      <c r="T48" s="284"/>
      <c r="U48" s="284"/>
      <c r="V48" s="284"/>
      <c r="W48" s="284"/>
      <c r="X48" s="284"/>
      <c r="Y48" s="284"/>
      <c r="Z48" s="284"/>
      <c r="AA48" s="284"/>
      <c r="AB48" s="284"/>
      <c r="AF48" s="129"/>
      <c r="AG48" s="123">
        <f t="shared" si="5"/>
        <v>0</v>
      </c>
      <c r="AH48" s="124"/>
      <c r="AI48" s="124"/>
    </row>
    <row r="49" spans="1:35">
      <c r="C49" s="105" t="s">
        <v>154</v>
      </c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1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  <c r="AB49" s="284"/>
      <c r="AF49" s="129"/>
      <c r="AG49" s="123">
        <f t="shared" si="5"/>
        <v>0</v>
      </c>
      <c r="AH49" s="124"/>
      <c r="AI49" s="124"/>
    </row>
    <row r="50" spans="1:35">
      <c r="C50" s="105" t="s">
        <v>869</v>
      </c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1"/>
      <c r="Q50" s="284"/>
      <c r="R50" s="284"/>
      <c r="S50" s="284"/>
      <c r="T50" s="284"/>
      <c r="U50" s="284"/>
      <c r="V50" s="284"/>
      <c r="W50" s="284"/>
      <c r="X50" s="284"/>
      <c r="Y50" s="284"/>
      <c r="Z50" s="284"/>
      <c r="AA50" s="284"/>
      <c r="AB50" s="284"/>
      <c r="AF50" s="129"/>
      <c r="AG50" s="123">
        <f t="shared" si="5"/>
        <v>0</v>
      </c>
      <c r="AH50" s="124"/>
      <c r="AI50" s="124"/>
    </row>
    <row r="51" spans="1:35">
      <c r="C51" s="105" t="s">
        <v>465</v>
      </c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1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F51" s="129"/>
      <c r="AG51" s="123">
        <f t="shared" si="5"/>
        <v>0</v>
      </c>
      <c r="AH51" s="124"/>
      <c r="AI51" s="124"/>
    </row>
    <row r="52" spans="1:35">
      <c r="A52" s="105" t="s">
        <v>248</v>
      </c>
      <c r="B52" s="105" t="s">
        <v>833</v>
      </c>
      <c r="C52" s="105" t="s">
        <v>250</v>
      </c>
      <c r="D52" s="283">
        <f>SUM('Executive Office:IT'!D52)</f>
        <v>472836.49</v>
      </c>
      <c r="E52" s="283">
        <f>SUM('Executive Office:IT'!E52)</f>
        <v>472836.49</v>
      </c>
      <c r="F52" s="283">
        <f>SUM('Executive Office:IT'!F52)</f>
        <v>479131.49</v>
      </c>
      <c r="G52" s="283">
        <f>SUM('Executive Office:IT'!G52)</f>
        <v>484739.39</v>
      </c>
      <c r="H52" s="283">
        <f>SUM('Executive Office:IT'!H52)</f>
        <v>484739.39</v>
      </c>
      <c r="I52" s="283">
        <f>SUM('Executive Office:IT'!I52)</f>
        <v>484739.39</v>
      </c>
      <c r="J52" s="283">
        <f>SUM('Executive Office:IT'!J52)</f>
        <v>484739.39</v>
      </c>
      <c r="K52" s="283">
        <f>SUM('Executive Office:IT'!K52)</f>
        <v>485246.89</v>
      </c>
      <c r="L52" s="283">
        <f>SUM('Executive Office:IT'!L52)</f>
        <v>485246.89</v>
      </c>
      <c r="M52" s="283">
        <f>SUM('Executive Office:IT'!M52)</f>
        <v>485246.89</v>
      </c>
      <c r="N52" s="283">
        <f>SUM('Executive Office:IT'!N52)</f>
        <v>485246.89</v>
      </c>
      <c r="O52" s="283">
        <f>SUM('Executive Office:IT'!O52)</f>
        <v>485246.89</v>
      </c>
      <c r="P52" s="281">
        <f>SUM(D52:O52)</f>
        <v>5789996.4799999995</v>
      </c>
      <c r="Q52" s="284">
        <f>SUM('Executive Office:IT'!Q52)</f>
        <v>480505.45</v>
      </c>
      <c r="R52" s="284">
        <f>SUM('Executive Office:IT'!R52)</f>
        <v>480841.66000000003</v>
      </c>
      <c r="S52" s="284">
        <f>SUM('Executive Office:IT'!S52)</f>
        <v>489336.06</v>
      </c>
      <c r="T52" s="284">
        <f>SUM('Executive Office:IT'!T52)</f>
        <v>483134.76</v>
      </c>
      <c r="U52" s="284">
        <f>SUM('Executive Office:IT'!U52)</f>
        <v>490114.49</v>
      </c>
      <c r="V52" s="284">
        <f>SUM('Executive Office:IT'!V52)</f>
        <v>485718.68000000005</v>
      </c>
      <c r="W52" s="284">
        <f>SUM('Executive Office:IT'!W52)</f>
        <v>478331.89</v>
      </c>
      <c r="X52" s="284">
        <f>SUM('Executive Office:IT'!X52)</f>
        <v>477641.66000000003</v>
      </c>
      <c r="Y52" s="284">
        <f>SUM('Executive Office:IT'!Y52)</f>
        <v>497168.44</v>
      </c>
      <c r="Z52" s="284">
        <f>SUM('Executive Office:IT'!Z52)</f>
        <v>497168.44</v>
      </c>
      <c r="AA52" s="284">
        <f>SUM('Executive Office:IT'!AA52)</f>
        <v>497168.44</v>
      </c>
      <c r="AB52" s="124">
        <f>SUM('Executive Office:IT'!AB52)</f>
        <v>497168.44</v>
      </c>
      <c r="AC52" s="129">
        <f>SUM(Q52:AB52)</f>
        <v>5854298.410000002</v>
      </c>
      <c r="AD52" s="283">
        <f>AC52-P52</f>
        <v>64301.930000002496</v>
      </c>
      <c r="AE52" s="192">
        <f>AD52/AC52</f>
        <v>1.0983712393301535E-2</v>
      </c>
      <c r="AF52" s="129">
        <v>5194062.4300000016</v>
      </c>
      <c r="AG52" s="123">
        <f t="shared" si="5"/>
        <v>-595934.04999999795</v>
      </c>
      <c r="AH52" s="124"/>
      <c r="AI52" s="124"/>
    </row>
    <row r="53" spans="1:35">
      <c r="A53" s="105" t="s">
        <v>251</v>
      </c>
      <c r="B53" s="105" t="s">
        <v>833</v>
      </c>
      <c r="C53" s="105" t="s">
        <v>468</v>
      </c>
      <c r="D53" s="283">
        <f>SUM('Executive Office:IT'!D53)</f>
        <v>169315.5</v>
      </c>
      <c r="E53" s="283">
        <f>SUM('Executive Office:IT'!E53)</f>
        <v>169315.5</v>
      </c>
      <c r="F53" s="283">
        <f>SUM('Executive Office:IT'!F53)</f>
        <v>173346.13</v>
      </c>
      <c r="G53" s="283">
        <f>SUM('Executive Office:IT'!G53)</f>
        <v>173346.13</v>
      </c>
      <c r="H53" s="283">
        <f>SUM('Executive Office:IT'!H53)</f>
        <v>173346.13</v>
      </c>
      <c r="I53" s="283">
        <f>SUM('Executive Office:IT'!I53)</f>
        <v>173346.13</v>
      </c>
      <c r="J53" s="283">
        <f>SUM('Executive Office:IT'!J53)</f>
        <v>173346.13</v>
      </c>
      <c r="K53" s="283">
        <f>SUM('Executive Office:IT'!K53)</f>
        <v>173346.13</v>
      </c>
      <c r="L53" s="283">
        <f>SUM('Executive Office:IT'!L53)</f>
        <v>173346.13</v>
      </c>
      <c r="M53" s="283">
        <f>SUM('Executive Office:IT'!M53)</f>
        <v>173346.13</v>
      </c>
      <c r="N53" s="283">
        <f>SUM('Executive Office:IT'!N53)</f>
        <v>173346.13</v>
      </c>
      <c r="O53" s="283">
        <f>SUM('Executive Office:IT'!O53)</f>
        <v>173346.13</v>
      </c>
      <c r="P53" s="281">
        <f>SUM(D53:O53)</f>
        <v>2072092.2999999993</v>
      </c>
      <c r="Q53" s="284">
        <f>SUM('Executive Office:IT'!Q53)</f>
        <v>190715.96</v>
      </c>
      <c r="R53" s="284">
        <f>SUM('Executive Office:IT'!R53)</f>
        <v>190244.8</v>
      </c>
      <c r="S53" s="284">
        <f>SUM('Executive Office:IT'!S53)</f>
        <v>186357.84999999998</v>
      </c>
      <c r="T53" s="284">
        <f>SUM('Executive Office:IT'!T53)</f>
        <v>180383</v>
      </c>
      <c r="U53" s="284">
        <f>SUM('Executive Office:IT'!U53)</f>
        <v>177113.36000000002</v>
      </c>
      <c r="V53" s="284">
        <f>SUM('Executive Office:IT'!V53)</f>
        <v>177785.51</v>
      </c>
      <c r="W53" s="284">
        <f>SUM('Executive Office:IT'!W53)</f>
        <v>169069.85</v>
      </c>
      <c r="X53" s="284">
        <f>SUM('Executive Office:IT'!X53)</f>
        <v>178787.94</v>
      </c>
      <c r="Y53" s="284">
        <f>SUM('Executive Office:IT'!Y53)</f>
        <v>184825.56</v>
      </c>
      <c r="Z53" s="284">
        <f>SUM('Executive Office:IT'!Z53)</f>
        <v>184825.56</v>
      </c>
      <c r="AA53" s="284">
        <f>SUM('Executive Office:IT'!AA53)</f>
        <v>214825.56</v>
      </c>
      <c r="AB53" s="124">
        <f>SUM('Executive Office:IT'!AB53)</f>
        <v>184825.57</v>
      </c>
      <c r="AC53" s="129">
        <f>SUM(Q53:AB53)</f>
        <v>2219760.52</v>
      </c>
      <c r="AD53" s="283">
        <f>AC53-P53</f>
        <v>147668.22000000067</v>
      </c>
      <c r="AE53" s="192">
        <f>AD53/AC53</f>
        <v>6.6524392460138304E-2</v>
      </c>
      <c r="AF53" s="129">
        <v>2367414.5900000003</v>
      </c>
      <c r="AG53" s="123">
        <f t="shared" si="5"/>
        <v>295322.29000000097</v>
      </c>
      <c r="AH53" s="124"/>
      <c r="AI53" s="124"/>
    </row>
    <row r="54" spans="1:35">
      <c r="C54" s="109" t="s">
        <v>471</v>
      </c>
      <c r="D54" s="281">
        <f>SUM(D52:D53)</f>
        <v>642151.99</v>
      </c>
      <c r="E54" s="281">
        <f t="shared" ref="E54:AC54" si="9">SUM(E52:E53)</f>
        <v>642151.99</v>
      </c>
      <c r="F54" s="281">
        <f t="shared" si="9"/>
        <v>652477.62</v>
      </c>
      <c r="G54" s="281">
        <f t="shared" si="9"/>
        <v>658085.52</v>
      </c>
      <c r="H54" s="281">
        <f t="shared" si="9"/>
        <v>658085.52</v>
      </c>
      <c r="I54" s="281">
        <f t="shared" si="9"/>
        <v>658085.52</v>
      </c>
      <c r="J54" s="281">
        <f t="shared" si="9"/>
        <v>658085.52</v>
      </c>
      <c r="K54" s="281">
        <f t="shared" si="9"/>
        <v>658593.02</v>
      </c>
      <c r="L54" s="281">
        <f t="shared" si="9"/>
        <v>658593.02</v>
      </c>
      <c r="M54" s="281">
        <f t="shared" si="9"/>
        <v>658593.02</v>
      </c>
      <c r="N54" s="281">
        <f t="shared" si="9"/>
        <v>658593.02</v>
      </c>
      <c r="O54" s="281">
        <f t="shared" si="9"/>
        <v>658593.02</v>
      </c>
      <c r="P54" s="281">
        <f t="shared" si="9"/>
        <v>7862088.7799999993</v>
      </c>
      <c r="Q54" s="282">
        <f t="shared" si="9"/>
        <v>671221.41</v>
      </c>
      <c r="R54" s="282">
        <f t="shared" si="9"/>
        <v>671086.46</v>
      </c>
      <c r="S54" s="282">
        <f t="shared" si="9"/>
        <v>675693.90999999992</v>
      </c>
      <c r="T54" s="282">
        <f t="shared" si="9"/>
        <v>663517.76</v>
      </c>
      <c r="U54" s="282">
        <f t="shared" si="9"/>
        <v>667227.85</v>
      </c>
      <c r="V54" s="282">
        <f t="shared" si="9"/>
        <v>663504.19000000006</v>
      </c>
      <c r="W54" s="282">
        <f t="shared" si="9"/>
        <v>647401.74</v>
      </c>
      <c r="X54" s="282">
        <f t="shared" si="9"/>
        <v>656429.60000000009</v>
      </c>
      <c r="Y54" s="282">
        <f>SUM(Y52:Y53)</f>
        <v>681994</v>
      </c>
      <c r="Z54" s="282">
        <f>SUM(Z52:Z53)</f>
        <v>681994</v>
      </c>
      <c r="AA54" s="282">
        <f>SUM(AA52:AA53)</f>
        <v>711994</v>
      </c>
      <c r="AB54" s="129">
        <f>SUM(AB52:AB53)</f>
        <v>681994.01</v>
      </c>
      <c r="AC54" s="133">
        <f t="shared" si="9"/>
        <v>8074058.9300000016</v>
      </c>
      <c r="AD54" s="281">
        <f>AC54-P54</f>
        <v>211970.15000000224</v>
      </c>
      <c r="AE54" s="132">
        <f>AD54/AC54</f>
        <v>2.6253232957268273E-2</v>
      </c>
      <c r="AF54" s="129">
        <v>7561477.0200000014</v>
      </c>
      <c r="AG54" s="123">
        <f t="shared" si="5"/>
        <v>-300611.75999999791</v>
      </c>
      <c r="AH54" s="124"/>
      <c r="AI54" s="124"/>
    </row>
    <row r="55" spans="1:35">
      <c r="D55" s="283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1"/>
      <c r="Q55" s="284"/>
      <c r="R55" s="284"/>
      <c r="S55" s="284"/>
      <c r="T55" s="284"/>
      <c r="U55" s="284"/>
      <c r="V55" s="284"/>
      <c r="W55" s="284"/>
      <c r="X55" s="284"/>
      <c r="Y55" s="284"/>
      <c r="Z55" s="284"/>
      <c r="AA55" s="284"/>
      <c r="AB55" s="124"/>
      <c r="AC55" s="133"/>
      <c r="AF55" s="129"/>
      <c r="AG55" s="123">
        <f t="shared" si="5"/>
        <v>0</v>
      </c>
      <c r="AH55" s="124"/>
      <c r="AI55" s="124"/>
    </row>
    <row r="56" spans="1:35">
      <c r="A56" s="105" t="s">
        <v>870</v>
      </c>
      <c r="B56" s="105" t="s">
        <v>833</v>
      </c>
      <c r="C56" s="105" t="s">
        <v>260</v>
      </c>
      <c r="D56" s="283">
        <f>SUM('Executive Office:IT'!D56)</f>
        <v>35441.39</v>
      </c>
      <c r="E56" s="283">
        <f>SUM('Executive Office:IT'!E56)</f>
        <v>0</v>
      </c>
      <c r="F56" s="283">
        <f>SUM('Executive Office:IT'!F56)</f>
        <v>0</v>
      </c>
      <c r="G56" s="283">
        <f>SUM('Executive Office:IT'!G56)</f>
        <v>9664.14</v>
      </c>
      <c r="H56" s="283">
        <f>SUM('Executive Office:IT'!H56)</f>
        <v>17181.39</v>
      </c>
      <c r="I56" s="283">
        <f>SUM('Executive Office:IT'!I56)</f>
        <v>0</v>
      </c>
      <c r="J56" s="283">
        <f>SUM('Executive Office:IT'!J56)</f>
        <v>0</v>
      </c>
      <c r="K56" s="283">
        <f>SUM('Executive Office:IT'!K56)</f>
        <v>0</v>
      </c>
      <c r="L56" s="283">
        <f>SUM('Executive Office:IT'!L56)</f>
        <v>0</v>
      </c>
      <c r="M56" s="283">
        <f>SUM('Executive Office:IT'!M56)</f>
        <v>38064.14</v>
      </c>
      <c r="N56" s="283">
        <f>SUM('Executive Office:IT'!N56)</f>
        <v>0</v>
      </c>
      <c r="O56" s="283">
        <f>SUM('Executive Office:IT'!O56)</f>
        <v>0</v>
      </c>
      <c r="P56" s="281">
        <f>SUM(D56:O56)</f>
        <v>100351.06</v>
      </c>
      <c r="Q56" s="284">
        <f>SUM('Executive Office:IT'!Q56)</f>
        <v>12000.17</v>
      </c>
      <c r="R56" s="284">
        <f>SUM('Executive Office:IT'!R56)</f>
        <v>32276.219999999998</v>
      </c>
      <c r="S56" s="284">
        <f>SUM('Executive Office:IT'!S56)</f>
        <v>0</v>
      </c>
      <c r="T56" s="284">
        <f>SUM('Executive Office:IT'!T56)</f>
        <v>11386.3</v>
      </c>
      <c r="U56" s="284">
        <f>SUM('Executive Office:IT'!U56)</f>
        <v>7589.7300000000005</v>
      </c>
      <c r="V56" s="284">
        <f>SUM('Executive Office:IT'!V56)</f>
        <v>6927.63</v>
      </c>
      <c r="W56" s="284">
        <f>SUM('Executive Office:IT'!W56)</f>
        <v>0</v>
      </c>
      <c r="X56" s="284">
        <f>SUM('Executive Office:IT'!X56)</f>
        <v>0</v>
      </c>
      <c r="Y56" s="284">
        <f>SUM('Executive Office:IT'!Y56)</f>
        <v>12399</v>
      </c>
      <c r="Z56" s="284">
        <f>SUM('Executive Office:IT'!Z56)</f>
        <v>37198</v>
      </c>
      <c r="AA56" s="284">
        <f>SUM('Executive Office:IT'!AA56)</f>
        <v>0</v>
      </c>
      <c r="AB56" s="124">
        <f>SUM('Executive Office:IT'!AB56)</f>
        <v>0</v>
      </c>
      <c r="AC56" s="129">
        <f>SUM(Q56:AB56)</f>
        <v>119777.05</v>
      </c>
      <c r="AD56" s="283">
        <f t="shared" ref="AD56:AD61" si="10">AC56-P56</f>
        <v>19425.990000000005</v>
      </c>
      <c r="AE56" s="192">
        <f t="shared" ref="AE56:AE61" si="11">AD56/AC56</f>
        <v>0.16218457542575981</v>
      </c>
      <c r="AF56" s="129">
        <v>166625.49</v>
      </c>
      <c r="AG56" s="123">
        <f t="shared" si="5"/>
        <v>66274.429999999993</v>
      </c>
      <c r="AH56" s="124"/>
      <c r="AI56" s="124"/>
    </row>
    <row r="57" spans="1:35">
      <c r="A57" s="105" t="s">
        <v>120</v>
      </c>
      <c r="B57" s="105" t="s">
        <v>833</v>
      </c>
      <c r="C57" s="105" t="s">
        <v>261</v>
      </c>
      <c r="D57" s="283">
        <f>SUM('Executive Office:IT'!D57)</f>
        <v>108894.39000000001</v>
      </c>
      <c r="E57" s="283">
        <f>SUM('Executive Office:IT'!E57)</f>
        <v>108894.39000000001</v>
      </c>
      <c r="F57" s="283">
        <f>SUM('Executive Office:IT'!F57)</f>
        <v>108894.39000000001</v>
      </c>
      <c r="G57" s="283">
        <f>SUM('Executive Office:IT'!G57)</f>
        <v>109894.39000000001</v>
      </c>
      <c r="H57" s="283">
        <f>SUM('Executive Office:IT'!H57)</f>
        <v>109894.39000000001</v>
      </c>
      <c r="I57" s="283">
        <f>SUM('Executive Office:IT'!I57)</f>
        <v>109894.39000000001</v>
      </c>
      <c r="J57" s="283">
        <f>SUM('Executive Office:IT'!J57)</f>
        <v>109894.39000000001</v>
      </c>
      <c r="K57" s="283">
        <f>SUM('Executive Office:IT'!K57)</f>
        <v>110172.17000000001</v>
      </c>
      <c r="L57" s="283">
        <f>SUM('Executive Office:IT'!L57)</f>
        <v>110172.17000000001</v>
      </c>
      <c r="M57" s="283">
        <f>SUM('Executive Office:IT'!M57)</f>
        <v>110330.51000000001</v>
      </c>
      <c r="N57" s="283">
        <f>SUM('Executive Office:IT'!N57)</f>
        <v>110330.51000000001</v>
      </c>
      <c r="O57" s="283">
        <f>SUM('Executive Office:IT'!O57)</f>
        <v>110330.51000000001</v>
      </c>
      <c r="P57" s="281">
        <f>SUM(D57:O57)</f>
        <v>1317596.6000000001</v>
      </c>
      <c r="Q57" s="284">
        <f>SUM('Executive Office:IT'!Q57)</f>
        <v>168321.73</v>
      </c>
      <c r="R57" s="284">
        <f>SUM('Executive Office:IT'!R57)</f>
        <v>168273.72</v>
      </c>
      <c r="S57" s="284">
        <f>SUM('Executive Office:IT'!S57)</f>
        <v>168571.74999999997</v>
      </c>
      <c r="T57" s="284">
        <f>SUM('Executive Office:IT'!T57)</f>
        <v>109343.76999999999</v>
      </c>
      <c r="U57" s="284">
        <f>SUM('Executive Office:IT'!U57)</f>
        <v>110030.39999999999</v>
      </c>
      <c r="V57" s="284">
        <f>SUM('Executive Office:IT'!V57)</f>
        <v>110789.11</v>
      </c>
      <c r="W57" s="284">
        <f>SUM('Executive Office:IT'!W57)</f>
        <v>109893.43999999999</v>
      </c>
      <c r="X57" s="284">
        <f>SUM('Executive Office:IT'!X57)</f>
        <v>110021.79000000001</v>
      </c>
      <c r="Y57" s="284">
        <f>SUM('Executive Office:IT'!Y57)</f>
        <v>110332.33</v>
      </c>
      <c r="Z57" s="284">
        <f>SUM('Executive Office:IT'!Z57)</f>
        <v>110332.33</v>
      </c>
      <c r="AA57" s="284">
        <f>SUM('Executive Office:IT'!AA57)</f>
        <v>110332.33</v>
      </c>
      <c r="AB57" s="124">
        <f>SUM('Executive Office:IT'!AB57)</f>
        <v>110332.33</v>
      </c>
      <c r="AC57" s="129">
        <f>SUM(Q57:AB57)</f>
        <v>1496575.0300000003</v>
      </c>
      <c r="AD57" s="283">
        <f t="shared" si="10"/>
        <v>178978.43000000017</v>
      </c>
      <c r="AE57" s="192">
        <f t="shared" si="11"/>
        <v>0.11959201938575718</v>
      </c>
      <c r="AF57" s="129">
        <v>1199325.6200000001</v>
      </c>
      <c r="AG57" s="123">
        <f t="shared" si="5"/>
        <v>-118270.97999999998</v>
      </c>
      <c r="AH57" s="124"/>
      <c r="AI57" s="124"/>
    </row>
    <row r="58" spans="1:35">
      <c r="A58" s="105" t="s">
        <v>871</v>
      </c>
      <c r="B58" s="105" t="s">
        <v>833</v>
      </c>
      <c r="C58" s="105" t="s">
        <v>262</v>
      </c>
      <c r="D58" s="283">
        <f>SUM('Executive Office:IT'!D58)</f>
        <v>39440</v>
      </c>
      <c r="E58" s="283">
        <f>SUM('Executive Office:IT'!E58)</f>
        <v>39440</v>
      </c>
      <c r="F58" s="283">
        <f>SUM('Executive Office:IT'!F58)</f>
        <v>39440</v>
      </c>
      <c r="G58" s="283">
        <f>SUM('Executive Office:IT'!G58)</f>
        <v>39770</v>
      </c>
      <c r="H58" s="283">
        <f>SUM('Executive Office:IT'!H58)</f>
        <v>39770</v>
      </c>
      <c r="I58" s="283">
        <f>SUM('Executive Office:IT'!I58)</f>
        <v>39770</v>
      </c>
      <c r="J58" s="283">
        <f>SUM('Executive Office:IT'!J58)</f>
        <v>39770</v>
      </c>
      <c r="K58" s="283">
        <f>SUM('Executive Office:IT'!K58)</f>
        <v>39670</v>
      </c>
      <c r="L58" s="283">
        <f>SUM('Executive Office:IT'!L58)</f>
        <v>39670</v>
      </c>
      <c r="M58" s="283">
        <f>SUM('Executive Office:IT'!M58)</f>
        <v>39670</v>
      </c>
      <c r="N58" s="283">
        <f>SUM('Executive Office:IT'!N58)</f>
        <v>39670</v>
      </c>
      <c r="O58" s="283">
        <f>SUM('Executive Office:IT'!O58)</f>
        <v>39670</v>
      </c>
      <c r="P58" s="281">
        <f>SUM(D58:O58)</f>
        <v>475750</v>
      </c>
      <c r="Q58" s="284">
        <f>SUM('Executive Office:IT'!Q58)</f>
        <v>39258.089999999997</v>
      </c>
      <c r="R58" s="284">
        <f>SUM('Executive Office:IT'!R58)</f>
        <v>39222.93</v>
      </c>
      <c r="S58" s="284">
        <f>SUM('Executive Office:IT'!S58)</f>
        <v>38085.94</v>
      </c>
      <c r="T58" s="284">
        <f>SUM('Executive Office:IT'!T58)</f>
        <v>38556.759999999995</v>
      </c>
      <c r="U58" s="284">
        <f>SUM('Executive Office:IT'!U58)</f>
        <v>40184.36</v>
      </c>
      <c r="V58" s="284">
        <f>SUM('Executive Office:IT'!V58)</f>
        <v>36730.18</v>
      </c>
      <c r="W58" s="284">
        <f>SUM('Executive Office:IT'!W58)</f>
        <v>36648</v>
      </c>
      <c r="X58" s="284">
        <f>SUM('Executive Office:IT'!X58)</f>
        <v>38376.589999999997</v>
      </c>
      <c r="Y58" s="284">
        <f>SUM('Executive Office:IT'!Y58)</f>
        <v>46981</v>
      </c>
      <c r="Z58" s="284">
        <f>SUM('Executive Office:IT'!Z58)</f>
        <v>46171</v>
      </c>
      <c r="AA58" s="284">
        <f>SUM('Executive Office:IT'!AA58)</f>
        <v>46471</v>
      </c>
      <c r="AB58" s="124">
        <f>SUM('Executive Office:IT'!AB58)</f>
        <v>46691</v>
      </c>
      <c r="AC58" s="129">
        <f>SUM(Q58:AB58)</f>
        <v>493376.85</v>
      </c>
      <c r="AD58" s="283">
        <f t="shared" si="10"/>
        <v>17626.849999999977</v>
      </c>
      <c r="AE58" s="192">
        <f t="shared" si="11"/>
        <v>3.5726949896412806E-2</v>
      </c>
      <c r="AF58" s="129">
        <v>246772</v>
      </c>
      <c r="AG58" s="123">
        <f t="shared" si="5"/>
        <v>-228978</v>
      </c>
      <c r="AH58" s="124"/>
      <c r="AI58" s="124"/>
    </row>
    <row r="59" spans="1:35">
      <c r="A59" s="105" t="s">
        <v>872</v>
      </c>
      <c r="B59" s="105" t="s">
        <v>833</v>
      </c>
      <c r="C59" s="105" t="s">
        <v>263</v>
      </c>
      <c r="D59" s="283">
        <f>SUM('Executive Office:IT'!D59)</f>
        <v>0</v>
      </c>
      <c r="E59" s="283">
        <f>SUM('Executive Office:IT'!E59)</f>
        <v>0</v>
      </c>
      <c r="F59" s="283">
        <f>SUM('Executive Office:IT'!F59)</f>
        <v>0</v>
      </c>
      <c r="G59" s="283">
        <f>SUM('Executive Office:IT'!G59)</f>
        <v>0</v>
      </c>
      <c r="H59" s="283">
        <f>SUM('Executive Office:IT'!H59)</f>
        <v>0</v>
      </c>
      <c r="I59" s="283">
        <f>SUM('Executive Office:IT'!I59)</f>
        <v>0</v>
      </c>
      <c r="J59" s="283">
        <f>SUM('Executive Office:IT'!J59)</f>
        <v>0</v>
      </c>
      <c r="K59" s="283">
        <f>SUM('Executive Office:IT'!K59)</f>
        <v>0</v>
      </c>
      <c r="L59" s="283">
        <f>SUM('Executive Office:IT'!L59)</f>
        <v>0</v>
      </c>
      <c r="M59" s="283">
        <f>SUM('Executive Office:IT'!M59)</f>
        <v>0</v>
      </c>
      <c r="N59" s="283">
        <f>SUM('Executive Office:IT'!N59)</f>
        <v>0</v>
      </c>
      <c r="O59" s="283">
        <f>SUM('Executive Office:IT'!O59)</f>
        <v>0</v>
      </c>
      <c r="P59" s="281">
        <f>SUM(D59:O59)</f>
        <v>0</v>
      </c>
      <c r="Q59" s="284">
        <f>SUM('Executive Office:IT'!Q59)</f>
        <v>0</v>
      </c>
      <c r="R59" s="284">
        <f>SUM('Executive Office:IT'!R59)</f>
        <v>0</v>
      </c>
      <c r="S59" s="284">
        <f>SUM('Executive Office:IT'!S59)</f>
        <v>0</v>
      </c>
      <c r="T59" s="284">
        <f>SUM('Executive Office:IT'!T59)</f>
        <v>0</v>
      </c>
      <c r="U59" s="284">
        <f>SUM('Executive Office:IT'!U59)</f>
        <v>0</v>
      </c>
      <c r="V59" s="284">
        <f>SUM('Executive Office:IT'!V59)</f>
        <v>0</v>
      </c>
      <c r="W59" s="284">
        <f>SUM('Executive Office:IT'!W59)</f>
        <v>0</v>
      </c>
      <c r="X59" s="284">
        <f>SUM('Executive Office:IT'!X59)</f>
        <v>0</v>
      </c>
      <c r="Y59" s="284">
        <f>SUM('Executive Office:IT'!Y59)</f>
        <v>0</v>
      </c>
      <c r="Z59" s="284">
        <f>SUM('Executive Office:IT'!Z59)</f>
        <v>0</v>
      </c>
      <c r="AA59" s="284">
        <f>SUM('Executive Office:IT'!AA59)</f>
        <v>0</v>
      </c>
      <c r="AB59" s="124">
        <f>SUM('Executive Office:IT'!AB59)</f>
        <v>0</v>
      </c>
      <c r="AC59" s="129">
        <f>SUM(Q59:AB59)</f>
        <v>0</v>
      </c>
      <c r="AD59" s="105">
        <f t="shared" si="10"/>
        <v>0</v>
      </c>
      <c r="AE59" s="192" t="e">
        <f t="shared" si="11"/>
        <v>#DIV/0!</v>
      </c>
      <c r="AF59" s="129">
        <v>0</v>
      </c>
      <c r="AG59" s="123">
        <f t="shared" si="5"/>
        <v>0</v>
      </c>
      <c r="AH59" s="124"/>
      <c r="AI59" s="124"/>
    </row>
    <row r="60" spans="1:35">
      <c r="A60" s="105" t="s">
        <v>873</v>
      </c>
      <c r="B60" s="105" t="s">
        <v>833</v>
      </c>
      <c r="C60" s="105" t="s">
        <v>264</v>
      </c>
      <c r="D60" s="283">
        <f>SUM('Executive Office:IT'!D60)</f>
        <v>9000</v>
      </c>
      <c r="E60" s="283">
        <f>SUM('Executive Office:IT'!E60)</f>
        <v>9000</v>
      </c>
      <c r="F60" s="283">
        <f>SUM('Executive Office:IT'!F60)</f>
        <v>9000</v>
      </c>
      <c r="G60" s="283">
        <f>SUM('Executive Office:IT'!G60)</f>
        <v>9000</v>
      </c>
      <c r="H60" s="283">
        <f>SUM('Executive Office:IT'!H60)</f>
        <v>9000</v>
      </c>
      <c r="I60" s="283">
        <f>SUM('Executive Office:IT'!I60)</f>
        <v>9000</v>
      </c>
      <c r="J60" s="283">
        <f>SUM('Executive Office:IT'!J60)</f>
        <v>9000</v>
      </c>
      <c r="K60" s="283">
        <f>SUM('Executive Office:IT'!K60)</f>
        <v>9000</v>
      </c>
      <c r="L60" s="283">
        <f>SUM('Executive Office:IT'!L60)</f>
        <v>9000</v>
      </c>
      <c r="M60" s="283">
        <f>SUM('Executive Office:IT'!M60)</f>
        <v>9000</v>
      </c>
      <c r="N60" s="283">
        <f>SUM('Executive Office:IT'!N60)</f>
        <v>9000</v>
      </c>
      <c r="O60" s="283">
        <f>SUM('Executive Office:IT'!O60)</f>
        <v>9000</v>
      </c>
      <c r="P60" s="281">
        <f>SUM(D60:O60)</f>
        <v>108000</v>
      </c>
      <c r="Q60" s="284">
        <f>SUM('Executive Office:IT'!Q60)</f>
        <v>9000</v>
      </c>
      <c r="R60" s="284">
        <f>SUM('Executive Office:IT'!R60)</f>
        <v>9000</v>
      </c>
      <c r="S60" s="284">
        <f>SUM('Executive Office:IT'!S60)</f>
        <v>6832.17</v>
      </c>
      <c r="T60" s="284">
        <f>SUM('Executive Office:IT'!T60)</f>
        <v>11167.83</v>
      </c>
      <c r="U60" s="284">
        <f>SUM('Executive Office:IT'!U60)</f>
        <v>9000</v>
      </c>
      <c r="V60" s="284">
        <f>SUM('Executive Office:IT'!V60)</f>
        <v>9000</v>
      </c>
      <c r="W60" s="284">
        <f>SUM('Executive Office:IT'!W60)</f>
        <v>9000</v>
      </c>
      <c r="X60" s="284">
        <f>SUM('Executive Office:IT'!X60)</f>
        <v>9000</v>
      </c>
      <c r="Y60" s="284">
        <f>SUM('Executive Office:IT'!Y60)</f>
        <v>4000</v>
      </c>
      <c r="Z60" s="284">
        <f>SUM('Executive Office:IT'!Z60)</f>
        <v>4000</v>
      </c>
      <c r="AA60" s="284">
        <f>SUM('Executive Office:IT'!AA60)</f>
        <v>4000</v>
      </c>
      <c r="AB60" s="124">
        <f>SUM('Executive Office:IT'!AB60)</f>
        <v>4000</v>
      </c>
      <c r="AC60" s="129">
        <f>SUM(Q60:AB60)</f>
        <v>88000</v>
      </c>
      <c r="AD60" s="283">
        <f t="shared" si="10"/>
        <v>-20000</v>
      </c>
      <c r="AE60" s="192">
        <f t="shared" si="11"/>
        <v>-0.22727272727272727</v>
      </c>
      <c r="AF60" s="129">
        <v>974.62</v>
      </c>
      <c r="AG60" s="123">
        <f t="shared" si="5"/>
        <v>-107025.38</v>
      </c>
      <c r="AH60" s="124"/>
      <c r="AI60" s="124"/>
    </row>
    <row r="61" spans="1:35">
      <c r="C61" s="109" t="s">
        <v>265</v>
      </c>
      <c r="D61" s="281">
        <f t="shared" ref="D61:AC61" si="12">SUM(D56:D60)</f>
        <v>192775.78000000003</v>
      </c>
      <c r="E61" s="281">
        <f>SUM(E56:E60)</f>
        <v>157334.39000000001</v>
      </c>
      <c r="F61" s="281">
        <f t="shared" si="12"/>
        <v>157334.39000000001</v>
      </c>
      <c r="G61" s="281">
        <f t="shared" si="12"/>
        <v>168328.53000000003</v>
      </c>
      <c r="H61" s="281">
        <f t="shared" si="12"/>
        <v>175845.78000000003</v>
      </c>
      <c r="I61" s="281">
        <f t="shared" si="12"/>
        <v>158664.39000000001</v>
      </c>
      <c r="J61" s="281">
        <f t="shared" si="12"/>
        <v>158664.39000000001</v>
      </c>
      <c r="K61" s="281">
        <f t="shared" si="12"/>
        <v>158842.17000000001</v>
      </c>
      <c r="L61" s="281">
        <f t="shared" si="12"/>
        <v>158842.17000000001</v>
      </c>
      <c r="M61" s="281">
        <f t="shared" si="12"/>
        <v>197064.65000000002</v>
      </c>
      <c r="N61" s="281">
        <f t="shared" si="12"/>
        <v>159000.51</v>
      </c>
      <c r="O61" s="281">
        <f t="shared" si="12"/>
        <v>159000.51</v>
      </c>
      <c r="P61" s="281">
        <f t="shared" si="12"/>
        <v>2001697.6600000001</v>
      </c>
      <c r="Q61" s="282">
        <f t="shared" si="12"/>
        <v>228579.99000000002</v>
      </c>
      <c r="R61" s="282">
        <f t="shared" si="12"/>
        <v>248772.87</v>
      </c>
      <c r="S61" s="282">
        <f t="shared" si="12"/>
        <v>213489.86</v>
      </c>
      <c r="T61" s="282">
        <f t="shared" si="12"/>
        <v>170454.65999999997</v>
      </c>
      <c r="U61" s="282">
        <f t="shared" si="12"/>
        <v>166804.49</v>
      </c>
      <c r="V61" s="282">
        <f t="shared" si="12"/>
        <v>163446.92000000001</v>
      </c>
      <c r="W61" s="282">
        <f t="shared" si="12"/>
        <v>155541.44</v>
      </c>
      <c r="X61" s="282">
        <f t="shared" si="12"/>
        <v>157398.38</v>
      </c>
      <c r="Y61" s="282">
        <f>SUM(Y56:Y60)</f>
        <v>173712.33000000002</v>
      </c>
      <c r="Z61" s="282">
        <f>SUM(Z56:Z60)</f>
        <v>197701.33000000002</v>
      </c>
      <c r="AA61" s="282">
        <f>SUM(AA56:AA60)</f>
        <v>160803.33000000002</v>
      </c>
      <c r="AB61" s="129">
        <f>SUM(AB56:AB60)</f>
        <v>161023.33000000002</v>
      </c>
      <c r="AC61" s="133">
        <f t="shared" si="12"/>
        <v>2197728.9300000002</v>
      </c>
      <c r="AD61" s="281">
        <f t="shared" si="10"/>
        <v>196031.27000000002</v>
      </c>
      <c r="AE61" s="132">
        <f t="shared" si="11"/>
        <v>8.9197201403723614E-2</v>
      </c>
      <c r="AF61" s="129">
        <v>1613697.7300000002</v>
      </c>
      <c r="AG61" s="123">
        <f t="shared" si="5"/>
        <v>-387999.92999999993</v>
      </c>
      <c r="AH61" s="124"/>
      <c r="AI61" s="124"/>
    </row>
    <row r="62" spans="1:35">
      <c r="C62" s="105" t="s">
        <v>154</v>
      </c>
      <c r="D62" s="283"/>
      <c r="E62" s="283"/>
      <c r="F62" s="283"/>
      <c r="G62" s="283"/>
      <c r="H62" s="283"/>
      <c r="I62" s="283"/>
      <c r="J62" s="283"/>
      <c r="K62" s="283"/>
      <c r="L62" s="283"/>
      <c r="M62" s="283"/>
      <c r="N62" s="283"/>
      <c r="O62" s="283"/>
      <c r="P62" s="281"/>
      <c r="Q62" s="284"/>
      <c r="R62" s="284"/>
      <c r="S62" s="284"/>
      <c r="T62" s="284"/>
      <c r="U62" s="284"/>
      <c r="V62" s="284"/>
      <c r="W62" s="284"/>
      <c r="X62" s="284"/>
      <c r="Y62" s="284"/>
      <c r="Z62" s="284"/>
      <c r="AA62" s="284"/>
      <c r="AB62" s="124"/>
      <c r="AC62" s="133"/>
      <c r="AF62" s="129"/>
      <c r="AG62" s="123">
        <f t="shared" si="5"/>
        <v>0</v>
      </c>
      <c r="AH62" s="124"/>
      <c r="AI62" s="124"/>
    </row>
    <row r="63" spans="1:35">
      <c r="A63" s="105" t="s">
        <v>874</v>
      </c>
      <c r="B63" s="105" t="s">
        <v>833</v>
      </c>
      <c r="C63" s="105" t="s">
        <v>266</v>
      </c>
      <c r="D63" s="283">
        <f>SUM('Executive Office:IT'!D63)</f>
        <v>105365.12999999998</v>
      </c>
      <c r="E63" s="283">
        <f>SUM('Executive Office:IT'!E63)</f>
        <v>105365.12999999998</v>
      </c>
      <c r="F63" s="283">
        <f>SUM('Executive Office:IT'!F63)</f>
        <v>105365.12999999998</v>
      </c>
      <c r="G63" s="283">
        <f>SUM('Executive Office:IT'!G63)</f>
        <v>106325.12999999998</v>
      </c>
      <c r="H63" s="283">
        <f>SUM('Executive Office:IT'!H63)</f>
        <v>106325.12999999998</v>
      </c>
      <c r="I63" s="283">
        <f>SUM('Executive Office:IT'!I63)</f>
        <v>106325.12999999998</v>
      </c>
      <c r="J63" s="283">
        <f>SUM('Executive Office:IT'!J63)</f>
        <v>109347.16</v>
      </c>
      <c r="K63" s="283">
        <f>SUM('Executive Office:IT'!K63)</f>
        <v>109613.26000000001</v>
      </c>
      <c r="L63" s="283">
        <f>SUM('Executive Office:IT'!L63)</f>
        <v>109613.26000000001</v>
      </c>
      <c r="M63" s="283">
        <f>SUM('Executive Office:IT'!M63)</f>
        <v>109613.26000000001</v>
      </c>
      <c r="N63" s="283">
        <f>SUM('Executive Office:IT'!N63)</f>
        <v>109613.26000000001</v>
      </c>
      <c r="O63" s="283">
        <f>SUM('Executive Office:IT'!O63)</f>
        <v>109613.26000000001</v>
      </c>
      <c r="P63" s="281">
        <f t="shared" ref="P63:P70" si="13">SUM(D63:O63)</f>
        <v>1292484.24</v>
      </c>
      <c r="Q63" s="284">
        <f>SUM('Executive Office:IT'!Q63)</f>
        <v>112586.40000000001</v>
      </c>
      <c r="R63" s="284">
        <f>SUM('Executive Office:IT'!R63)</f>
        <v>112586.40000000001</v>
      </c>
      <c r="S63" s="284">
        <f>SUM('Executive Office:IT'!S63)</f>
        <v>112826.40000000001</v>
      </c>
      <c r="T63" s="284">
        <f>SUM('Executive Office:IT'!T63)</f>
        <v>107500.41</v>
      </c>
      <c r="U63" s="284">
        <f>SUM('Executive Office:IT'!U63)</f>
        <v>107712.45</v>
      </c>
      <c r="V63" s="284">
        <f>SUM('Executive Office:IT'!V63)</f>
        <v>106799.79999999999</v>
      </c>
      <c r="W63" s="284">
        <f>SUM('Executive Office:IT'!W63)</f>
        <v>104723.92</v>
      </c>
      <c r="X63" s="284">
        <f>SUM('Executive Office:IT'!X63)</f>
        <v>105688.43</v>
      </c>
      <c r="Y63" s="284">
        <f>SUM('Executive Office:IT'!Y63)</f>
        <v>106641</v>
      </c>
      <c r="Z63" s="284">
        <f>SUM('Executive Office:IT'!Z63)</f>
        <v>106641</v>
      </c>
      <c r="AA63" s="284">
        <f>SUM('Executive Office:IT'!AA63)</f>
        <v>106641</v>
      </c>
      <c r="AB63" s="124">
        <f>SUM('Executive Office:IT'!AB63)</f>
        <v>106641</v>
      </c>
      <c r="AC63" s="129">
        <f t="shared" ref="AC63:AC70" si="14">SUM(Q63:AB63)</f>
        <v>1296988.21</v>
      </c>
      <c r="AD63" s="283">
        <f t="shared" ref="AD63:AD69" si="15">AC63-P63</f>
        <v>4503.9699999999721</v>
      </c>
      <c r="AE63" s="192">
        <f t="shared" ref="AE63:AE69" si="16">AD63/AC63</f>
        <v>3.4726375808766777E-3</v>
      </c>
      <c r="AF63" s="129">
        <v>1123854.8099999998</v>
      </c>
      <c r="AG63" s="123">
        <f t="shared" si="5"/>
        <v>-168629.43000000017</v>
      </c>
      <c r="AH63" s="124"/>
      <c r="AI63" s="124"/>
    </row>
    <row r="64" spans="1:35">
      <c r="A64" s="105" t="s">
        <v>875</v>
      </c>
      <c r="B64" s="105" t="s">
        <v>833</v>
      </c>
      <c r="C64" s="105" t="s">
        <v>267</v>
      </c>
      <c r="D64" s="283">
        <f>SUM('Executive Office:IT'!D64)</f>
        <v>42706.189999999995</v>
      </c>
      <c r="E64" s="283">
        <f>SUM('Executive Office:IT'!E64)</f>
        <v>42706.189999999995</v>
      </c>
      <c r="F64" s="283">
        <f>SUM('Executive Office:IT'!F64)</f>
        <v>42706.189999999995</v>
      </c>
      <c r="G64" s="283">
        <f>SUM('Executive Office:IT'!G64)</f>
        <v>43096.189999999995</v>
      </c>
      <c r="H64" s="283">
        <f>SUM('Executive Office:IT'!H64)</f>
        <v>43096.189999999995</v>
      </c>
      <c r="I64" s="283">
        <f>SUM('Executive Office:IT'!I64)</f>
        <v>43096.189999999995</v>
      </c>
      <c r="J64" s="283">
        <f>SUM('Executive Office:IT'!J64)</f>
        <v>44196.88</v>
      </c>
      <c r="K64" s="283">
        <f>SUM('Executive Office:IT'!K64)</f>
        <v>44304.979999999996</v>
      </c>
      <c r="L64" s="283">
        <f>SUM('Executive Office:IT'!L64)</f>
        <v>44304.979999999996</v>
      </c>
      <c r="M64" s="283">
        <f>SUM('Executive Office:IT'!M64)</f>
        <v>44304.979999999996</v>
      </c>
      <c r="N64" s="283">
        <f>SUM('Executive Office:IT'!N64)</f>
        <v>44304.979999999996</v>
      </c>
      <c r="O64" s="283">
        <f>SUM('Executive Office:IT'!O64)</f>
        <v>44304.979999999996</v>
      </c>
      <c r="P64" s="281">
        <f t="shared" si="13"/>
        <v>523128.91999999987</v>
      </c>
      <c r="Q64" s="284">
        <f>SUM('Executive Office:IT'!Q64)</f>
        <v>59811.520000000004</v>
      </c>
      <c r="R64" s="284">
        <f>SUM('Executive Office:IT'!R64)</f>
        <v>59811.520000000004</v>
      </c>
      <c r="S64" s="284">
        <f>SUM('Executive Office:IT'!S64)</f>
        <v>59939.020000000004</v>
      </c>
      <c r="T64" s="284">
        <f>SUM('Executive Office:IT'!T64)</f>
        <v>57109.59</v>
      </c>
      <c r="U64" s="284">
        <f>SUM('Executive Office:IT'!U64)</f>
        <v>57188.109999999993</v>
      </c>
      <c r="V64" s="284">
        <f>SUM('Executive Office:IT'!V64)</f>
        <v>56737.389999999992</v>
      </c>
      <c r="W64" s="284">
        <f>SUM('Executive Office:IT'!W64)</f>
        <v>42567.689999999995</v>
      </c>
      <c r="X64" s="284">
        <f>SUM('Executive Office:IT'!X64)</f>
        <v>42935.92</v>
      </c>
      <c r="Y64" s="284">
        <f>SUM('Executive Office:IT'!Y64)</f>
        <v>54832</v>
      </c>
      <c r="Z64" s="284">
        <f>SUM('Executive Office:IT'!Z64)</f>
        <v>54832</v>
      </c>
      <c r="AA64" s="284">
        <f>SUM('Executive Office:IT'!AA64)</f>
        <v>54832</v>
      </c>
      <c r="AB64" s="124">
        <f>SUM('Executive Office:IT'!AB64)</f>
        <v>54832</v>
      </c>
      <c r="AC64" s="129">
        <f t="shared" si="14"/>
        <v>655428.76</v>
      </c>
      <c r="AD64" s="283">
        <f t="shared" si="15"/>
        <v>132299.84000000014</v>
      </c>
      <c r="AE64" s="192">
        <f t="shared" si="16"/>
        <v>0.20185235692129247</v>
      </c>
      <c r="AF64" s="129">
        <v>546301.84</v>
      </c>
      <c r="AG64" s="123">
        <f t="shared" si="5"/>
        <v>23172.9200000001</v>
      </c>
      <c r="AH64" s="124"/>
      <c r="AI64" s="124"/>
    </row>
    <row r="65" spans="1:35">
      <c r="A65" s="105" t="s">
        <v>876</v>
      </c>
      <c r="B65" s="105" t="s">
        <v>833</v>
      </c>
      <c r="C65" s="105" t="s">
        <v>268</v>
      </c>
      <c r="D65" s="283">
        <f>SUM('Executive Office:IT'!D65)</f>
        <v>3285.1399999999994</v>
      </c>
      <c r="E65" s="283">
        <f>SUM('Executive Office:IT'!E65)</f>
        <v>3285.1399999999994</v>
      </c>
      <c r="F65" s="283">
        <f>SUM('Executive Office:IT'!F65)</f>
        <v>3285.1399999999994</v>
      </c>
      <c r="G65" s="283">
        <f>SUM('Executive Office:IT'!G65)</f>
        <v>3315.1399999999994</v>
      </c>
      <c r="H65" s="283">
        <f>SUM('Executive Office:IT'!H65)</f>
        <v>3315.1399999999994</v>
      </c>
      <c r="I65" s="283">
        <f>SUM('Executive Office:IT'!I65)</f>
        <v>3315.1399999999994</v>
      </c>
      <c r="J65" s="283">
        <f>SUM('Executive Office:IT'!J65)</f>
        <v>3399.89</v>
      </c>
      <c r="K65" s="283">
        <f>SUM('Executive Office:IT'!K65)</f>
        <v>3408.21</v>
      </c>
      <c r="L65" s="283">
        <f>SUM('Executive Office:IT'!L65)</f>
        <v>3408.21</v>
      </c>
      <c r="M65" s="283">
        <f>SUM('Executive Office:IT'!M65)</f>
        <v>3408.21</v>
      </c>
      <c r="N65" s="283">
        <f>SUM('Executive Office:IT'!N65)</f>
        <v>3408.21</v>
      </c>
      <c r="O65" s="283">
        <f>SUM('Executive Office:IT'!O65)</f>
        <v>3408.21</v>
      </c>
      <c r="P65" s="281">
        <f t="shared" si="13"/>
        <v>40241.779999999992</v>
      </c>
      <c r="Q65" s="284">
        <f>SUM('Executive Office:IT'!Q65)</f>
        <v>3518.3400000000006</v>
      </c>
      <c r="R65" s="284">
        <f>SUM('Executive Office:IT'!R65)</f>
        <v>3518.3400000000006</v>
      </c>
      <c r="S65" s="284">
        <f>SUM('Executive Office:IT'!S65)</f>
        <v>3525.8400000000006</v>
      </c>
      <c r="T65" s="284">
        <f>SUM('Executive Office:IT'!T65)</f>
        <v>3359.4</v>
      </c>
      <c r="U65" s="284">
        <f>SUM('Executive Office:IT'!U65)</f>
        <v>3379.6800000000003</v>
      </c>
      <c r="V65" s="284">
        <f>SUM('Executive Office:IT'!V65)</f>
        <v>3337.51</v>
      </c>
      <c r="W65" s="284">
        <f>SUM('Executive Office:IT'!W65)</f>
        <v>3271.51</v>
      </c>
      <c r="X65" s="284">
        <f>SUM('Executive Office:IT'!X65)</f>
        <v>3302.77</v>
      </c>
      <c r="Y65" s="284">
        <f>SUM('Executive Office:IT'!Y65)</f>
        <v>3311</v>
      </c>
      <c r="Z65" s="284">
        <f>SUM('Executive Office:IT'!Z65)</f>
        <v>3311</v>
      </c>
      <c r="AA65" s="284">
        <f>SUM('Executive Office:IT'!AA65)</f>
        <v>3311</v>
      </c>
      <c r="AB65" s="124">
        <f>SUM('Executive Office:IT'!AB65)</f>
        <v>3311</v>
      </c>
      <c r="AC65" s="129">
        <f t="shared" si="14"/>
        <v>40457.39</v>
      </c>
      <c r="AD65" s="283">
        <f t="shared" si="15"/>
        <v>215.61000000000786</v>
      </c>
      <c r="AE65" s="192">
        <f t="shared" si="16"/>
        <v>5.3293106648750173E-3</v>
      </c>
      <c r="AF65" s="129">
        <v>33740.97</v>
      </c>
      <c r="AG65" s="123">
        <f t="shared" si="5"/>
        <v>-6500.8099999999904</v>
      </c>
      <c r="AH65" s="124"/>
      <c r="AI65" s="124"/>
    </row>
    <row r="66" spans="1:35">
      <c r="A66" s="105" t="s">
        <v>877</v>
      </c>
      <c r="B66" s="105" t="s">
        <v>833</v>
      </c>
      <c r="C66" s="105" t="s">
        <v>269</v>
      </c>
      <c r="D66" s="283">
        <f>SUM('Executive Office:IT'!D66)</f>
        <v>788.4</v>
      </c>
      <c r="E66" s="283">
        <f>SUM('Executive Office:IT'!E66)</f>
        <v>788.4</v>
      </c>
      <c r="F66" s="283">
        <f>SUM('Executive Office:IT'!F66)</f>
        <v>788.4</v>
      </c>
      <c r="G66" s="283">
        <f>SUM('Executive Office:IT'!G66)</f>
        <v>795.6</v>
      </c>
      <c r="H66" s="283">
        <f>SUM('Executive Office:IT'!H66)</f>
        <v>795.6</v>
      </c>
      <c r="I66" s="283">
        <f>SUM('Executive Office:IT'!I66)</f>
        <v>795.6</v>
      </c>
      <c r="J66" s="283">
        <f>SUM('Executive Office:IT'!J66)</f>
        <v>816.04</v>
      </c>
      <c r="K66" s="283">
        <f>SUM('Executive Office:IT'!K66)</f>
        <v>818.04</v>
      </c>
      <c r="L66" s="283">
        <f>SUM('Executive Office:IT'!L66)</f>
        <v>818.04</v>
      </c>
      <c r="M66" s="283">
        <f>SUM('Executive Office:IT'!M66)</f>
        <v>818.04</v>
      </c>
      <c r="N66" s="283">
        <f>SUM('Executive Office:IT'!N66)</f>
        <v>818.04</v>
      </c>
      <c r="O66" s="283">
        <f>SUM('Executive Office:IT'!O66)</f>
        <v>818.04</v>
      </c>
      <c r="P66" s="281">
        <f t="shared" si="13"/>
        <v>9658.2400000000016</v>
      </c>
      <c r="Q66" s="284">
        <f>SUM('Executive Office:IT'!Q66)</f>
        <v>870.03999999999985</v>
      </c>
      <c r="R66" s="284">
        <f>SUM('Executive Office:IT'!R66)</f>
        <v>870.03999999999985</v>
      </c>
      <c r="S66" s="284">
        <f>SUM('Executive Office:IT'!S66)</f>
        <v>871.83999999999992</v>
      </c>
      <c r="T66" s="284">
        <f>SUM('Executive Office:IT'!T66)</f>
        <v>831.89</v>
      </c>
      <c r="U66" s="284">
        <f>SUM('Executive Office:IT'!U66)</f>
        <v>852.59</v>
      </c>
      <c r="V66" s="284">
        <f>SUM('Executive Office:IT'!V66)</f>
        <v>826.63</v>
      </c>
      <c r="W66" s="284">
        <f>SUM('Executive Office:IT'!W66)</f>
        <v>810.77999999999986</v>
      </c>
      <c r="X66" s="284">
        <f>SUM('Executive Office:IT'!X66)</f>
        <v>818.30000000000007</v>
      </c>
      <c r="Y66" s="284">
        <f>SUM('Executive Office:IT'!Y66)</f>
        <v>848</v>
      </c>
      <c r="Z66" s="284">
        <f>SUM('Executive Office:IT'!Z66)</f>
        <v>848</v>
      </c>
      <c r="AA66" s="284">
        <f>SUM('Executive Office:IT'!AA66)</f>
        <v>848</v>
      </c>
      <c r="AB66" s="124">
        <f>SUM('Executive Office:IT'!AB66)</f>
        <v>848</v>
      </c>
      <c r="AC66" s="129">
        <f t="shared" si="14"/>
        <v>10144.11</v>
      </c>
      <c r="AD66" s="283">
        <f t="shared" si="15"/>
        <v>485.86999999999898</v>
      </c>
      <c r="AE66" s="192">
        <f t="shared" si="16"/>
        <v>4.7896759794599918E-2</v>
      </c>
      <c r="AF66" s="129">
        <v>10820.170000000002</v>
      </c>
      <c r="AG66" s="123">
        <f t="shared" si="5"/>
        <v>1161.9300000000003</v>
      </c>
      <c r="AH66" s="124"/>
      <c r="AI66" s="124"/>
    </row>
    <row r="67" spans="1:35">
      <c r="A67" s="105" t="s">
        <v>878</v>
      </c>
      <c r="B67" s="105" t="s">
        <v>833</v>
      </c>
      <c r="C67" s="105" t="s">
        <v>270</v>
      </c>
      <c r="D67" s="283">
        <f>SUM('Executive Office:IT'!D67)</f>
        <v>0</v>
      </c>
      <c r="E67" s="283">
        <f>SUM('Executive Office:IT'!E67)</f>
        <v>0</v>
      </c>
      <c r="F67" s="283">
        <f>SUM('Executive Office:IT'!F67)</f>
        <v>0</v>
      </c>
      <c r="G67" s="283">
        <f>SUM('Executive Office:IT'!G67)</f>
        <v>0</v>
      </c>
      <c r="H67" s="283">
        <f>SUM('Executive Office:IT'!H67)</f>
        <v>0</v>
      </c>
      <c r="I67" s="283">
        <f>SUM('Executive Office:IT'!I67)</f>
        <v>0</v>
      </c>
      <c r="J67" s="283">
        <f>SUM('Executive Office:IT'!J67)</f>
        <v>0</v>
      </c>
      <c r="K67" s="283">
        <f>SUM('Executive Office:IT'!K67)</f>
        <v>0</v>
      </c>
      <c r="L67" s="283">
        <f>SUM('Executive Office:IT'!L67)</f>
        <v>0</v>
      </c>
      <c r="M67" s="283">
        <f>SUM('Executive Office:IT'!M67)</f>
        <v>0</v>
      </c>
      <c r="N67" s="283">
        <f>SUM('Executive Office:IT'!N67)</f>
        <v>0</v>
      </c>
      <c r="O67" s="283">
        <f>SUM('Executive Office:IT'!O67)</f>
        <v>0</v>
      </c>
      <c r="P67" s="281">
        <f t="shared" si="13"/>
        <v>0</v>
      </c>
      <c r="Q67" s="284">
        <f>SUM('Executive Office:IT'!Q67)</f>
        <v>0</v>
      </c>
      <c r="R67" s="284">
        <f>SUM('Executive Office:IT'!R67)</f>
        <v>0</v>
      </c>
      <c r="S67" s="284">
        <f>SUM('Executive Office:IT'!S67)</f>
        <v>0</v>
      </c>
      <c r="T67" s="284">
        <f>SUM('Executive Office:IT'!T67)</f>
        <v>0</v>
      </c>
      <c r="U67" s="284">
        <f>SUM('Executive Office:IT'!U67)</f>
        <v>0</v>
      </c>
      <c r="V67" s="284">
        <f>SUM('Executive Office:IT'!V67)</f>
        <v>0</v>
      </c>
      <c r="W67" s="284">
        <f>SUM('Executive Office:IT'!W67)</f>
        <v>0</v>
      </c>
      <c r="X67" s="284">
        <f>SUM('Executive Office:IT'!X67)</f>
        <v>0</v>
      </c>
      <c r="Y67" s="284">
        <f>SUM('Executive Office:IT'!Y67)</f>
        <v>0</v>
      </c>
      <c r="Z67" s="284">
        <f>SUM('Executive Office:IT'!Z67)</f>
        <v>0</v>
      </c>
      <c r="AA67" s="284">
        <f>SUM('Executive Office:IT'!AA67)</f>
        <v>0</v>
      </c>
      <c r="AB67" s="124">
        <f>SUM('Executive Office:IT'!AB67)</f>
        <v>0</v>
      </c>
      <c r="AC67" s="129">
        <f t="shared" si="14"/>
        <v>0</v>
      </c>
      <c r="AD67" s="283">
        <f t="shared" si="15"/>
        <v>0</v>
      </c>
      <c r="AE67" s="192" t="e">
        <f t="shared" si="16"/>
        <v>#DIV/0!</v>
      </c>
      <c r="AF67" s="129">
        <v>23044.309999999998</v>
      </c>
      <c r="AG67" s="123">
        <f t="shared" si="5"/>
        <v>23044.309999999998</v>
      </c>
      <c r="AH67" s="124"/>
      <c r="AI67" s="124"/>
    </row>
    <row r="68" spans="1:35">
      <c r="A68" s="105" t="s">
        <v>879</v>
      </c>
      <c r="B68" s="105" t="s">
        <v>833</v>
      </c>
      <c r="C68" s="105" t="s">
        <v>271</v>
      </c>
      <c r="D68" s="283">
        <f>SUM('Executive Office:IT'!D68)</f>
        <v>32127.000000000007</v>
      </c>
      <c r="E68" s="283">
        <f>SUM('Executive Office:IT'!E68)</f>
        <v>32127.000000000007</v>
      </c>
      <c r="F68" s="283">
        <f>SUM('Executive Office:IT'!F68)</f>
        <v>32127.000000000007</v>
      </c>
      <c r="G68" s="283">
        <f>SUM('Executive Office:IT'!G68)</f>
        <v>32427.000000000007</v>
      </c>
      <c r="H68" s="283">
        <f>SUM('Executive Office:IT'!H68)</f>
        <v>32427.000000000007</v>
      </c>
      <c r="I68" s="283">
        <f>SUM('Executive Office:IT'!I68)</f>
        <v>32427.000000000007</v>
      </c>
      <c r="J68" s="283">
        <f>SUM('Executive Office:IT'!J68)</f>
        <v>33997.810000000005</v>
      </c>
      <c r="K68" s="283">
        <f>SUM('Executive Office:IT'!K68)</f>
        <v>32910.86</v>
      </c>
      <c r="L68" s="283">
        <f>SUM('Executive Office:IT'!L68)</f>
        <v>32910.86</v>
      </c>
      <c r="M68" s="283">
        <f>SUM('Executive Office:IT'!M68)</f>
        <v>32987.279999999999</v>
      </c>
      <c r="N68" s="283">
        <f>SUM('Executive Office:IT'!N68)</f>
        <v>34080.97</v>
      </c>
      <c r="O68" s="283">
        <f>SUM('Executive Office:IT'!O68)</f>
        <v>32987.279999999999</v>
      </c>
      <c r="P68" s="281">
        <f t="shared" si="13"/>
        <v>393537.06000000006</v>
      </c>
      <c r="Q68" s="284">
        <f>SUM('Executive Office:IT'!Q68)</f>
        <v>37502</v>
      </c>
      <c r="R68" s="284">
        <f>SUM('Executive Office:IT'!R68)</f>
        <v>37502</v>
      </c>
      <c r="S68" s="284">
        <f>SUM('Executive Office:IT'!S68)</f>
        <v>37502</v>
      </c>
      <c r="T68" s="284">
        <f>SUM('Executive Office:IT'!T68)</f>
        <v>35963</v>
      </c>
      <c r="U68" s="284">
        <f>SUM('Executive Office:IT'!U68)</f>
        <v>36562.6</v>
      </c>
      <c r="V68" s="284">
        <f>SUM('Executive Office:IT'!V68)</f>
        <v>35773</v>
      </c>
      <c r="W68" s="284">
        <f>SUM('Executive Office:IT'!W68)</f>
        <v>35607</v>
      </c>
      <c r="X68" s="284">
        <f>SUM('Executive Office:IT'!X68)</f>
        <v>35785</v>
      </c>
      <c r="Y68" s="284">
        <f>SUM('Executive Office:IT'!Y68)</f>
        <v>32359</v>
      </c>
      <c r="Z68" s="284">
        <f>SUM('Executive Office:IT'!Z68)</f>
        <v>32359</v>
      </c>
      <c r="AA68" s="284">
        <f>SUM('Executive Office:IT'!AA68)</f>
        <v>32359</v>
      </c>
      <c r="AB68" s="124">
        <f>SUM('Executive Office:IT'!AB68)</f>
        <v>32359</v>
      </c>
      <c r="AC68" s="129">
        <f t="shared" si="14"/>
        <v>421632.6</v>
      </c>
      <c r="AD68" s="283">
        <f t="shared" si="15"/>
        <v>28095.539999999921</v>
      </c>
      <c r="AE68" s="192">
        <f t="shared" si="16"/>
        <v>6.6635122616230155E-2</v>
      </c>
      <c r="AF68" s="129">
        <v>328152</v>
      </c>
      <c r="AG68" s="123">
        <f t="shared" si="5"/>
        <v>-65385.060000000056</v>
      </c>
      <c r="AH68" s="124"/>
      <c r="AI68" s="124"/>
    </row>
    <row r="69" spans="1:35">
      <c r="A69" s="105" t="s">
        <v>880</v>
      </c>
      <c r="B69" s="105" t="s">
        <v>833</v>
      </c>
      <c r="C69" s="105" t="s">
        <v>272</v>
      </c>
      <c r="D69" s="283">
        <f>SUM('Executive Office:IT'!D69)</f>
        <v>17237</v>
      </c>
      <c r="E69" s="283">
        <f>SUM('Executive Office:IT'!E69)</f>
        <v>16528</v>
      </c>
      <c r="F69" s="283">
        <f>SUM('Executive Office:IT'!F69)</f>
        <v>16734</v>
      </c>
      <c r="G69" s="283">
        <f>SUM('Executive Office:IT'!G69)</f>
        <v>17067</v>
      </c>
      <c r="H69" s="283">
        <f>SUM('Executive Office:IT'!H69)</f>
        <v>17216</v>
      </c>
      <c r="I69" s="283">
        <f>SUM('Executive Office:IT'!I69)</f>
        <v>16873</v>
      </c>
      <c r="J69" s="283">
        <f>SUM('Executive Office:IT'!J69)</f>
        <v>16873</v>
      </c>
      <c r="K69" s="283">
        <f>SUM('Executive Office:IT'!K69)</f>
        <v>16887</v>
      </c>
      <c r="L69" s="283">
        <f>SUM('Executive Office:IT'!L69)</f>
        <v>16887</v>
      </c>
      <c r="M69" s="283">
        <f>SUM('Executive Office:IT'!M69)</f>
        <v>17651</v>
      </c>
      <c r="N69" s="283">
        <f>SUM('Executive Office:IT'!N69)</f>
        <v>16890</v>
      </c>
      <c r="O69" s="283">
        <f>SUM('Executive Office:IT'!O69)</f>
        <v>16890</v>
      </c>
      <c r="P69" s="281">
        <f t="shared" si="13"/>
        <v>203733</v>
      </c>
      <c r="Q69" s="284">
        <f>SUM('Executive Office:IT'!Q69)</f>
        <v>14459.890000000001</v>
      </c>
      <c r="R69" s="284">
        <f>SUM('Executive Office:IT'!R69)</f>
        <v>15040.869999999999</v>
      </c>
      <c r="S69" s="284">
        <f>SUM('Executive Office:IT'!S69)</f>
        <v>33615.089999999997</v>
      </c>
      <c r="T69" s="284">
        <f>SUM('Executive Office:IT'!T69)</f>
        <v>20694.810000000001</v>
      </c>
      <c r="U69" s="284">
        <f>SUM('Executive Office:IT'!U69)</f>
        <v>13983.74</v>
      </c>
      <c r="V69" s="284">
        <f>SUM('Executive Office:IT'!V69)</f>
        <v>15099.460000000001</v>
      </c>
      <c r="W69" s="284">
        <f>SUM('Executive Office:IT'!W69)</f>
        <v>13644.11</v>
      </c>
      <c r="X69" s="284">
        <f>SUM('Executive Office:IT'!X69)</f>
        <v>13841.23</v>
      </c>
      <c r="Y69" s="284">
        <f>SUM('Executive Office:IT'!Y69)</f>
        <v>160.31999999999243</v>
      </c>
      <c r="Z69" s="284">
        <f>SUM('Executive Office:IT'!Z69)</f>
        <v>1156.0999999999913</v>
      </c>
      <c r="AA69" s="284">
        <f>SUM('Executive Office:IT'!AA69)</f>
        <v>1416.5500000000029</v>
      </c>
      <c r="AB69" s="124">
        <f>SUM('Executive Office:IT'!AB69)</f>
        <v>1393.0200000000041</v>
      </c>
      <c r="AC69" s="129">
        <f t="shared" si="14"/>
        <v>144505.19</v>
      </c>
      <c r="AD69" s="283">
        <f t="shared" si="15"/>
        <v>-59227.81</v>
      </c>
      <c r="AE69" s="192">
        <f t="shared" si="16"/>
        <v>-0.40986631691221609</v>
      </c>
      <c r="AF69" s="129">
        <v>212604.53000000003</v>
      </c>
      <c r="AG69" s="123">
        <f t="shared" si="5"/>
        <v>8871.5300000000279</v>
      </c>
      <c r="AH69" s="124"/>
      <c r="AI69" s="124"/>
    </row>
    <row r="70" spans="1:35">
      <c r="A70" s="105" t="s">
        <v>273</v>
      </c>
      <c r="C70" s="105" t="s">
        <v>274</v>
      </c>
      <c r="D70" s="283">
        <f>SUM('Executive Office:IT'!D70)</f>
        <v>0</v>
      </c>
      <c r="E70" s="283">
        <f>SUM('Executive Office:IT'!E70)</f>
        <v>0</v>
      </c>
      <c r="F70" s="283">
        <f>SUM('Executive Office:IT'!F70)</f>
        <v>0</v>
      </c>
      <c r="G70" s="283">
        <f>SUM('Executive Office:IT'!G70)</f>
        <v>0</v>
      </c>
      <c r="H70" s="283">
        <f>SUM('Executive Office:IT'!H70)</f>
        <v>0</v>
      </c>
      <c r="I70" s="283">
        <f>SUM('Executive Office:IT'!I70)</f>
        <v>0</v>
      </c>
      <c r="J70" s="283">
        <f>SUM('Executive Office:IT'!J70)</f>
        <v>0</v>
      </c>
      <c r="K70" s="283">
        <f>SUM('Executive Office:IT'!K70)</f>
        <v>0</v>
      </c>
      <c r="L70" s="283">
        <f>SUM('Executive Office:IT'!L70)</f>
        <v>0</v>
      </c>
      <c r="M70" s="283">
        <f>SUM('Executive Office:IT'!M70)</f>
        <v>0</v>
      </c>
      <c r="N70" s="283">
        <f>SUM('Executive Office:IT'!N70)</f>
        <v>0</v>
      </c>
      <c r="O70" s="283">
        <f>SUM('Executive Office:IT'!O70)</f>
        <v>0</v>
      </c>
      <c r="P70" s="291">
        <f t="shared" si="13"/>
        <v>0</v>
      </c>
      <c r="Q70" s="284">
        <f>SUM('Executive Office:IT'!Q70)</f>
        <v>0</v>
      </c>
      <c r="R70" s="284">
        <f>SUM('Executive Office:IT'!R70)</f>
        <v>0</v>
      </c>
      <c r="S70" s="284">
        <f>SUM('Executive Office:IT'!S70)</f>
        <v>0</v>
      </c>
      <c r="T70" s="284">
        <f>SUM('Executive Office:IT'!T70)</f>
        <v>0</v>
      </c>
      <c r="U70" s="284">
        <f>SUM('Executive Office:IT'!U70)</f>
        <v>0</v>
      </c>
      <c r="V70" s="284">
        <f>SUM('Executive Office:IT'!V70)</f>
        <v>0</v>
      </c>
      <c r="W70" s="284">
        <f>SUM('Executive Office:IT'!W70)</f>
        <v>0</v>
      </c>
      <c r="X70" s="284">
        <f>SUM('Executive Office:IT'!X70)</f>
        <v>0</v>
      </c>
      <c r="Y70" s="284">
        <f>SUM('Executive Office:IT'!Y70)</f>
        <v>0</v>
      </c>
      <c r="Z70" s="284">
        <f>SUM('Executive Office:IT'!Z70)</f>
        <v>0</v>
      </c>
      <c r="AA70" s="284">
        <f>SUM('Executive Office:IT'!AA70)</f>
        <v>0</v>
      </c>
      <c r="AB70" s="124">
        <f>SUM('Executive Office:IT'!AB70)</f>
        <v>0</v>
      </c>
      <c r="AC70" s="129">
        <f t="shared" si="14"/>
        <v>0</v>
      </c>
      <c r="AF70" s="129">
        <v>0</v>
      </c>
      <c r="AG70" s="123">
        <f t="shared" si="5"/>
        <v>0</v>
      </c>
      <c r="AH70" s="124"/>
      <c r="AI70" s="124"/>
    </row>
    <row r="71" spans="1:35">
      <c r="C71" s="109" t="s">
        <v>275</v>
      </c>
      <c r="D71" s="281">
        <f>SUM(D63:D70)</f>
        <v>201508.85999999996</v>
      </c>
      <c r="E71" s="281">
        <f t="shared" ref="E71:AC71" si="17">SUM(E63:E70)</f>
        <v>200799.85999999996</v>
      </c>
      <c r="F71" s="281">
        <f t="shared" si="17"/>
        <v>201005.85999999996</v>
      </c>
      <c r="G71" s="281">
        <f t="shared" si="17"/>
        <v>203026.05999999997</v>
      </c>
      <c r="H71" s="281">
        <f t="shared" si="17"/>
        <v>203175.05999999997</v>
      </c>
      <c r="I71" s="281">
        <f t="shared" si="17"/>
        <v>202832.05999999997</v>
      </c>
      <c r="J71" s="281">
        <f t="shared" si="17"/>
        <v>208630.78000000003</v>
      </c>
      <c r="K71" s="281">
        <f t="shared" si="17"/>
        <v>207942.34999999998</v>
      </c>
      <c r="L71" s="281">
        <f t="shared" si="17"/>
        <v>207942.34999999998</v>
      </c>
      <c r="M71" s="281">
        <f t="shared" si="17"/>
        <v>208782.77</v>
      </c>
      <c r="N71" s="281">
        <f t="shared" si="17"/>
        <v>209115.46</v>
      </c>
      <c r="O71" s="281">
        <f t="shared" si="17"/>
        <v>208021.77</v>
      </c>
      <c r="P71" s="281">
        <f t="shared" si="17"/>
        <v>2462783.2400000002</v>
      </c>
      <c r="Q71" s="282">
        <f t="shared" si="17"/>
        <v>228748.19000000003</v>
      </c>
      <c r="R71" s="282">
        <f t="shared" si="17"/>
        <v>229329.17</v>
      </c>
      <c r="S71" s="282">
        <f t="shared" si="17"/>
        <v>248280.19</v>
      </c>
      <c r="T71" s="282">
        <f t="shared" si="17"/>
        <v>225459.1</v>
      </c>
      <c r="U71" s="282">
        <f t="shared" si="17"/>
        <v>219679.16999999998</v>
      </c>
      <c r="V71" s="282">
        <f t="shared" si="17"/>
        <v>218573.78999999998</v>
      </c>
      <c r="W71" s="282">
        <f t="shared" si="17"/>
        <v>200625.01</v>
      </c>
      <c r="X71" s="282">
        <f t="shared" si="17"/>
        <v>202371.64999999997</v>
      </c>
      <c r="Y71" s="282">
        <f>SUM(Y63:Y70)</f>
        <v>198151.32</v>
      </c>
      <c r="Z71" s="282">
        <f>SUM(Z63:Z70)</f>
        <v>199147.09999999998</v>
      </c>
      <c r="AA71" s="282">
        <f>SUM(AA63:AA70)</f>
        <v>199407.55</v>
      </c>
      <c r="AB71" s="129">
        <f>SUM(AB63:AB70)</f>
        <v>199384.02000000002</v>
      </c>
      <c r="AC71" s="133">
        <f t="shared" si="17"/>
        <v>2569156.2599999998</v>
      </c>
      <c r="AD71" s="281">
        <f>AC71-P71</f>
        <v>106373.01999999955</v>
      </c>
      <c r="AE71" s="132">
        <f>AD71/AC71</f>
        <v>4.1403873192204961E-2</v>
      </c>
      <c r="AF71" s="129">
        <v>2278518.63</v>
      </c>
      <c r="AG71" s="123">
        <f t="shared" si="5"/>
        <v>-184264.61000000034</v>
      </c>
      <c r="AH71" s="124"/>
      <c r="AI71" s="124"/>
    </row>
    <row r="72" spans="1:35">
      <c r="C72" s="105" t="s">
        <v>154</v>
      </c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1"/>
      <c r="Q72" s="284"/>
      <c r="R72" s="284"/>
      <c r="S72" s="284"/>
      <c r="T72" s="284"/>
      <c r="U72" s="284"/>
      <c r="V72" s="284"/>
      <c r="W72" s="284"/>
      <c r="X72" s="284"/>
      <c r="Y72" s="284"/>
      <c r="Z72" s="284"/>
      <c r="AA72" s="284"/>
      <c r="AB72" s="124"/>
      <c r="AC72" s="133"/>
      <c r="AF72" s="129"/>
      <c r="AG72" s="123">
        <f t="shared" si="5"/>
        <v>0</v>
      </c>
      <c r="AH72" s="124"/>
      <c r="AI72" s="124"/>
    </row>
    <row r="73" spans="1:35">
      <c r="A73" s="105" t="s">
        <v>131</v>
      </c>
      <c r="B73" s="105" t="s">
        <v>833</v>
      </c>
      <c r="C73" s="105" t="s">
        <v>276</v>
      </c>
      <c r="D73" s="283">
        <f>SUM('Executive Office:IT'!D73)</f>
        <v>0</v>
      </c>
      <c r="E73" s="283">
        <f>SUM('Executive Office:IT'!E73)</f>
        <v>0</v>
      </c>
      <c r="F73" s="283">
        <f>SUM('Executive Office:IT'!F73)</f>
        <v>0</v>
      </c>
      <c r="G73" s="283">
        <f>SUM('Executive Office:IT'!G73)</f>
        <v>0</v>
      </c>
      <c r="H73" s="283">
        <f>SUM('Executive Office:IT'!H73)</f>
        <v>0</v>
      </c>
      <c r="I73" s="283">
        <f>SUM('Executive Office:IT'!I73)</f>
        <v>0</v>
      </c>
      <c r="J73" s="283">
        <f>SUM('Executive Office:IT'!J73)</f>
        <v>0</v>
      </c>
      <c r="K73" s="283">
        <f>SUM('Executive Office:IT'!K73)</f>
        <v>0</v>
      </c>
      <c r="L73" s="283">
        <f>SUM('Executive Office:IT'!L73)</f>
        <v>0</v>
      </c>
      <c r="M73" s="283">
        <f>SUM('Executive Office:IT'!M73)</f>
        <v>0</v>
      </c>
      <c r="N73" s="283">
        <f>SUM('Executive Office:IT'!N73)</f>
        <v>0</v>
      </c>
      <c r="O73" s="283">
        <f>SUM('Executive Office:IT'!O73)</f>
        <v>0</v>
      </c>
      <c r="P73" s="291">
        <f t="shared" ref="P73:P79" si="18">SUM(D73:O73)</f>
        <v>0</v>
      </c>
      <c r="Q73" s="284">
        <f>SUM('Executive Office:IT'!Q73)</f>
        <v>0</v>
      </c>
      <c r="R73" s="284">
        <f>SUM('Executive Office:IT'!R73)</f>
        <v>0</v>
      </c>
      <c r="S73" s="284">
        <f>SUM('Executive Office:IT'!S73)</f>
        <v>0</v>
      </c>
      <c r="T73" s="284">
        <f>SUM('Executive Office:IT'!T73)</f>
        <v>0</v>
      </c>
      <c r="U73" s="284">
        <f>SUM('Executive Office:IT'!U73)</f>
        <v>0</v>
      </c>
      <c r="V73" s="284">
        <f>SUM('Executive Office:IT'!V73)</f>
        <v>0</v>
      </c>
      <c r="W73" s="284">
        <f>SUM('Executive Office:IT'!W73)</f>
        <v>0</v>
      </c>
      <c r="X73" s="284">
        <f>SUM('Executive Office:IT'!X73)</f>
        <v>0</v>
      </c>
      <c r="Y73" s="284">
        <f>SUM('Executive Office:IT'!Y73)</f>
        <v>0</v>
      </c>
      <c r="Z73" s="284">
        <f>SUM('Executive Office:IT'!Z73)</f>
        <v>0</v>
      </c>
      <c r="AA73" s="284">
        <f>SUM('Executive Office:IT'!AA73)</f>
        <v>0</v>
      </c>
      <c r="AB73" s="124">
        <f>SUM('Executive Office:IT'!AB73)</f>
        <v>0</v>
      </c>
      <c r="AC73" s="129">
        <f t="shared" ref="AC73:AC81" si="19">SUM(Q73:AB73)</f>
        <v>0</v>
      </c>
      <c r="AF73" s="129">
        <v>0</v>
      </c>
      <c r="AG73" s="123">
        <f t="shared" si="5"/>
        <v>0</v>
      </c>
      <c r="AH73" s="124"/>
      <c r="AI73" s="124"/>
    </row>
    <row r="74" spans="1:35">
      <c r="A74" s="105" t="s">
        <v>132</v>
      </c>
      <c r="B74" s="105" t="s">
        <v>833</v>
      </c>
      <c r="C74" s="105" t="s">
        <v>277</v>
      </c>
      <c r="D74" s="283">
        <f>SUM('Executive Office:IT'!D74)</f>
        <v>0</v>
      </c>
      <c r="E74" s="283">
        <f>SUM('Executive Office:IT'!E74)</f>
        <v>0</v>
      </c>
      <c r="F74" s="283">
        <f>SUM('Executive Office:IT'!F74)</f>
        <v>0</v>
      </c>
      <c r="G74" s="283">
        <f>SUM('Executive Office:IT'!G74)</f>
        <v>0</v>
      </c>
      <c r="H74" s="283">
        <f>SUM('Executive Office:IT'!H74)</f>
        <v>0</v>
      </c>
      <c r="I74" s="283">
        <f>SUM('Executive Office:IT'!I74)</f>
        <v>0</v>
      </c>
      <c r="J74" s="283">
        <f>SUM('Executive Office:IT'!J74)</f>
        <v>0</v>
      </c>
      <c r="K74" s="283">
        <f>SUM('Executive Office:IT'!K74)</f>
        <v>0</v>
      </c>
      <c r="L74" s="283">
        <f>SUM('Executive Office:IT'!L74)</f>
        <v>0</v>
      </c>
      <c r="M74" s="283">
        <f>SUM('Executive Office:IT'!M74)</f>
        <v>0</v>
      </c>
      <c r="N74" s="283">
        <f>SUM('Executive Office:IT'!N74)</f>
        <v>0</v>
      </c>
      <c r="O74" s="283">
        <f>SUM('Executive Office:IT'!O74)</f>
        <v>0</v>
      </c>
      <c r="P74" s="291">
        <f t="shared" si="18"/>
        <v>0</v>
      </c>
      <c r="Q74" s="284">
        <f>SUM('Executive Office:IT'!Q74)</f>
        <v>0</v>
      </c>
      <c r="R74" s="284">
        <f>SUM('Executive Office:IT'!R74)</f>
        <v>0</v>
      </c>
      <c r="S74" s="284">
        <f>SUM('Executive Office:IT'!S74)</f>
        <v>0</v>
      </c>
      <c r="T74" s="284">
        <f>SUM('Executive Office:IT'!T74)</f>
        <v>0</v>
      </c>
      <c r="U74" s="284">
        <f>SUM('Executive Office:IT'!U74)</f>
        <v>0</v>
      </c>
      <c r="V74" s="284">
        <f>SUM('Executive Office:IT'!V74)</f>
        <v>0</v>
      </c>
      <c r="W74" s="284">
        <f>SUM('Executive Office:IT'!W74)</f>
        <v>0</v>
      </c>
      <c r="X74" s="284">
        <f>SUM('Executive Office:IT'!X74)</f>
        <v>0</v>
      </c>
      <c r="Y74" s="284">
        <f>SUM('Executive Office:IT'!Y74)</f>
        <v>0</v>
      </c>
      <c r="Z74" s="284">
        <f>SUM('Executive Office:IT'!Z74)</f>
        <v>0</v>
      </c>
      <c r="AA74" s="284">
        <f>SUM('Executive Office:IT'!AA74)</f>
        <v>0</v>
      </c>
      <c r="AB74" s="124">
        <f>SUM('Executive Office:IT'!AB74)</f>
        <v>0</v>
      </c>
      <c r="AC74" s="129">
        <f t="shared" si="19"/>
        <v>0</v>
      </c>
      <c r="AF74" s="129">
        <v>0</v>
      </c>
      <c r="AG74" s="123">
        <f t="shared" si="5"/>
        <v>0</v>
      </c>
      <c r="AH74" s="124"/>
      <c r="AI74" s="124"/>
    </row>
    <row r="75" spans="1:35">
      <c r="A75" s="105" t="s">
        <v>133</v>
      </c>
      <c r="B75" s="105" t="s">
        <v>833</v>
      </c>
      <c r="C75" s="105" t="s">
        <v>278</v>
      </c>
      <c r="D75" s="283">
        <f>SUM('Executive Office:IT'!D75)</f>
        <v>0</v>
      </c>
      <c r="E75" s="283">
        <f>SUM('Executive Office:IT'!E75)</f>
        <v>0</v>
      </c>
      <c r="F75" s="283">
        <f>SUM('Executive Office:IT'!F75)</f>
        <v>0</v>
      </c>
      <c r="G75" s="283">
        <f>SUM('Executive Office:IT'!G75)</f>
        <v>0</v>
      </c>
      <c r="H75" s="283">
        <f>SUM('Executive Office:IT'!H75)</f>
        <v>0</v>
      </c>
      <c r="I75" s="283">
        <f>SUM('Executive Office:IT'!I75)</f>
        <v>0</v>
      </c>
      <c r="J75" s="283">
        <f>SUM('Executive Office:IT'!J75)</f>
        <v>0</v>
      </c>
      <c r="K75" s="283">
        <f>SUM('Executive Office:IT'!K75)</f>
        <v>0</v>
      </c>
      <c r="L75" s="283">
        <f>SUM('Executive Office:IT'!L75)</f>
        <v>0</v>
      </c>
      <c r="M75" s="283">
        <f>SUM('Executive Office:IT'!M75)</f>
        <v>0</v>
      </c>
      <c r="N75" s="283">
        <f>SUM('Executive Office:IT'!N75)</f>
        <v>0</v>
      </c>
      <c r="O75" s="283">
        <f>SUM('Executive Office:IT'!O75)</f>
        <v>0</v>
      </c>
      <c r="P75" s="291">
        <f t="shared" si="18"/>
        <v>0</v>
      </c>
      <c r="Q75" s="284">
        <f>SUM('Executive Office:IT'!Q75)</f>
        <v>0</v>
      </c>
      <c r="R75" s="284">
        <f>SUM('Executive Office:IT'!R75)</f>
        <v>0</v>
      </c>
      <c r="S75" s="284">
        <f>SUM('Executive Office:IT'!S75)</f>
        <v>0</v>
      </c>
      <c r="T75" s="284">
        <f>SUM('Executive Office:IT'!T75)</f>
        <v>0</v>
      </c>
      <c r="U75" s="284">
        <f>SUM('Executive Office:IT'!U75)</f>
        <v>0</v>
      </c>
      <c r="V75" s="284">
        <f>SUM('Executive Office:IT'!V75)</f>
        <v>0</v>
      </c>
      <c r="W75" s="284">
        <f>SUM('Executive Office:IT'!W75)</f>
        <v>0</v>
      </c>
      <c r="X75" s="284">
        <f>SUM('Executive Office:IT'!X75)</f>
        <v>0</v>
      </c>
      <c r="Y75" s="284">
        <f>SUM('Executive Office:IT'!Y75)</f>
        <v>0</v>
      </c>
      <c r="Z75" s="284">
        <f>SUM('Executive Office:IT'!Z75)</f>
        <v>0</v>
      </c>
      <c r="AA75" s="284">
        <f>SUM('Executive Office:IT'!AA75)</f>
        <v>0</v>
      </c>
      <c r="AB75" s="124">
        <f>SUM('Executive Office:IT'!AB75)</f>
        <v>0</v>
      </c>
      <c r="AC75" s="129">
        <f t="shared" si="19"/>
        <v>0</v>
      </c>
      <c r="AF75" s="129">
        <v>0</v>
      </c>
      <c r="AG75" s="123">
        <f t="shared" si="5"/>
        <v>0</v>
      </c>
      <c r="AH75" s="124"/>
      <c r="AI75" s="124"/>
    </row>
    <row r="76" spans="1:35">
      <c r="A76" s="105" t="s">
        <v>134</v>
      </c>
      <c r="B76" s="105" t="s">
        <v>833</v>
      </c>
      <c r="C76" s="105" t="s">
        <v>279</v>
      </c>
      <c r="D76" s="283">
        <f>SUM('Executive Office:IT'!D76)</f>
        <v>18633.300000000003</v>
      </c>
      <c r="E76" s="283">
        <f>SUM('Executive Office:IT'!E76)</f>
        <v>18633.300000000003</v>
      </c>
      <c r="F76" s="283">
        <f>SUM('Executive Office:IT'!F76)</f>
        <v>18633.300000000003</v>
      </c>
      <c r="G76" s="283">
        <f>SUM('Executive Office:IT'!G76)</f>
        <v>18633.300000000003</v>
      </c>
      <c r="H76" s="283">
        <f>SUM('Executive Office:IT'!H76)</f>
        <v>18633.300000000003</v>
      </c>
      <c r="I76" s="283">
        <f>SUM('Executive Office:IT'!I76)</f>
        <v>18633.300000000003</v>
      </c>
      <c r="J76" s="283">
        <f>SUM('Executive Office:IT'!J76)</f>
        <v>18633.300000000003</v>
      </c>
      <c r="K76" s="283">
        <f>SUM('Executive Office:IT'!K76)</f>
        <v>18633.300000000003</v>
      </c>
      <c r="L76" s="283">
        <f>SUM('Executive Office:IT'!L76)</f>
        <v>18633.300000000003</v>
      </c>
      <c r="M76" s="283">
        <f>SUM('Executive Office:IT'!M76)</f>
        <v>18633.300000000003</v>
      </c>
      <c r="N76" s="283">
        <f>SUM('Executive Office:IT'!N76)</f>
        <v>18633.300000000003</v>
      </c>
      <c r="O76" s="283">
        <f>SUM('Executive Office:IT'!O76)</f>
        <v>18633.300000000003</v>
      </c>
      <c r="P76" s="281">
        <f t="shared" si="18"/>
        <v>223599.59999999998</v>
      </c>
      <c r="Q76" s="284">
        <f>SUM('Executive Office:IT'!Q76)</f>
        <v>21798.57</v>
      </c>
      <c r="R76" s="284">
        <f>SUM('Executive Office:IT'!R76)</f>
        <v>17630.25</v>
      </c>
      <c r="S76" s="284">
        <f>SUM('Executive Office:IT'!S76)</f>
        <v>18370.25</v>
      </c>
      <c r="T76" s="284">
        <f>SUM('Executive Office:IT'!T76)</f>
        <v>17982.72</v>
      </c>
      <c r="U76" s="284">
        <f>SUM('Executive Office:IT'!U76)</f>
        <v>18234.25</v>
      </c>
      <c r="V76" s="284">
        <f>SUM('Executive Office:IT'!V76)</f>
        <v>17943.25</v>
      </c>
      <c r="W76" s="284">
        <f>SUM('Executive Office:IT'!W76)</f>
        <v>18234.25</v>
      </c>
      <c r="X76" s="284">
        <f>SUM('Executive Office:IT'!X76)</f>
        <v>18234.25</v>
      </c>
      <c r="Y76" s="284">
        <f>SUM('Executive Office:IT'!Y76)</f>
        <v>19225</v>
      </c>
      <c r="Z76" s="284">
        <f>SUM('Executive Office:IT'!Z76)</f>
        <v>19225</v>
      </c>
      <c r="AA76" s="284">
        <f>SUM('Executive Office:IT'!AA76)</f>
        <v>19225</v>
      </c>
      <c r="AB76" s="124">
        <f>SUM('Executive Office:IT'!AB76)</f>
        <v>19225</v>
      </c>
      <c r="AC76" s="129">
        <f t="shared" si="19"/>
        <v>225327.79</v>
      </c>
      <c r="AD76" s="283">
        <f t="shared" ref="AD76:AD85" si="20">AC76-P76</f>
        <v>1728.1900000000314</v>
      </c>
      <c r="AE76" s="192">
        <f t="shared" ref="AE76:AE85" si="21">AD76/AC76</f>
        <v>7.6696709269639196E-3</v>
      </c>
      <c r="AF76" s="129">
        <v>76196.159999999989</v>
      </c>
      <c r="AG76" s="123">
        <f t="shared" ref="AG76:AG85" si="22">AF76-P76</f>
        <v>-147403.44</v>
      </c>
      <c r="AH76" s="124"/>
      <c r="AI76" s="124"/>
    </row>
    <row r="77" spans="1:35">
      <c r="A77" s="105" t="s">
        <v>135</v>
      </c>
      <c r="B77" s="105" t="s">
        <v>833</v>
      </c>
      <c r="C77" s="105" t="s">
        <v>280</v>
      </c>
      <c r="D77" s="283">
        <f>SUM('Executive Office:IT'!D77)</f>
        <v>29126.1</v>
      </c>
      <c r="E77" s="283">
        <f>SUM('Executive Office:IT'!E77)</f>
        <v>29126.1</v>
      </c>
      <c r="F77" s="283">
        <f>SUM('Executive Office:IT'!F77)</f>
        <v>29126.1</v>
      </c>
      <c r="G77" s="283">
        <f>SUM('Executive Office:IT'!G77)</f>
        <v>29126.1</v>
      </c>
      <c r="H77" s="283">
        <f>SUM('Executive Office:IT'!H77)</f>
        <v>29126.1</v>
      </c>
      <c r="I77" s="283">
        <f>SUM('Executive Office:IT'!I77)</f>
        <v>29126.1</v>
      </c>
      <c r="J77" s="283">
        <f>SUM('Executive Office:IT'!J77)</f>
        <v>29126.1</v>
      </c>
      <c r="K77" s="283">
        <f>SUM('Executive Office:IT'!K77)</f>
        <v>29126.1</v>
      </c>
      <c r="L77" s="283">
        <f>SUM('Executive Office:IT'!L77)</f>
        <v>29126.1</v>
      </c>
      <c r="M77" s="283">
        <f>SUM('Executive Office:IT'!M77)</f>
        <v>29126.1</v>
      </c>
      <c r="N77" s="283">
        <f>SUM('Executive Office:IT'!N77)</f>
        <v>29126.1</v>
      </c>
      <c r="O77" s="283">
        <f>SUM('Executive Office:IT'!O77)</f>
        <v>29126.1</v>
      </c>
      <c r="P77" s="281">
        <f t="shared" si="18"/>
        <v>349513.19999999995</v>
      </c>
      <c r="Q77" s="284">
        <f>SUM('Executive Office:IT'!Q77)</f>
        <v>8799.52</v>
      </c>
      <c r="R77" s="284">
        <f>SUM('Executive Office:IT'!R77)</f>
        <v>8663.77</v>
      </c>
      <c r="S77" s="284">
        <f>SUM('Executive Office:IT'!S77)</f>
        <v>8950.85</v>
      </c>
      <c r="T77" s="284">
        <f>SUM('Executive Office:IT'!T77)</f>
        <v>8669.6700000000019</v>
      </c>
      <c r="U77" s="284">
        <f>SUM('Executive Office:IT'!U77)</f>
        <v>8655.8799999999992</v>
      </c>
      <c r="V77" s="284">
        <f>SUM('Executive Office:IT'!V77)</f>
        <v>8662.260000000002</v>
      </c>
      <c r="W77" s="284">
        <f>SUM('Executive Office:IT'!W77)</f>
        <v>8712.5299999999988</v>
      </c>
      <c r="X77" s="284">
        <f>SUM('Executive Office:IT'!X77)</f>
        <v>8688.02</v>
      </c>
      <c r="Y77" s="284">
        <f>SUM('Executive Office:IT'!Y77)</f>
        <v>8360</v>
      </c>
      <c r="Z77" s="284">
        <f>SUM('Executive Office:IT'!Z77)</f>
        <v>8360</v>
      </c>
      <c r="AA77" s="284">
        <f>SUM('Executive Office:IT'!AA77)</f>
        <v>8360</v>
      </c>
      <c r="AB77" s="124">
        <f>SUM('Executive Office:IT'!AB77)</f>
        <v>8360</v>
      </c>
      <c r="AC77" s="129">
        <f t="shared" si="19"/>
        <v>103242.5</v>
      </c>
      <c r="AD77" s="283">
        <f t="shared" si="20"/>
        <v>-246270.69999999995</v>
      </c>
      <c r="AE77" s="192">
        <f t="shared" si="21"/>
        <v>-2.3853616485458988</v>
      </c>
      <c r="AF77" s="129">
        <v>395590.49000000005</v>
      </c>
      <c r="AG77" s="123">
        <f t="shared" si="22"/>
        <v>46077.290000000095</v>
      </c>
      <c r="AH77" s="124"/>
      <c r="AI77" s="124"/>
    </row>
    <row r="78" spans="1:35">
      <c r="A78" s="105" t="s">
        <v>281</v>
      </c>
      <c r="B78" s="105" t="s">
        <v>833</v>
      </c>
      <c r="C78" s="105" t="s">
        <v>282</v>
      </c>
      <c r="D78" s="283">
        <f>SUM('Executive Office:IT'!D78)</f>
        <v>19812</v>
      </c>
      <c r="E78" s="283">
        <f>SUM('Executive Office:IT'!E78)</f>
        <v>18214</v>
      </c>
      <c r="F78" s="283">
        <f>SUM('Executive Office:IT'!F78)</f>
        <v>18461</v>
      </c>
      <c r="G78" s="283">
        <f>SUM('Executive Office:IT'!G78)</f>
        <v>20816</v>
      </c>
      <c r="H78" s="283">
        <f>SUM('Executive Office:IT'!H78)</f>
        <v>21529</v>
      </c>
      <c r="I78" s="283">
        <f>SUM('Executive Office:IT'!I78)</f>
        <v>20411</v>
      </c>
      <c r="J78" s="283">
        <f>SUM('Executive Office:IT'!J78)</f>
        <v>20512</v>
      </c>
      <c r="K78" s="283">
        <f>SUM('Executive Office:IT'!K78)</f>
        <v>20943</v>
      </c>
      <c r="L78" s="283">
        <f>SUM('Executive Office:IT'!L78)</f>
        <v>20947</v>
      </c>
      <c r="M78" s="283">
        <f>SUM('Executive Office:IT'!M78)</f>
        <v>21042</v>
      </c>
      <c r="N78" s="283">
        <f>SUM('Executive Office:IT'!N78)</f>
        <v>19532</v>
      </c>
      <c r="O78" s="283">
        <f>SUM('Executive Office:IT'!O78)</f>
        <v>19486</v>
      </c>
      <c r="P78" s="281">
        <f t="shared" si="18"/>
        <v>241705</v>
      </c>
      <c r="Q78" s="284">
        <f>SUM('Executive Office:IT'!Q78)</f>
        <v>18548.099999999999</v>
      </c>
      <c r="R78" s="284">
        <f>SUM('Executive Office:IT'!R78)</f>
        <v>18362.36</v>
      </c>
      <c r="S78" s="284">
        <f>SUM('Executive Office:IT'!S78)</f>
        <v>15375.529999999999</v>
      </c>
      <c r="T78" s="284">
        <f>SUM('Executive Office:IT'!T78)</f>
        <v>20795.599999999999</v>
      </c>
      <c r="U78" s="284">
        <f>SUM('Executive Office:IT'!U78)</f>
        <v>20068.620000000003</v>
      </c>
      <c r="V78" s="284">
        <f>SUM('Executive Office:IT'!V78)</f>
        <v>20442.29</v>
      </c>
      <c r="W78" s="284">
        <f>SUM('Executive Office:IT'!W78)</f>
        <v>16309.82</v>
      </c>
      <c r="X78" s="284">
        <f>SUM('Executive Office:IT'!X78)</f>
        <v>19677.09</v>
      </c>
      <c r="Y78" s="284">
        <f>SUM('Executive Office:IT'!Y78)</f>
        <v>25697</v>
      </c>
      <c r="Z78" s="284">
        <f>SUM('Executive Office:IT'!Z78)</f>
        <v>24434</v>
      </c>
      <c r="AA78" s="284">
        <f>SUM('Executive Office:IT'!AA78)</f>
        <v>22854</v>
      </c>
      <c r="AB78" s="124">
        <f>SUM('Executive Office:IT'!AB78)</f>
        <v>22858</v>
      </c>
      <c r="AC78" s="129">
        <f t="shared" si="19"/>
        <v>245422.41</v>
      </c>
      <c r="AD78" s="283">
        <f t="shared" si="20"/>
        <v>3717.4100000000035</v>
      </c>
      <c r="AE78" s="192">
        <f t="shared" si="21"/>
        <v>1.5146986780873041E-2</v>
      </c>
      <c r="AF78" s="129">
        <v>249401.35</v>
      </c>
      <c r="AG78" s="123">
        <f t="shared" si="22"/>
        <v>7696.3500000000058</v>
      </c>
      <c r="AH78" s="124"/>
      <c r="AI78" s="124"/>
    </row>
    <row r="79" spans="1:35">
      <c r="A79" s="105" t="s">
        <v>137</v>
      </c>
      <c r="B79" s="105" t="s">
        <v>833</v>
      </c>
      <c r="C79" s="105" t="s">
        <v>283</v>
      </c>
      <c r="D79" s="283">
        <f>SUM('Executive Office:IT'!D79)</f>
        <v>90845.88</v>
      </c>
      <c r="E79" s="283">
        <f>SUM('Executive Office:IT'!E79)</f>
        <v>77803.88</v>
      </c>
      <c r="F79" s="283">
        <f>SUM('Executive Office:IT'!F79)</f>
        <v>77873.88</v>
      </c>
      <c r="G79" s="283">
        <f>SUM('Executive Office:IT'!G79)</f>
        <v>78854.880000000005</v>
      </c>
      <c r="H79" s="283">
        <f>SUM('Executive Office:IT'!H79)</f>
        <v>84290.880000000005</v>
      </c>
      <c r="I79" s="283">
        <f>SUM('Executive Office:IT'!I79)</f>
        <v>78982.12</v>
      </c>
      <c r="J79" s="283">
        <f>SUM('Executive Office:IT'!J79)</f>
        <v>78558.12</v>
      </c>
      <c r="K79" s="283">
        <f>SUM('Executive Office:IT'!K79)</f>
        <v>78498.12</v>
      </c>
      <c r="L79" s="283">
        <f>SUM('Executive Office:IT'!L79)</f>
        <v>78933.119999999995</v>
      </c>
      <c r="M79" s="283">
        <f>SUM('Executive Office:IT'!M79)</f>
        <v>90192.349999999991</v>
      </c>
      <c r="N79" s="283">
        <f>SUM('Executive Office:IT'!N79)</f>
        <v>78644.88</v>
      </c>
      <c r="O79" s="283">
        <f>SUM('Executive Office:IT'!O79)</f>
        <v>78584.88</v>
      </c>
      <c r="P79" s="281">
        <f t="shared" si="18"/>
        <v>972062.99</v>
      </c>
      <c r="Q79" s="284">
        <f>SUM('Executive Office:IT'!Q79)</f>
        <v>65351.44999999999</v>
      </c>
      <c r="R79" s="284">
        <f>SUM('Executive Office:IT'!R79)</f>
        <v>100553.49999999999</v>
      </c>
      <c r="S79" s="284">
        <f>SUM('Executive Office:IT'!S79)</f>
        <v>93760.959999999992</v>
      </c>
      <c r="T79" s="284">
        <f>SUM('Executive Office:IT'!T79)</f>
        <v>89564.46</v>
      </c>
      <c r="U79" s="284">
        <f>SUM('Executive Office:IT'!U79)</f>
        <v>64919.27</v>
      </c>
      <c r="V79" s="284">
        <f>SUM('Executive Office:IT'!V79)</f>
        <v>73038.44</v>
      </c>
      <c r="W79" s="284">
        <f>SUM('Executive Office:IT'!W79)</f>
        <v>70825.289999999994</v>
      </c>
      <c r="X79" s="284">
        <f>SUM('Executive Office:IT'!X79)</f>
        <v>76615.42</v>
      </c>
      <c r="Y79" s="284">
        <f>SUM('Executive Office:IT'!Y79)</f>
        <v>76903</v>
      </c>
      <c r="Z79" s="284">
        <f>SUM('Executive Office:IT'!Z79)</f>
        <v>84767</v>
      </c>
      <c r="AA79" s="284">
        <f>SUM('Executive Office:IT'!AA79)</f>
        <v>77858</v>
      </c>
      <c r="AB79" s="124">
        <f>SUM('Executive Office:IT'!AB79)</f>
        <v>77858</v>
      </c>
      <c r="AC79" s="129">
        <f t="shared" si="19"/>
        <v>952014.79</v>
      </c>
      <c r="AD79" s="283">
        <f t="shared" si="20"/>
        <v>-20048.199999999953</v>
      </c>
      <c r="AE79" s="192">
        <f t="shared" si="21"/>
        <v>-2.1058706451398672E-2</v>
      </c>
      <c r="AF79" s="129">
        <v>1585223.4500000004</v>
      </c>
      <c r="AG79" s="123">
        <f t="shared" si="22"/>
        <v>613160.46000000043</v>
      </c>
      <c r="AH79" s="124"/>
      <c r="AI79" s="124"/>
    </row>
    <row r="80" spans="1:35">
      <c r="A80" s="105" t="s">
        <v>138</v>
      </c>
      <c r="B80" s="105" t="s">
        <v>833</v>
      </c>
      <c r="C80" s="105" t="s">
        <v>881</v>
      </c>
      <c r="D80" s="283">
        <f>SUM('Executive Office:IT'!D80)</f>
        <v>0</v>
      </c>
      <c r="E80" s="283">
        <f>SUM('Executive Office:IT'!E80)</f>
        <v>0</v>
      </c>
      <c r="F80" s="283">
        <f>SUM('Executive Office:IT'!F80)</f>
        <v>0</v>
      </c>
      <c r="G80" s="283">
        <f>SUM('Executive Office:IT'!G80)</f>
        <v>0</v>
      </c>
      <c r="H80" s="283">
        <f>SUM('Executive Office:IT'!H80)</f>
        <v>0</v>
      </c>
      <c r="I80" s="283">
        <f>SUM('Executive Office:IT'!I80)</f>
        <v>0</v>
      </c>
      <c r="J80" s="283">
        <f>SUM('Executive Office:IT'!J80)</f>
        <v>0</v>
      </c>
      <c r="K80" s="283">
        <f>SUM('Executive Office:IT'!K80)</f>
        <v>0</v>
      </c>
      <c r="L80" s="283">
        <f>SUM('Executive Office:IT'!L80)</f>
        <v>0</v>
      </c>
      <c r="M80" s="283">
        <f>SUM('Executive Office:IT'!M80)</f>
        <v>0</v>
      </c>
      <c r="N80" s="283">
        <f>SUM('Executive Office:IT'!N80)</f>
        <v>0</v>
      </c>
      <c r="O80" s="283">
        <f>SUM('Executive Office:IT'!O80)</f>
        <v>0</v>
      </c>
      <c r="P80" s="281"/>
      <c r="Q80" s="284">
        <f>SUM('Executive Office:IT'!Q80)</f>
        <v>0</v>
      </c>
      <c r="R80" s="284">
        <f>SUM('Executive Office:IT'!R80)</f>
        <v>0</v>
      </c>
      <c r="S80" s="284">
        <f>SUM('Executive Office:IT'!S80)</f>
        <v>0</v>
      </c>
      <c r="T80" s="284">
        <f>SUM('Executive Office:IT'!T80)</f>
        <v>0</v>
      </c>
      <c r="U80" s="284">
        <f>SUM('Executive Office:IT'!U80)</f>
        <v>0</v>
      </c>
      <c r="V80" s="284">
        <f>SUM('Executive Office:IT'!V80)</f>
        <v>0</v>
      </c>
      <c r="W80" s="284">
        <f>SUM('Executive Office:IT'!W80)</f>
        <v>0</v>
      </c>
      <c r="X80" s="284">
        <f>SUM('Executive Office:IT'!X80)</f>
        <v>0</v>
      </c>
      <c r="Y80" s="284">
        <f>SUM('Executive Office:IT'!Y80)</f>
        <v>0</v>
      </c>
      <c r="Z80" s="284">
        <f>SUM('Executive Office:IT'!Z80)</f>
        <v>0</v>
      </c>
      <c r="AA80" s="284">
        <f>SUM('Executive Office:IT'!AA80)</f>
        <v>0</v>
      </c>
      <c r="AB80" s="124">
        <f>SUM('Executive Office:IT'!AB80)</f>
        <v>0</v>
      </c>
      <c r="AC80" s="129">
        <f t="shared" si="19"/>
        <v>0</v>
      </c>
      <c r="AD80" s="283"/>
      <c r="AF80" s="129">
        <v>0</v>
      </c>
      <c r="AG80" s="123">
        <f t="shared" si="22"/>
        <v>0</v>
      </c>
      <c r="AH80" s="124"/>
      <c r="AI80" s="124"/>
    </row>
    <row r="81" spans="1:35">
      <c r="A81" s="105" t="s">
        <v>140</v>
      </c>
      <c r="B81" s="105" t="s">
        <v>833</v>
      </c>
      <c r="C81" s="105" t="s">
        <v>882</v>
      </c>
      <c r="D81" s="283">
        <f>SUM('Executive Office:IT'!D81)</f>
        <v>0</v>
      </c>
      <c r="E81" s="283">
        <f>SUM('Executive Office:IT'!E81)</f>
        <v>0</v>
      </c>
      <c r="F81" s="283">
        <f>SUM('Executive Office:IT'!F81)</f>
        <v>0</v>
      </c>
      <c r="G81" s="283">
        <f>SUM('Executive Office:IT'!G81)</f>
        <v>0</v>
      </c>
      <c r="H81" s="283">
        <f>SUM('Executive Office:IT'!H81)</f>
        <v>0</v>
      </c>
      <c r="I81" s="283">
        <f>SUM('Executive Office:IT'!I81)</f>
        <v>0</v>
      </c>
      <c r="J81" s="283">
        <f>SUM('Executive Office:IT'!J81)</f>
        <v>0</v>
      </c>
      <c r="K81" s="283">
        <f>SUM('Executive Office:IT'!K81)</f>
        <v>0</v>
      </c>
      <c r="L81" s="283">
        <f>SUM('Executive Office:IT'!L81)</f>
        <v>0</v>
      </c>
      <c r="M81" s="283">
        <f>SUM('Executive Office:IT'!M81)</f>
        <v>0</v>
      </c>
      <c r="N81" s="283">
        <f>SUM('Executive Office:IT'!N81)</f>
        <v>0</v>
      </c>
      <c r="O81" s="283">
        <f>SUM('Executive Office:IT'!O81)</f>
        <v>0</v>
      </c>
      <c r="P81" s="281"/>
      <c r="Q81" s="284">
        <f>SUM('Executive Office:IT'!Q81)</f>
        <v>0</v>
      </c>
      <c r="R81" s="284">
        <f>SUM('Executive Office:IT'!R81)</f>
        <v>0</v>
      </c>
      <c r="S81" s="284">
        <f>SUM('Executive Office:IT'!S81)</f>
        <v>0</v>
      </c>
      <c r="T81" s="284">
        <f>SUM('Executive Office:IT'!T81)</f>
        <v>0</v>
      </c>
      <c r="U81" s="284">
        <f>SUM('Executive Office:IT'!U81)</f>
        <v>0</v>
      </c>
      <c r="V81" s="284">
        <f>SUM('Executive Office:IT'!V81)</f>
        <v>0</v>
      </c>
      <c r="W81" s="284">
        <f>SUM('Executive Office:IT'!W81)</f>
        <v>0</v>
      </c>
      <c r="X81" s="284">
        <f>SUM('Executive Office:IT'!X81)</f>
        <v>0</v>
      </c>
      <c r="Y81" s="284">
        <f>SUM('Executive Office:IT'!Y81)</f>
        <v>0</v>
      </c>
      <c r="Z81" s="284">
        <f>SUM('Executive Office:IT'!Z81)</f>
        <v>0</v>
      </c>
      <c r="AA81" s="284">
        <f>SUM('Executive Office:IT'!AA81)</f>
        <v>0</v>
      </c>
      <c r="AB81" s="124">
        <f>SUM('Executive Office:IT'!AB81)</f>
        <v>0</v>
      </c>
      <c r="AC81" s="129">
        <f t="shared" si="19"/>
        <v>0</v>
      </c>
      <c r="AD81" s="283"/>
      <c r="AF81" s="129">
        <v>0</v>
      </c>
      <c r="AG81" s="123">
        <f t="shared" si="22"/>
        <v>0</v>
      </c>
      <c r="AH81" s="124"/>
      <c r="AI81" s="124"/>
    </row>
    <row r="82" spans="1:35">
      <c r="C82" s="109" t="s">
        <v>286</v>
      </c>
      <c r="D82" s="281">
        <f t="shared" ref="D82:AC82" si="23">SUM(D73:D79)</f>
        <v>158417.28</v>
      </c>
      <c r="E82" s="281">
        <f t="shared" si="23"/>
        <v>143777.28</v>
      </c>
      <c r="F82" s="281">
        <f t="shared" si="23"/>
        <v>144094.28</v>
      </c>
      <c r="G82" s="281">
        <f t="shared" si="23"/>
        <v>147430.28</v>
      </c>
      <c r="H82" s="281">
        <f t="shared" si="23"/>
        <v>153579.28</v>
      </c>
      <c r="I82" s="281">
        <f t="shared" si="23"/>
        <v>147152.51999999999</v>
      </c>
      <c r="J82" s="281">
        <f t="shared" si="23"/>
        <v>146829.51999999999</v>
      </c>
      <c r="K82" s="281">
        <f t="shared" si="23"/>
        <v>147200.51999999999</v>
      </c>
      <c r="L82" s="281">
        <f t="shared" si="23"/>
        <v>147639.51999999999</v>
      </c>
      <c r="M82" s="281">
        <f t="shared" si="23"/>
        <v>158993.75</v>
      </c>
      <c r="N82" s="281">
        <f t="shared" si="23"/>
        <v>145936.28</v>
      </c>
      <c r="O82" s="281">
        <f t="shared" si="23"/>
        <v>145830.28</v>
      </c>
      <c r="P82" s="281">
        <f t="shared" si="23"/>
        <v>1786880.79</v>
      </c>
      <c r="Q82" s="282">
        <f t="shared" si="23"/>
        <v>114497.63999999998</v>
      </c>
      <c r="R82" s="282">
        <f t="shared" si="23"/>
        <v>145209.88</v>
      </c>
      <c r="S82" s="282">
        <f t="shared" si="23"/>
        <v>136457.59</v>
      </c>
      <c r="T82" s="282">
        <f t="shared" si="23"/>
        <v>137012.45000000001</v>
      </c>
      <c r="U82" s="282">
        <f t="shared" si="23"/>
        <v>111878.01999999999</v>
      </c>
      <c r="V82" s="282">
        <f t="shared" si="23"/>
        <v>120086.24</v>
      </c>
      <c r="W82" s="282">
        <f t="shared" si="23"/>
        <v>114081.88999999998</v>
      </c>
      <c r="X82" s="282">
        <f t="shared" si="23"/>
        <v>123214.78</v>
      </c>
      <c r="Y82" s="282">
        <f>SUM(Y73:Y79)</f>
        <v>130185</v>
      </c>
      <c r="Z82" s="282">
        <f>SUM(Z73:Z79)</f>
        <v>136786</v>
      </c>
      <c r="AA82" s="282">
        <f>SUM(AA73:AA79)</f>
        <v>128297</v>
      </c>
      <c r="AB82" s="129">
        <f>SUM(AB73:AB79)</f>
        <v>128301</v>
      </c>
      <c r="AC82" s="133">
        <f t="shared" si="23"/>
        <v>1526007.4900000002</v>
      </c>
      <c r="AD82" s="281">
        <f t="shared" si="20"/>
        <v>-260873.29999999981</v>
      </c>
      <c r="AE82" s="132">
        <f t="shared" si="21"/>
        <v>-0.17095152003480649</v>
      </c>
      <c r="AF82" s="129">
        <v>2306411.4500000002</v>
      </c>
      <c r="AG82" s="123">
        <f t="shared" si="22"/>
        <v>519530.66000000015</v>
      </c>
      <c r="AH82" s="124"/>
      <c r="AI82" s="124"/>
    </row>
    <row r="83" spans="1:35">
      <c r="C83" s="109" t="s">
        <v>287</v>
      </c>
      <c r="D83" s="281">
        <f t="shared" ref="D83:AC83" si="24">D82+D71+D61+D54</f>
        <v>1194853.9099999999</v>
      </c>
      <c r="E83" s="281">
        <f t="shared" si="24"/>
        <v>1144063.52</v>
      </c>
      <c r="F83" s="281">
        <f t="shared" si="24"/>
        <v>1154912.1499999999</v>
      </c>
      <c r="G83" s="281">
        <f t="shared" si="24"/>
        <v>1176870.3900000001</v>
      </c>
      <c r="H83" s="281">
        <f t="shared" si="24"/>
        <v>1190685.6400000001</v>
      </c>
      <c r="I83" s="281">
        <f t="shared" si="24"/>
        <v>1166734.49</v>
      </c>
      <c r="J83" s="281">
        <f t="shared" si="24"/>
        <v>1172210.21</v>
      </c>
      <c r="K83" s="281">
        <f t="shared" si="24"/>
        <v>1172578.06</v>
      </c>
      <c r="L83" s="281">
        <f t="shared" si="24"/>
        <v>1173017.06</v>
      </c>
      <c r="M83" s="281">
        <f t="shared" si="24"/>
        <v>1223434.19</v>
      </c>
      <c r="N83" s="281">
        <f t="shared" si="24"/>
        <v>1172645.27</v>
      </c>
      <c r="O83" s="281">
        <f t="shared" si="24"/>
        <v>1171445.58</v>
      </c>
      <c r="P83" s="281">
        <f t="shared" si="24"/>
        <v>14113450.469999999</v>
      </c>
      <c r="Q83" s="282">
        <f t="shared" si="24"/>
        <v>1243047.23</v>
      </c>
      <c r="R83" s="282">
        <f t="shared" si="24"/>
        <v>1294398.3799999999</v>
      </c>
      <c r="S83" s="282">
        <f t="shared" si="24"/>
        <v>1273921.5499999998</v>
      </c>
      <c r="T83" s="282">
        <f t="shared" si="24"/>
        <v>1196443.97</v>
      </c>
      <c r="U83" s="282">
        <f t="shared" si="24"/>
        <v>1165589.5299999998</v>
      </c>
      <c r="V83" s="282">
        <f t="shared" si="24"/>
        <v>1165611.1400000001</v>
      </c>
      <c r="W83" s="282">
        <f t="shared" si="24"/>
        <v>1117650.08</v>
      </c>
      <c r="X83" s="282">
        <f t="shared" si="24"/>
        <v>1139414.4100000001</v>
      </c>
      <c r="Y83" s="282">
        <f>Y82+Y71+Y61+Y54</f>
        <v>1184042.6499999999</v>
      </c>
      <c r="Z83" s="282">
        <f>Z82+Z71+Z61+Z54</f>
        <v>1215628.43</v>
      </c>
      <c r="AA83" s="282">
        <f>AA82+AA71+AA61+AA54</f>
        <v>1200501.8799999999</v>
      </c>
      <c r="AB83" s="129">
        <f>AB82+AB71+AB61+AB54</f>
        <v>1170702.3600000001</v>
      </c>
      <c r="AC83" s="133">
        <f t="shared" si="24"/>
        <v>14366951.610000001</v>
      </c>
      <c r="AD83" s="281">
        <f t="shared" si="20"/>
        <v>253501.14000000246</v>
      </c>
      <c r="AE83" s="132">
        <f t="shared" si="21"/>
        <v>1.7644740991788057E-2</v>
      </c>
      <c r="AF83" s="129">
        <v>13760104.830000002</v>
      </c>
      <c r="AG83" s="123">
        <f t="shared" si="22"/>
        <v>-353345.63999999687</v>
      </c>
      <c r="AH83" s="124"/>
      <c r="AI83" s="124"/>
    </row>
    <row r="84" spans="1:35">
      <c r="C84" s="105" t="s">
        <v>154</v>
      </c>
      <c r="AC84" s="133"/>
      <c r="AF84" s="129"/>
      <c r="AG84" s="123">
        <f t="shared" si="22"/>
        <v>0</v>
      </c>
      <c r="AH84" s="124"/>
      <c r="AI84" s="124"/>
    </row>
    <row r="85" spans="1:35" s="109" customFormat="1">
      <c r="A85" s="109" t="s">
        <v>141</v>
      </c>
      <c r="B85" s="109" t="s">
        <v>833</v>
      </c>
      <c r="C85" s="109" t="s">
        <v>288</v>
      </c>
      <c r="D85" s="282">
        <f>SUM('Executive Office:IT'!D85)</f>
        <v>74</v>
      </c>
      <c r="E85" s="282">
        <f>SUM('Executive Office:IT'!E85)</f>
        <v>74</v>
      </c>
      <c r="F85" s="282">
        <f>SUM('Executive Office:IT'!F85)</f>
        <v>74</v>
      </c>
      <c r="G85" s="282">
        <f>SUM('Executive Office:IT'!G85)</f>
        <v>74</v>
      </c>
      <c r="H85" s="282">
        <f>SUM('Executive Office:IT'!H85)</f>
        <v>74</v>
      </c>
      <c r="I85" s="282">
        <f>SUM('Executive Office:IT'!I85)</f>
        <v>74</v>
      </c>
      <c r="J85" s="282">
        <f>SUM('Executive Office:IT'!J85)</f>
        <v>74</v>
      </c>
      <c r="K85" s="282">
        <f>SUM('Executive Office:IT'!K85)</f>
        <v>74</v>
      </c>
      <c r="L85" s="282">
        <f>SUM('Executive Office:IT'!L85)</f>
        <v>74</v>
      </c>
      <c r="M85" s="282">
        <f>SUM('Executive Office:IT'!M85)</f>
        <v>74</v>
      </c>
      <c r="N85" s="282">
        <f>SUM('Executive Office:IT'!N85)</f>
        <v>74</v>
      </c>
      <c r="O85" s="282">
        <f>SUM('Executive Office:IT'!O85)</f>
        <v>74</v>
      </c>
      <c r="P85" s="282">
        <f>SUM(D85:O85)/12</f>
        <v>74</v>
      </c>
      <c r="Q85" s="282">
        <f>SUM('Executive Office:IT'!Q85)</f>
        <v>77</v>
      </c>
      <c r="R85" s="282">
        <f>SUM('Executive Office:IT'!R85)</f>
        <v>77</v>
      </c>
      <c r="S85" s="282">
        <f>SUM('Executive Office:IT'!S85)</f>
        <v>77</v>
      </c>
      <c r="T85" s="282">
        <f>SUM('Executive Office:IT'!T85)</f>
        <v>76</v>
      </c>
      <c r="U85" s="282">
        <f>SUM('Executive Office:IT'!U85)</f>
        <v>74</v>
      </c>
      <c r="V85" s="282">
        <f>SUM('Executive Office:IT'!V85)</f>
        <v>74</v>
      </c>
      <c r="W85" s="282">
        <f>SUM('Executive Office:IT'!W85)</f>
        <v>72</v>
      </c>
      <c r="X85" s="282">
        <f>SUM('Executive Office:IT'!X85)</f>
        <v>73</v>
      </c>
      <c r="Y85" s="282">
        <f>SUM('Executive Office:IT'!Y85)</f>
        <v>78</v>
      </c>
      <c r="Z85" s="282">
        <f>SUM('Executive Office:IT'!Z85)</f>
        <v>78</v>
      </c>
      <c r="AA85" s="282">
        <f>SUM('Executive Office:IT'!AA85)</f>
        <v>78</v>
      </c>
      <c r="AB85" s="282">
        <f>SUM('Executive Office:IT'!AB85)</f>
        <v>78</v>
      </c>
      <c r="AC85" s="142">
        <f>SUM(Q85:AB85)/12</f>
        <v>76</v>
      </c>
      <c r="AD85" s="282">
        <f t="shared" si="20"/>
        <v>2</v>
      </c>
      <c r="AE85" s="132">
        <f t="shared" si="21"/>
        <v>2.6315789473684209E-2</v>
      </c>
      <c r="AF85" s="129">
        <v>89</v>
      </c>
      <c r="AG85" s="133">
        <f t="shared" si="22"/>
        <v>15</v>
      </c>
      <c r="AH85" s="124"/>
      <c r="AI85" s="124"/>
    </row>
    <row r="86" spans="1:35">
      <c r="AC86" s="133"/>
      <c r="AH86" s="124"/>
      <c r="AI86" s="124"/>
    </row>
    <row r="87" spans="1:35">
      <c r="AI87" s="124"/>
    </row>
    <row r="88" spans="1:35">
      <c r="C88" s="105" t="s">
        <v>883</v>
      </c>
      <c r="D88" s="141">
        <f>'2025 Summay'!E16</f>
        <v>39233149</v>
      </c>
      <c r="E88" s="141">
        <f>'2025 Summay'!F16</f>
        <v>43452422</v>
      </c>
      <c r="F88" s="141">
        <f>'2025 Summay'!G16</f>
        <v>27030377</v>
      </c>
      <c r="G88" s="141">
        <f>'2025 Summay'!H16</f>
        <v>25027257</v>
      </c>
      <c r="H88" s="141">
        <f>'2025 Summay'!I16</f>
        <v>23807640</v>
      </c>
      <c r="I88" s="141">
        <f>'2025 Summay'!J16</f>
        <v>21296011</v>
      </c>
      <c r="J88" s="141">
        <f>'2025 Summay'!K16</f>
        <v>30906188</v>
      </c>
      <c r="K88" s="141">
        <f>'2025 Summay'!L16</f>
        <v>34819289</v>
      </c>
      <c r="L88" s="141">
        <f>'2025 Summay'!M16</f>
        <v>20076077</v>
      </c>
      <c r="M88" s="141">
        <f>'2025 Summay'!N16</f>
        <v>25381394</v>
      </c>
      <c r="N88" s="141">
        <f>'2025 Summay'!O16</f>
        <v>21936590</v>
      </c>
      <c r="O88" s="141">
        <f>'2025 Summay'!P16</f>
        <v>27659550</v>
      </c>
      <c r="P88" s="282">
        <f>SUM(D88:O88)</f>
        <v>340625944</v>
      </c>
      <c r="Q88" s="284" t="e">
        <f>SUM(#REF!)</f>
        <v>#REF!</v>
      </c>
      <c r="R88" s="284" t="e">
        <f>SUM(#REF!)</f>
        <v>#REF!</v>
      </c>
      <c r="S88" s="284" t="e">
        <f>SUM(#REF!)</f>
        <v>#REF!</v>
      </c>
      <c r="T88" s="284">
        <f>SUM(A88:L88)</f>
        <v>265648410</v>
      </c>
      <c r="U88" s="284">
        <f>SUM(B88:M88)</f>
        <v>291029804</v>
      </c>
      <c r="V88" s="284">
        <f>SUM(C88:N88)</f>
        <v>312966394</v>
      </c>
      <c r="W88" s="284">
        <f>SUM(D88:O88)</f>
        <v>340625944</v>
      </c>
      <c r="X88" s="284">
        <f>SUM(E88:P88)</f>
        <v>642018739</v>
      </c>
      <c r="Y88" s="284"/>
    </row>
    <row r="90" spans="1:35">
      <c r="C90" s="151" t="s">
        <v>292</v>
      </c>
      <c r="D90" s="124">
        <f>SUM('Executive Office:IT'!D90)</f>
        <v>60112</v>
      </c>
      <c r="E90" s="124">
        <f>SUM('Executive Office:IT'!E90)</f>
        <v>60112</v>
      </c>
      <c r="F90" s="124">
        <f>SUM('Executive Office:IT'!F90)</f>
        <v>60112</v>
      </c>
      <c r="G90" s="124">
        <f>SUM('Executive Office:IT'!G90)</f>
        <v>60112</v>
      </c>
      <c r="H90" s="124">
        <f>SUM('Executive Office:IT'!H90)</f>
        <v>60112</v>
      </c>
      <c r="I90" s="124">
        <f>SUM('Executive Office:IT'!I90)</f>
        <v>60112</v>
      </c>
      <c r="J90" s="124">
        <f>SUM('Executive Office:IT'!J90)</f>
        <v>60112</v>
      </c>
      <c r="K90" s="124">
        <f>SUM('Executive Office:IT'!K90)</f>
        <v>60112</v>
      </c>
      <c r="L90" s="124">
        <f>SUM('Executive Office:IT'!L90)</f>
        <v>60112</v>
      </c>
      <c r="M90" s="124">
        <f>SUM('Executive Office:IT'!M90)</f>
        <v>60112</v>
      </c>
      <c r="N90" s="124">
        <f>SUM('Executive Office:IT'!N90)</f>
        <v>60112</v>
      </c>
      <c r="O90" s="124">
        <f>SUM('Executive Office:IT'!O90)</f>
        <v>60112</v>
      </c>
      <c r="P90" s="281">
        <f t="shared" ref="P90:P92" si="25">SUM(D90:O90)</f>
        <v>721344</v>
      </c>
    </row>
    <row r="91" spans="1:35">
      <c r="C91" s="152" t="s">
        <v>366</v>
      </c>
      <c r="D91" s="124">
        <f>SUM('Executive Office:IT'!D91)</f>
        <v>0</v>
      </c>
      <c r="E91" s="124">
        <f>SUM('Executive Office:IT'!E91)</f>
        <v>0</v>
      </c>
      <c r="F91" s="124">
        <f>SUM('Executive Office:IT'!F91)</f>
        <v>0</v>
      </c>
      <c r="G91" s="124">
        <f>SUM('Executive Office:IT'!G91)</f>
        <v>0</v>
      </c>
      <c r="H91" s="124">
        <f>SUM('Executive Office:IT'!H91)</f>
        <v>0</v>
      </c>
      <c r="I91" s="124">
        <f>SUM('Executive Office:IT'!I91)</f>
        <v>0</v>
      </c>
      <c r="J91" s="124">
        <f>SUM('Executive Office:IT'!J91)</f>
        <v>0</v>
      </c>
      <c r="K91" s="124">
        <f>SUM('Executive Office:IT'!K91)</f>
        <v>0</v>
      </c>
      <c r="L91" s="124">
        <f>SUM('Executive Office:IT'!L91)</f>
        <v>0</v>
      </c>
      <c r="M91" s="124">
        <f>SUM('Executive Office:IT'!M91)</f>
        <v>0</v>
      </c>
      <c r="N91" s="124">
        <f>SUM('Executive Office:IT'!N91)</f>
        <v>0</v>
      </c>
      <c r="O91" s="124">
        <f>SUM('Executive Office:IT'!O91)</f>
        <v>0</v>
      </c>
      <c r="P91" s="281">
        <f t="shared" si="25"/>
        <v>0</v>
      </c>
      <c r="Q91" s="290"/>
      <c r="R91" s="290"/>
      <c r="S91" s="290"/>
      <c r="T91" s="290"/>
      <c r="U91" s="290"/>
      <c r="V91" s="290"/>
      <c r="W91" s="290"/>
    </row>
    <row r="92" spans="1:35">
      <c r="C92" s="151" t="s">
        <v>367</v>
      </c>
      <c r="D92" s="124">
        <f>SUM('Executive Office:IT'!D92)</f>
        <v>4609.41</v>
      </c>
      <c r="E92" s="124">
        <f>SUM('Executive Office:IT'!E92)</f>
        <v>4500.41</v>
      </c>
      <c r="F92" s="124">
        <f>SUM('Executive Office:IT'!F92)</f>
        <v>4513.41</v>
      </c>
      <c r="G92" s="124">
        <f>SUM('Executive Office:IT'!G92)</f>
        <v>4588.41</v>
      </c>
      <c r="H92" s="124">
        <f>SUM('Executive Office:IT'!H92)</f>
        <v>4632.41</v>
      </c>
      <c r="I92" s="124">
        <f>SUM('Executive Office:IT'!I92)</f>
        <v>4573.41</v>
      </c>
      <c r="J92" s="124">
        <f>SUM('Executive Office:IT'!J92)</f>
        <v>4571.41</v>
      </c>
      <c r="K92" s="124">
        <f>SUM('Executive Office:IT'!K92)</f>
        <v>4581.41</v>
      </c>
      <c r="L92" s="124">
        <f>SUM('Executive Office:IT'!L92)</f>
        <v>4586.41</v>
      </c>
      <c r="M92" s="124">
        <f>SUM('Executive Office:IT'!M92)</f>
        <v>4668.41</v>
      </c>
      <c r="N92" s="124">
        <f>SUM('Executive Office:IT'!N92)</f>
        <v>4551.41</v>
      </c>
      <c r="O92" s="124">
        <f>SUM('Executive Office:IT'!O92)</f>
        <v>4549.33</v>
      </c>
      <c r="P92" s="281">
        <f t="shared" si="25"/>
        <v>54925.840000000011</v>
      </c>
    </row>
    <row r="93" spans="1:35">
      <c r="C93" s="109" t="s">
        <v>476</v>
      </c>
      <c r="D93" s="292">
        <f>SUM(D90:D92)</f>
        <v>64721.41</v>
      </c>
      <c r="E93" s="292">
        <f t="shared" ref="E93:P93" si="26">SUM(E90:E92)</f>
        <v>64612.41</v>
      </c>
      <c r="F93" s="292">
        <f t="shared" si="26"/>
        <v>64625.41</v>
      </c>
      <c r="G93" s="292">
        <f t="shared" si="26"/>
        <v>64700.41</v>
      </c>
      <c r="H93" s="292">
        <f t="shared" si="26"/>
        <v>64744.41</v>
      </c>
      <c r="I93" s="292">
        <f t="shared" si="26"/>
        <v>64685.41</v>
      </c>
      <c r="J93" s="292">
        <f t="shared" si="26"/>
        <v>64683.41</v>
      </c>
      <c r="K93" s="292">
        <f t="shared" si="26"/>
        <v>64693.41</v>
      </c>
      <c r="L93" s="292">
        <f t="shared" si="26"/>
        <v>64698.41</v>
      </c>
      <c r="M93" s="292">
        <f t="shared" si="26"/>
        <v>64780.41</v>
      </c>
      <c r="N93" s="292">
        <f t="shared" si="26"/>
        <v>64663.41</v>
      </c>
      <c r="O93" s="292">
        <f t="shared" si="26"/>
        <v>64661.33</v>
      </c>
      <c r="P93" s="292">
        <f t="shared" si="26"/>
        <v>776269.84</v>
      </c>
    </row>
  </sheetData>
  <phoneticPr fontId="7" type="noConversion"/>
  <dataValidations count="66"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00_x000d__x000a_" sqref="Q85:AB85">
      <formula1>0</formula1>
      <formula2>300</formula2>
    </dataValidation>
    <dataValidation type="textLength" errorStyle="information" allowBlank="1" showInputMessage="1" showErrorMessage="1" error="XLBVal:6=125640_x000d__x000a_" sqref="AB79">
      <formula1>0</formula1>
      <formula2>300</formula2>
    </dataValidation>
    <dataValidation type="textLength" errorStyle="information" allowBlank="1" showInputMessage="1" showErrorMessage="1" error="XLBVal:6=123019_x000d__x000a_" sqref="AA79">
      <formula1>0</formula1>
      <formula2>300</formula2>
    </dataValidation>
    <dataValidation type="textLength" errorStyle="information" allowBlank="1" showInputMessage="1" showErrorMessage="1" error="XLBVal:6=130423_x000d__x000a_" sqref="Z79">
      <formula1>0</formula1>
      <formula2>300</formula2>
    </dataValidation>
    <dataValidation type="textLength" errorStyle="information" allowBlank="1" showInputMessage="1" showErrorMessage="1" error="XLBVal:6=124612_x000d__x000a_" sqref="Q79:Y79">
      <formula1>0</formula1>
      <formula2>300</formula2>
    </dataValidation>
    <dataValidation type="textLength" errorStyle="information" allowBlank="1" showInputMessage="1" showErrorMessage="1" error="XLBVal:6=25392_x000d__x000a_" sqref="AB78">
      <formula1>0</formula1>
      <formula2>300</formula2>
    </dataValidation>
    <dataValidation type="textLength" errorStyle="information" allowBlank="1" showInputMessage="1" showErrorMessage="1" error="XLBVal:6=25383_x000d__x000a_" sqref="AA78">
      <formula1>0</formula1>
      <formula2>300</formula2>
    </dataValidation>
    <dataValidation type="textLength" errorStyle="information" allowBlank="1" showInputMessage="1" showErrorMessage="1" error="XLBVal:6=27323_x000d__x000a_" sqref="Z78">
      <formula1>0</formula1>
      <formula2>300</formula2>
    </dataValidation>
    <dataValidation type="textLength" errorStyle="information" allowBlank="1" showInputMessage="1" showErrorMessage="1" error="XLBVal:6=27120_x000d__x000a_" sqref="Q78:Y78">
      <formula1>0</formula1>
      <formula2>300</formula2>
    </dataValidation>
    <dataValidation type="textLength" errorStyle="information" allowBlank="1" showInputMessage="1" showErrorMessage="1" error="XLBVal:6=31076_x000d__x000a_" sqref="Q77:AB77">
      <formula1>0</formula1>
      <formula2>300</formula2>
    </dataValidation>
    <dataValidation type="textLength" errorStyle="information" allowBlank="1" showInputMessage="1" showErrorMessage="1" error="XLBVal:6=8717_x000d__x000a_" sqref="Q76:AB76">
      <formula1>0</formula1>
      <formula2>300</formula2>
    </dataValidation>
    <dataValidation type="textLength" errorStyle="information" allowBlank="1" showInputMessage="1" showErrorMessage="1" error="XLBVal:6=21038_x000d__x000a_" sqref="Q69:AB69">
      <formula1>0</formula1>
      <formula2>300</formula2>
    </dataValidation>
    <dataValidation type="textLength" errorStyle="information" allowBlank="1" showInputMessage="1" showErrorMessage="1" error="XLBVal:6=29312_x000d__x000a_" sqref="Q68:AB68">
      <formula1>0</formula1>
      <formula2>300</formula2>
    </dataValidation>
    <dataValidation type="textLength" errorStyle="information" allowBlank="1" showInputMessage="1" showErrorMessage="1" error="XLBVal:6=3100_x000d__x000a_" sqref="Q67:AB67">
      <formula1>0</formula1>
      <formula2>300</formula2>
    </dataValidation>
    <dataValidation type="textLength" errorStyle="information" allowBlank="1" showInputMessage="1" showErrorMessage="1" error="XLBVal:6=1270_x000d__x000a_" sqref="Q66:AB66">
      <formula1>0</formula1>
      <formula2>300</formula2>
    </dataValidation>
    <dataValidation type="textLength" errorStyle="information" allowBlank="1" showInputMessage="1" showErrorMessage="1" error="XLBVal:6=3099_x000d__x000a_" sqref="Q65:AB65">
      <formula1>0</formula1>
      <formula2>300</formula2>
    </dataValidation>
    <dataValidation type="textLength" errorStyle="information" allowBlank="1" showInputMessage="1" showErrorMessage="1" error="XLBVal:6=45844_x000d__x000a_" sqref="Q64:AB64">
      <formula1>0</formula1>
      <formula2>300</formula2>
    </dataValidation>
    <dataValidation type="textLength" errorStyle="information" allowBlank="1" showInputMessage="1" showErrorMessage="1" error="XLBVal:6=108539_x000d__x000a_" sqref="Q63:AB63">
      <formula1>0</formula1>
      <formula2>300</formula2>
    </dataValidation>
    <dataValidation type="textLength" errorStyle="information" allowBlank="1" showInputMessage="1" showErrorMessage="1" error="XLBVal:6=345_x000d__x000a_" sqref="Q60:AB60">
      <formula1>0</formula1>
      <formula2>300</formula2>
    </dataValidation>
    <dataValidation type="textLength" errorStyle="information" allowBlank="1" showInputMessage="1" showErrorMessage="1" error="XLBVal:6=18925_x000d__x000a_" sqref="Q58:AB58">
      <formula1>0</formula1>
      <formula2>300</formula2>
    </dataValidation>
    <dataValidation type="textLength" errorStyle="information" allowBlank="1" showInputMessage="1" showErrorMessage="1" error="XLBVal:6=144337_x000d__x000a_" sqref="Q57:AB57">
      <formula1>0</formula1>
      <formula2>300</formula2>
    </dataValidation>
    <dataValidation type="textLength" errorStyle="information" allowBlank="1" showInputMessage="1" showErrorMessage="1" error="XLBVal:6=52736_x000d__x000a_" sqref="Z56">
      <formula1>0</formula1>
      <formula2>300</formula2>
    </dataValidation>
    <dataValidation type="textLength" errorStyle="information" allowBlank="1" showInputMessage="1" showErrorMessage="1" error="XLBVal:6=19642_x000d__x000a_" sqref="Q56:Y56">
      <formula1>0</formula1>
      <formula2>300</formula2>
    </dataValidation>
    <dataValidation type="textLength" errorStyle="information" allowBlank="1" showInputMessage="1" showErrorMessage="1" error="XLBVal:6=214670_x000d__x000a_" sqref="Q53:AB53">
      <formula1>0</formula1>
      <formula2>300</formula2>
    </dataValidation>
    <dataValidation type="textLength" errorStyle="information" allowBlank="1" showInputMessage="1" showErrorMessage="1" error="XLBVal:6=541911_x000d__x000a_" sqref="Q52:AB52">
      <formula1>0</formula1>
      <formula2>300</formula2>
    </dataValidation>
    <dataValidation type="textLength" errorStyle="information" allowBlank="1" showInputMessage="1" showErrorMessage="1" error="XLBVal:6=10703_x000d__x000a_" sqref="AB45">
      <formula1>0</formula1>
      <formula2>300</formula2>
    </dataValidation>
    <dataValidation type="textLength" errorStyle="information" allowBlank="1" showInputMessage="1" showErrorMessage="1" error="XLBVal:6=10750_x000d__x000a_" sqref="Q45:AA45">
      <formula1>0</formula1>
      <formula2>300</formula2>
    </dataValidation>
    <dataValidation type="textLength" errorStyle="information" allowBlank="1" showInputMessage="1" showErrorMessage="1" error="XLBVal:6=47007_x000d__x000a_" sqref="Q44:AB44">
      <formula1>0</formula1>
      <formula2>300</formula2>
    </dataValidation>
    <dataValidation type="textLength" errorStyle="information" allowBlank="1" showInputMessage="1" showErrorMessage="1" error="XLBVal:6=95050_x000d__x000a_" sqref="Q43:AB43">
      <formula1>0</formula1>
      <formula2>300</formula2>
    </dataValidation>
    <dataValidation type="textLength" errorStyle="information" allowBlank="1" showInputMessage="1" showErrorMessage="1" error="XLBVal:6=9630_x000d__x000a_" sqref="Q42:AB42">
      <formula1>0</formula1>
      <formula2>300</formula2>
    </dataValidation>
    <dataValidation type="textLength" errorStyle="information" allowBlank="1" showInputMessage="1" showErrorMessage="1" error="XLBVal:6=14037_x000d__x000a_" sqref="AB40">
      <formula1>0</formula1>
      <formula2>300</formula2>
    </dataValidation>
    <dataValidation type="textLength" errorStyle="information" allowBlank="1" showInputMessage="1" showErrorMessage="1" error="XLBVal:6=7987_x000d__x000a_" sqref="AA40">
      <formula1>0</formula1>
      <formula2>300</formula2>
    </dataValidation>
    <dataValidation type="textLength" errorStyle="information" allowBlank="1" showInputMessage="1" showErrorMessage="1" error="XLBVal:6=16937_x000d__x000a_" sqref="Z40">
      <formula1>0</formula1>
      <formula2>300</formula2>
    </dataValidation>
    <dataValidation type="textLength" errorStyle="information" allowBlank="1" showInputMessage="1" showErrorMessage="1" error="XLBVal:6=18494_x000d__x000a_" sqref="Q40:Y40">
      <formula1>0</formula1>
      <formula2>300</formula2>
    </dataValidation>
    <dataValidation type="textLength" errorStyle="information" allowBlank="1" showInputMessage="1" showErrorMessage="1" error="XLBVal:6=17282_x000d__x000a_" sqref="AB39">
      <formula1>0</formula1>
      <formula2>300</formula2>
    </dataValidation>
    <dataValidation type="textLength" errorStyle="information" allowBlank="1" showInputMessage="1" showErrorMessage="1" error="XLBVal:6=17430_x000d__x000a_" sqref="AA39">
      <formula1>0</formula1>
      <formula2>300</formula2>
    </dataValidation>
    <dataValidation type="textLength" errorStyle="information" allowBlank="1" showInputMessage="1" showErrorMessage="1" error="XLBVal:6=55103_x000d__x000a_" sqref="Z39">
      <formula1>0</formula1>
      <formula2>300</formula2>
    </dataValidation>
    <dataValidation type="textLength" errorStyle="information" allowBlank="1" showInputMessage="1" showErrorMessage="1" error="XLBVal:6=37952_x000d__x000a_" sqref="Q39:Y39">
      <formula1>0</formula1>
      <formula2>300</formula2>
    </dataValidation>
    <dataValidation type="textLength" errorStyle="information" allowBlank="1" showInputMessage="1" showErrorMessage="1" error="XLBVal:6=77558_x000d__x000a_" sqref="Q38:AB38">
      <formula1>0</formula1>
      <formula2>300</formula2>
    </dataValidation>
    <dataValidation type="textLength" errorStyle="information" allowBlank="1" showInputMessage="1" showErrorMessage="1" error="XLBVal:6=1845_x000d__x000a_" sqref="Q37:AB37">
      <formula1>0</formula1>
      <formula2>300</formula2>
    </dataValidation>
    <dataValidation type="textLength" errorStyle="information" allowBlank="1" showInputMessage="1" showErrorMessage="1" error="XLBVal:6=61044_x000d__x000a_" sqref="AB36">
      <formula1>0</formula1>
      <formula2>300</formula2>
    </dataValidation>
    <dataValidation type="textLength" errorStyle="information" allowBlank="1" showInputMessage="1" showErrorMessage="1" error="XLBVal:6=45001_x000d__x000a_" sqref="AA36">
      <formula1>0</formula1>
      <formula2>300</formula2>
    </dataValidation>
    <dataValidation type="textLength" errorStyle="information" allowBlank="1" showInputMessage="1" showErrorMessage="1" error="XLBVal:6=45052_x000d__x000a_" sqref="Z36">
      <formula1>0</formula1>
      <formula2>300</formula2>
    </dataValidation>
    <dataValidation type="textLength" errorStyle="information" allowBlank="1" showInputMessage="1" showErrorMessage="1" error="XLBVal:6=32382_x000d__x000a_" sqref="Q36:Y36">
      <formula1>0</formula1>
      <formula2>300</formula2>
    </dataValidation>
    <dataValidation type="textLength" errorStyle="information" allowBlank="1" showInputMessage="1" showErrorMessage="1" error="XLBVal:6=4854.37_x000d__x000a_" sqref="AB33:AB34">
      <formula1>0</formula1>
      <formula2>300</formula2>
    </dataValidation>
    <dataValidation type="textLength" errorStyle="information" allowBlank="1" showInputMessage="1" showErrorMessage="1" error="XLBVal:6=5875_x000d__x000a_" sqref="Q32:AB32">
      <formula1>0</formula1>
      <formula2>300</formula2>
    </dataValidation>
    <dataValidation type="textLength" errorStyle="information" allowBlank="1" showInputMessage="1" showErrorMessage="1" error="XLBVal:6=240_x000d__x000a_" sqref="Q31:AB31">
      <formula1>0</formula1>
      <formula2>300</formula2>
    </dataValidation>
    <dataValidation type="textLength" errorStyle="information" allowBlank="1" showInputMessage="1" showErrorMessage="1" error="XLBVal:6=17500_x000d__x000a_" sqref="Q28:AB28">
      <formula1>0</formula1>
      <formula2>300</formula2>
    </dataValidation>
    <dataValidation type="textLength" errorStyle="information" allowBlank="1" showInputMessage="1" showErrorMessage="1" error="XLBVal:6=8887_x000d__x000a_" sqref="Q26:AB26">
      <formula1>0</formula1>
      <formula2>300</formula2>
    </dataValidation>
    <dataValidation type="textLength" errorStyle="information" allowBlank="1" showInputMessage="1" showErrorMessage="1" error="XLBVal:6=26127_x000d__x000a_" sqref="Q25:AB25">
      <formula1>0</formula1>
      <formula2>300</formula2>
    </dataValidation>
    <dataValidation type="textLength" errorStyle="information" allowBlank="1" showInputMessage="1" showErrorMessage="1" error="XLBVal:6=16320_x000d__x000a_" sqref="Q24:AB24">
      <formula1>0</formula1>
      <formula2>300</formula2>
    </dataValidation>
    <dataValidation type="textLength" errorStyle="information" allowBlank="1" showInputMessage="1" showErrorMessage="1" error="XLBVal:6=1452_x000d__x000a_" sqref="AB22">
      <formula1>0</formula1>
      <formula2>300</formula2>
    </dataValidation>
    <dataValidation type="textLength" errorStyle="information" allowBlank="1" showInputMessage="1" showErrorMessage="1" error="XLBVal:6=1473_x000d__x000a_" sqref="Z22">
      <formula1>0</formula1>
      <formula2>300</formula2>
    </dataValidation>
    <dataValidation type="textLength" errorStyle="information" allowBlank="1" showInputMessage="1" showErrorMessage="1" error="XLBVal:6=1395_x000d__x000a_" sqref="AA22 Q22:Y22">
      <formula1>0</formula1>
      <formula2>300</formula2>
    </dataValidation>
    <dataValidation type="textLength" errorStyle="information" allowBlank="1" showInputMessage="1" showErrorMessage="1" error="XLBVal:6=9113_x000d__x000a_" sqref="Q21:AB21">
      <formula1>0</formula1>
      <formula2>300</formula2>
    </dataValidation>
    <dataValidation type="textLength" errorStyle="information" allowBlank="1" showInputMessage="1" showErrorMessage="1" error="XLBVal:6=2358_x000d__x000a_" sqref="Q20:AB20">
      <formula1>0</formula1>
      <formula2>300</formula2>
    </dataValidation>
    <dataValidation type="textLength" errorStyle="information" allowBlank="1" showInputMessage="1" showErrorMessage="1" error="XLBVal:6=1655_x000d__x000a_" sqref="Q19:AB19">
      <formula1>0</formula1>
      <formula2>300</formula2>
    </dataValidation>
    <dataValidation type="textLength" errorStyle="information" allowBlank="1" showInputMessage="1" showErrorMessage="1" error="XLBVal:6=2222_x000d__x000a_" sqref="Q18:AB18">
      <formula1>0</formula1>
      <formula2>300</formula2>
    </dataValidation>
    <dataValidation type="textLength" errorStyle="information" allowBlank="1" showInputMessage="1" showErrorMessage="1" error="XLBVal:6=4679_x000d__x000a_" sqref="Q16:AB16">
      <formula1>0</formula1>
      <formula2>300</formula2>
    </dataValidation>
    <dataValidation type="textLength" errorStyle="information" allowBlank="1" showInputMessage="1" showErrorMessage="1" error="XLBVal:6=15000_x000d__x000a_" sqref="Z15:AB15">
      <formula1>0</formula1>
      <formula2>300</formula2>
    </dataValidation>
    <dataValidation type="textLength" errorStyle="information" allowBlank="1" showInputMessage="1" showErrorMessage="1" error="XLBVal:6=37400_x000d__x000a_" sqref="Q15:Y15">
      <formula1>0</formula1>
      <formula2>300</formula2>
    </dataValidation>
    <dataValidation type="textLength" errorStyle="information" allowBlank="1" showInputMessage="1" showErrorMessage="1" error="XLBVal:6=1354_x000d__x000a_" sqref="Q14:AB14">
      <formula1>0</formula1>
      <formula2>300</formula2>
    </dataValidation>
    <dataValidation type="textLength" errorStyle="information" allowBlank="1" showInputMessage="1" showErrorMessage="1" error="XLBVal:6=2950_x000d__x000a_" sqref="Z12:AB12">
      <formula1>0</formula1>
      <formula2>300</formula2>
    </dataValidation>
    <dataValidation type="textLength" errorStyle="information" allowBlank="1" showInputMessage="1" showErrorMessage="1" error="XLBVal:6=3126_x000d__x000a_" sqref="Q12:Y12">
      <formula1>0</formula1>
      <formula2>300</formula2>
    </dataValidation>
    <dataValidation type="textLength" errorStyle="information" allowBlank="1" showInputMessage="1" showErrorMessage="1" error="XLBVal:2=0_x000d__x000a_" sqref="AA56:AB56 Q35:AB35 Q17:AB17 Q41:AB41 Q59:AB5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H93"/>
  <sheetViews>
    <sheetView view="pageBreakPreview" zoomScaleNormal="100" zoomScaleSheetLayoutView="100" workbookViewId="0">
      <pane xSplit="4" ySplit="7" topLeftCell="L8" activePane="bottomRight" state="frozen"/>
      <selection activeCell="AP43" sqref="AP43"/>
      <selection pane="topRight" activeCell="AP43" sqref="AP43"/>
      <selection pane="bottomLeft" activeCell="AP43" sqref="AP43"/>
      <selection pane="bottomRight" activeCell="N24" sqref="N24"/>
    </sheetView>
  </sheetViews>
  <sheetFormatPr defaultColWidth="9" defaultRowHeight="14.25" outlineLevelCol="2"/>
  <cols>
    <col min="1" max="2" width="9" style="105" hidden="1" customWidth="1" outlineLevel="1"/>
    <col min="3" max="3" width="49.125" style="105" customWidth="1" collapsed="1"/>
    <col min="4" max="15" width="15.875" style="105" bestFit="1" customWidth="1"/>
    <col min="16" max="16" width="18.375" style="109" bestFit="1" customWidth="1"/>
    <col min="17" max="23" width="18.25" style="105" hidden="1" customWidth="1" outlineLevel="1"/>
    <col min="24" max="28" width="15.75" style="105" hidden="1" customWidth="1" outlineLevel="2"/>
    <col min="29" max="29" width="14.5" style="129" customWidth="1" collapsed="1"/>
    <col min="30" max="30" width="15.75" style="105" customWidth="1"/>
    <col min="31" max="31" width="10.5" style="192" customWidth="1"/>
    <col min="32" max="32" width="18.25" style="109" hidden="1" customWidth="1"/>
    <col min="33" max="33" width="18.375" style="105" hidden="1" customWidth="1"/>
    <col min="34" max="34" width="12.75" style="105" bestFit="1" customWidth="1"/>
    <col min="35" max="16384" width="9" style="105"/>
  </cols>
  <sheetData>
    <row r="1" spans="1:34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3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E1" s="186"/>
      <c r="AF1" s="103"/>
    </row>
    <row r="2" spans="1:34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3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E2" s="186"/>
      <c r="AF2" s="103"/>
    </row>
    <row r="3" spans="1:34">
      <c r="C3" s="106" t="s">
        <v>884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09"/>
      <c r="AE3" s="279"/>
    </row>
    <row r="4" spans="1:34" s="100" customFormat="1" ht="18">
      <c r="C4" s="18">
        <f>+'2025 Summay'!$D$7</f>
        <v>2025</v>
      </c>
      <c r="P4" s="103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172"/>
      <c r="AE4" s="186"/>
      <c r="AF4" s="103"/>
    </row>
    <row r="5" spans="1:34" s="100" customFormat="1">
      <c r="C5" s="100" t="s">
        <v>154</v>
      </c>
      <c r="P5" s="103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172"/>
      <c r="AE5" s="186"/>
      <c r="AF5" s="103"/>
    </row>
    <row r="6" spans="1:34" s="100" customFormat="1">
      <c r="C6" s="100" t="s">
        <v>154</v>
      </c>
      <c r="D6" s="100">
        <f>'A&amp;G'!D6</f>
        <v>1</v>
      </c>
      <c r="E6" s="100">
        <f>'A&amp;G'!E6</f>
        <v>2</v>
      </c>
      <c r="F6" s="100">
        <f>'A&amp;G'!F6</f>
        <v>3</v>
      </c>
      <c r="G6" s="100">
        <f>'A&amp;G'!G6</f>
        <v>4</v>
      </c>
      <c r="H6" s="100">
        <f>'A&amp;G'!H6</f>
        <v>5</v>
      </c>
      <c r="I6" s="100">
        <f>'A&amp;G'!I6</f>
        <v>6</v>
      </c>
      <c r="J6" s="100">
        <f>'A&amp;G'!J6</f>
        <v>7</v>
      </c>
      <c r="K6" s="100">
        <f>'A&amp;G'!K6</f>
        <v>8</v>
      </c>
      <c r="L6" s="100">
        <f>'A&amp;G'!L6</f>
        <v>9</v>
      </c>
      <c r="M6" s="100">
        <f>'A&amp;G'!M6</f>
        <v>10</v>
      </c>
      <c r="N6" s="100">
        <f>'A&amp;G'!N6</f>
        <v>11</v>
      </c>
      <c r="O6" s="100">
        <f>'A&amp;G'!O6</f>
        <v>12</v>
      </c>
      <c r="P6" s="280">
        <f>'A&amp;G'!P6</f>
        <v>2025</v>
      </c>
      <c r="Q6" s="114">
        <f>'A&amp;G'!Q6</f>
        <v>202401</v>
      </c>
      <c r="R6" s="114">
        <f>'A&amp;G'!R6</f>
        <v>202402</v>
      </c>
      <c r="S6" s="114">
        <f>'A&amp;G'!S6</f>
        <v>202403</v>
      </c>
      <c r="T6" s="114">
        <f>'A&amp;G'!T6</f>
        <v>202404</v>
      </c>
      <c r="U6" s="114">
        <f>'A&amp;G'!U6</f>
        <v>202405</v>
      </c>
      <c r="V6" s="114">
        <f>'A&amp;G'!V6</f>
        <v>202406</v>
      </c>
      <c r="W6" s="114">
        <f>'A&amp;G'!W6</f>
        <v>202407</v>
      </c>
      <c r="X6" s="114">
        <f>'A&amp;G'!X6</f>
        <v>202408</v>
      </c>
      <c r="Y6" s="114">
        <f>'A&amp;G'!Y6</f>
        <v>202409</v>
      </c>
      <c r="Z6" s="114">
        <f>'A&amp;G'!Z6</f>
        <v>202410</v>
      </c>
      <c r="AA6" s="114">
        <f>'A&amp;G'!AA6</f>
        <v>202411</v>
      </c>
      <c r="AB6" s="114">
        <f>'A&amp;G'!AB6</f>
        <v>202412</v>
      </c>
      <c r="AC6" s="115">
        <f>'A&amp;G'!AC6</f>
        <v>2024</v>
      </c>
      <c r="AD6" s="188" t="s">
        <v>6</v>
      </c>
      <c r="AE6" s="177" t="s">
        <v>156</v>
      </c>
      <c r="AF6" s="172">
        <v>2019</v>
      </c>
    </row>
    <row r="7" spans="1:34">
      <c r="C7" s="105" t="s">
        <v>154</v>
      </c>
      <c r="D7" s="105" t="str">
        <f>'A&amp;G'!D7</f>
        <v>Budget</v>
      </c>
      <c r="E7" s="105" t="str">
        <f>'A&amp;G'!E7</f>
        <v>Budget</v>
      </c>
      <c r="F7" s="105" t="str">
        <f>'A&amp;G'!F7</f>
        <v>Budget</v>
      </c>
      <c r="G7" s="105" t="str">
        <f>'A&amp;G'!G7</f>
        <v>Budget</v>
      </c>
      <c r="H7" s="105" t="str">
        <f>'A&amp;G'!H7</f>
        <v>Budget</v>
      </c>
      <c r="I7" s="105" t="str">
        <f>'A&amp;G'!I7</f>
        <v>Budget</v>
      </c>
      <c r="J7" s="105" t="str">
        <f>'A&amp;G'!J7</f>
        <v>Budget</v>
      </c>
      <c r="K7" s="105" t="str">
        <f>'A&amp;G'!K7</f>
        <v>Budget</v>
      </c>
      <c r="L7" s="105" t="str">
        <f>'A&amp;G'!L7</f>
        <v>Budget</v>
      </c>
      <c r="M7" s="105" t="str">
        <f>'A&amp;G'!M7</f>
        <v>Budget</v>
      </c>
      <c r="N7" s="105" t="str">
        <f>'A&amp;G'!N7</f>
        <v>Budget</v>
      </c>
      <c r="O7" s="105" t="str">
        <f>'A&amp;G'!O7</f>
        <v>Budget</v>
      </c>
      <c r="P7" s="109" t="str">
        <f>'A&amp;G'!P7</f>
        <v>Budget</v>
      </c>
      <c r="Q7" s="244" t="str">
        <f>'A&amp;G'!Q7</f>
        <v>Actual</v>
      </c>
      <c r="R7" s="244" t="str">
        <f>'A&amp;G'!R7</f>
        <v>Actual</v>
      </c>
      <c r="S7" s="244" t="str">
        <f>'A&amp;G'!S7</f>
        <v>Actual</v>
      </c>
      <c r="T7" s="244" t="str">
        <f>'A&amp;G'!T7</f>
        <v>Actual</v>
      </c>
      <c r="U7" s="244" t="str">
        <f>'A&amp;G'!U7</f>
        <v>Actual</v>
      </c>
      <c r="V7" s="244" t="str">
        <f>'A&amp;G'!V7</f>
        <v>Actual</v>
      </c>
      <c r="W7" s="244" t="str">
        <f>'A&amp;G'!W7</f>
        <v>Actual</v>
      </c>
      <c r="X7" s="244" t="str">
        <f>'A&amp;G'!X7</f>
        <v>Actual</v>
      </c>
      <c r="Y7" s="244" t="str">
        <f>'A&amp;G'!Y7</f>
        <v>Forecast</v>
      </c>
      <c r="Z7" s="244" t="str">
        <f>'A&amp;G'!Z7</f>
        <v>Forecast</v>
      </c>
      <c r="AA7" s="244" t="str">
        <f>'A&amp;G'!AA7</f>
        <v>Forecast</v>
      </c>
      <c r="AB7" s="244" t="str">
        <f>'A&amp;G'!AB7</f>
        <v>Forecast</v>
      </c>
      <c r="AC7" s="245" t="str">
        <f>'A&amp;G'!AC7</f>
        <v>Forecast</v>
      </c>
      <c r="AD7" s="189"/>
      <c r="AE7" s="132"/>
      <c r="AF7" s="129" t="s">
        <v>12</v>
      </c>
    </row>
    <row r="8" spans="1:34">
      <c r="C8" s="105" t="s">
        <v>154</v>
      </c>
      <c r="L8" s="105" t="s">
        <v>831</v>
      </c>
      <c r="M8" s="105" t="s">
        <v>831</v>
      </c>
      <c r="O8" s="105" t="s">
        <v>831</v>
      </c>
      <c r="P8" s="109" t="s">
        <v>831</v>
      </c>
      <c r="AF8" s="129"/>
    </row>
    <row r="9" spans="1:34">
      <c r="A9" s="105" t="s">
        <v>832</v>
      </c>
      <c r="B9" s="105" t="s">
        <v>885</v>
      </c>
      <c r="C9" s="109" t="s">
        <v>175</v>
      </c>
      <c r="D9" s="129">
        <f t="shared" ref="D9:O9" si="0">D83</f>
        <v>266995.01</v>
      </c>
      <c r="E9" s="129">
        <f t="shared" si="0"/>
        <v>264481.77</v>
      </c>
      <c r="F9" s="129">
        <f t="shared" si="0"/>
        <v>267824.33999999997</v>
      </c>
      <c r="G9" s="129">
        <f t="shared" si="0"/>
        <v>269463.57999999996</v>
      </c>
      <c r="H9" s="129">
        <f t="shared" si="0"/>
        <v>271405.63</v>
      </c>
      <c r="I9" s="129">
        <f t="shared" si="0"/>
        <v>267912.84999999998</v>
      </c>
      <c r="J9" s="129">
        <f t="shared" si="0"/>
        <v>268432.84999999998</v>
      </c>
      <c r="K9" s="129">
        <f t="shared" si="0"/>
        <v>268693.94999999995</v>
      </c>
      <c r="L9" s="129">
        <f t="shared" si="0"/>
        <v>268733.94999999995</v>
      </c>
      <c r="M9" s="129">
        <f t="shared" si="0"/>
        <v>272710.95</v>
      </c>
      <c r="N9" s="129">
        <f t="shared" si="0"/>
        <v>268454.33999999997</v>
      </c>
      <c r="O9" s="129">
        <f t="shared" si="0"/>
        <v>268715.44</v>
      </c>
      <c r="P9" s="129">
        <f>SUM(D9:O9)</f>
        <v>3223824.6600000006</v>
      </c>
      <c r="Q9" s="142">
        <f t="shared" ref="Q9:AB9" si="1">Q83</f>
        <v>292049.14</v>
      </c>
      <c r="R9" s="142">
        <f t="shared" si="1"/>
        <v>297539.59999999998</v>
      </c>
      <c r="S9" s="142">
        <f t="shared" si="1"/>
        <v>298541.86</v>
      </c>
      <c r="T9" s="142">
        <f t="shared" si="1"/>
        <v>277369.51</v>
      </c>
      <c r="U9" s="142">
        <f t="shared" si="1"/>
        <v>275585.87</v>
      </c>
      <c r="V9" s="142">
        <f t="shared" si="1"/>
        <v>275763.83999999997</v>
      </c>
      <c r="W9" s="142">
        <f t="shared" si="1"/>
        <v>275035.02</v>
      </c>
      <c r="X9" s="142">
        <f t="shared" si="1"/>
        <v>278012.74</v>
      </c>
      <c r="Y9" s="142">
        <f t="shared" si="1"/>
        <v>282504</v>
      </c>
      <c r="Z9" s="142">
        <f t="shared" si="1"/>
        <v>286281</v>
      </c>
      <c r="AA9" s="142">
        <f t="shared" si="1"/>
        <v>280808</v>
      </c>
      <c r="AB9" s="142">
        <f t="shared" si="1"/>
        <v>280808</v>
      </c>
      <c r="AC9" s="142">
        <f>SUM(Q9:AB9)</f>
        <v>3400298.58</v>
      </c>
      <c r="AD9" s="142">
        <f>AC9-P9</f>
        <v>176473.91999999946</v>
      </c>
      <c r="AE9" s="132">
        <f>AD9/AC9</f>
        <v>5.1899536422474836E-2</v>
      </c>
      <c r="AF9" s="129">
        <v>2877567.1900000004</v>
      </c>
      <c r="AG9" s="123">
        <f t="shared" ref="AG9:AG72" si="2">AF9-P9</f>
        <v>-346257.4700000002</v>
      </c>
    </row>
    <row r="10" spans="1:34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 t="s">
        <v>831</v>
      </c>
      <c r="M10" s="124" t="s">
        <v>831</v>
      </c>
      <c r="N10" s="124"/>
      <c r="O10" s="124" t="s">
        <v>831</v>
      </c>
      <c r="P10" s="129" t="s">
        <v>831</v>
      </c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2"/>
      <c r="AD10" s="141"/>
      <c r="AF10" s="129"/>
      <c r="AG10" s="123" t="e">
        <f t="shared" si="2"/>
        <v>#VALUE!</v>
      </c>
    </row>
    <row r="11" spans="1:34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9" t="s">
        <v>831</v>
      </c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2"/>
      <c r="AD11" s="141"/>
      <c r="AF11" s="129"/>
      <c r="AG11" s="123" t="e">
        <f t="shared" si="2"/>
        <v>#VALUE!</v>
      </c>
    </row>
    <row r="12" spans="1:34">
      <c r="A12" s="105" t="s">
        <v>687</v>
      </c>
      <c r="B12" s="105" t="s">
        <v>886</v>
      </c>
      <c r="C12" s="105" t="s">
        <v>144</v>
      </c>
      <c r="D12" s="212">
        <f>+D90+D91+D92</f>
        <v>0</v>
      </c>
      <c r="E12" s="212">
        <f t="shared" ref="E12:O12" si="3">+E90+E91+E92</f>
        <v>0</v>
      </c>
      <c r="F12" s="212">
        <f t="shared" si="3"/>
        <v>0</v>
      </c>
      <c r="G12" s="212">
        <f t="shared" si="3"/>
        <v>0</v>
      </c>
      <c r="H12" s="212">
        <f t="shared" si="3"/>
        <v>0</v>
      </c>
      <c r="I12" s="212">
        <f t="shared" si="3"/>
        <v>0</v>
      </c>
      <c r="J12" s="212">
        <f t="shared" si="3"/>
        <v>0</v>
      </c>
      <c r="K12" s="212">
        <f t="shared" si="3"/>
        <v>0</v>
      </c>
      <c r="L12" s="212">
        <f t="shared" si="3"/>
        <v>0</v>
      </c>
      <c r="M12" s="212">
        <f t="shared" si="3"/>
        <v>0</v>
      </c>
      <c r="N12" s="212">
        <f t="shared" si="3"/>
        <v>0</v>
      </c>
      <c r="O12" s="212">
        <f t="shared" si="3"/>
        <v>0</v>
      </c>
      <c r="P12" s="129">
        <f>SUM(D12:O12)</f>
        <v>0</v>
      </c>
      <c r="Q12" s="141">
        <v>0</v>
      </c>
      <c r="R12" s="141">
        <v>0</v>
      </c>
      <c r="S12" s="141">
        <v>0</v>
      </c>
      <c r="T12" s="141">
        <v>0</v>
      </c>
      <c r="U12" s="141">
        <v>0</v>
      </c>
      <c r="V12" s="141">
        <v>0</v>
      </c>
      <c r="W12" s="141">
        <v>0</v>
      </c>
      <c r="X12" s="141">
        <v>0</v>
      </c>
      <c r="Y12" s="141">
        <v>0</v>
      </c>
      <c r="Z12" s="141">
        <v>0</v>
      </c>
      <c r="AA12" s="141">
        <v>0</v>
      </c>
      <c r="AB12" s="141">
        <v>0</v>
      </c>
      <c r="AC12" s="142">
        <f t="shared" ref="AC12:AC45" si="4">SUM(Q12:AB12)</f>
        <v>0</v>
      </c>
      <c r="AD12" s="141">
        <f t="shared" ref="AD12:AD47" si="5">AC12-P12</f>
        <v>0</v>
      </c>
      <c r="AE12" s="192" t="e">
        <f t="shared" ref="AE12:AE47" si="6">AD12/AC12</f>
        <v>#DIV/0!</v>
      </c>
      <c r="AF12" s="129">
        <v>0</v>
      </c>
      <c r="AG12" s="123">
        <f t="shared" si="2"/>
        <v>0</v>
      </c>
    </row>
    <row r="13" spans="1:34">
      <c r="A13" s="105">
        <v>60010060</v>
      </c>
      <c r="B13" s="105" t="s">
        <v>887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9">
        <f t="shared" ref="P13:P45" si="7">SUM(D13:O13)</f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142">
        <f t="shared" si="4"/>
        <v>0</v>
      </c>
      <c r="AD13" s="141"/>
      <c r="AF13" s="129">
        <v>0</v>
      </c>
      <c r="AG13" s="123">
        <f t="shared" si="2"/>
        <v>0</v>
      </c>
    </row>
    <row r="14" spans="1:34">
      <c r="A14" s="105" t="s">
        <v>834</v>
      </c>
      <c r="B14" s="105" t="s">
        <v>887</v>
      </c>
      <c r="C14" s="105" t="s">
        <v>431</v>
      </c>
      <c r="D14" s="124">
        <v>1400</v>
      </c>
      <c r="E14" s="124">
        <v>1400</v>
      </c>
      <c r="F14" s="124">
        <v>1400</v>
      </c>
      <c r="G14" s="124">
        <v>1400</v>
      </c>
      <c r="H14" s="124">
        <v>1400</v>
      </c>
      <c r="I14" s="124">
        <v>1400</v>
      </c>
      <c r="J14" s="124">
        <v>1400</v>
      </c>
      <c r="K14" s="124">
        <v>1400</v>
      </c>
      <c r="L14" s="124">
        <v>1400</v>
      </c>
      <c r="M14" s="124">
        <v>1400</v>
      </c>
      <c r="N14" s="124">
        <v>1400</v>
      </c>
      <c r="O14" s="124">
        <v>1400</v>
      </c>
      <c r="P14" s="129">
        <f t="shared" si="7"/>
        <v>16800</v>
      </c>
      <c r="Q14" s="141">
        <v>0</v>
      </c>
      <c r="R14" s="141">
        <v>376.22</v>
      </c>
      <c r="S14" s="141">
        <v>188.11</v>
      </c>
      <c r="T14" s="141">
        <v>188.11</v>
      </c>
      <c r="U14" s="141">
        <v>2188.11</v>
      </c>
      <c r="V14" s="141">
        <v>188.11</v>
      </c>
      <c r="W14" s="141">
        <v>12762.37</v>
      </c>
      <c r="X14" s="141">
        <v>188.11</v>
      </c>
      <c r="Y14" s="141">
        <v>850</v>
      </c>
      <c r="Z14" s="141">
        <v>850</v>
      </c>
      <c r="AA14" s="141">
        <v>850</v>
      </c>
      <c r="AB14" s="141">
        <v>850</v>
      </c>
      <c r="AC14" s="142">
        <f t="shared" si="4"/>
        <v>19479.14</v>
      </c>
      <c r="AD14" s="141">
        <f t="shared" si="5"/>
        <v>2679.1399999999994</v>
      </c>
      <c r="AE14" s="192">
        <f t="shared" si="6"/>
        <v>0.13753892625649794</v>
      </c>
      <c r="AF14" s="129">
        <v>14900</v>
      </c>
      <c r="AG14" s="123">
        <f t="shared" si="2"/>
        <v>-1900</v>
      </c>
      <c r="AH14" s="124"/>
    </row>
    <row r="15" spans="1:34">
      <c r="A15" s="105" t="s">
        <v>688</v>
      </c>
      <c r="B15" s="105" t="s">
        <v>886</v>
      </c>
      <c r="C15" s="105" t="s">
        <v>184</v>
      </c>
      <c r="D15" s="124">
        <v>5000</v>
      </c>
      <c r="E15" s="124">
        <v>5000</v>
      </c>
      <c r="F15" s="124">
        <v>5000</v>
      </c>
      <c r="G15" s="124">
        <v>4000</v>
      </c>
      <c r="H15" s="124">
        <v>5000</v>
      </c>
      <c r="I15" s="124">
        <v>3000</v>
      </c>
      <c r="J15" s="124">
        <v>5000</v>
      </c>
      <c r="K15" s="124">
        <v>5000</v>
      </c>
      <c r="L15" s="124">
        <v>5000</v>
      </c>
      <c r="M15" s="124">
        <v>5000</v>
      </c>
      <c r="N15" s="124">
        <v>5000</v>
      </c>
      <c r="O15" s="124">
        <v>5000</v>
      </c>
      <c r="P15" s="129">
        <f t="shared" si="7"/>
        <v>57000</v>
      </c>
      <c r="Q15" s="141">
        <v>6701.92</v>
      </c>
      <c r="R15" s="141">
        <v>3403.97</v>
      </c>
      <c r="S15" s="141">
        <v>3171.13</v>
      </c>
      <c r="T15" s="141">
        <v>3178.59</v>
      </c>
      <c r="U15" s="141">
        <v>4604.01</v>
      </c>
      <c r="V15" s="141">
        <v>2484.14</v>
      </c>
      <c r="W15" s="141">
        <v>4095.47</v>
      </c>
      <c r="X15" s="141">
        <v>2411.11</v>
      </c>
      <c r="Y15" s="141">
        <v>10000</v>
      </c>
      <c r="Z15" s="141">
        <v>5000</v>
      </c>
      <c r="AA15" s="141">
        <v>5000</v>
      </c>
      <c r="AB15" s="141">
        <v>5000</v>
      </c>
      <c r="AC15" s="142">
        <f t="shared" si="4"/>
        <v>55050.340000000004</v>
      </c>
      <c r="AD15" s="141">
        <f t="shared" si="5"/>
        <v>-1949.6599999999962</v>
      </c>
      <c r="AE15" s="192">
        <f t="shared" si="6"/>
        <v>-3.5415948384696555E-2</v>
      </c>
      <c r="AF15" s="129">
        <v>173714.96000000002</v>
      </c>
      <c r="AG15" s="123">
        <f t="shared" si="2"/>
        <v>116714.96000000002</v>
      </c>
      <c r="AH15" s="124"/>
    </row>
    <row r="16" spans="1:34">
      <c r="A16" s="105" t="s">
        <v>835</v>
      </c>
      <c r="B16" s="105" t="s">
        <v>887</v>
      </c>
      <c r="C16" s="105" t="s">
        <v>305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9">
        <f t="shared" si="7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142">
        <f t="shared" si="4"/>
        <v>0</v>
      </c>
      <c r="AD16" s="141">
        <f t="shared" si="5"/>
        <v>0</v>
      </c>
      <c r="AE16" s="192" t="e">
        <f t="shared" si="6"/>
        <v>#DIV/0!</v>
      </c>
      <c r="AF16" s="129">
        <v>0</v>
      </c>
      <c r="AG16" s="123">
        <f t="shared" si="2"/>
        <v>0</v>
      </c>
      <c r="AH16" s="124"/>
    </row>
    <row r="17" spans="1:34">
      <c r="A17" s="105" t="s">
        <v>689</v>
      </c>
      <c r="B17" s="105" t="s">
        <v>887</v>
      </c>
      <c r="C17" s="105" t="s">
        <v>202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9">
        <f t="shared" si="7"/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142">
        <f t="shared" si="4"/>
        <v>0</v>
      </c>
      <c r="AD17" s="141"/>
      <c r="AF17" s="129">
        <v>0</v>
      </c>
      <c r="AG17" s="123">
        <f t="shared" si="2"/>
        <v>0</v>
      </c>
      <c r="AH17" s="124"/>
    </row>
    <row r="18" spans="1:34">
      <c r="A18" s="105" t="s">
        <v>692</v>
      </c>
      <c r="B18" s="105" t="s">
        <v>886</v>
      </c>
      <c r="C18" s="105" t="s">
        <v>204</v>
      </c>
      <c r="D18" s="124">
        <v>400</v>
      </c>
      <c r="E18" s="124">
        <v>400</v>
      </c>
      <c r="F18" s="124">
        <v>400</v>
      </c>
      <c r="G18" s="124">
        <v>400</v>
      </c>
      <c r="H18" s="124">
        <v>400</v>
      </c>
      <c r="I18" s="124">
        <v>400</v>
      </c>
      <c r="J18" s="124">
        <v>400</v>
      </c>
      <c r="K18" s="124">
        <v>400</v>
      </c>
      <c r="L18" s="124">
        <v>400</v>
      </c>
      <c r="M18" s="124">
        <v>400</v>
      </c>
      <c r="N18" s="124">
        <v>400</v>
      </c>
      <c r="O18" s="124">
        <v>400</v>
      </c>
      <c r="P18" s="129">
        <f t="shared" si="7"/>
        <v>4800</v>
      </c>
      <c r="Q18" s="141">
        <v>1579</v>
      </c>
      <c r="R18" s="141">
        <v>1579</v>
      </c>
      <c r="S18" s="141">
        <v>1579</v>
      </c>
      <c r="T18" s="141">
        <v>0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  <c r="AA18" s="141">
        <v>0</v>
      </c>
      <c r="AB18" s="141">
        <v>0</v>
      </c>
      <c r="AC18" s="142">
        <f t="shared" si="4"/>
        <v>4737</v>
      </c>
      <c r="AD18" s="141">
        <f t="shared" si="5"/>
        <v>-63</v>
      </c>
      <c r="AE18" s="192">
        <f t="shared" si="6"/>
        <v>-1.3299556681443952E-2</v>
      </c>
      <c r="AF18" s="129">
        <v>440</v>
      </c>
      <c r="AG18" s="123">
        <f t="shared" si="2"/>
        <v>-4360</v>
      </c>
      <c r="AH18" s="124"/>
    </row>
    <row r="19" spans="1:34">
      <c r="A19" s="105" t="s">
        <v>717</v>
      </c>
      <c r="B19" s="105" t="s">
        <v>886</v>
      </c>
      <c r="C19" s="105" t="s">
        <v>208</v>
      </c>
      <c r="D19" s="124">
        <v>531</v>
      </c>
      <c r="E19" s="124">
        <v>531</v>
      </c>
      <c r="F19" s="124">
        <v>531</v>
      </c>
      <c r="G19" s="124">
        <v>531</v>
      </c>
      <c r="H19" s="124">
        <v>531</v>
      </c>
      <c r="I19" s="124">
        <v>531</v>
      </c>
      <c r="J19" s="124">
        <v>531</v>
      </c>
      <c r="K19" s="124">
        <v>531</v>
      </c>
      <c r="L19" s="124">
        <v>531</v>
      </c>
      <c r="M19" s="124">
        <v>531</v>
      </c>
      <c r="N19" s="124">
        <v>531</v>
      </c>
      <c r="O19" s="124">
        <v>531</v>
      </c>
      <c r="P19" s="129">
        <f t="shared" si="7"/>
        <v>6372</v>
      </c>
      <c r="Q19" s="141">
        <v>637.16</v>
      </c>
      <c r="R19" s="141">
        <v>637.16</v>
      </c>
      <c r="S19" s="141">
        <v>637.16</v>
      </c>
      <c r="T19" s="141">
        <v>612.39</v>
      </c>
      <c r="U19" s="141">
        <v>530.97</v>
      </c>
      <c r="V19" s="141">
        <v>530.97</v>
      </c>
      <c r="W19" s="141">
        <v>530.97</v>
      </c>
      <c r="X19" s="141">
        <v>442.47</v>
      </c>
      <c r="Y19" s="141">
        <v>600</v>
      </c>
      <c r="Z19" s="141">
        <v>600</v>
      </c>
      <c r="AA19" s="141">
        <v>600</v>
      </c>
      <c r="AB19" s="141">
        <v>600</v>
      </c>
      <c r="AC19" s="142">
        <f t="shared" si="4"/>
        <v>6959.2500000000009</v>
      </c>
      <c r="AD19" s="141">
        <f t="shared" si="5"/>
        <v>587.25000000000091</v>
      </c>
      <c r="AE19" s="192">
        <f t="shared" si="6"/>
        <v>8.4384093113482175E-2</v>
      </c>
      <c r="AF19" s="129">
        <v>3834.3599999999997</v>
      </c>
      <c r="AG19" s="123">
        <f t="shared" si="2"/>
        <v>-2537.6400000000003</v>
      </c>
      <c r="AH19" s="124"/>
    </row>
    <row r="20" spans="1:34">
      <c r="A20" s="105" t="s">
        <v>690</v>
      </c>
      <c r="B20" s="105" t="s">
        <v>886</v>
      </c>
      <c r="C20" s="105" t="s">
        <v>210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9">
        <f t="shared" si="7"/>
        <v>0</v>
      </c>
      <c r="Q20" s="141">
        <v>0</v>
      </c>
      <c r="R20" s="141">
        <v>0</v>
      </c>
      <c r="S20" s="141">
        <v>0</v>
      </c>
      <c r="T20" s="141">
        <v>0</v>
      </c>
      <c r="U20" s="141">
        <v>0</v>
      </c>
      <c r="V20" s="141">
        <v>0</v>
      </c>
      <c r="W20" s="141">
        <v>0</v>
      </c>
      <c r="X20" s="141">
        <v>0</v>
      </c>
      <c r="Y20" s="141">
        <v>0</v>
      </c>
      <c r="Z20" s="141">
        <v>0</v>
      </c>
      <c r="AA20" s="141">
        <v>0</v>
      </c>
      <c r="AB20" s="141">
        <v>0</v>
      </c>
      <c r="AC20" s="142">
        <f t="shared" si="4"/>
        <v>0</v>
      </c>
      <c r="AD20" s="141">
        <f t="shared" si="5"/>
        <v>0</v>
      </c>
      <c r="AE20" s="192" t="e">
        <f t="shared" si="6"/>
        <v>#DIV/0!</v>
      </c>
      <c r="AF20" s="129">
        <v>969.53</v>
      </c>
      <c r="AG20" s="123">
        <f t="shared" si="2"/>
        <v>969.53</v>
      </c>
      <c r="AH20" s="124"/>
    </row>
    <row r="21" spans="1:34">
      <c r="A21" s="105" t="s">
        <v>694</v>
      </c>
      <c r="B21" s="105" t="s">
        <v>886</v>
      </c>
      <c r="C21" s="105" t="s">
        <v>212</v>
      </c>
      <c r="D21" s="124">
        <v>100</v>
      </c>
      <c r="E21" s="124">
        <v>100</v>
      </c>
      <c r="F21" s="124">
        <v>100</v>
      </c>
      <c r="G21" s="124">
        <v>100</v>
      </c>
      <c r="H21" s="124">
        <v>100</v>
      </c>
      <c r="I21" s="124">
        <v>100</v>
      </c>
      <c r="J21" s="124">
        <v>100</v>
      </c>
      <c r="K21" s="124">
        <v>100</v>
      </c>
      <c r="L21" s="124">
        <v>100</v>
      </c>
      <c r="M21" s="124">
        <v>100</v>
      </c>
      <c r="N21" s="124">
        <v>100</v>
      </c>
      <c r="O21" s="124">
        <v>100</v>
      </c>
      <c r="P21" s="129">
        <f t="shared" si="7"/>
        <v>1200</v>
      </c>
      <c r="Q21" s="141">
        <v>0</v>
      </c>
      <c r="R21" s="141">
        <v>0</v>
      </c>
      <c r="S21" s="141">
        <v>0</v>
      </c>
      <c r="T21" s="141">
        <v>0</v>
      </c>
      <c r="U21" s="141">
        <v>0</v>
      </c>
      <c r="V21" s="141">
        <v>179.44</v>
      </c>
      <c r="W21" s="141">
        <v>0</v>
      </c>
      <c r="X21" s="141">
        <v>0</v>
      </c>
      <c r="Y21" s="141">
        <v>120</v>
      </c>
      <c r="Z21" s="141">
        <v>120</v>
      </c>
      <c r="AA21" s="141">
        <v>120</v>
      </c>
      <c r="AB21" s="141">
        <v>120</v>
      </c>
      <c r="AC21" s="142">
        <f t="shared" si="4"/>
        <v>659.44</v>
      </c>
      <c r="AD21" s="141">
        <f t="shared" si="5"/>
        <v>-540.55999999999995</v>
      </c>
      <c r="AE21" s="192">
        <f t="shared" si="6"/>
        <v>-0.81972582797525162</v>
      </c>
      <c r="AF21" s="129">
        <v>1242.27</v>
      </c>
      <c r="AG21" s="123">
        <f t="shared" si="2"/>
        <v>42.269999999999982</v>
      </c>
      <c r="AH21" s="124"/>
    </row>
    <row r="22" spans="1:34">
      <c r="A22" s="105" t="s">
        <v>709</v>
      </c>
      <c r="B22" s="105" t="s">
        <v>887</v>
      </c>
      <c r="C22" s="105" t="s">
        <v>214</v>
      </c>
      <c r="D22" s="212">
        <f>Laundry!E154</f>
        <v>137</v>
      </c>
      <c r="E22" s="212">
        <f>Laundry!F154</f>
        <v>124</v>
      </c>
      <c r="F22" s="212">
        <f>Laundry!G154</f>
        <v>126</v>
      </c>
      <c r="G22" s="212">
        <f>Laundry!H154</f>
        <v>129</v>
      </c>
      <c r="H22" s="212">
        <f>Laundry!I154</f>
        <v>133</v>
      </c>
      <c r="I22" s="212">
        <f>Laundry!J154</f>
        <v>127</v>
      </c>
      <c r="J22" s="212">
        <f>Laundry!K154</f>
        <v>136</v>
      </c>
      <c r="K22" s="212">
        <f>Laundry!L154</f>
        <v>135</v>
      </c>
      <c r="L22" s="212">
        <f>Laundry!M154</f>
        <v>130</v>
      </c>
      <c r="M22" s="212">
        <f>Laundry!N154</f>
        <v>148</v>
      </c>
      <c r="N22" s="212">
        <f>Laundry!O154</f>
        <v>131</v>
      </c>
      <c r="O22" s="212">
        <f>Laundry!P154</f>
        <v>130</v>
      </c>
      <c r="P22" s="129">
        <f t="shared" si="7"/>
        <v>1586</v>
      </c>
      <c r="Q22" s="141">
        <v>256.81</v>
      </c>
      <c r="R22" s="141">
        <v>292.02999999999997</v>
      </c>
      <c r="S22" s="141">
        <v>107.2</v>
      </c>
      <c r="T22" s="141">
        <v>80.819999999999993</v>
      </c>
      <c r="U22" s="141">
        <v>40.31</v>
      </c>
      <c r="V22" s="141">
        <v>90.32</v>
      </c>
      <c r="W22" s="141">
        <v>83.49</v>
      </c>
      <c r="X22" s="141">
        <v>90.24</v>
      </c>
      <c r="Y22" s="141">
        <v>164</v>
      </c>
      <c r="Z22" s="141">
        <v>184</v>
      </c>
      <c r="AA22" s="141">
        <v>154</v>
      </c>
      <c r="AB22" s="141">
        <v>158</v>
      </c>
      <c r="AC22" s="142">
        <f t="shared" si="4"/>
        <v>1701.2199999999998</v>
      </c>
      <c r="AD22" s="141">
        <f t="shared" si="5"/>
        <v>115.2199999999998</v>
      </c>
      <c r="AE22" s="192">
        <f t="shared" si="6"/>
        <v>6.7727865884482791E-2</v>
      </c>
      <c r="AF22" s="129">
        <v>513.94999999999993</v>
      </c>
      <c r="AG22" s="123">
        <f t="shared" si="2"/>
        <v>-1072.0500000000002</v>
      </c>
    </row>
    <row r="23" spans="1:34">
      <c r="A23" s="105" t="s">
        <v>306</v>
      </c>
      <c r="B23" s="105" t="s">
        <v>886</v>
      </c>
      <c r="C23" s="105" t="s">
        <v>206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9">
        <f t="shared" si="7"/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  <c r="AA23" s="141">
        <v>0</v>
      </c>
      <c r="AB23" s="141">
        <v>0</v>
      </c>
      <c r="AC23" s="142">
        <f t="shared" si="4"/>
        <v>0</v>
      </c>
      <c r="AD23" s="141"/>
      <c r="AF23" s="129">
        <v>0</v>
      </c>
      <c r="AG23" s="123">
        <f t="shared" si="2"/>
        <v>0</v>
      </c>
    </row>
    <row r="24" spans="1:34">
      <c r="A24" s="105" t="s">
        <v>696</v>
      </c>
      <c r="B24" s="105" t="s">
        <v>886</v>
      </c>
      <c r="C24" s="105" t="s">
        <v>216</v>
      </c>
      <c r="D24" s="124">
        <f>1500-1045</f>
        <v>455</v>
      </c>
      <c r="E24" s="124">
        <f t="shared" ref="E24:O24" si="8">1500-1045</f>
        <v>455</v>
      </c>
      <c r="F24" s="124">
        <f t="shared" si="8"/>
        <v>455</v>
      </c>
      <c r="G24" s="124">
        <f t="shared" si="8"/>
        <v>455</v>
      </c>
      <c r="H24" s="124">
        <f t="shared" si="8"/>
        <v>455</v>
      </c>
      <c r="I24" s="124">
        <f t="shared" si="8"/>
        <v>455</v>
      </c>
      <c r="J24" s="124">
        <f t="shared" si="8"/>
        <v>455</v>
      </c>
      <c r="K24" s="124">
        <f t="shared" si="8"/>
        <v>455</v>
      </c>
      <c r="L24" s="124">
        <f t="shared" si="8"/>
        <v>455</v>
      </c>
      <c r="M24" s="124">
        <f t="shared" si="8"/>
        <v>455</v>
      </c>
      <c r="N24" s="124">
        <f t="shared" si="8"/>
        <v>455</v>
      </c>
      <c r="O24" s="124">
        <f t="shared" si="8"/>
        <v>455</v>
      </c>
      <c r="P24" s="129">
        <f t="shared" si="7"/>
        <v>5460</v>
      </c>
      <c r="Q24" s="141">
        <v>1516.13</v>
      </c>
      <c r="R24" s="141">
        <v>1942.71</v>
      </c>
      <c r="S24" s="141">
        <v>1897.4</v>
      </c>
      <c r="T24" s="141">
        <v>1989.08</v>
      </c>
      <c r="U24" s="141">
        <v>1989.34</v>
      </c>
      <c r="V24" s="141">
        <v>1996.62</v>
      </c>
      <c r="W24" s="141">
        <v>-11101.74</v>
      </c>
      <c r="X24" s="141">
        <v>2079.04</v>
      </c>
      <c r="Y24" s="141">
        <v>2000</v>
      </c>
      <c r="Z24" s="141">
        <v>2000</v>
      </c>
      <c r="AA24" s="141">
        <v>2000</v>
      </c>
      <c r="AB24" s="141">
        <v>2000</v>
      </c>
      <c r="AC24" s="142">
        <f t="shared" si="4"/>
        <v>10308.579999999998</v>
      </c>
      <c r="AD24" s="141">
        <f t="shared" si="5"/>
        <v>4848.5799999999981</v>
      </c>
      <c r="AE24" s="192">
        <f t="shared" si="6"/>
        <v>0.47034412111076396</v>
      </c>
      <c r="AF24" s="129">
        <v>25079.72</v>
      </c>
      <c r="AG24" s="123">
        <f t="shared" si="2"/>
        <v>19619.72</v>
      </c>
      <c r="AH24" s="124"/>
    </row>
    <row r="25" spans="1:34">
      <c r="A25" s="105" t="s">
        <v>697</v>
      </c>
      <c r="B25" s="105" t="s">
        <v>886</v>
      </c>
      <c r="C25" s="105" t="s">
        <v>218</v>
      </c>
      <c r="D25" s="124">
        <v>6000</v>
      </c>
      <c r="E25" s="124">
        <v>6000</v>
      </c>
      <c r="F25" s="124">
        <v>6000</v>
      </c>
      <c r="G25" s="124">
        <v>6000</v>
      </c>
      <c r="H25" s="124">
        <v>6000</v>
      </c>
      <c r="I25" s="124">
        <v>6000</v>
      </c>
      <c r="J25" s="124">
        <v>6000</v>
      </c>
      <c r="K25" s="124">
        <v>6000</v>
      </c>
      <c r="L25" s="124">
        <v>6000</v>
      </c>
      <c r="M25" s="124">
        <v>6000</v>
      </c>
      <c r="N25" s="124">
        <v>6000</v>
      </c>
      <c r="O25" s="124">
        <v>6000</v>
      </c>
      <c r="P25" s="129">
        <f t="shared" si="7"/>
        <v>72000</v>
      </c>
      <c r="Q25" s="141">
        <v>7292.9</v>
      </c>
      <c r="R25" s="141">
        <v>6070.57</v>
      </c>
      <c r="S25" s="141">
        <v>11907.51</v>
      </c>
      <c r="T25" s="141">
        <v>5878.19</v>
      </c>
      <c r="U25" s="141">
        <v>8974.14</v>
      </c>
      <c r="V25" s="141">
        <v>7322.95</v>
      </c>
      <c r="W25" s="141">
        <v>9526.11</v>
      </c>
      <c r="X25" s="141">
        <v>6129.9</v>
      </c>
      <c r="Y25" s="141">
        <v>8000</v>
      </c>
      <c r="Z25" s="141">
        <v>8000</v>
      </c>
      <c r="AA25" s="141">
        <v>8000</v>
      </c>
      <c r="AB25" s="141">
        <v>8000</v>
      </c>
      <c r="AC25" s="142">
        <f t="shared" si="4"/>
        <v>95102.26999999999</v>
      </c>
      <c r="AD25" s="141">
        <f t="shared" si="5"/>
        <v>23102.26999999999</v>
      </c>
      <c r="AE25" s="192">
        <f t="shared" si="6"/>
        <v>0.24292027940027081</v>
      </c>
      <c r="AF25" s="129">
        <v>104350.58</v>
      </c>
      <c r="AG25" s="123">
        <f t="shared" si="2"/>
        <v>32350.58</v>
      </c>
      <c r="AH25" s="124"/>
    </row>
    <row r="26" spans="1:34">
      <c r="A26" s="105" t="s">
        <v>836</v>
      </c>
      <c r="B26" s="105" t="s">
        <v>886</v>
      </c>
      <c r="C26" s="105" t="s">
        <v>220</v>
      </c>
      <c r="D26" s="124">
        <v>5000</v>
      </c>
      <c r="E26" s="124">
        <v>5000</v>
      </c>
      <c r="F26" s="124">
        <v>5000</v>
      </c>
      <c r="G26" s="124">
        <v>5000</v>
      </c>
      <c r="H26" s="124">
        <v>5000</v>
      </c>
      <c r="I26" s="124">
        <v>5000</v>
      </c>
      <c r="J26" s="124">
        <v>5000</v>
      </c>
      <c r="K26" s="124">
        <v>5000</v>
      </c>
      <c r="L26" s="124">
        <v>5000</v>
      </c>
      <c r="M26" s="124">
        <v>5000</v>
      </c>
      <c r="N26" s="124">
        <v>5000</v>
      </c>
      <c r="O26" s="124">
        <v>5000</v>
      </c>
      <c r="P26" s="129">
        <f t="shared" si="7"/>
        <v>60000</v>
      </c>
      <c r="Q26" s="141">
        <v>11115</v>
      </c>
      <c r="R26" s="141">
        <v>-5498.75</v>
      </c>
      <c r="S26" s="141">
        <v>5689.41</v>
      </c>
      <c r="T26" s="141">
        <v>6210.47</v>
      </c>
      <c r="U26" s="141">
        <v>16769</v>
      </c>
      <c r="V26" s="141">
        <v>-7837.75</v>
      </c>
      <c r="W26" s="141">
        <v>23377.82</v>
      </c>
      <c r="X26" s="141">
        <v>-8986.8700000000008</v>
      </c>
      <c r="Y26" s="141">
        <v>5000</v>
      </c>
      <c r="Z26" s="141">
        <v>5000</v>
      </c>
      <c r="AA26" s="141">
        <v>5000</v>
      </c>
      <c r="AB26" s="141">
        <v>5000</v>
      </c>
      <c r="AC26" s="142">
        <f t="shared" si="4"/>
        <v>60838.33</v>
      </c>
      <c r="AD26" s="141">
        <f t="shared" si="5"/>
        <v>838.33000000000175</v>
      </c>
      <c r="AE26" s="192">
        <f t="shared" si="6"/>
        <v>1.3779635305571369E-2</v>
      </c>
      <c r="AF26" s="129">
        <v>60234.539999999994</v>
      </c>
      <c r="AG26" s="123">
        <f t="shared" si="2"/>
        <v>234.5399999999936</v>
      </c>
      <c r="AH26" s="124"/>
    </row>
    <row r="27" spans="1:34">
      <c r="A27" s="105">
        <v>60014101</v>
      </c>
      <c r="B27" s="105" t="s">
        <v>886</v>
      </c>
      <c r="C27" s="105" t="s">
        <v>459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9">
        <f t="shared" si="7"/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0</v>
      </c>
      <c r="AC27" s="142">
        <f t="shared" si="4"/>
        <v>0</v>
      </c>
      <c r="AD27" s="141"/>
      <c r="AF27" s="129">
        <v>0</v>
      </c>
      <c r="AG27" s="123">
        <f t="shared" si="2"/>
        <v>0</v>
      </c>
      <c r="AH27" s="124"/>
    </row>
    <row r="28" spans="1:34">
      <c r="A28" s="105" t="s">
        <v>746</v>
      </c>
      <c r="B28" s="105" t="s">
        <v>886</v>
      </c>
      <c r="C28" s="105" t="s">
        <v>678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9">
        <f t="shared" si="7"/>
        <v>0</v>
      </c>
      <c r="Q28" s="141">
        <v>0</v>
      </c>
      <c r="R28" s="141">
        <v>0</v>
      </c>
      <c r="S28" s="141">
        <v>112500</v>
      </c>
      <c r="T28" s="141">
        <v>70509.710000000006</v>
      </c>
      <c r="U28" s="141">
        <v>37500</v>
      </c>
      <c r="V28" s="141">
        <v>37500</v>
      </c>
      <c r="W28" s="141">
        <v>37500</v>
      </c>
      <c r="X28" s="141">
        <v>37500</v>
      </c>
      <c r="Y28" s="141">
        <v>37500</v>
      </c>
      <c r="Z28" s="141">
        <v>37500</v>
      </c>
      <c r="AA28" s="141">
        <v>37500</v>
      </c>
      <c r="AB28" s="141">
        <v>37500</v>
      </c>
      <c r="AC28" s="142">
        <f t="shared" si="4"/>
        <v>483009.71</v>
      </c>
      <c r="AD28" s="141">
        <f t="shared" si="5"/>
        <v>483009.71</v>
      </c>
      <c r="AE28" s="192">
        <f t="shared" si="6"/>
        <v>1</v>
      </c>
      <c r="AF28" s="129">
        <v>629003.23</v>
      </c>
      <c r="AG28" s="123">
        <f t="shared" si="2"/>
        <v>629003.23</v>
      </c>
      <c r="AH28" s="124"/>
    </row>
    <row r="29" spans="1:34">
      <c r="A29" s="105" t="s">
        <v>837</v>
      </c>
      <c r="B29" s="105" t="s">
        <v>886</v>
      </c>
      <c r="C29" s="105" t="s">
        <v>888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9">
        <f t="shared" si="7"/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41">
        <v>0</v>
      </c>
      <c r="W29" s="141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142">
        <f t="shared" si="4"/>
        <v>0</v>
      </c>
      <c r="AD29" s="141"/>
      <c r="AF29" s="129">
        <v>0</v>
      </c>
      <c r="AG29" s="123">
        <f t="shared" si="2"/>
        <v>0</v>
      </c>
      <c r="AH29" s="124"/>
    </row>
    <row r="30" spans="1:34">
      <c r="A30" s="105" t="s">
        <v>839</v>
      </c>
      <c r="B30" s="105" t="s">
        <v>886</v>
      </c>
      <c r="C30" s="105" t="s">
        <v>840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9">
        <f t="shared" si="7"/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0</v>
      </c>
      <c r="AC30" s="142">
        <f t="shared" si="4"/>
        <v>0</v>
      </c>
      <c r="AD30" s="141"/>
      <c r="AF30" s="129">
        <v>0</v>
      </c>
      <c r="AG30" s="123">
        <f t="shared" si="2"/>
        <v>0</v>
      </c>
      <c r="AH30" s="124"/>
    </row>
    <row r="31" spans="1:34">
      <c r="A31" s="105" t="s">
        <v>841</v>
      </c>
      <c r="B31" s="105" t="s">
        <v>886</v>
      </c>
      <c r="C31" s="105" t="s">
        <v>842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9">
        <f t="shared" si="7"/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142">
        <f t="shared" si="4"/>
        <v>0</v>
      </c>
      <c r="AD31" s="141">
        <f t="shared" si="5"/>
        <v>0</v>
      </c>
      <c r="AE31" s="192" t="e">
        <f t="shared" si="6"/>
        <v>#DIV/0!</v>
      </c>
      <c r="AF31" s="129">
        <v>0</v>
      </c>
      <c r="AG31" s="123">
        <f t="shared" si="2"/>
        <v>0</v>
      </c>
      <c r="AH31" s="124"/>
    </row>
    <row r="32" spans="1:34">
      <c r="A32" s="105" t="s">
        <v>843</v>
      </c>
      <c r="B32" s="105" t="s">
        <v>886</v>
      </c>
      <c r="C32" s="105" t="s">
        <v>844</v>
      </c>
      <c r="D32" s="124">
        <v>4717</v>
      </c>
      <c r="E32" s="124">
        <v>4717</v>
      </c>
      <c r="F32" s="124">
        <v>4717</v>
      </c>
      <c r="G32" s="124">
        <v>4717</v>
      </c>
      <c r="H32" s="124">
        <v>4717</v>
      </c>
      <c r="I32" s="124">
        <v>4717</v>
      </c>
      <c r="J32" s="124">
        <v>4717</v>
      </c>
      <c r="K32" s="124">
        <v>4717</v>
      </c>
      <c r="L32" s="124">
        <v>4717</v>
      </c>
      <c r="M32" s="124">
        <v>4717</v>
      </c>
      <c r="N32" s="124">
        <v>4717</v>
      </c>
      <c r="O32" s="124">
        <v>4717</v>
      </c>
      <c r="P32" s="129">
        <f t="shared" si="7"/>
        <v>56604</v>
      </c>
      <c r="Q32" s="141">
        <v>6711.5</v>
      </c>
      <c r="R32" s="141">
        <v>4716.9799999999996</v>
      </c>
      <c r="S32" s="141">
        <v>4716.9799999999996</v>
      </c>
      <c r="T32" s="141">
        <v>4716.9799999999996</v>
      </c>
      <c r="U32" s="141">
        <v>38657.26</v>
      </c>
      <c r="V32" s="141">
        <v>4716.9799999999996</v>
      </c>
      <c r="W32" s="141">
        <v>4716.9799999999996</v>
      </c>
      <c r="X32" s="141">
        <v>4716.9799999999996</v>
      </c>
      <c r="Y32" s="141">
        <v>5000</v>
      </c>
      <c r="Z32" s="141">
        <v>5000</v>
      </c>
      <c r="AA32" s="141">
        <v>5000</v>
      </c>
      <c r="AB32" s="141">
        <v>5000</v>
      </c>
      <c r="AC32" s="142">
        <f t="shared" si="4"/>
        <v>93670.639999999985</v>
      </c>
      <c r="AD32" s="141">
        <f t="shared" si="5"/>
        <v>37066.639999999985</v>
      </c>
      <c r="AE32" s="192">
        <f t="shared" si="6"/>
        <v>0.39571246657437154</v>
      </c>
      <c r="AF32" s="129">
        <v>98129.529999999984</v>
      </c>
      <c r="AG32" s="123">
        <f t="shared" si="2"/>
        <v>41525.529999999984</v>
      </c>
      <c r="AH32" s="124"/>
    </row>
    <row r="33" spans="1:34">
      <c r="A33" s="105">
        <v>60014110</v>
      </c>
      <c r="B33" s="105" t="s">
        <v>886</v>
      </c>
      <c r="C33" s="105" t="s">
        <v>845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9">
        <f t="shared" si="7"/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  <c r="AA33" s="141">
        <v>0</v>
      </c>
      <c r="AB33" s="141">
        <v>0</v>
      </c>
      <c r="AC33" s="142">
        <f t="shared" si="4"/>
        <v>0</v>
      </c>
      <c r="AD33" s="141"/>
      <c r="AF33" s="129">
        <v>0</v>
      </c>
      <c r="AG33" s="123">
        <f t="shared" si="2"/>
        <v>0</v>
      </c>
      <c r="AH33" s="124"/>
    </row>
    <row r="34" spans="1:34">
      <c r="A34" s="105">
        <v>60014111</v>
      </c>
      <c r="B34" s="105" t="s">
        <v>886</v>
      </c>
      <c r="C34" s="105" t="s">
        <v>846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9">
        <f t="shared" si="7"/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41">
        <v>0</v>
      </c>
      <c r="W34" s="141">
        <v>0</v>
      </c>
      <c r="X34" s="141">
        <v>0</v>
      </c>
      <c r="Y34" s="141">
        <v>0</v>
      </c>
      <c r="Z34" s="141">
        <v>0</v>
      </c>
      <c r="AA34" s="141">
        <v>0</v>
      </c>
      <c r="AB34" s="141">
        <v>0</v>
      </c>
      <c r="AC34" s="142">
        <f t="shared" si="4"/>
        <v>0</v>
      </c>
      <c r="AD34" s="141"/>
      <c r="AF34" s="129">
        <v>0</v>
      </c>
      <c r="AG34" s="123">
        <f t="shared" si="2"/>
        <v>0</v>
      </c>
      <c r="AH34" s="124"/>
    </row>
    <row r="35" spans="1:34">
      <c r="A35" s="105" t="s">
        <v>847</v>
      </c>
      <c r="B35" s="105" t="s">
        <v>886</v>
      </c>
      <c r="C35" s="105" t="s">
        <v>848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9">
        <f t="shared" si="7"/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142">
        <f t="shared" si="4"/>
        <v>0</v>
      </c>
      <c r="AD35" s="141">
        <f t="shared" si="5"/>
        <v>0</v>
      </c>
      <c r="AE35" s="192" t="e">
        <f t="shared" si="6"/>
        <v>#DIV/0!</v>
      </c>
      <c r="AF35" s="129">
        <v>0</v>
      </c>
      <c r="AG35" s="123">
        <f t="shared" si="2"/>
        <v>0</v>
      </c>
      <c r="AH35" s="124"/>
    </row>
    <row r="36" spans="1:34">
      <c r="A36" s="105" t="s">
        <v>849</v>
      </c>
      <c r="B36" s="105" t="s">
        <v>886</v>
      </c>
      <c r="C36" s="105" t="s">
        <v>850</v>
      </c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9">
        <f t="shared" si="7"/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142">
        <f t="shared" si="4"/>
        <v>0</v>
      </c>
      <c r="AD36" s="141">
        <f>AC36-P36</f>
        <v>0</v>
      </c>
      <c r="AE36" s="192" t="e">
        <f t="shared" si="6"/>
        <v>#DIV/0!</v>
      </c>
      <c r="AF36" s="129">
        <v>0</v>
      </c>
      <c r="AG36" s="123">
        <f t="shared" si="2"/>
        <v>0</v>
      </c>
      <c r="AH36" s="124"/>
    </row>
    <row r="37" spans="1:34">
      <c r="A37" s="105" t="s">
        <v>851</v>
      </c>
      <c r="B37" s="105" t="s">
        <v>886</v>
      </c>
      <c r="C37" s="105" t="s">
        <v>852</v>
      </c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9">
        <f t="shared" si="7"/>
        <v>0</v>
      </c>
      <c r="Q37" s="141">
        <v>0</v>
      </c>
      <c r="R37" s="141">
        <v>0</v>
      </c>
      <c r="S37" s="141">
        <v>0</v>
      </c>
      <c r="T37" s="141">
        <v>0</v>
      </c>
      <c r="U37" s="141">
        <v>0</v>
      </c>
      <c r="V37" s="141">
        <v>0</v>
      </c>
      <c r="W37" s="141">
        <v>0</v>
      </c>
      <c r="X37" s="141">
        <v>0</v>
      </c>
      <c r="Y37" s="141">
        <v>0</v>
      </c>
      <c r="Z37" s="141">
        <v>0</v>
      </c>
      <c r="AA37" s="141">
        <v>0</v>
      </c>
      <c r="AB37" s="141">
        <v>0</v>
      </c>
      <c r="AC37" s="142">
        <f t="shared" si="4"/>
        <v>0</v>
      </c>
      <c r="AD37" s="141">
        <f t="shared" si="5"/>
        <v>0</v>
      </c>
      <c r="AE37" s="192" t="e">
        <f t="shared" si="6"/>
        <v>#DIV/0!</v>
      </c>
      <c r="AF37" s="129">
        <v>0</v>
      </c>
      <c r="AG37" s="123">
        <f t="shared" si="2"/>
        <v>0</v>
      </c>
      <c r="AH37" s="124"/>
    </row>
    <row r="38" spans="1:34">
      <c r="A38" s="105" t="s">
        <v>853</v>
      </c>
      <c r="B38" s="105" t="s">
        <v>886</v>
      </c>
      <c r="C38" s="105" t="s">
        <v>854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9">
        <f t="shared" si="7"/>
        <v>0</v>
      </c>
      <c r="Q38" s="141">
        <v>0</v>
      </c>
      <c r="R38" s="141">
        <v>0</v>
      </c>
      <c r="S38" s="141">
        <v>0</v>
      </c>
      <c r="T38" s="141">
        <v>0</v>
      </c>
      <c r="U38" s="141">
        <v>0</v>
      </c>
      <c r="V38" s="141">
        <v>0</v>
      </c>
      <c r="W38" s="141">
        <v>0</v>
      </c>
      <c r="X38" s="141">
        <v>0</v>
      </c>
      <c r="Y38" s="141">
        <v>0</v>
      </c>
      <c r="Z38" s="141">
        <v>0</v>
      </c>
      <c r="AA38" s="141">
        <v>0</v>
      </c>
      <c r="AB38" s="141">
        <v>0</v>
      </c>
      <c r="AC38" s="142">
        <f t="shared" si="4"/>
        <v>0</v>
      </c>
      <c r="AD38" s="141">
        <f t="shared" si="5"/>
        <v>0</v>
      </c>
      <c r="AE38" s="192" t="e">
        <f t="shared" si="6"/>
        <v>#DIV/0!</v>
      </c>
      <c r="AF38" s="129">
        <v>0</v>
      </c>
      <c r="AG38" s="123">
        <f t="shared" si="2"/>
        <v>0</v>
      </c>
      <c r="AH38" s="124"/>
    </row>
    <row r="39" spans="1:34">
      <c r="A39" s="105" t="s">
        <v>855</v>
      </c>
      <c r="B39" s="105" t="s">
        <v>886</v>
      </c>
      <c r="C39" s="105" t="s">
        <v>856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9">
        <f t="shared" si="7"/>
        <v>0</v>
      </c>
      <c r="Q39" s="141">
        <v>0</v>
      </c>
      <c r="R39" s="141">
        <v>0</v>
      </c>
      <c r="S39" s="141">
        <v>0</v>
      </c>
      <c r="T39" s="141">
        <v>0</v>
      </c>
      <c r="U39" s="141">
        <v>0</v>
      </c>
      <c r="V39" s="141">
        <v>0</v>
      </c>
      <c r="W39" s="141">
        <v>0</v>
      </c>
      <c r="X39" s="141">
        <v>0</v>
      </c>
      <c r="Y39" s="141">
        <v>0</v>
      </c>
      <c r="Z39" s="141">
        <v>0</v>
      </c>
      <c r="AA39" s="141">
        <v>0</v>
      </c>
      <c r="AB39" s="141">
        <v>0</v>
      </c>
      <c r="AC39" s="142">
        <f t="shared" si="4"/>
        <v>0</v>
      </c>
      <c r="AD39" s="141">
        <f t="shared" si="5"/>
        <v>0</v>
      </c>
      <c r="AE39" s="192" t="e">
        <f t="shared" si="6"/>
        <v>#DIV/0!</v>
      </c>
      <c r="AF39" s="129">
        <v>0</v>
      </c>
      <c r="AG39" s="123">
        <f t="shared" si="2"/>
        <v>0</v>
      </c>
      <c r="AH39" s="124"/>
    </row>
    <row r="40" spans="1:34">
      <c r="A40" s="105" t="s">
        <v>857</v>
      </c>
      <c r="B40" s="105" t="s">
        <v>886</v>
      </c>
      <c r="C40" s="105" t="s">
        <v>858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9">
        <f t="shared" si="7"/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41">
        <v>0</v>
      </c>
      <c r="W40" s="141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142">
        <f t="shared" si="4"/>
        <v>0</v>
      </c>
      <c r="AD40" s="141">
        <f t="shared" si="5"/>
        <v>0</v>
      </c>
      <c r="AE40" s="192" t="e">
        <f t="shared" si="6"/>
        <v>#DIV/0!</v>
      </c>
      <c r="AF40" s="129">
        <v>0</v>
      </c>
      <c r="AG40" s="123">
        <f t="shared" si="2"/>
        <v>0</v>
      </c>
      <c r="AH40" s="124"/>
    </row>
    <row r="41" spans="1:34">
      <c r="A41" s="105" t="s">
        <v>859</v>
      </c>
      <c r="B41" s="105" t="s">
        <v>886</v>
      </c>
      <c r="C41" s="105" t="s">
        <v>860</v>
      </c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9">
        <f t="shared" si="7"/>
        <v>0</v>
      </c>
      <c r="Q41" s="141">
        <v>0</v>
      </c>
      <c r="R41" s="141">
        <v>0</v>
      </c>
      <c r="S41" s="141">
        <v>0</v>
      </c>
      <c r="T41" s="141">
        <v>0</v>
      </c>
      <c r="U41" s="141">
        <v>0</v>
      </c>
      <c r="V41" s="141">
        <v>0</v>
      </c>
      <c r="W41" s="141">
        <v>0</v>
      </c>
      <c r="X41" s="141">
        <v>0</v>
      </c>
      <c r="Y41" s="141">
        <v>0</v>
      </c>
      <c r="Z41" s="141">
        <v>0</v>
      </c>
      <c r="AA41" s="141">
        <v>0</v>
      </c>
      <c r="AB41" s="141">
        <v>0</v>
      </c>
      <c r="AC41" s="142">
        <f t="shared" si="4"/>
        <v>0</v>
      </c>
      <c r="AD41" s="141">
        <f t="shared" si="5"/>
        <v>0</v>
      </c>
      <c r="AF41" s="129">
        <v>0</v>
      </c>
      <c r="AG41" s="123">
        <f t="shared" si="2"/>
        <v>0</v>
      </c>
      <c r="AH41" s="124"/>
    </row>
    <row r="42" spans="1:34">
      <c r="A42" s="105" t="s">
        <v>861</v>
      </c>
      <c r="B42" s="105" t="s">
        <v>886</v>
      </c>
      <c r="C42" s="105" t="s">
        <v>862</v>
      </c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9">
        <f t="shared" si="7"/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141">
        <v>0</v>
      </c>
      <c r="W42" s="141">
        <v>0</v>
      </c>
      <c r="X42" s="141">
        <v>0</v>
      </c>
      <c r="Y42" s="141">
        <v>0</v>
      </c>
      <c r="Z42" s="141">
        <v>0</v>
      </c>
      <c r="AA42" s="141">
        <v>0</v>
      </c>
      <c r="AB42" s="141">
        <v>0</v>
      </c>
      <c r="AC42" s="142">
        <f t="shared" si="4"/>
        <v>0</v>
      </c>
      <c r="AD42" s="141">
        <f t="shared" si="5"/>
        <v>0</v>
      </c>
      <c r="AE42" s="192" t="e">
        <f t="shared" si="6"/>
        <v>#DIV/0!</v>
      </c>
      <c r="AF42" s="129">
        <v>0</v>
      </c>
      <c r="AG42" s="123">
        <f t="shared" si="2"/>
        <v>0</v>
      </c>
      <c r="AH42" s="124"/>
    </row>
    <row r="43" spans="1:34">
      <c r="A43" s="105" t="s">
        <v>863</v>
      </c>
      <c r="B43" s="105" t="s">
        <v>886</v>
      </c>
      <c r="C43" s="105" t="s">
        <v>864</v>
      </c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9">
        <f t="shared" si="7"/>
        <v>0</v>
      </c>
      <c r="Q43" s="141">
        <v>0</v>
      </c>
      <c r="R43" s="141">
        <v>0</v>
      </c>
      <c r="S43" s="141">
        <v>0</v>
      </c>
      <c r="T43" s="141">
        <v>0</v>
      </c>
      <c r="U43" s="141">
        <v>0</v>
      </c>
      <c r="V43" s="141">
        <v>0</v>
      </c>
      <c r="W43" s="141">
        <v>0</v>
      </c>
      <c r="X43" s="141">
        <v>0</v>
      </c>
      <c r="Y43" s="141">
        <v>0</v>
      </c>
      <c r="Z43" s="141">
        <v>0</v>
      </c>
      <c r="AA43" s="141">
        <v>0</v>
      </c>
      <c r="AB43" s="141">
        <v>0</v>
      </c>
      <c r="AC43" s="142">
        <f t="shared" si="4"/>
        <v>0</v>
      </c>
      <c r="AD43" s="141">
        <f t="shared" si="5"/>
        <v>0</v>
      </c>
      <c r="AE43" s="192" t="e">
        <f t="shared" si="6"/>
        <v>#DIV/0!</v>
      </c>
      <c r="AF43" s="129">
        <v>0</v>
      </c>
      <c r="AG43" s="123">
        <f t="shared" si="2"/>
        <v>0</v>
      </c>
      <c r="AH43" s="124"/>
    </row>
    <row r="44" spans="1:34">
      <c r="A44" s="105" t="s">
        <v>865</v>
      </c>
      <c r="B44" s="105" t="s">
        <v>886</v>
      </c>
      <c r="C44" s="105" t="s">
        <v>866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9">
        <f t="shared" si="7"/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41">
        <v>0</v>
      </c>
      <c r="W44" s="141">
        <v>0</v>
      </c>
      <c r="X44" s="141">
        <v>0</v>
      </c>
      <c r="Y44" s="141">
        <v>0</v>
      </c>
      <c r="Z44" s="141">
        <v>0</v>
      </c>
      <c r="AA44" s="141">
        <v>0</v>
      </c>
      <c r="AB44" s="141">
        <v>0</v>
      </c>
      <c r="AC44" s="142">
        <f t="shared" si="4"/>
        <v>0</v>
      </c>
      <c r="AD44" s="141">
        <f t="shared" si="5"/>
        <v>0</v>
      </c>
      <c r="AE44" s="192" t="e">
        <f t="shared" si="6"/>
        <v>#DIV/0!</v>
      </c>
      <c r="AF44" s="129">
        <v>0</v>
      </c>
      <c r="AG44" s="123">
        <f t="shared" si="2"/>
        <v>0</v>
      </c>
      <c r="AH44" s="124"/>
    </row>
    <row r="45" spans="1:34">
      <c r="A45" s="105" t="s">
        <v>698</v>
      </c>
      <c r="B45" s="105" t="s">
        <v>886</v>
      </c>
      <c r="C45" s="105" t="s">
        <v>222</v>
      </c>
      <c r="D45" s="124">
        <v>2000</v>
      </c>
      <c r="E45" s="124">
        <v>2000</v>
      </c>
      <c r="F45" s="124">
        <v>2000</v>
      </c>
      <c r="G45" s="124">
        <v>2000</v>
      </c>
      <c r="H45" s="124">
        <v>2000</v>
      </c>
      <c r="I45" s="124">
        <v>2000</v>
      </c>
      <c r="J45" s="124">
        <v>2000</v>
      </c>
      <c r="K45" s="124">
        <v>2000</v>
      </c>
      <c r="L45" s="124">
        <v>2000</v>
      </c>
      <c r="M45" s="124">
        <v>2000</v>
      </c>
      <c r="N45" s="124">
        <v>2000</v>
      </c>
      <c r="O45" s="124">
        <v>2000</v>
      </c>
      <c r="P45" s="129">
        <f t="shared" si="7"/>
        <v>24000</v>
      </c>
      <c r="Q45" s="141">
        <v>0</v>
      </c>
      <c r="R45" s="141">
        <v>90000</v>
      </c>
      <c r="S45" s="141">
        <v>0</v>
      </c>
      <c r="T45" s="141">
        <v>0</v>
      </c>
      <c r="U45" s="141">
        <v>24788</v>
      </c>
      <c r="V45" s="141">
        <v>0</v>
      </c>
      <c r="W45" s="141">
        <v>0</v>
      </c>
      <c r="X45" s="141">
        <v>57665.599999999999</v>
      </c>
      <c r="Y45" s="141">
        <v>5000</v>
      </c>
      <c r="Z45" s="141">
        <v>5000</v>
      </c>
      <c r="AA45" s="141">
        <v>5000</v>
      </c>
      <c r="AB45" s="141">
        <v>5000</v>
      </c>
      <c r="AC45" s="142">
        <f t="shared" si="4"/>
        <v>192453.6</v>
      </c>
      <c r="AD45" s="141">
        <f t="shared" si="5"/>
        <v>168453.6</v>
      </c>
      <c r="AE45" s="192">
        <f t="shared" si="6"/>
        <v>0.87529461646859297</v>
      </c>
      <c r="AF45" s="129">
        <v>132775.37</v>
      </c>
      <c r="AG45" s="123">
        <f t="shared" si="2"/>
        <v>108775.37</v>
      </c>
      <c r="AH45" s="124"/>
    </row>
    <row r="46" spans="1:34">
      <c r="C46" s="109" t="s">
        <v>867</v>
      </c>
      <c r="D46" s="129">
        <f t="shared" ref="D46:AC46" si="9">SUM(D12:D45)</f>
        <v>25740</v>
      </c>
      <c r="E46" s="129">
        <f t="shared" si="9"/>
        <v>25727</v>
      </c>
      <c r="F46" s="129">
        <f t="shared" si="9"/>
        <v>25729</v>
      </c>
      <c r="G46" s="129">
        <f t="shared" si="9"/>
        <v>24732</v>
      </c>
      <c r="H46" s="129">
        <f t="shared" si="9"/>
        <v>25736</v>
      </c>
      <c r="I46" s="129">
        <f t="shared" si="9"/>
        <v>23730</v>
      </c>
      <c r="J46" s="129">
        <f t="shared" si="9"/>
        <v>25739</v>
      </c>
      <c r="K46" s="129">
        <f t="shared" si="9"/>
        <v>25738</v>
      </c>
      <c r="L46" s="129">
        <f t="shared" si="9"/>
        <v>25733</v>
      </c>
      <c r="M46" s="129">
        <f t="shared" si="9"/>
        <v>25751</v>
      </c>
      <c r="N46" s="129">
        <f t="shared" si="9"/>
        <v>25734</v>
      </c>
      <c r="O46" s="129">
        <f t="shared" si="9"/>
        <v>25733</v>
      </c>
      <c r="P46" s="129">
        <f t="shared" si="9"/>
        <v>305822</v>
      </c>
      <c r="Q46" s="142">
        <f t="shared" si="9"/>
        <v>35810.42</v>
      </c>
      <c r="R46" s="142">
        <f t="shared" si="9"/>
        <v>103519.89</v>
      </c>
      <c r="S46" s="142">
        <f t="shared" si="9"/>
        <v>142393.90000000002</v>
      </c>
      <c r="T46" s="142">
        <f t="shared" si="9"/>
        <v>93364.340000000011</v>
      </c>
      <c r="U46" s="142">
        <f t="shared" si="9"/>
        <v>136041.14000000001</v>
      </c>
      <c r="V46" s="142">
        <f t="shared" si="9"/>
        <v>47171.78</v>
      </c>
      <c r="W46" s="142">
        <f t="shared" si="9"/>
        <v>81491.47</v>
      </c>
      <c r="X46" s="142">
        <f t="shared" si="9"/>
        <v>102236.57999999999</v>
      </c>
      <c r="Y46" s="142">
        <f t="shared" si="9"/>
        <v>74234</v>
      </c>
      <c r="Z46" s="142">
        <f t="shared" si="9"/>
        <v>69254</v>
      </c>
      <c r="AA46" s="142">
        <f t="shared" si="9"/>
        <v>69224</v>
      </c>
      <c r="AB46" s="142">
        <f t="shared" si="9"/>
        <v>69228</v>
      </c>
      <c r="AC46" s="142">
        <f t="shared" si="9"/>
        <v>1023969.52</v>
      </c>
      <c r="AD46" s="142">
        <f t="shared" si="5"/>
        <v>718147.52</v>
      </c>
      <c r="AE46" s="132">
        <f t="shared" si="6"/>
        <v>0.70133681322858121</v>
      </c>
      <c r="AF46" s="129">
        <v>1245188.04</v>
      </c>
      <c r="AG46" s="123">
        <f t="shared" si="2"/>
        <v>939366.04</v>
      </c>
    </row>
    <row r="47" spans="1:34">
      <c r="C47" s="109" t="s">
        <v>868</v>
      </c>
      <c r="D47" s="129">
        <f t="shared" ref="D47:AC47" si="10">D46+D83</f>
        <v>292735.01</v>
      </c>
      <c r="E47" s="129">
        <f t="shared" si="10"/>
        <v>290208.77</v>
      </c>
      <c r="F47" s="129">
        <f t="shared" si="10"/>
        <v>293553.33999999997</v>
      </c>
      <c r="G47" s="129">
        <f t="shared" si="10"/>
        <v>294195.57999999996</v>
      </c>
      <c r="H47" s="129">
        <f t="shared" si="10"/>
        <v>297141.63</v>
      </c>
      <c r="I47" s="129">
        <f t="shared" si="10"/>
        <v>291642.84999999998</v>
      </c>
      <c r="J47" s="129">
        <f t="shared" si="10"/>
        <v>294171.84999999998</v>
      </c>
      <c r="K47" s="129">
        <f t="shared" si="10"/>
        <v>294431.94999999995</v>
      </c>
      <c r="L47" s="129">
        <f t="shared" si="10"/>
        <v>294466.94999999995</v>
      </c>
      <c r="M47" s="129">
        <f t="shared" si="10"/>
        <v>298461.95</v>
      </c>
      <c r="N47" s="129">
        <f t="shared" si="10"/>
        <v>294188.33999999997</v>
      </c>
      <c r="O47" s="129">
        <f t="shared" si="10"/>
        <v>294448.44</v>
      </c>
      <c r="P47" s="129">
        <f t="shared" si="10"/>
        <v>3529646.66</v>
      </c>
      <c r="Q47" s="142">
        <f t="shared" si="10"/>
        <v>327859.56</v>
      </c>
      <c r="R47" s="142">
        <f t="shared" si="10"/>
        <v>401059.49</v>
      </c>
      <c r="S47" s="142">
        <f t="shared" si="10"/>
        <v>440935.76</v>
      </c>
      <c r="T47" s="142">
        <f t="shared" si="10"/>
        <v>370733.85000000003</v>
      </c>
      <c r="U47" s="142">
        <f t="shared" si="10"/>
        <v>411627.01</v>
      </c>
      <c r="V47" s="142">
        <f t="shared" si="10"/>
        <v>322935.62</v>
      </c>
      <c r="W47" s="142">
        <f t="shared" si="10"/>
        <v>356526.49</v>
      </c>
      <c r="X47" s="142">
        <f t="shared" si="10"/>
        <v>380249.31999999995</v>
      </c>
      <c r="Y47" s="142">
        <f t="shared" si="10"/>
        <v>356738</v>
      </c>
      <c r="Z47" s="142">
        <f t="shared" si="10"/>
        <v>355535</v>
      </c>
      <c r="AA47" s="142">
        <f t="shared" si="10"/>
        <v>350032</v>
      </c>
      <c r="AB47" s="142">
        <f t="shared" si="10"/>
        <v>350036</v>
      </c>
      <c r="AC47" s="142">
        <f t="shared" si="10"/>
        <v>4424268.0999999996</v>
      </c>
      <c r="AD47" s="142">
        <f t="shared" si="5"/>
        <v>894621.43999999948</v>
      </c>
      <c r="AE47" s="132">
        <f t="shared" si="6"/>
        <v>0.20220778211880955</v>
      </c>
      <c r="AF47" s="129">
        <v>4122755.2300000004</v>
      </c>
      <c r="AG47" s="123">
        <f t="shared" si="2"/>
        <v>593108.5700000003</v>
      </c>
    </row>
    <row r="48" spans="1:34">
      <c r="C48" s="105" t="s">
        <v>154</v>
      </c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9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2"/>
      <c r="AD48" s="141"/>
      <c r="AF48" s="129"/>
      <c r="AG48" s="123">
        <f t="shared" si="2"/>
        <v>0</v>
      </c>
    </row>
    <row r="49" spans="1:33">
      <c r="C49" s="105" t="s">
        <v>154</v>
      </c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9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2"/>
      <c r="AD49" s="141"/>
      <c r="AF49" s="129"/>
      <c r="AG49" s="123">
        <f t="shared" si="2"/>
        <v>0</v>
      </c>
    </row>
    <row r="50" spans="1:33">
      <c r="C50" s="109" t="s">
        <v>869</v>
      </c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9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2"/>
      <c r="AD50" s="141"/>
      <c r="AF50" s="129"/>
      <c r="AG50" s="123">
        <f t="shared" si="2"/>
        <v>0</v>
      </c>
    </row>
    <row r="51" spans="1:33">
      <c r="C51" s="105" t="s">
        <v>465</v>
      </c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9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2"/>
      <c r="AD51" s="141"/>
      <c r="AF51" s="129"/>
      <c r="AG51" s="123">
        <f t="shared" si="2"/>
        <v>0</v>
      </c>
    </row>
    <row r="52" spans="1:33">
      <c r="A52" s="105" t="s">
        <v>248</v>
      </c>
      <c r="B52" s="105" t="s">
        <v>886</v>
      </c>
      <c r="C52" s="105" t="s">
        <v>250</v>
      </c>
      <c r="D52" s="293">
        <v>169464.58</v>
      </c>
      <c r="E52" s="123">
        <v>169464.58</v>
      </c>
      <c r="F52" s="123">
        <v>172492.08</v>
      </c>
      <c r="G52" s="123">
        <v>172492.08</v>
      </c>
      <c r="H52" s="123">
        <v>172492.08</v>
      </c>
      <c r="I52" s="123">
        <v>172492.08</v>
      </c>
      <c r="J52" s="123">
        <v>172492.08</v>
      </c>
      <c r="K52" s="123">
        <v>172492.08</v>
      </c>
      <c r="L52" s="123">
        <v>172492.08</v>
      </c>
      <c r="M52" s="123">
        <v>172492.08</v>
      </c>
      <c r="N52" s="123">
        <v>172492.08</v>
      </c>
      <c r="O52" s="123">
        <v>172492.08</v>
      </c>
      <c r="P52" s="133">
        <f>SUM(D52:O52)</f>
        <v>2063849.9600000002</v>
      </c>
      <c r="Q52" s="231">
        <v>178000</v>
      </c>
      <c r="R52" s="231">
        <v>178000</v>
      </c>
      <c r="S52" s="231">
        <v>178000</v>
      </c>
      <c r="T52" s="231">
        <v>178000</v>
      </c>
      <c r="U52" s="231">
        <v>178000</v>
      </c>
      <c r="V52" s="231">
        <v>178000</v>
      </c>
      <c r="W52" s="141">
        <v>178000</v>
      </c>
      <c r="X52" s="141">
        <v>178000</v>
      </c>
      <c r="Y52" s="141">
        <v>182700</v>
      </c>
      <c r="Z52" s="141">
        <v>182700</v>
      </c>
      <c r="AA52" s="141">
        <v>182700</v>
      </c>
      <c r="AB52" s="124">
        <v>182700</v>
      </c>
      <c r="AC52" s="142">
        <f>SUM(Q52:AB52)</f>
        <v>2154800</v>
      </c>
      <c r="AD52" s="141">
        <f>AC52-P52</f>
        <v>90950.039999999804</v>
      </c>
      <c r="AE52" s="192">
        <f>AD52/AC52</f>
        <v>4.2208112121774555E-2</v>
      </c>
      <c r="AF52" s="129">
        <v>1841934.5700000005</v>
      </c>
      <c r="AG52" s="123">
        <f t="shared" si="2"/>
        <v>-221915.38999999966</v>
      </c>
    </row>
    <row r="53" spans="1:33">
      <c r="A53" s="105" t="s">
        <v>251</v>
      </c>
      <c r="B53" s="105" t="s">
        <v>886</v>
      </c>
      <c r="C53" s="105" t="s">
        <v>468</v>
      </c>
      <c r="D53" s="293">
        <v>4657.5</v>
      </c>
      <c r="E53" s="123">
        <v>4657.5</v>
      </c>
      <c r="F53" s="123">
        <v>4890.38</v>
      </c>
      <c r="G53" s="123">
        <v>4890.38</v>
      </c>
      <c r="H53" s="123">
        <v>4890.38</v>
      </c>
      <c r="I53" s="123">
        <v>4890.38</v>
      </c>
      <c r="J53" s="123">
        <v>4890.38</v>
      </c>
      <c r="K53" s="123">
        <v>4890.38</v>
      </c>
      <c r="L53" s="123">
        <v>4890.38</v>
      </c>
      <c r="M53" s="123">
        <v>4890.38</v>
      </c>
      <c r="N53" s="123">
        <v>4890.38</v>
      </c>
      <c r="O53" s="123">
        <v>4890.38</v>
      </c>
      <c r="P53" s="133">
        <f>SUM(D53:O53)</f>
        <v>58218.799999999988</v>
      </c>
      <c r="Q53" s="231">
        <v>5000</v>
      </c>
      <c r="R53" s="231">
        <v>5000</v>
      </c>
      <c r="S53" s="231">
        <v>5000</v>
      </c>
      <c r="T53" s="231">
        <v>5000</v>
      </c>
      <c r="U53" s="231">
        <v>5000</v>
      </c>
      <c r="V53" s="231">
        <v>5000</v>
      </c>
      <c r="W53" s="141">
        <v>5750</v>
      </c>
      <c r="X53" s="141">
        <v>5750</v>
      </c>
      <c r="Y53" s="141">
        <v>4500</v>
      </c>
      <c r="Z53" s="141">
        <v>4500</v>
      </c>
      <c r="AA53" s="141">
        <v>4500</v>
      </c>
      <c r="AB53" s="124">
        <v>4500</v>
      </c>
      <c r="AC53" s="142">
        <f>SUM(Q53:AB53)</f>
        <v>59500</v>
      </c>
      <c r="AD53" s="141">
        <f>AC53-P53</f>
        <v>1281.2000000000116</v>
      </c>
      <c r="AE53" s="192">
        <f>AD53/AC53</f>
        <v>2.1532773109243893E-2</v>
      </c>
      <c r="AF53" s="129">
        <v>60500</v>
      </c>
      <c r="AG53" s="123">
        <f t="shared" si="2"/>
        <v>2281.2000000000116</v>
      </c>
    </row>
    <row r="54" spans="1:33">
      <c r="C54" s="109" t="s">
        <v>471</v>
      </c>
      <c r="D54" s="133">
        <f t="shared" ref="D54:AC54" si="11">SUM(D52:D53)</f>
        <v>174122.08</v>
      </c>
      <c r="E54" s="133">
        <f t="shared" si="11"/>
        <v>174122.08</v>
      </c>
      <c r="F54" s="133">
        <f t="shared" si="11"/>
        <v>177382.46</v>
      </c>
      <c r="G54" s="133">
        <f t="shared" si="11"/>
        <v>177382.46</v>
      </c>
      <c r="H54" s="133">
        <f t="shared" si="11"/>
        <v>177382.46</v>
      </c>
      <c r="I54" s="133">
        <f t="shared" si="11"/>
        <v>177382.46</v>
      </c>
      <c r="J54" s="133">
        <f t="shared" si="11"/>
        <v>177382.46</v>
      </c>
      <c r="K54" s="133">
        <f t="shared" si="11"/>
        <v>177382.46</v>
      </c>
      <c r="L54" s="133">
        <f t="shared" si="11"/>
        <v>177382.46</v>
      </c>
      <c r="M54" s="133">
        <f t="shared" si="11"/>
        <v>177382.46</v>
      </c>
      <c r="N54" s="133">
        <f t="shared" si="11"/>
        <v>177382.46</v>
      </c>
      <c r="O54" s="133">
        <f t="shared" si="11"/>
        <v>177382.46</v>
      </c>
      <c r="P54" s="133">
        <f t="shared" si="11"/>
        <v>2122068.7600000002</v>
      </c>
      <c r="Q54" s="145">
        <f t="shared" si="11"/>
        <v>183000</v>
      </c>
      <c r="R54" s="145">
        <f t="shared" si="11"/>
        <v>183000</v>
      </c>
      <c r="S54" s="145">
        <f t="shared" si="11"/>
        <v>183000</v>
      </c>
      <c r="T54" s="145">
        <f t="shared" si="11"/>
        <v>183000</v>
      </c>
      <c r="U54" s="145">
        <f t="shared" si="11"/>
        <v>183000</v>
      </c>
      <c r="V54" s="145">
        <f t="shared" si="11"/>
        <v>183000</v>
      </c>
      <c r="W54" s="145">
        <f t="shared" si="11"/>
        <v>183750</v>
      </c>
      <c r="X54" s="145">
        <f t="shared" si="11"/>
        <v>183750</v>
      </c>
      <c r="Y54" s="145">
        <f t="shared" si="11"/>
        <v>187200</v>
      </c>
      <c r="Z54" s="145">
        <f t="shared" si="11"/>
        <v>187200</v>
      </c>
      <c r="AA54" s="145">
        <f t="shared" si="11"/>
        <v>187200</v>
      </c>
      <c r="AB54" s="133">
        <f t="shared" si="11"/>
        <v>187200</v>
      </c>
      <c r="AC54" s="145">
        <f t="shared" si="11"/>
        <v>2214300</v>
      </c>
      <c r="AD54" s="142">
        <f>AC54-P54</f>
        <v>92231.239999999758</v>
      </c>
      <c r="AE54" s="132">
        <f>AD54/AC54</f>
        <v>4.1652549338391257E-2</v>
      </c>
      <c r="AF54" s="129">
        <v>1902434.5700000005</v>
      </c>
      <c r="AG54" s="123">
        <f t="shared" si="2"/>
        <v>-219634.18999999971</v>
      </c>
    </row>
    <row r="55" spans="1:33"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33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123"/>
      <c r="AC55" s="145"/>
      <c r="AD55" s="141"/>
      <c r="AF55" s="129"/>
      <c r="AG55" s="123">
        <f t="shared" si="2"/>
        <v>0</v>
      </c>
    </row>
    <row r="56" spans="1:33">
      <c r="A56" s="105" t="s">
        <v>870</v>
      </c>
      <c r="B56" s="105" t="s">
        <v>886</v>
      </c>
      <c r="C56" s="105" t="s">
        <v>260</v>
      </c>
      <c r="D56" s="293">
        <v>1517.24</v>
      </c>
      <c r="E56" s="293">
        <v>0</v>
      </c>
      <c r="F56" s="293">
        <v>0</v>
      </c>
      <c r="G56" s="293">
        <v>1517.24</v>
      </c>
      <c r="H56" s="293">
        <v>3034.48</v>
      </c>
      <c r="I56" s="293">
        <v>0</v>
      </c>
      <c r="J56" s="293">
        <v>0</v>
      </c>
      <c r="K56" s="293">
        <v>0</v>
      </c>
      <c r="L56" s="293">
        <v>0</v>
      </c>
      <c r="M56" s="293">
        <v>3034.48</v>
      </c>
      <c r="N56" s="293">
        <v>0</v>
      </c>
      <c r="O56" s="293">
        <v>0</v>
      </c>
      <c r="P56" s="133">
        <f>SUM(D56:O56)</f>
        <v>9103.44</v>
      </c>
      <c r="Q56" s="231">
        <v>1517.25</v>
      </c>
      <c r="R56" s="231">
        <v>1517.25</v>
      </c>
      <c r="S56" s="231">
        <v>0</v>
      </c>
      <c r="T56" s="231">
        <v>0</v>
      </c>
      <c r="U56" s="231">
        <v>0</v>
      </c>
      <c r="V56" s="231">
        <v>0</v>
      </c>
      <c r="W56" s="141">
        <v>0</v>
      </c>
      <c r="X56" s="141">
        <v>0</v>
      </c>
      <c r="Y56" s="141">
        <v>1623</v>
      </c>
      <c r="Z56" s="141">
        <v>4868</v>
      </c>
      <c r="AA56" s="141">
        <v>0</v>
      </c>
      <c r="AB56" s="124">
        <v>0</v>
      </c>
      <c r="AC56" s="142">
        <f>SUM(Q56:AB56)</f>
        <v>9525.5</v>
      </c>
      <c r="AD56" s="141">
        <f t="shared" ref="AD56:AD61" si="12">AC56-P56</f>
        <v>422.05999999999949</v>
      </c>
      <c r="AE56" s="192">
        <f t="shared" ref="AE56:AE61" si="13">AD56/AC56</f>
        <v>4.4308435252742584E-2</v>
      </c>
      <c r="AF56" s="129">
        <v>1103.45</v>
      </c>
      <c r="AG56" s="123">
        <f t="shared" si="2"/>
        <v>-7999.9900000000007</v>
      </c>
    </row>
    <row r="57" spans="1:33">
      <c r="A57" s="105" t="s">
        <v>120</v>
      </c>
      <c r="B57" s="105" t="s">
        <v>886</v>
      </c>
      <c r="C57" s="105" t="s">
        <v>261</v>
      </c>
      <c r="D57" s="293">
        <v>29145.82</v>
      </c>
      <c r="E57" s="293">
        <v>29145.82</v>
      </c>
      <c r="F57" s="293">
        <v>29145.82</v>
      </c>
      <c r="G57" s="293">
        <v>29145.82</v>
      </c>
      <c r="H57" s="293">
        <v>29145.82</v>
      </c>
      <c r="I57" s="293">
        <v>29145.82</v>
      </c>
      <c r="J57" s="293">
        <v>29145.82</v>
      </c>
      <c r="K57" s="293">
        <v>29145.82</v>
      </c>
      <c r="L57" s="293">
        <v>29145.82</v>
      </c>
      <c r="M57" s="293">
        <v>29145.82</v>
      </c>
      <c r="N57" s="293">
        <v>29145.82</v>
      </c>
      <c r="O57" s="293">
        <v>29145.82</v>
      </c>
      <c r="P57" s="133">
        <f>SUM(D57:O57)</f>
        <v>349749.84</v>
      </c>
      <c r="Q57" s="231">
        <v>45729.02</v>
      </c>
      <c r="R57" s="231">
        <v>45719.91</v>
      </c>
      <c r="S57" s="231">
        <v>45764.86</v>
      </c>
      <c r="T57" s="231">
        <v>30478.34</v>
      </c>
      <c r="U57" s="231">
        <v>30493.51</v>
      </c>
      <c r="V57" s="231">
        <v>30503.32</v>
      </c>
      <c r="W57" s="141">
        <v>30639.599999999999</v>
      </c>
      <c r="X57" s="141">
        <v>30606.23</v>
      </c>
      <c r="Y57" s="141">
        <v>31200</v>
      </c>
      <c r="Z57" s="141">
        <v>31200</v>
      </c>
      <c r="AA57" s="141">
        <v>31200</v>
      </c>
      <c r="AB57" s="124">
        <v>31200</v>
      </c>
      <c r="AC57" s="142">
        <f>SUM(Q57:AB57)</f>
        <v>414734.79</v>
      </c>
      <c r="AD57" s="141">
        <f t="shared" si="12"/>
        <v>64984.949999999953</v>
      </c>
      <c r="AE57" s="192">
        <f t="shared" si="13"/>
        <v>0.15669037555301293</v>
      </c>
      <c r="AF57" s="129">
        <v>336800.65</v>
      </c>
      <c r="AG57" s="123">
        <f t="shared" si="2"/>
        <v>-12949.190000000002</v>
      </c>
    </row>
    <row r="58" spans="1:33">
      <c r="A58" s="105" t="s">
        <v>871</v>
      </c>
      <c r="B58" s="105" t="s">
        <v>886</v>
      </c>
      <c r="C58" s="105" t="s">
        <v>262</v>
      </c>
      <c r="D58" s="293">
        <v>1360</v>
      </c>
      <c r="E58" s="293">
        <v>1360</v>
      </c>
      <c r="F58" s="293">
        <v>1360</v>
      </c>
      <c r="G58" s="293">
        <v>1360</v>
      </c>
      <c r="H58" s="293">
        <v>1360</v>
      </c>
      <c r="I58" s="293">
        <v>1360</v>
      </c>
      <c r="J58" s="293">
        <v>1360</v>
      </c>
      <c r="K58" s="293">
        <v>1360</v>
      </c>
      <c r="L58" s="293">
        <v>1360</v>
      </c>
      <c r="M58" s="293">
        <v>1360</v>
      </c>
      <c r="N58" s="293">
        <v>1360</v>
      </c>
      <c r="O58" s="293">
        <v>1360</v>
      </c>
      <c r="P58" s="133">
        <f>SUM(D58:O58)</f>
        <v>16320</v>
      </c>
      <c r="Q58" s="231">
        <v>1490</v>
      </c>
      <c r="R58" s="231">
        <v>1490</v>
      </c>
      <c r="S58" s="231">
        <v>1444.48</v>
      </c>
      <c r="T58" s="231">
        <v>1458.06</v>
      </c>
      <c r="U58" s="231">
        <v>1490</v>
      </c>
      <c r="V58" s="231">
        <v>1590</v>
      </c>
      <c r="W58" s="141">
        <v>1590</v>
      </c>
      <c r="X58" s="141">
        <v>1690</v>
      </c>
      <c r="Y58" s="141">
        <v>1859</v>
      </c>
      <c r="Z58" s="141">
        <v>1859</v>
      </c>
      <c r="AA58" s="141">
        <v>1859</v>
      </c>
      <c r="AB58" s="124">
        <v>1859</v>
      </c>
      <c r="AC58" s="142">
        <f>SUM(Q58:AB58)</f>
        <v>19678.54</v>
      </c>
      <c r="AD58" s="141">
        <f t="shared" si="12"/>
        <v>3358.5400000000009</v>
      </c>
      <c r="AE58" s="192">
        <f t="shared" si="13"/>
        <v>0.17067018183259533</v>
      </c>
      <c r="AF58" s="129">
        <v>7200</v>
      </c>
      <c r="AG58" s="123">
        <f t="shared" si="2"/>
        <v>-9120</v>
      </c>
    </row>
    <row r="59" spans="1:33">
      <c r="A59" s="105" t="s">
        <v>872</v>
      </c>
      <c r="B59" s="105" t="s">
        <v>886</v>
      </c>
      <c r="C59" s="105" t="s">
        <v>263</v>
      </c>
      <c r="D59" s="293">
        <v>0</v>
      </c>
      <c r="E59" s="293">
        <v>0</v>
      </c>
      <c r="F59" s="293">
        <v>0</v>
      </c>
      <c r="G59" s="293">
        <v>0</v>
      </c>
      <c r="H59" s="293">
        <v>0</v>
      </c>
      <c r="I59" s="293">
        <v>0</v>
      </c>
      <c r="J59" s="293">
        <v>0</v>
      </c>
      <c r="K59" s="293">
        <v>0</v>
      </c>
      <c r="L59" s="293">
        <v>0</v>
      </c>
      <c r="M59" s="293">
        <v>0</v>
      </c>
      <c r="N59" s="293">
        <v>0</v>
      </c>
      <c r="O59" s="293">
        <v>0</v>
      </c>
      <c r="P59" s="133">
        <f>SUM(D59:O59)</f>
        <v>0</v>
      </c>
      <c r="Q59" s="231">
        <v>0</v>
      </c>
      <c r="R59" s="231">
        <v>0</v>
      </c>
      <c r="S59" s="231">
        <v>0</v>
      </c>
      <c r="T59" s="231">
        <v>0</v>
      </c>
      <c r="U59" s="231">
        <v>0</v>
      </c>
      <c r="V59" s="231">
        <v>0</v>
      </c>
      <c r="W59" s="141">
        <v>0</v>
      </c>
      <c r="X59" s="141">
        <v>0</v>
      </c>
      <c r="Y59" s="141">
        <v>0</v>
      </c>
      <c r="Z59" s="141">
        <v>0</v>
      </c>
      <c r="AA59" s="141">
        <v>0</v>
      </c>
      <c r="AB59" s="124">
        <v>0</v>
      </c>
      <c r="AC59" s="142">
        <f>SUM(Q59:AB59)</f>
        <v>0</v>
      </c>
      <c r="AD59" s="141">
        <f t="shared" si="12"/>
        <v>0</v>
      </c>
      <c r="AE59" s="192" t="e">
        <f t="shared" si="13"/>
        <v>#DIV/0!</v>
      </c>
      <c r="AF59" s="129">
        <v>0</v>
      </c>
      <c r="AG59" s="123">
        <f t="shared" si="2"/>
        <v>0</v>
      </c>
    </row>
    <row r="60" spans="1:33">
      <c r="A60" s="105" t="s">
        <v>873</v>
      </c>
      <c r="B60" s="105" t="s">
        <v>886</v>
      </c>
      <c r="C60" s="105" t="s">
        <v>264</v>
      </c>
      <c r="D60" s="293">
        <v>1500</v>
      </c>
      <c r="E60" s="293">
        <v>1500</v>
      </c>
      <c r="F60" s="293">
        <v>1500</v>
      </c>
      <c r="G60" s="293">
        <v>1500</v>
      </c>
      <c r="H60" s="293">
        <v>1500</v>
      </c>
      <c r="I60" s="293">
        <v>1500</v>
      </c>
      <c r="J60" s="293">
        <v>1500</v>
      </c>
      <c r="K60" s="293">
        <v>1500</v>
      </c>
      <c r="L60" s="293">
        <v>1500</v>
      </c>
      <c r="M60" s="293">
        <v>1500</v>
      </c>
      <c r="N60" s="293">
        <v>1500</v>
      </c>
      <c r="O60" s="293">
        <v>1500</v>
      </c>
      <c r="P60" s="133">
        <f>SUM(D60:O60)</f>
        <v>18000</v>
      </c>
      <c r="Q60" s="231">
        <v>1500</v>
      </c>
      <c r="R60" s="231">
        <v>1500</v>
      </c>
      <c r="S60" s="231">
        <v>1500</v>
      </c>
      <c r="T60" s="231">
        <v>1500</v>
      </c>
      <c r="U60" s="231">
        <v>1500</v>
      </c>
      <c r="V60" s="231">
        <v>1500</v>
      </c>
      <c r="W60" s="141">
        <v>1500</v>
      </c>
      <c r="X60" s="141">
        <v>1500</v>
      </c>
      <c r="Y60" s="141">
        <v>0</v>
      </c>
      <c r="Z60" s="141">
        <v>0</v>
      </c>
      <c r="AA60" s="141">
        <v>0</v>
      </c>
      <c r="AB60" s="124">
        <v>0</v>
      </c>
      <c r="AC60" s="142">
        <f>SUM(Q60:AB60)</f>
        <v>12000</v>
      </c>
      <c r="AD60" s="141">
        <f t="shared" si="12"/>
        <v>-6000</v>
      </c>
      <c r="AE60" s="192">
        <f t="shared" si="13"/>
        <v>-0.5</v>
      </c>
      <c r="AF60" s="129">
        <v>0</v>
      </c>
      <c r="AG60" s="123">
        <f t="shared" si="2"/>
        <v>-18000</v>
      </c>
    </row>
    <row r="61" spans="1:33">
      <c r="C61" s="109" t="s">
        <v>265</v>
      </c>
      <c r="D61" s="133">
        <f t="shared" ref="D61:AC61" si="14">SUM(D56:D60)</f>
        <v>33523.06</v>
      </c>
      <c r="E61" s="133">
        <f t="shared" si="14"/>
        <v>32005.82</v>
      </c>
      <c r="F61" s="133">
        <f t="shared" si="14"/>
        <v>32005.82</v>
      </c>
      <c r="G61" s="133">
        <f t="shared" si="14"/>
        <v>33523.06</v>
      </c>
      <c r="H61" s="133">
        <f t="shared" si="14"/>
        <v>35040.300000000003</v>
      </c>
      <c r="I61" s="133">
        <f t="shared" si="14"/>
        <v>32005.82</v>
      </c>
      <c r="J61" s="133">
        <f t="shared" si="14"/>
        <v>32005.82</v>
      </c>
      <c r="K61" s="133">
        <f t="shared" si="14"/>
        <v>32005.82</v>
      </c>
      <c r="L61" s="133">
        <f t="shared" si="14"/>
        <v>32005.82</v>
      </c>
      <c r="M61" s="133">
        <f t="shared" si="14"/>
        <v>35040.300000000003</v>
      </c>
      <c r="N61" s="133">
        <f t="shared" si="14"/>
        <v>32005.82</v>
      </c>
      <c r="O61" s="133">
        <f t="shared" si="14"/>
        <v>32005.82</v>
      </c>
      <c r="P61" s="133">
        <f t="shared" si="14"/>
        <v>393173.28</v>
      </c>
      <c r="Q61" s="145">
        <f t="shared" si="14"/>
        <v>50236.27</v>
      </c>
      <c r="R61" s="145">
        <f t="shared" si="14"/>
        <v>50227.16</v>
      </c>
      <c r="S61" s="145">
        <f t="shared" si="14"/>
        <v>48709.340000000004</v>
      </c>
      <c r="T61" s="145">
        <f t="shared" si="14"/>
        <v>33436.400000000001</v>
      </c>
      <c r="U61" s="145">
        <f t="shared" si="14"/>
        <v>33483.509999999995</v>
      </c>
      <c r="V61" s="145">
        <f t="shared" si="14"/>
        <v>33593.32</v>
      </c>
      <c r="W61" s="145">
        <f t="shared" si="14"/>
        <v>33729.599999999999</v>
      </c>
      <c r="X61" s="145">
        <f t="shared" si="14"/>
        <v>33796.229999999996</v>
      </c>
      <c r="Y61" s="145">
        <f t="shared" si="14"/>
        <v>34682</v>
      </c>
      <c r="Z61" s="145">
        <f t="shared" si="14"/>
        <v>37927</v>
      </c>
      <c r="AA61" s="145">
        <f t="shared" si="14"/>
        <v>33059</v>
      </c>
      <c r="AB61" s="133">
        <f t="shared" si="14"/>
        <v>33059</v>
      </c>
      <c r="AC61" s="145">
        <f t="shared" si="14"/>
        <v>455938.82999999996</v>
      </c>
      <c r="AD61" s="142">
        <f t="shared" si="12"/>
        <v>62765.54999999993</v>
      </c>
      <c r="AE61" s="132">
        <f t="shared" si="13"/>
        <v>0.13766221666182707</v>
      </c>
      <c r="AF61" s="129">
        <v>345104.10000000003</v>
      </c>
      <c r="AG61" s="123">
        <f t="shared" si="2"/>
        <v>-48069.179999999993</v>
      </c>
    </row>
    <row r="62" spans="1:33">
      <c r="C62" s="105" t="s">
        <v>154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33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123"/>
      <c r="AC62" s="145"/>
      <c r="AD62" s="141"/>
      <c r="AF62" s="129"/>
      <c r="AG62" s="123">
        <f t="shared" si="2"/>
        <v>0</v>
      </c>
    </row>
    <row r="63" spans="1:33">
      <c r="A63" s="105" t="s">
        <v>874</v>
      </c>
      <c r="B63" s="105" t="s">
        <v>886</v>
      </c>
      <c r="C63" s="105" t="s">
        <v>266</v>
      </c>
      <c r="D63" s="293">
        <v>13685.050000000003</v>
      </c>
      <c r="E63" s="293">
        <v>13685.050000000003</v>
      </c>
      <c r="F63" s="293">
        <v>13685.050000000003</v>
      </c>
      <c r="G63" s="293">
        <v>13685.050000000003</v>
      </c>
      <c r="H63" s="293">
        <v>13685.050000000003</v>
      </c>
      <c r="I63" s="293">
        <v>13685.050000000003</v>
      </c>
      <c r="J63" s="293">
        <v>14145.130000000001</v>
      </c>
      <c r="K63" s="293">
        <v>14145.130000000001</v>
      </c>
      <c r="L63" s="293">
        <v>14145.130000000001</v>
      </c>
      <c r="M63" s="293">
        <v>14145.130000000001</v>
      </c>
      <c r="N63" s="293">
        <v>14145.130000000001</v>
      </c>
      <c r="O63" s="293">
        <v>14145.130000000001</v>
      </c>
      <c r="P63" s="133">
        <f t="shared" ref="P63:P70" si="15">SUM(D63:O63)</f>
        <v>166981.08000000005</v>
      </c>
      <c r="Q63" s="231">
        <v>14892.85</v>
      </c>
      <c r="R63" s="231">
        <v>14892.85</v>
      </c>
      <c r="S63" s="231">
        <v>14892.85</v>
      </c>
      <c r="T63" s="231">
        <v>14892.85</v>
      </c>
      <c r="U63" s="231">
        <v>14892.85</v>
      </c>
      <c r="V63" s="231">
        <v>14892.85</v>
      </c>
      <c r="W63" s="141">
        <v>14892.85</v>
      </c>
      <c r="X63" s="141">
        <v>14892.85</v>
      </c>
      <c r="Y63" s="141">
        <v>14832</v>
      </c>
      <c r="Z63" s="141">
        <v>14832</v>
      </c>
      <c r="AA63" s="141">
        <v>14832</v>
      </c>
      <c r="AB63" s="124">
        <v>14832</v>
      </c>
      <c r="AC63" s="142">
        <f t="shared" ref="AC63:AC70" si="16">SUM(Q63:AB63)</f>
        <v>178470.80000000002</v>
      </c>
      <c r="AD63" s="141">
        <f t="shared" ref="AD63:AD69" si="17">AC63-P63</f>
        <v>11489.719999999972</v>
      </c>
      <c r="AE63" s="192">
        <f t="shared" ref="AE63:AE69" si="18">AD63/AC63</f>
        <v>6.437871069104846E-2</v>
      </c>
      <c r="AF63" s="129">
        <v>155736.74</v>
      </c>
      <c r="AG63" s="123">
        <f t="shared" si="2"/>
        <v>-11244.340000000055</v>
      </c>
    </row>
    <row r="64" spans="1:33">
      <c r="A64" s="105" t="s">
        <v>875</v>
      </c>
      <c r="B64" s="105" t="s">
        <v>886</v>
      </c>
      <c r="C64" s="105" t="s">
        <v>267</v>
      </c>
      <c r="D64" s="293">
        <v>5559.55</v>
      </c>
      <c r="E64" s="293">
        <v>5559.55</v>
      </c>
      <c r="F64" s="293">
        <v>5559.55</v>
      </c>
      <c r="G64" s="293">
        <v>5559.55</v>
      </c>
      <c r="H64" s="293">
        <v>5559.55</v>
      </c>
      <c r="I64" s="293">
        <v>5559.55</v>
      </c>
      <c r="J64" s="293">
        <v>5746.47</v>
      </c>
      <c r="K64" s="293">
        <v>5746.47</v>
      </c>
      <c r="L64" s="293">
        <v>5746.47</v>
      </c>
      <c r="M64" s="293">
        <v>5746.47</v>
      </c>
      <c r="N64" s="293">
        <v>5746.47</v>
      </c>
      <c r="O64" s="293">
        <v>5746.47</v>
      </c>
      <c r="P64" s="133">
        <f t="shared" si="15"/>
        <v>67836.12000000001</v>
      </c>
      <c r="Q64" s="231">
        <v>7911.83</v>
      </c>
      <c r="R64" s="231">
        <v>7911.83</v>
      </c>
      <c r="S64" s="231">
        <v>7911.83</v>
      </c>
      <c r="T64" s="231">
        <v>7911.83</v>
      </c>
      <c r="U64" s="231">
        <v>7911.83</v>
      </c>
      <c r="V64" s="231">
        <v>7911.83</v>
      </c>
      <c r="W64" s="141">
        <v>6050.22</v>
      </c>
      <c r="X64" s="141">
        <v>6050.22</v>
      </c>
      <c r="Y64" s="141">
        <v>7424</v>
      </c>
      <c r="Z64" s="141">
        <v>7424</v>
      </c>
      <c r="AA64" s="141">
        <v>7424</v>
      </c>
      <c r="AB64" s="124">
        <v>7424</v>
      </c>
      <c r="AC64" s="142">
        <f t="shared" si="16"/>
        <v>89267.420000000013</v>
      </c>
      <c r="AD64" s="141">
        <f t="shared" si="17"/>
        <v>21431.300000000003</v>
      </c>
      <c r="AE64" s="192">
        <f t="shared" si="18"/>
        <v>0.24007975138073889</v>
      </c>
      <c r="AF64" s="129">
        <v>75856.05</v>
      </c>
      <c r="AG64" s="123">
        <f t="shared" si="2"/>
        <v>8019.929999999993</v>
      </c>
    </row>
    <row r="65" spans="1:33">
      <c r="A65" s="105" t="s">
        <v>876</v>
      </c>
      <c r="B65" s="105" t="s">
        <v>886</v>
      </c>
      <c r="C65" s="105" t="s">
        <v>268</v>
      </c>
      <c r="D65" s="293">
        <v>427.65999999999997</v>
      </c>
      <c r="E65" s="293">
        <v>427.65999999999997</v>
      </c>
      <c r="F65" s="293">
        <v>427.65999999999997</v>
      </c>
      <c r="G65" s="293">
        <v>427.65999999999997</v>
      </c>
      <c r="H65" s="293">
        <v>427.65999999999997</v>
      </c>
      <c r="I65" s="293">
        <v>427.65999999999997</v>
      </c>
      <c r="J65" s="293">
        <v>442.03999999999996</v>
      </c>
      <c r="K65" s="293">
        <v>442.03999999999996</v>
      </c>
      <c r="L65" s="293">
        <v>442.03999999999996</v>
      </c>
      <c r="M65" s="293">
        <v>442.03999999999996</v>
      </c>
      <c r="N65" s="293">
        <v>442.03999999999996</v>
      </c>
      <c r="O65" s="293">
        <v>442.03999999999996</v>
      </c>
      <c r="P65" s="133">
        <f t="shared" si="15"/>
        <v>5218.1999999999989</v>
      </c>
      <c r="Q65" s="231">
        <v>465.41</v>
      </c>
      <c r="R65" s="231">
        <v>465.41</v>
      </c>
      <c r="S65" s="231">
        <v>465.41</v>
      </c>
      <c r="T65" s="231">
        <v>465.41</v>
      </c>
      <c r="U65" s="231">
        <v>465.41</v>
      </c>
      <c r="V65" s="231">
        <v>465.41</v>
      </c>
      <c r="W65" s="141">
        <v>465.41</v>
      </c>
      <c r="X65" s="141">
        <v>465.41</v>
      </c>
      <c r="Y65" s="141">
        <v>464</v>
      </c>
      <c r="Z65" s="141">
        <v>464</v>
      </c>
      <c r="AA65" s="141">
        <v>464</v>
      </c>
      <c r="AB65" s="124">
        <v>464</v>
      </c>
      <c r="AC65" s="142">
        <f t="shared" si="16"/>
        <v>5579.28</v>
      </c>
      <c r="AD65" s="141">
        <f t="shared" si="17"/>
        <v>361.08000000000084</v>
      </c>
      <c r="AE65" s="192">
        <f t="shared" si="18"/>
        <v>6.4718028132662433E-2</v>
      </c>
      <c r="AF65" s="129">
        <v>4645.08</v>
      </c>
      <c r="AG65" s="123">
        <f t="shared" si="2"/>
        <v>-573.11999999999898</v>
      </c>
    </row>
    <row r="66" spans="1:33">
      <c r="A66" s="105" t="s">
        <v>877</v>
      </c>
      <c r="B66" s="105" t="s">
        <v>886</v>
      </c>
      <c r="C66" s="105" t="s">
        <v>269</v>
      </c>
      <c r="D66" s="293">
        <v>102.65</v>
      </c>
      <c r="E66" s="293">
        <v>102.65</v>
      </c>
      <c r="F66" s="293">
        <v>102.65</v>
      </c>
      <c r="G66" s="293">
        <v>102.65</v>
      </c>
      <c r="H66" s="293">
        <v>102.65</v>
      </c>
      <c r="I66" s="293">
        <v>102.65</v>
      </c>
      <c r="J66" s="293">
        <v>106.09</v>
      </c>
      <c r="K66" s="293">
        <v>106.09</v>
      </c>
      <c r="L66" s="293">
        <v>106.09</v>
      </c>
      <c r="M66" s="293">
        <v>106.09</v>
      </c>
      <c r="N66" s="293">
        <v>106.09</v>
      </c>
      <c r="O66" s="293">
        <v>106.09</v>
      </c>
      <c r="P66" s="133">
        <f t="shared" si="15"/>
        <v>1252.4399999999998</v>
      </c>
      <c r="Q66" s="231">
        <v>111.69</v>
      </c>
      <c r="R66" s="231">
        <v>111.69</v>
      </c>
      <c r="S66" s="231">
        <v>111.69</v>
      </c>
      <c r="T66" s="231">
        <v>111.69</v>
      </c>
      <c r="U66" s="231">
        <v>111.69</v>
      </c>
      <c r="V66" s="231">
        <v>111.69</v>
      </c>
      <c r="W66" s="141">
        <v>111.69</v>
      </c>
      <c r="X66" s="141">
        <v>111.69</v>
      </c>
      <c r="Y66" s="141">
        <v>129</v>
      </c>
      <c r="Z66" s="141">
        <v>129</v>
      </c>
      <c r="AA66" s="141">
        <v>129</v>
      </c>
      <c r="AB66" s="124">
        <v>129</v>
      </c>
      <c r="AC66" s="142">
        <f t="shared" si="16"/>
        <v>1409.5200000000002</v>
      </c>
      <c r="AD66" s="141">
        <f t="shared" si="17"/>
        <v>157.08000000000038</v>
      </c>
      <c r="AE66" s="192">
        <f t="shared" si="18"/>
        <v>0.1114421930870086</v>
      </c>
      <c r="AF66" s="129">
        <v>1486.3100000000002</v>
      </c>
      <c r="AG66" s="123">
        <f t="shared" si="2"/>
        <v>233.87000000000035</v>
      </c>
    </row>
    <row r="67" spans="1:33">
      <c r="A67" s="105" t="s">
        <v>878</v>
      </c>
      <c r="B67" s="105" t="s">
        <v>886</v>
      </c>
      <c r="C67" s="105" t="s">
        <v>270</v>
      </c>
      <c r="D67" s="293">
        <v>0</v>
      </c>
      <c r="E67" s="293">
        <v>0</v>
      </c>
      <c r="F67" s="293">
        <v>0</v>
      </c>
      <c r="G67" s="293">
        <v>0</v>
      </c>
      <c r="H67" s="293">
        <v>0</v>
      </c>
      <c r="I67" s="293">
        <v>0</v>
      </c>
      <c r="J67" s="293">
        <v>0</v>
      </c>
      <c r="K67" s="293">
        <v>0</v>
      </c>
      <c r="L67" s="293">
        <v>0</v>
      </c>
      <c r="M67" s="293">
        <v>0</v>
      </c>
      <c r="N67" s="293">
        <v>0</v>
      </c>
      <c r="O67" s="293">
        <v>0</v>
      </c>
      <c r="P67" s="133">
        <f t="shared" si="15"/>
        <v>0</v>
      </c>
      <c r="Q67" s="231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141">
        <v>0</v>
      </c>
      <c r="X67" s="141">
        <v>0</v>
      </c>
      <c r="Y67" s="141">
        <v>0</v>
      </c>
      <c r="Z67" s="141">
        <v>0</v>
      </c>
      <c r="AA67" s="141">
        <v>0</v>
      </c>
      <c r="AB67" s="124">
        <v>0</v>
      </c>
      <c r="AC67" s="142">
        <f t="shared" si="16"/>
        <v>0</v>
      </c>
      <c r="AD67" s="141">
        <f t="shared" si="17"/>
        <v>0</v>
      </c>
      <c r="AE67" s="192" t="e">
        <f t="shared" si="18"/>
        <v>#DIV/0!</v>
      </c>
      <c r="AF67" s="129">
        <v>3108.44</v>
      </c>
      <c r="AG67" s="123">
        <f t="shared" si="2"/>
        <v>3108.44</v>
      </c>
    </row>
    <row r="68" spans="1:33">
      <c r="A68" s="105" t="s">
        <v>879</v>
      </c>
      <c r="B68" s="105" t="s">
        <v>886</v>
      </c>
      <c r="C68" s="105" t="s">
        <v>271</v>
      </c>
      <c r="D68" s="293">
        <v>4526.1799999999994</v>
      </c>
      <c r="E68" s="293">
        <v>4526.1799999999994</v>
      </c>
      <c r="F68" s="293">
        <v>4526.1799999999994</v>
      </c>
      <c r="G68" s="293">
        <v>4526.1799999999994</v>
      </c>
      <c r="H68" s="293">
        <v>4526.1799999999994</v>
      </c>
      <c r="I68" s="293">
        <v>4526.1799999999994</v>
      </c>
      <c r="J68" s="293">
        <v>4420.3599999999997</v>
      </c>
      <c r="K68" s="293">
        <v>4686.46</v>
      </c>
      <c r="L68" s="293">
        <v>4686.46</v>
      </c>
      <c r="M68" s="293">
        <v>4686.46</v>
      </c>
      <c r="N68" s="293">
        <v>4420.3599999999997</v>
      </c>
      <c r="O68" s="293">
        <v>4686.46</v>
      </c>
      <c r="P68" s="133">
        <f t="shared" si="15"/>
        <v>54743.64</v>
      </c>
      <c r="Q68" s="231">
        <v>4886</v>
      </c>
      <c r="R68" s="231">
        <v>4886</v>
      </c>
      <c r="S68" s="231">
        <v>4886</v>
      </c>
      <c r="T68" s="231">
        <v>4886</v>
      </c>
      <c r="U68" s="231">
        <v>4886</v>
      </c>
      <c r="V68" s="231">
        <v>4886</v>
      </c>
      <c r="W68" s="141">
        <v>5110</v>
      </c>
      <c r="X68" s="141">
        <v>5110</v>
      </c>
      <c r="Y68" s="141">
        <v>4761</v>
      </c>
      <c r="Z68" s="141">
        <v>4761</v>
      </c>
      <c r="AA68" s="141">
        <v>4761</v>
      </c>
      <c r="AB68" s="124">
        <v>4761</v>
      </c>
      <c r="AC68" s="142">
        <f t="shared" si="16"/>
        <v>58580</v>
      </c>
      <c r="AD68" s="141">
        <f t="shared" si="17"/>
        <v>3836.3600000000006</v>
      </c>
      <c r="AE68" s="192">
        <f t="shared" si="18"/>
        <v>6.5489245476271774E-2</v>
      </c>
      <c r="AF68" s="129">
        <v>49815</v>
      </c>
      <c r="AG68" s="123">
        <f t="shared" si="2"/>
        <v>-4928.6399999999994</v>
      </c>
    </row>
    <row r="69" spans="1:33">
      <c r="A69" s="105" t="s">
        <v>880</v>
      </c>
      <c r="B69" s="105" t="s">
        <v>886</v>
      </c>
      <c r="C69" s="105" t="s">
        <v>272</v>
      </c>
      <c r="D69" s="293">
        <v>4401</v>
      </c>
      <c r="E69" s="293">
        <v>4370</v>
      </c>
      <c r="F69" s="293">
        <v>4435</v>
      </c>
      <c r="G69" s="293">
        <v>4466</v>
      </c>
      <c r="H69" s="293">
        <v>4496</v>
      </c>
      <c r="I69" s="293">
        <v>4435</v>
      </c>
      <c r="J69" s="293">
        <v>4435</v>
      </c>
      <c r="K69" s="293">
        <v>4435</v>
      </c>
      <c r="L69" s="293">
        <v>4435</v>
      </c>
      <c r="M69" s="293">
        <v>4496</v>
      </c>
      <c r="N69" s="293">
        <v>4435</v>
      </c>
      <c r="O69" s="293">
        <v>4435</v>
      </c>
      <c r="P69" s="133">
        <f t="shared" si="15"/>
        <v>53274</v>
      </c>
      <c r="Q69" s="231">
        <v>3672.46</v>
      </c>
      <c r="R69" s="231">
        <v>3672.46</v>
      </c>
      <c r="S69" s="231">
        <v>9494.99</v>
      </c>
      <c r="T69" s="231">
        <v>4159.51</v>
      </c>
      <c r="U69" s="231">
        <v>3642.12</v>
      </c>
      <c r="V69" s="231">
        <v>3650.12</v>
      </c>
      <c r="W69" s="141">
        <v>3653.94</v>
      </c>
      <c r="X69" s="141">
        <v>3621.86</v>
      </c>
      <c r="Y69" s="141">
        <v>4589</v>
      </c>
      <c r="Z69" s="141">
        <v>4589</v>
      </c>
      <c r="AA69" s="141">
        <v>4589</v>
      </c>
      <c r="AB69" s="124">
        <v>4589</v>
      </c>
      <c r="AC69" s="142">
        <f t="shared" si="16"/>
        <v>53923.459999999992</v>
      </c>
      <c r="AD69" s="141">
        <f t="shared" si="17"/>
        <v>649.45999999999185</v>
      </c>
      <c r="AE69" s="192">
        <f t="shared" si="18"/>
        <v>1.2044108445563247E-2</v>
      </c>
      <c r="AF69" s="129">
        <v>58886.62</v>
      </c>
      <c r="AG69" s="123">
        <f t="shared" si="2"/>
        <v>5612.6200000000026</v>
      </c>
    </row>
    <row r="70" spans="1:33">
      <c r="A70" s="105" t="s">
        <v>273</v>
      </c>
      <c r="B70" s="105" t="s">
        <v>886</v>
      </c>
      <c r="C70" s="105" t="s">
        <v>274</v>
      </c>
      <c r="D70" s="293">
        <v>0</v>
      </c>
      <c r="E70" s="293">
        <v>0</v>
      </c>
      <c r="F70" s="293">
        <v>0</v>
      </c>
      <c r="G70" s="293">
        <v>0</v>
      </c>
      <c r="H70" s="293">
        <v>0</v>
      </c>
      <c r="I70" s="293">
        <v>0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133">
        <f t="shared" si="15"/>
        <v>0</v>
      </c>
      <c r="Q70" s="231"/>
      <c r="R70" s="231"/>
      <c r="S70" s="231"/>
      <c r="T70" s="231"/>
      <c r="U70" s="231"/>
      <c r="V70" s="231"/>
      <c r="W70" s="141">
        <v>0</v>
      </c>
      <c r="X70" s="141">
        <v>0</v>
      </c>
      <c r="Y70" s="141">
        <v>0</v>
      </c>
      <c r="Z70" s="141">
        <v>0</v>
      </c>
      <c r="AA70" s="141">
        <v>0</v>
      </c>
      <c r="AB70" s="124">
        <v>0</v>
      </c>
      <c r="AC70" s="142">
        <f t="shared" si="16"/>
        <v>0</v>
      </c>
      <c r="AD70" s="141"/>
      <c r="AF70" s="129">
        <v>0</v>
      </c>
      <c r="AG70" s="123">
        <f t="shared" si="2"/>
        <v>0</v>
      </c>
    </row>
    <row r="71" spans="1:33">
      <c r="C71" s="109" t="s">
        <v>275</v>
      </c>
      <c r="D71" s="133">
        <f t="shared" ref="D71:AC71" si="19">SUM(D63:D70)</f>
        <v>28702.090000000004</v>
      </c>
      <c r="E71" s="133">
        <f t="shared" si="19"/>
        <v>28671.090000000004</v>
      </c>
      <c r="F71" s="133">
        <f t="shared" si="19"/>
        <v>28736.090000000004</v>
      </c>
      <c r="G71" s="133">
        <f t="shared" si="19"/>
        <v>28767.090000000004</v>
      </c>
      <c r="H71" s="133">
        <f t="shared" si="19"/>
        <v>28797.090000000004</v>
      </c>
      <c r="I71" s="133">
        <f t="shared" si="19"/>
        <v>28736.090000000004</v>
      </c>
      <c r="J71" s="133">
        <f t="shared" si="19"/>
        <v>29295.090000000004</v>
      </c>
      <c r="K71" s="133">
        <f t="shared" si="19"/>
        <v>29561.190000000002</v>
      </c>
      <c r="L71" s="133">
        <f t="shared" si="19"/>
        <v>29561.190000000002</v>
      </c>
      <c r="M71" s="133">
        <f t="shared" si="19"/>
        <v>29622.190000000002</v>
      </c>
      <c r="N71" s="133">
        <f t="shared" si="19"/>
        <v>29295.090000000004</v>
      </c>
      <c r="O71" s="133">
        <f t="shared" si="19"/>
        <v>29561.190000000002</v>
      </c>
      <c r="P71" s="133">
        <f t="shared" si="19"/>
        <v>349305.4800000001</v>
      </c>
      <c r="Q71" s="145">
        <f t="shared" si="19"/>
        <v>31940.239999999998</v>
      </c>
      <c r="R71" s="145">
        <f t="shared" si="19"/>
        <v>31940.239999999998</v>
      </c>
      <c r="S71" s="145">
        <f t="shared" si="19"/>
        <v>37762.769999999997</v>
      </c>
      <c r="T71" s="145">
        <f t="shared" si="19"/>
        <v>32427.29</v>
      </c>
      <c r="U71" s="145">
        <f t="shared" si="19"/>
        <v>31909.899999999998</v>
      </c>
      <c r="V71" s="145">
        <f t="shared" si="19"/>
        <v>31917.899999999998</v>
      </c>
      <c r="W71" s="145">
        <f t="shared" si="19"/>
        <v>30284.109999999997</v>
      </c>
      <c r="X71" s="145">
        <f t="shared" si="19"/>
        <v>30252.03</v>
      </c>
      <c r="Y71" s="145">
        <f t="shared" si="19"/>
        <v>32199</v>
      </c>
      <c r="Z71" s="145">
        <f t="shared" si="19"/>
        <v>32199</v>
      </c>
      <c r="AA71" s="145">
        <f t="shared" si="19"/>
        <v>32199</v>
      </c>
      <c r="AB71" s="133">
        <f t="shared" si="19"/>
        <v>32199</v>
      </c>
      <c r="AC71" s="145">
        <f t="shared" si="19"/>
        <v>387230.4800000001</v>
      </c>
      <c r="AD71" s="142">
        <f>AC71-P71</f>
        <v>37925</v>
      </c>
      <c r="AE71" s="132">
        <f>AD71/AC71</f>
        <v>9.7939087852795037E-2</v>
      </c>
      <c r="AF71" s="129">
        <v>349534.24</v>
      </c>
      <c r="AG71" s="123">
        <f t="shared" si="2"/>
        <v>228.7599999998929</v>
      </c>
    </row>
    <row r="72" spans="1:33">
      <c r="C72" s="105" t="s">
        <v>154</v>
      </c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33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123"/>
      <c r="AC72" s="145"/>
      <c r="AD72" s="141"/>
      <c r="AF72" s="129"/>
      <c r="AG72" s="123">
        <f t="shared" si="2"/>
        <v>0</v>
      </c>
    </row>
    <row r="73" spans="1:33">
      <c r="A73" s="105" t="s">
        <v>131</v>
      </c>
      <c r="B73" s="105" t="s">
        <v>886</v>
      </c>
      <c r="C73" s="105" t="s">
        <v>276</v>
      </c>
      <c r="D73" s="293">
        <v>0</v>
      </c>
      <c r="E73" s="293">
        <v>0</v>
      </c>
      <c r="F73" s="293">
        <v>0</v>
      </c>
      <c r="G73" s="293">
        <v>0</v>
      </c>
      <c r="H73" s="293">
        <v>0</v>
      </c>
      <c r="I73" s="293">
        <v>0</v>
      </c>
      <c r="J73" s="293">
        <v>0</v>
      </c>
      <c r="K73" s="293">
        <v>0</v>
      </c>
      <c r="L73" s="293">
        <v>0</v>
      </c>
      <c r="M73" s="293">
        <v>0</v>
      </c>
      <c r="N73" s="293">
        <v>0</v>
      </c>
      <c r="O73" s="293">
        <v>0</v>
      </c>
      <c r="P73" s="133">
        <f t="shared" ref="P73:P79" si="20">SUM(D73:O73)</f>
        <v>0</v>
      </c>
      <c r="Q73" s="231"/>
      <c r="R73" s="231"/>
      <c r="S73" s="231"/>
      <c r="T73" s="231"/>
      <c r="U73" s="231"/>
      <c r="V73" s="231"/>
      <c r="W73" s="141">
        <v>0</v>
      </c>
      <c r="X73" s="141">
        <v>0</v>
      </c>
      <c r="Y73" s="141">
        <v>0</v>
      </c>
      <c r="Z73" s="141">
        <v>0</v>
      </c>
      <c r="AA73" s="141">
        <v>0</v>
      </c>
      <c r="AB73" s="124">
        <v>0</v>
      </c>
      <c r="AC73" s="142">
        <f t="shared" ref="AC73:AC81" si="21">SUM(Q73:AB73)</f>
        <v>0</v>
      </c>
      <c r="AD73" s="141"/>
      <c r="AF73" s="129">
        <v>0</v>
      </c>
      <c r="AG73" s="123">
        <f t="shared" ref="AG73:AG85" si="22">AF73-P73</f>
        <v>0</v>
      </c>
    </row>
    <row r="74" spans="1:33">
      <c r="A74" s="105" t="s">
        <v>132</v>
      </c>
      <c r="B74" s="105" t="s">
        <v>886</v>
      </c>
      <c r="C74" s="105" t="s">
        <v>277</v>
      </c>
      <c r="D74" s="293">
        <v>0</v>
      </c>
      <c r="E74" s="293">
        <v>0</v>
      </c>
      <c r="F74" s="293">
        <v>0</v>
      </c>
      <c r="G74" s="293">
        <v>0</v>
      </c>
      <c r="H74" s="293">
        <v>0</v>
      </c>
      <c r="I74" s="293">
        <v>0</v>
      </c>
      <c r="J74" s="293">
        <v>0</v>
      </c>
      <c r="K74" s="293">
        <v>0</v>
      </c>
      <c r="L74" s="293">
        <v>0</v>
      </c>
      <c r="M74" s="293">
        <v>0</v>
      </c>
      <c r="N74" s="293">
        <v>0</v>
      </c>
      <c r="O74" s="293">
        <v>0</v>
      </c>
      <c r="P74" s="133">
        <f t="shared" si="20"/>
        <v>0</v>
      </c>
      <c r="Q74" s="231"/>
      <c r="R74" s="231"/>
      <c r="S74" s="231"/>
      <c r="T74" s="231"/>
      <c r="U74" s="231"/>
      <c r="V74" s="231"/>
      <c r="W74" s="141">
        <v>0</v>
      </c>
      <c r="X74" s="141">
        <v>0</v>
      </c>
      <c r="Y74" s="141">
        <v>0</v>
      </c>
      <c r="Z74" s="141">
        <v>0</v>
      </c>
      <c r="AA74" s="141">
        <v>0</v>
      </c>
      <c r="AB74" s="124">
        <v>0</v>
      </c>
      <c r="AC74" s="142">
        <f t="shared" si="21"/>
        <v>0</v>
      </c>
      <c r="AD74" s="141"/>
      <c r="AF74" s="129">
        <v>0</v>
      </c>
      <c r="AG74" s="123">
        <f t="shared" si="22"/>
        <v>0</v>
      </c>
    </row>
    <row r="75" spans="1:33">
      <c r="A75" s="105" t="s">
        <v>133</v>
      </c>
      <c r="B75" s="105" t="s">
        <v>886</v>
      </c>
      <c r="C75" s="105" t="s">
        <v>278</v>
      </c>
      <c r="D75" s="293">
        <v>0</v>
      </c>
      <c r="E75" s="293">
        <v>0</v>
      </c>
      <c r="F75" s="293">
        <v>0</v>
      </c>
      <c r="G75" s="293">
        <v>0</v>
      </c>
      <c r="H75" s="293">
        <v>0</v>
      </c>
      <c r="I75" s="293">
        <v>0</v>
      </c>
      <c r="J75" s="293">
        <v>0</v>
      </c>
      <c r="K75" s="293">
        <v>0</v>
      </c>
      <c r="L75" s="293">
        <v>0</v>
      </c>
      <c r="M75" s="293">
        <v>0</v>
      </c>
      <c r="N75" s="293">
        <v>0</v>
      </c>
      <c r="O75" s="293">
        <v>0</v>
      </c>
      <c r="P75" s="133">
        <f t="shared" si="20"/>
        <v>0</v>
      </c>
      <c r="Q75" s="231"/>
      <c r="R75" s="231"/>
      <c r="S75" s="231"/>
      <c r="T75" s="231"/>
      <c r="U75" s="231"/>
      <c r="V75" s="231"/>
      <c r="W75" s="141">
        <v>0</v>
      </c>
      <c r="X75" s="141">
        <v>0</v>
      </c>
      <c r="Y75" s="141">
        <v>0</v>
      </c>
      <c r="Z75" s="141">
        <v>0</v>
      </c>
      <c r="AA75" s="141">
        <v>0</v>
      </c>
      <c r="AB75" s="124">
        <v>0</v>
      </c>
      <c r="AC75" s="142">
        <f t="shared" si="21"/>
        <v>0</v>
      </c>
      <c r="AD75" s="141"/>
      <c r="AF75" s="129">
        <v>0</v>
      </c>
      <c r="AG75" s="123">
        <f t="shared" si="22"/>
        <v>0</v>
      </c>
    </row>
    <row r="76" spans="1:33">
      <c r="A76" s="105" t="s">
        <v>134</v>
      </c>
      <c r="B76" s="105" t="s">
        <v>886</v>
      </c>
      <c r="C76" s="105" t="s">
        <v>279</v>
      </c>
      <c r="D76" s="293">
        <v>11433.33</v>
      </c>
      <c r="E76" s="293">
        <v>11433.33</v>
      </c>
      <c r="F76" s="293">
        <v>11433.33</v>
      </c>
      <c r="G76" s="293">
        <v>11433.33</v>
      </c>
      <c r="H76" s="293">
        <v>11433.33</v>
      </c>
      <c r="I76" s="293">
        <v>11433.33</v>
      </c>
      <c r="J76" s="293">
        <v>11433.33</v>
      </c>
      <c r="K76" s="293">
        <v>11433.33</v>
      </c>
      <c r="L76" s="293">
        <v>11433.33</v>
      </c>
      <c r="M76" s="293">
        <v>11433.33</v>
      </c>
      <c r="N76" s="293">
        <v>11433.33</v>
      </c>
      <c r="O76" s="293">
        <v>11433.33</v>
      </c>
      <c r="P76" s="133">
        <f t="shared" si="20"/>
        <v>137199.96</v>
      </c>
      <c r="Q76" s="231">
        <v>11143.25</v>
      </c>
      <c r="R76" s="231">
        <v>10943.25</v>
      </c>
      <c r="S76" s="231">
        <v>11151.25</v>
      </c>
      <c r="T76" s="231">
        <v>10949.25</v>
      </c>
      <c r="U76" s="231">
        <v>11015.25</v>
      </c>
      <c r="V76" s="231">
        <v>10949.25</v>
      </c>
      <c r="W76" s="141">
        <v>11015.25</v>
      </c>
      <c r="X76" s="141">
        <v>11015.25</v>
      </c>
      <c r="Y76" s="141">
        <v>12225</v>
      </c>
      <c r="Z76" s="141">
        <v>12225</v>
      </c>
      <c r="AA76" s="141">
        <v>12225</v>
      </c>
      <c r="AB76" s="124">
        <v>12225</v>
      </c>
      <c r="AC76" s="142">
        <f t="shared" si="21"/>
        <v>137082</v>
      </c>
      <c r="AD76" s="141">
        <f t="shared" ref="AD76:AD83" si="23">AC76-P76</f>
        <v>-117.95999999999185</v>
      </c>
      <c r="AE76" s="192">
        <f t="shared" ref="AE76:AE83" si="24">AD76/AC76</f>
        <v>-8.6050684991459013E-4</v>
      </c>
      <c r="AF76" s="129">
        <v>22071.75</v>
      </c>
      <c r="AG76" s="123">
        <f t="shared" si="22"/>
        <v>-115128.20999999999</v>
      </c>
    </row>
    <row r="77" spans="1:33">
      <c r="A77" s="105" t="s">
        <v>135</v>
      </c>
      <c r="B77" s="105" t="s">
        <v>886</v>
      </c>
      <c r="C77" s="105" t="s">
        <v>280</v>
      </c>
      <c r="D77" s="293">
        <v>9236.27</v>
      </c>
      <c r="E77" s="293">
        <v>9236.27</v>
      </c>
      <c r="F77" s="293">
        <v>9236.27</v>
      </c>
      <c r="G77" s="293">
        <v>9236.27</v>
      </c>
      <c r="H77" s="293">
        <v>9236.27</v>
      </c>
      <c r="I77" s="293">
        <v>9236.27</v>
      </c>
      <c r="J77" s="293">
        <v>9236.27</v>
      </c>
      <c r="K77" s="293">
        <v>9236.27</v>
      </c>
      <c r="L77" s="293">
        <v>9236.27</v>
      </c>
      <c r="M77" s="293">
        <v>9236.27</v>
      </c>
      <c r="N77" s="293">
        <v>9236.27</v>
      </c>
      <c r="O77" s="293">
        <v>9236.27</v>
      </c>
      <c r="P77" s="133">
        <f t="shared" si="20"/>
        <v>110835.24000000003</v>
      </c>
      <c r="Q77" s="231">
        <v>7313.11</v>
      </c>
      <c r="R77" s="231">
        <v>7314.06</v>
      </c>
      <c r="S77" s="231">
        <v>7313.11</v>
      </c>
      <c r="T77" s="231">
        <v>7313.11</v>
      </c>
      <c r="U77" s="231">
        <v>7318.04</v>
      </c>
      <c r="V77" s="231">
        <v>7318.56</v>
      </c>
      <c r="W77" s="141">
        <v>7319.88</v>
      </c>
      <c r="X77" s="141">
        <v>7317.53</v>
      </c>
      <c r="Y77" s="141">
        <v>7300</v>
      </c>
      <c r="Z77" s="141">
        <v>7300</v>
      </c>
      <c r="AA77" s="141">
        <v>7300</v>
      </c>
      <c r="AB77" s="124">
        <v>7300</v>
      </c>
      <c r="AC77" s="142">
        <f t="shared" si="21"/>
        <v>87727.4</v>
      </c>
      <c r="AD77" s="141">
        <f t="shared" si="23"/>
        <v>-23107.84000000004</v>
      </c>
      <c r="AE77" s="192">
        <f t="shared" si="24"/>
        <v>-0.26340504790977554</v>
      </c>
      <c r="AF77" s="129">
        <v>95879.670000000013</v>
      </c>
      <c r="AG77" s="123">
        <f t="shared" si="22"/>
        <v>-14955.570000000022</v>
      </c>
    </row>
    <row r="78" spans="1:33">
      <c r="A78" s="105" t="s">
        <v>281</v>
      </c>
      <c r="B78" s="105" t="s">
        <v>886</v>
      </c>
      <c r="C78" s="105" t="s">
        <v>282</v>
      </c>
      <c r="D78" s="212">
        <v>0</v>
      </c>
      <c r="E78" s="212">
        <v>0</v>
      </c>
      <c r="F78" s="212">
        <v>0</v>
      </c>
      <c r="G78" s="212">
        <v>0</v>
      </c>
      <c r="H78" s="212">
        <v>0</v>
      </c>
      <c r="I78" s="212">
        <v>0</v>
      </c>
      <c r="J78" s="212">
        <v>0</v>
      </c>
      <c r="K78" s="212">
        <v>0</v>
      </c>
      <c r="L78" s="212">
        <v>0</v>
      </c>
      <c r="M78" s="212">
        <v>0</v>
      </c>
      <c r="N78" s="212">
        <v>0</v>
      </c>
      <c r="O78" s="212">
        <v>0</v>
      </c>
      <c r="P78" s="133">
        <f t="shared" si="20"/>
        <v>0</v>
      </c>
      <c r="Q78" s="231">
        <v>1085.54</v>
      </c>
      <c r="R78" s="231">
        <v>1383.77</v>
      </c>
      <c r="S78" s="231">
        <v>1213.1099999999999</v>
      </c>
      <c r="T78" s="231">
        <v>1396.02</v>
      </c>
      <c r="U78" s="231">
        <v>1516.73</v>
      </c>
      <c r="V78" s="231">
        <v>1516.59</v>
      </c>
      <c r="W78" s="141">
        <v>930.6</v>
      </c>
      <c r="X78" s="141">
        <v>1125.6500000000001</v>
      </c>
      <c r="Y78" s="141">
        <v>1307</v>
      </c>
      <c r="Z78" s="141">
        <v>1242</v>
      </c>
      <c r="AA78" s="141">
        <v>1162</v>
      </c>
      <c r="AB78" s="124">
        <v>1162</v>
      </c>
      <c r="AC78" s="142">
        <f t="shared" si="21"/>
        <v>15041.01</v>
      </c>
      <c r="AD78" s="141">
        <f t="shared" si="23"/>
        <v>15041.01</v>
      </c>
      <c r="AE78" s="192">
        <f t="shared" si="24"/>
        <v>1</v>
      </c>
      <c r="AF78" s="129">
        <v>5619.6500000000005</v>
      </c>
      <c r="AG78" s="123">
        <f t="shared" si="22"/>
        <v>5619.6500000000005</v>
      </c>
    </row>
    <row r="79" spans="1:33">
      <c r="A79" s="105" t="s">
        <v>137</v>
      </c>
      <c r="B79" s="105" t="s">
        <v>886</v>
      </c>
      <c r="C79" s="105" t="s">
        <v>283</v>
      </c>
      <c r="D79" s="212">
        <v>9978.18</v>
      </c>
      <c r="E79" s="212">
        <v>9013.18</v>
      </c>
      <c r="F79" s="212">
        <v>9030.3700000000008</v>
      </c>
      <c r="G79" s="212">
        <v>9121.3700000000008</v>
      </c>
      <c r="H79" s="212">
        <v>9516.18</v>
      </c>
      <c r="I79" s="212">
        <v>9118.8799999999992</v>
      </c>
      <c r="J79" s="212">
        <v>9079.8799999999992</v>
      </c>
      <c r="K79" s="212">
        <v>9074.8799999999992</v>
      </c>
      <c r="L79" s="212">
        <v>9114.8799999999992</v>
      </c>
      <c r="M79" s="212">
        <v>9996.4</v>
      </c>
      <c r="N79" s="212">
        <v>9101.3700000000008</v>
      </c>
      <c r="O79" s="212">
        <v>9096.3700000000008</v>
      </c>
      <c r="P79" s="133">
        <f t="shared" si="20"/>
        <v>111241.93999999999</v>
      </c>
      <c r="Q79" s="231">
        <v>7330.73</v>
      </c>
      <c r="R79" s="231">
        <v>12731.12</v>
      </c>
      <c r="S79" s="231">
        <v>9392.2800000000007</v>
      </c>
      <c r="T79" s="231">
        <v>8847.44</v>
      </c>
      <c r="U79" s="231">
        <v>7342.44</v>
      </c>
      <c r="V79" s="231">
        <v>7468.22</v>
      </c>
      <c r="W79" s="141">
        <v>8005.58</v>
      </c>
      <c r="X79" s="141">
        <v>10756.05</v>
      </c>
      <c r="Y79" s="141">
        <v>7591</v>
      </c>
      <c r="Z79" s="141">
        <v>8188</v>
      </c>
      <c r="AA79" s="141">
        <v>7663</v>
      </c>
      <c r="AB79" s="124">
        <v>7663</v>
      </c>
      <c r="AC79" s="142">
        <f t="shared" si="21"/>
        <v>102978.86</v>
      </c>
      <c r="AD79" s="141">
        <f t="shared" si="23"/>
        <v>-8263.0799999999872</v>
      </c>
      <c r="AE79" s="192">
        <f t="shared" si="24"/>
        <v>-8.0240546457787429E-2</v>
      </c>
      <c r="AF79" s="129">
        <v>156923.21</v>
      </c>
      <c r="AG79" s="123">
        <f t="shared" si="22"/>
        <v>45681.270000000004</v>
      </c>
    </row>
    <row r="80" spans="1:33">
      <c r="A80" s="105" t="s">
        <v>138</v>
      </c>
      <c r="B80" s="105" t="s">
        <v>886</v>
      </c>
      <c r="C80" s="105" t="s">
        <v>881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>
        <v>0</v>
      </c>
      <c r="J80" s="124">
        <v>0</v>
      </c>
      <c r="K80" s="124">
        <v>0</v>
      </c>
      <c r="L80" s="124">
        <v>0</v>
      </c>
      <c r="M80" s="124">
        <v>0</v>
      </c>
      <c r="N80" s="124">
        <v>0</v>
      </c>
      <c r="O80" s="124">
        <v>0</v>
      </c>
      <c r="P80" s="133"/>
      <c r="Q80" s="231"/>
      <c r="R80" s="231"/>
      <c r="S80" s="231"/>
      <c r="T80" s="231"/>
      <c r="U80" s="231"/>
      <c r="V80" s="231"/>
      <c r="W80" s="141">
        <v>0</v>
      </c>
      <c r="X80" s="141">
        <v>0</v>
      </c>
      <c r="Y80" s="141">
        <v>0</v>
      </c>
      <c r="Z80" s="141">
        <v>0</v>
      </c>
      <c r="AA80" s="141">
        <v>0</v>
      </c>
      <c r="AB80" s="124">
        <v>0</v>
      </c>
      <c r="AC80" s="142">
        <f t="shared" si="21"/>
        <v>0</v>
      </c>
      <c r="AD80" s="141"/>
      <c r="AF80" s="129">
        <v>0</v>
      </c>
      <c r="AG80" s="123">
        <f t="shared" si="22"/>
        <v>0</v>
      </c>
    </row>
    <row r="81" spans="1:33">
      <c r="A81" s="105" t="s">
        <v>140</v>
      </c>
      <c r="B81" s="105" t="s">
        <v>886</v>
      </c>
      <c r="C81" s="105" t="s">
        <v>882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133"/>
      <c r="Q81" s="231"/>
      <c r="R81" s="231"/>
      <c r="S81" s="231"/>
      <c r="T81" s="231"/>
      <c r="U81" s="231"/>
      <c r="V81" s="231"/>
      <c r="W81" s="141">
        <v>0</v>
      </c>
      <c r="X81" s="141">
        <v>0</v>
      </c>
      <c r="Y81" s="141">
        <v>0</v>
      </c>
      <c r="Z81" s="141">
        <v>0</v>
      </c>
      <c r="AA81" s="141">
        <v>0</v>
      </c>
      <c r="AB81" s="124">
        <v>0</v>
      </c>
      <c r="AC81" s="142">
        <f t="shared" si="21"/>
        <v>0</v>
      </c>
      <c r="AD81" s="141"/>
      <c r="AF81" s="129">
        <v>0</v>
      </c>
      <c r="AG81" s="123">
        <f t="shared" si="22"/>
        <v>0</v>
      </c>
    </row>
    <row r="82" spans="1:33">
      <c r="C82" s="109" t="s">
        <v>286</v>
      </c>
      <c r="D82" s="133">
        <f t="shared" ref="D82:I82" si="25">SUM(D73:D79)</f>
        <v>30647.78</v>
      </c>
      <c r="E82" s="133">
        <f t="shared" si="25"/>
        <v>29682.78</v>
      </c>
      <c r="F82" s="133">
        <f t="shared" si="25"/>
        <v>29699.97</v>
      </c>
      <c r="G82" s="133">
        <f t="shared" si="25"/>
        <v>29790.97</v>
      </c>
      <c r="H82" s="133">
        <f t="shared" si="25"/>
        <v>30185.78</v>
      </c>
      <c r="I82" s="133">
        <f t="shared" si="25"/>
        <v>29788.479999999996</v>
      </c>
      <c r="J82" s="133">
        <f t="shared" ref="J82:P82" si="26">SUM(J73:J81)</f>
        <v>29749.479999999996</v>
      </c>
      <c r="K82" s="133">
        <f t="shared" si="26"/>
        <v>29744.479999999996</v>
      </c>
      <c r="L82" s="133">
        <f t="shared" si="26"/>
        <v>29784.479999999996</v>
      </c>
      <c r="M82" s="133">
        <f t="shared" si="26"/>
        <v>30666</v>
      </c>
      <c r="N82" s="133">
        <f t="shared" si="26"/>
        <v>29770.97</v>
      </c>
      <c r="O82" s="133">
        <f t="shared" si="26"/>
        <v>29765.97</v>
      </c>
      <c r="P82" s="133">
        <f t="shared" si="26"/>
        <v>359277.14</v>
      </c>
      <c r="Q82" s="145">
        <f t="shared" ref="Q82:AC82" si="27">SUM(Q73:Q79)</f>
        <v>26872.63</v>
      </c>
      <c r="R82" s="145">
        <f t="shared" si="27"/>
        <v>32372.200000000004</v>
      </c>
      <c r="S82" s="145">
        <f t="shared" si="27"/>
        <v>29069.75</v>
      </c>
      <c r="T82" s="145">
        <f t="shared" si="27"/>
        <v>28505.82</v>
      </c>
      <c r="U82" s="145">
        <f t="shared" si="27"/>
        <v>27192.46</v>
      </c>
      <c r="V82" s="145">
        <f t="shared" si="27"/>
        <v>27252.620000000003</v>
      </c>
      <c r="W82" s="145">
        <f t="shared" si="27"/>
        <v>27271.309999999998</v>
      </c>
      <c r="X82" s="145">
        <f t="shared" si="27"/>
        <v>30214.48</v>
      </c>
      <c r="Y82" s="145">
        <f t="shared" si="27"/>
        <v>28423</v>
      </c>
      <c r="Z82" s="145">
        <f t="shared" si="27"/>
        <v>28955</v>
      </c>
      <c r="AA82" s="145">
        <f t="shared" si="27"/>
        <v>28350</v>
      </c>
      <c r="AB82" s="133">
        <f t="shared" si="27"/>
        <v>28350</v>
      </c>
      <c r="AC82" s="145">
        <f t="shared" si="27"/>
        <v>342829.27</v>
      </c>
      <c r="AD82" s="142">
        <f t="shared" si="23"/>
        <v>-16447.869999999995</v>
      </c>
      <c r="AE82" s="132">
        <f t="shared" si="24"/>
        <v>-4.7976854485032722E-2</v>
      </c>
      <c r="AF82" s="129">
        <v>280494.28000000003</v>
      </c>
      <c r="AG82" s="123">
        <f t="shared" si="22"/>
        <v>-78782.859999999986</v>
      </c>
    </row>
    <row r="83" spans="1:33">
      <c r="C83" s="109" t="s">
        <v>287</v>
      </c>
      <c r="D83" s="133">
        <f t="shared" ref="D83:AC83" si="28">D82+D71+D61+D54</f>
        <v>266995.01</v>
      </c>
      <c r="E83" s="133">
        <f t="shared" si="28"/>
        <v>264481.77</v>
      </c>
      <c r="F83" s="133">
        <f t="shared" si="28"/>
        <v>267824.33999999997</v>
      </c>
      <c r="G83" s="133">
        <f t="shared" si="28"/>
        <v>269463.57999999996</v>
      </c>
      <c r="H83" s="133">
        <f t="shared" si="28"/>
        <v>271405.63</v>
      </c>
      <c r="I83" s="133">
        <f t="shared" si="28"/>
        <v>267912.84999999998</v>
      </c>
      <c r="J83" s="133">
        <f t="shared" si="28"/>
        <v>268432.84999999998</v>
      </c>
      <c r="K83" s="133">
        <f t="shared" si="28"/>
        <v>268693.94999999995</v>
      </c>
      <c r="L83" s="133">
        <f t="shared" si="28"/>
        <v>268733.94999999995</v>
      </c>
      <c r="M83" s="133">
        <f t="shared" si="28"/>
        <v>272710.95</v>
      </c>
      <c r="N83" s="133">
        <f t="shared" si="28"/>
        <v>268454.33999999997</v>
      </c>
      <c r="O83" s="133">
        <f t="shared" si="28"/>
        <v>268715.44</v>
      </c>
      <c r="P83" s="133">
        <f t="shared" si="28"/>
        <v>3223824.66</v>
      </c>
      <c r="Q83" s="145">
        <f t="shared" si="28"/>
        <v>292049.14</v>
      </c>
      <c r="R83" s="145">
        <f t="shared" si="28"/>
        <v>297539.59999999998</v>
      </c>
      <c r="S83" s="145">
        <f t="shared" si="28"/>
        <v>298541.86</v>
      </c>
      <c r="T83" s="145">
        <f t="shared" si="28"/>
        <v>277369.51</v>
      </c>
      <c r="U83" s="145">
        <f t="shared" si="28"/>
        <v>275585.87</v>
      </c>
      <c r="V83" s="145">
        <f t="shared" si="28"/>
        <v>275763.83999999997</v>
      </c>
      <c r="W83" s="145">
        <f t="shared" si="28"/>
        <v>275035.02</v>
      </c>
      <c r="X83" s="145">
        <f t="shared" si="28"/>
        <v>278012.74</v>
      </c>
      <c r="Y83" s="145">
        <f t="shared" si="28"/>
        <v>282504</v>
      </c>
      <c r="Z83" s="145">
        <f t="shared" si="28"/>
        <v>286281</v>
      </c>
      <c r="AA83" s="145">
        <f t="shared" si="28"/>
        <v>280808</v>
      </c>
      <c r="AB83" s="133">
        <f t="shared" si="28"/>
        <v>280808</v>
      </c>
      <c r="AC83" s="145">
        <f t="shared" si="28"/>
        <v>3400298.58</v>
      </c>
      <c r="AD83" s="142">
        <f t="shared" si="23"/>
        <v>176473.91999999993</v>
      </c>
      <c r="AE83" s="132">
        <f t="shared" si="24"/>
        <v>5.1899536422474968E-2</v>
      </c>
      <c r="AF83" s="129">
        <v>2877567.1900000004</v>
      </c>
      <c r="AG83" s="123">
        <f t="shared" si="22"/>
        <v>-346257.46999999974</v>
      </c>
    </row>
    <row r="84" spans="1:33">
      <c r="C84" s="105" t="s">
        <v>154</v>
      </c>
      <c r="AC84" s="133"/>
      <c r="AF84" s="129"/>
      <c r="AG84" s="123">
        <f t="shared" si="22"/>
        <v>0</v>
      </c>
    </row>
    <row r="85" spans="1:33" s="256" customFormat="1">
      <c r="A85" s="109" t="s">
        <v>141</v>
      </c>
      <c r="B85" s="256" t="s">
        <v>886</v>
      </c>
      <c r="C85" s="256" t="s">
        <v>288</v>
      </c>
      <c r="D85" s="215">
        <v>5</v>
      </c>
      <c r="E85" s="215">
        <v>5</v>
      </c>
      <c r="F85" s="215">
        <v>5</v>
      </c>
      <c r="G85" s="215">
        <v>5</v>
      </c>
      <c r="H85" s="215">
        <v>5</v>
      </c>
      <c r="I85" s="215">
        <v>5</v>
      </c>
      <c r="J85" s="215">
        <v>5</v>
      </c>
      <c r="K85" s="215">
        <v>5</v>
      </c>
      <c r="L85" s="215">
        <v>5</v>
      </c>
      <c r="M85" s="215">
        <v>5</v>
      </c>
      <c r="N85" s="215">
        <v>5</v>
      </c>
      <c r="O85" s="215">
        <v>5</v>
      </c>
      <c r="P85" s="129">
        <f>SUM(D85:O85)/12</f>
        <v>5</v>
      </c>
      <c r="Q85" s="256">
        <v>6</v>
      </c>
      <c r="R85" s="256">
        <v>6</v>
      </c>
      <c r="S85" s="256">
        <v>6</v>
      </c>
      <c r="T85" s="256">
        <v>6</v>
      </c>
      <c r="U85" s="256">
        <v>6</v>
      </c>
      <c r="V85" s="256">
        <v>6</v>
      </c>
      <c r="W85" s="142">
        <v>6</v>
      </c>
      <c r="X85" s="142">
        <v>6</v>
      </c>
      <c r="Y85" s="142">
        <v>6</v>
      </c>
      <c r="Z85" s="142">
        <v>6</v>
      </c>
      <c r="AA85" s="142">
        <v>6</v>
      </c>
      <c r="AB85" s="142">
        <v>6</v>
      </c>
      <c r="AC85" s="294">
        <f>SUM(Q85:AB85)/12</f>
        <v>6</v>
      </c>
      <c r="AD85" s="294">
        <f>AC85-P85</f>
        <v>1</v>
      </c>
      <c r="AE85" s="295"/>
      <c r="AF85" s="294">
        <v>6</v>
      </c>
      <c r="AG85" s="296">
        <f t="shared" si="22"/>
        <v>1</v>
      </c>
    </row>
    <row r="86" spans="1:33">
      <c r="AC86" s="133"/>
    </row>
    <row r="88" spans="1:33">
      <c r="C88" s="105" t="s">
        <v>883</v>
      </c>
      <c r="D88" s="141">
        <f>'2025 Summay'!E16</f>
        <v>39233149</v>
      </c>
      <c r="E88" s="141">
        <f>'2025 Summay'!F16</f>
        <v>43452422</v>
      </c>
      <c r="F88" s="141">
        <f>'2025 Summay'!G16</f>
        <v>27030377</v>
      </c>
      <c r="G88" s="141">
        <f>'2025 Summay'!H16</f>
        <v>25027257</v>
      </c>
      <c r="H88" s="141">
        <f>'2025 Summay'!I16</f>
        <v>23807640</v>
      </c>
      <c r="I88" s="141">
        <f>'2025 Summay'!J16</f>
        <v>21296011</v>
      </c>
      <c r="J88" s="141">
        <f>'2025 Summay'!K16</f>
        <v>30906188</v>
      </c>
      <c r="K88" s="141">
        <f>'2025 Summay'!L16</f>
        <v>34819289</v>
      </c>
      <c r="L88" s="141">
        <f>'2025 Summay'!M16</f>
        <v>20076077</v>
      </c>
      <c r="M88" s="141">
        <f>'2025 Summay'!N16</f>
        <v>25381394</v>
      </c>
      <c r="N88" s="141">
        <f>'2025 Summay'!O16</f>
        <v>21936590</v>
      </c>
      <c r="O88" s="141">
        <f>'2025 Summay'!P16</f>
        <v>27659550</v>
      </c>
      <c r="P88" s="282">
        <f>SUM(D88:O88)</f>
        <v>340625944</v>
      </c>
      <c r="Q88" s="284" t="e">
        <f>SUM(#REF!)</f>
        <v>#REF!</v>
      </c>
      <c r="R88" s="284" t="e">
        <f>SUM(#REF!)</f>
        <v>#REF!</v>
      </c>
      <c r="S88" s="284" t="e">
        <f>SUM(#REF!)</f>
        <v>#REF!</v>
      </c>
      <c r="T88" s="284">
        <f>SUM(A88:L88)</f>
        <v>265648410</v>
      </c>
      <c r="U88" s="284">
        <f>SUM(B88:M88)</f>
        <v>291029804</v>
      </c>
      <c r="V88" s="284">
        <f>SUM(C88:N88)</f>
        <v>312966394</v>
      </c>
      <c r="W88" s="284">
        <f>SUM(D88:O88)</f>
        <v>340625944</v>
      </c>
      <c r="X88" s="284">
        <f>SUM(E88:P88)</f>
        <v>642018739</v>
      </c>
      <c r="Y88" s="284"/>
    </row>
    <row r="90" spans="1:33">
      <c r="C90" s="151" t="s">
        <v>292</v>
      </c>
      <c r="D90" s="124">
        <v>0</v>
      </c>
      <c r="E90" s="124">
        <v>0</v>
      </c>
      <c r="F90" s="124">
        <v>0</v>
      </c>
      <c r="G90" s="124">
        <v>0</v>
      </c>
      <c r="H90" s="124">
        <v>0</v>
      </c>
      <c r="I90" s="124">
        <v>0</v>
      </c>
      <c r="J90" s="124">
        <v>0</v>
      </c>
      <c r="K90" s="124">
        <v>0</v>
      </c>
      <c r="L90" s="124">
        <v>0</v>
      </c>
      <c r="M90" s="124">
        <v>0</v>
      </c>
      <c r="N90" s="124">
        <v>0</v>
      </c>
      <c r="O90" s="124">
        <v>0</v>
      </c>
      <c r="P90" s="133">
        <f t="shared" ref="P90:P92" si="29">SUM(D90:O90)</f>
        <v>0</v>
      </c>
    </row>
    <row r="91" spans="1:33">
      <c r="C91" s="152" t="s">
        <v>366</v>
      </c>
      <c r="D91" s="136">
        <v>0</v>
      </c>
      <c r="E91" s="136">
        <v>0</v>
      </c>
      <c r="F91" s="136">
        <v>0</v>
      </c>
      <c r="G91" s="136">
        <v>0</v>
      </c>
      <c r="H91" s="136">
        <v>0</v>
      </c>
      <c r="I91" s="136">
        <v>0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133">
        <f t="shared" si="29"/>
        <v>0</v>
      </c>
      <c r="Q91" s="105">
        <v>4193.8571428571431</v>
      </c>
    </row>
    <row r="92" spans="1:33">
      <c r="C92" s="151" t="s">
        <v>367</v>
      </c>
      <c r="D92" s="136">
        <v>0</v>
      </c>
      <c r="E92" s="136">
        <v>0</v>
      </c>
      <c r="F92" s="136">
        <v>0</v>
      </c>
      <c r="G92" s="136">
        <v>0</v>
      </c>
      <c r="H92" s="136">
        <v>0</v>
      </c>
      <c r="I92" s="136">
        <v>0</v>
      </c>
      <c r="J92" s="136">
        <v>0</v>
      </c>
      <c r="K92" s="136">
        <v>0</v>
      </c>
      <c r="L92" s="136">
        <v>0</v>
      </c>
      <c r="M92" s="136">
        <v>0</v>
      </c>
      <c r="N92" s="136">
        <v>0</v>
      </c>
      <c r="O92" s="136">
        <v>0</v>
      </c>
      <c r="P92" s="133">
        <f t="shared" si="29"/>
        <v>0</v>
      </c>
    </row>
    <row r="93" spans="1:33">
      <c r="C93" s="109" t="s">
        <v>476</v>
      </c>
      <c r="D93" s="117">
        <f>SUM(D90:D92)</f>
        <v>0</v>
      </c>
      <c r="E93" s="117">
        <f t="shared" ref="E93:P93" si="30">SUM(E90:E92)</f>
        <v>0</v>
      </c>
      <c r="F93" s="117">
        <f t="shared" si="30"/>
        <v>0</v>
      </c>
      <c r="G93" s="117">
        <f t="shared" si="30"/>
        <v>0</v>
      </c>
      <c r="H93" s="117">
        <f t="shared" si="30"/>
        <v>0</v>
      </c>
      <c r="I93" s="117">
        <f t="shared" si="30"/>
        <v>0</v>
      </c>
      <c r="J93" s="117">
        <f t="shared" si="30"/>
        <v>0</v>
      </c>
      <c r="K93" s="117">
        <f t="shared" si="30"/>
        <v>0</v>
      </c>
      <c r="L93" s="117">
        <f t="shared" si="30"/>
        <v>0</v>
      </c>
      <c r="M93" s="117">
        <f t="shared" si="30"/>
        <v>0</v>
      </c>
      <c r="N93" s="117">
        <f t="shared" si="30"/>
        <v>0</v>
      </c>
      <c r="O93" s="117">
        <f t="shared" si="30"/>
        <v>0</v>
      </c>
      <c r="P93" s="117">
        <f t="shared" si="30"/>
        <v>0</v>
      </c>
    </row>
  </sheetData>
  <phoneticPr fontId="7" type="noConversion"/>
  <dataValidations count="157">
    <dataValidation type="textLength" errorStyle="information" allowBlank="1" showInputMessage="1" showErrorMessage="1" error="XLBVal:6=11151.25_x000d__x000a_" sqref="S76">
      <formula1>0</formula1>
      <formula2>300</formula2>
    </dataValidation>
    <dataValidation type="textLength" errorStyle="information" allowBlank="1" showInputMessage="1" showErrorMessage="1" error="XLBVal:6=45729.02_x000d__x000a_" sqref="Q57">
      <formula1>0</formula1>
      <formula2>300</formula2>
    </dataValidation>
    <dataValidation type="textLength" errorStyle="information" allowBlank="1" showInputMessage="1" showErrorMessage="1" error="XLBVal:6=38657.26_x000d__x000a_" sqref="U32">
      <formula1>0</formula1>
      <formula2>300</formula2>
    </dataValidation>
    <dataValidation type="textLength" errorStyle="information" allowBlank="1" showInputMessage="1" showErrorMessage="1" error="XLBVal:6=70509.71_x000d__x000a_" sqref="T28">
      <formula1>0</formula1>
      <formula2>300</formula2>
    </dataValidation>
    <dataValidation type="textLength" errorStyle="information" allowBlank="1" showInputMessage="1" showErrorMessage="1" error="XLBVal:6=11115_x000d__x000a_" sqref="Q26">
      <formula1>0</formula1>
      <formula2>300</formula2>
    </dataValidation>
    <dataValidation type="textLength" errorStyle="information" allowBlank="1" showInputMessage="1" showErrorMessage="1" error="XLBVal:6=179.44_x000d__x000a_" sqref="V21">
      <formula1>0</formula1>
      <formula2>300</formula2>
    </dataValidation>
    <dataValidation type="textLength" errorStyle="information" allowBlank="1" showInputMessage="1" showErrorMessage="1" error="XLBVal:6=612.39_x000d__x000a_" sqref="T19">
      <formula1>0</formula1>
      <formula2>300</formula2>
    </dataValidation>
    <dataValidation type="textLength" errorStyle="information" allowBlank="1" showInputMessage="1" showErrorMessage="1" error="XLBVal:6=1579_x000d__x000a_" sqref="Q18:S18">
      <formula1>0</formula1>
      <formula2>300</formula2>
    </dataValidation>
    <dataValidation type="textLength" errorStyle="information" allowBlank="1" showInputMessage="1" showErrorMessage="1" error="XLBVal:6=2188.11_x000d__x000a_" sqref="U14">
      <formula1>0</formula1>
      <formula2>300</formula2>
    </dataValidation>
    <dataValidation type="textLength" errorStyle="information" allowBlank="1" showInputMessage="1" showErrorMessage="1" error="XLBVal:6=376.22_x000d__x000a_" sqref="R14">
      <formula1>0</formula1>
      <formula2>300</formula2>
    </dataValidation>
    <dataValidation type="textLength" errorStyle="information" allowBlank="1" showInputMessage="1" showErrorMessage="1" error="XLBVal:6=34143_x000d__x000a_" sqref="D52:D53 D56:O60 D63:O70 D73:O77 D85:O85">
      <formula1>0</formula1>
      <formula2>300</formula2>
    </dataValidation>
    <dataValidation type="textLength" errorStyle="information" allowBlank="1" showInputMessage="1" showErrorMessage="1" error="XLBVal:6=30503.32_x000d__x000a_" sqref="V57">
      <formula1>0</formula1>
      <formula2>300</formula2>
    </dataValidation>
    <dataValidation type="textLength" errorStyle="information" allowBlank="1" showInputMessage="1" showErrorMessage="1" error="XLBVal:6=30493.51_x000d__x000a_" sqref="U57">
      <formula1>0</formula1>
      <formula2>300</formula2>
    </dataValidation>
    <dataValidation type="textLength" errorStyle="information" allowBlank="1" showInputMessage="1" showErrorMessage="1" error="XLBVal:6=30478.34_x000d__x000a_" sqref="T57">
      <formula1>0</formula1>
      <formula2>300</formula2>
    </dataValidation>
    <dataValidation type="textLength" errorStyle="information" allowBlank="1" showInputMessage="1" showErrorMessage="1" error="XLBVal:6=45764.86_x000d__x000a_" sqref="S57">
      <formula1>0</formula1>
      <formula2>300</formula2>
    </dataValidation>
    <dataValidation type="textLength" errorStyle="information" allowBlank="1" showInputMessage="1" showErrorMessage="1" error="XLBVal:6=5000_x000d__x000a_" sqref="Q53:V53">
      <formula1>0</formula1>
      <formula2>300</formula2>
    </dataValidation>
    <dataValidation type="textLength" errorStyle="information" allowBlank="1" showInputMessage="1" showErrorMessage="1" error="XLBVal:6=6711.5_x000d__x000a_" sqref="Q32">
      <formula1>0</formula1>
      <formula2>300</formula2>
    </dataValidation>
    <dataValidation type="textLength" errorStyle="information" allowBlank="1" showInputMessage="1" showErrorMessage="1" error="XLBVal:6=37500_x000d__x000a_" sqref="U28:V28">
      <formula1>0</formula1>
      <formula2>300</formula2>
    </dataValidation>
    <dataValidation type="textLength" errorStyle="information" allowBlank="1" showInputMessage="1" showErrorMessage="1" error="XLBVal:6=16769_x000d__x000a_" sqref="U26">
      <formula1>0</formula1>
      <formula2>300</formula2>
    </dataValidation>
    <dataValidation type="textLength" errorStyle="information" allowBlank="1" showInputMessage="1" showErrorMessage="1" error="XLBVal:6=6210.47_x000d__x000a_" sqref="T26">
      <formula1>0</formula1>
      <formula2>300</formula2>
    </dataValidation>
    <dataValidation type="textLength" errorStyle="information" allowBlank="1" showInputMessage="1" showErrorMessage="1" error="XLBVal:6=5689.41_x000d__x000a_" sqref="S26">
      <formula1>0</formula1>
      <formula2>300</formula2>
    </dataValidation>
    <dataValidation type="textLength" errorStyle="information" allowBlank="1" showInputMessage="1" showErrorMessage="1" error="XLBVal:6=-5498.75_x000d__x000a_" sqref="R26">
      <formula1>0</formula1>
      <formula2>300</formula2>
    </dataValidation>
    <dataValidation type="textLength" errorStyle="information" allowBlank="1" showInputMessage="1" showErrorMessage="1" error="XLBVal:6=54887.14_x000d__x000a_" sqref="AB45">
      <formula1>0</formula1>
      <formula2>300</formula2>
    </dataValidation>
    <dataValidation type="textLength" errorStyle="information" allowBlank="1" showInputMessage="1" showErrorMessage="1" error="XLBVal:6=-122097.22_x000d__x000a_" sqref="AB28">
      <formula1>0</formula1>
      <formula2>300</formula2>
    </dataValidation>
    <dataValidation type="textLength" errorStyle="information" allowBlank="1" showInputMessage="1" showErrorMessage="1" error="XLBVal:6=7824.91_x000d__x000a_" sqref="AB25">
      <formula1>0</formula1>
      <formula2>300</formula2>
    </dataValidation>
    <dataValidation type="textLength" errorStyle="information" allowBlank="1" showInputMessage="1" showErrorMessage="1" error="XLBVal:6=1069.9_x000d__x000a_" sqref="AB24">
      <formula1>0</formula1>
      <formula2>300</formula2>
    </dataValidation>
    <dataValidation type="textLength" errorStyle="information" allowBlank="1" showInputMessage="1" showErrorMessage="1" error="XLBVal:6=68.15_x000d__x000a_" sqref="AB22">
      <formula1>0</formula1>
      <formula2>300</formula2>
    </dataValidation>
    <dataValidation type="textLength" errorStyle="information" allowBlank="1" showInputMessage="1" showErrorMessage="1" error="XLBVal:6=41_x000d__x000a_" sqref="AB20">
      <formula1>0</formula1>
      <formula2>300</formula2>
    </dataValidation>
    <dataValidation type="textLength" errorStyle="information" allowBlank="1" showInputMessage="1" showErrorMessage="1" error="XLBVal:6=1373.73_x000d__x000a_" sqref="AB15">
      <formula1>0</formula1>
      <formula2>300</formula2>
    </dataValidation>
    <dataValidation type="textLength" errorStyle="information" allowBlank="1" showInputMessage="1" showErrorMessage="1" error="XLBVal:6=1079.37_x000d__x000a_" sqref="AB14">
      <formula1>0</formula1>
      <formula2>300</formula2>
    </dataValidation>
    <dataValidation type="textLength" errorStyle="information" allowBlank="1" showInputMessage="1" showErrorMessage="1" error="XLBVal:6=6500_x000d__x000a_" sqref="AA30">
      <formula1>0</formula1>
      <formula2>300</formula2>
    </dataValidation>
    <dataValidation type="textLength" errorStyle="information" allowBlank="1" showInputMessage="1" showErrorMessage="1" error="XLBVal:6=11128.56_x000d__x000a_" sqref="AA45">
      <formula1>0</formula1>
      <formula2>300</formula2>
    </dataValidation>
    <dataValidation type="textLength" errorStyle="information" allowBlank="1" showInputMessage="1" showErrorMessage="1" error="XLBVal:6=12422.8_x000d__x000a_" sqref="Z45">
      <formula1>0</formula1>
      <formula2>300</formula2>
    </dataValidation>
    <dataValidation type="textLength" errorStyle="information" allowBlank="1" showInputMessage="1" showErrorMessage="1" error="XLBVal:6=22759.43_x000d__x000a_" sqref="Z32">
      <formula1>0</formula1>
      <formula2>300</formula2>
    </dataValidation>
    <dataValidation type="textLength" errorStyle="information" allowBlank="1" showInputMessage="1" showErrorMessage="1" error="XLBVal:6=10833.33_x000d__x000a_" sqref="Z28:AA28">
      <formula1>0</formula1>
      <formula2>300</formula2>
    </dataValidation>
    <dataValidation type="textLength" errorStyle="information" allowBlank="1" showInputMessage="1" showErrorMessage="1" error="XLBVal:6=359.82_x000d__x000a_" sqref="AA26">
      <formula1>0</formula1>
      <formula2>300</formula2>
    </dataValidation>
    <dataValidation type="textLength" errorStyle="information" allowBlank="1" showInputMessage="1" showErrorMessage="1" error="XLBVal:6=2300_x000d__x000a_" sqref="Z26">
      <formula1>0</formula1>
      <formula2>300</formula2>
    </dataValidation>
    <dataValidation type="textLength" errorStyle="information" allowBlank="1" showInputMessage="1" showErrorMessage="1" error="XLBVal:6=3343.47_x000d__x000a_" sqref="AA25">
      <formula1>0</formula1>
      <formula2>300</formula2>
    </dataValidation>
    <dataValidation type="textLength" errorStyle="information" allowBlank="1" showInputMessage="1" showErrorMessage="1" error="XLBVal:6=9152.18_x000d__x000a_" sqref="Z25">
      <formula1>0</formula1>
      <formula2>300</formula2>
    </dataValidation>
    <dataValidation type="textLength" errorStyle="information" allowBlank="1" showInputMessage="1" showErrorMessage="1" error="XLBVal:6=2179.08_x000d__x000a_" sqref="AA24">
      <formula1>0</formula1>
      <formula2>300</formula2>
    </dataValidation>
    <dataValidation type="textLength" errorStyle="information" allowBlank="1" showInputMessage="1" showErrorMessage="1" error="XLBVal:6=1681.35_x000d__x000a_" sqref="Z24">
      <formula1>0</formula1>
      <formula2>300</formula2>
    </dataValidation>
    <dataValidation type="textLength" errorStyle="information" allowBlank="1" showInputMessage="1" showErrorMessage="1" error="XLBVal:6=96.73_x000d__x000a_" sqref="AA22">
      <formula1>0</formula1>
      <formula2>300</formula2>
    </dataValidation>
    <dataValidation type="textLength" errorStyle="information" allowBlank="1" showInputMessage="1" showErrorMessage="1" error="XLBVal:6=73.43_x000d__x000a_" sqref="Z22">
      <formula1>0</formula1>
      <formula2>300</formula2>
    </dataValidation>
    <dataValidation type="textLength" errorStyle="information" allowBlank="1" showInputMessage="1" showErrorMessage="1" error="XLBVal:6=119.47_x000d__x000a_" sqref="Z19">
      <formula1>0</formula1>
      <formula2>300</formula2>
    </dataValidation>
    <dataValidation type="textLength" errorStyle="information" allowBlank="1" showInputMessage="1" showErrorMessage="1" error="XLBVal:6=2698.61_x000d__x000a_" sqref="AA15">
      <formula1>0</formula1>
      <formula2>300</formula2>
    </dataValidation>
    <dataValidation type="textLength" errorStyle="information" allowBlank="1" showInputMessage="1" showErrorMessage="1" error="XLBVal:6=4393.01_x000d__x000a_" sqref="Z15">
      <formula1>0</formula1>
      <formula2>300</formula2>
    </dataValidation>
    <dataValidation type="textLength" errorStyle="information" allowBlank="1" showInputMessage="1" showErrorMessage="1" error="XLBVal:6=76107.52_x000d__x000a_" sqref="Y45">
      <formula1>0</formula1>
      <formula2>300</formula2>
    </dataValidation>
    <dataValidation type="textLength" errorStyle="information" allowBlank="1" showInputMessage="1" showErrorMessage="1" error="XLBVal:6=16336.53_x000d__x000a_" sqref="Y28">
      <formula1>0</formula1>
      <formula2>300</formula2>
    </dataValidation>
    <dataValidation type="textLength" errorStyle="information" allowBlank="1" showInputMessage="1" showErrorMessage="1" error="XLBVal:6=2608.47_x000d__x000a_" sqref="Y25">
      <formula1>0</formula1>
      <formula2>300</formula2>
    </dataValidation>
    <dataValidation type="textLength" errorStyle="information" allowBlank="1" showInputMessage="1" showErrorMessage="1" error="XLBVal:6=681.56_x000d__x000a_" sqref="Y24">
      <formula1>0</formula1>
      <formula2>300</formula2>
    </dataValidation>
    <dataValidation type="textLength" errorStyle="information" allowBlank="1" showInputMessage="1" showErrorMessage="1" error="XLBVal:6=13.19_x000d__x000a_" sqref="Y22">
      <formula1>0</formula1>
      <formula2>300</formula2>
    </dataValidation>
    <dataValidation type="textLength" errorStyle="information" allowBlank="1" showInputMessage="1" showErrorMessage="1" error="XLBVal:6=11503.54_x000d__x000a_" sqref="Y21">
      <formula1>0</formula1>
      <formula2>300</formula2>
    </dataValidation>
    <dataValidation type="textLength" errorStyle="information" allowBlank="1" showInputMessage="1" showErrorMessage="1" error="XLBVal:6=42617.88_x000d__x000a_" sqref="Y15">
      <formula1>0</formula1>
      <formula2>300</formula2>
    </dataValidation>
    <dataValidation type="textLength" errorStyle="information" allowBlank="1" showInputMessage="1" showErrorMessage="1" error="XLBVal:6=80034.09_x000d__x000a_" sqref="X45">
      <formula1>0</formula1>
      <formula2>300</formula2>
    </dataValidation>
    <dataValidation type="textLength" errorStyle="information" allowBlank="1" showInputMessage="1" showErrorMessage="1" error="XLBVal:6=3254.72_x000d__x000a_" sqref="X26">
      <formula1>0</formula1>
      <formula2>300</formula2>
    </dataValidation>
    <dataValidation type="textLength" errorStyle="information" allowBlank="1" showInputMessage="1" showErrorMessage="1" error="XLBVal:6=3141.06_x000d__x000a_" sqref="X25">
      <formula1>0</formula1>
      <formula2>300</formula2>
    </dataValidation>
    <dataValidation type="textLength" errorStyle="information" allowBlank="1" showInputMessage="1" showErrorMessage="1" error="XLBVal:6=675.02_x000d__x000a_" sqref="X24">
      <formula1>0</formula1>
      <formula2>300</formula2>
    </dataValidation>
    <dataValidation type="textLength" errorStyle="information" allowBlank="1" showInputMessage="1" showErrorMessage="1" error="XLBVal:6=57.4_x000d__x000a_" sqref="X22">
      <formula1>0</formula1>
      <formula2>300</formula2>
    </dataValidation>
    <dataValidation type="textLength" errorStyle="information" allowBlank="1" showInputMessage="1" showErrorMessage="1" error="XLBVal:6=7852.76_x000d__x000a_" sqref="X15">
      <formula1>0</formula1>
      <formula2>300</formula2>
    </dataValidation>
    <dataValidation type="textLength" errorStyle="information" allowBlank="1" showInputMessage="1" showErrorMessage="1" error="XLBVal:6=1458.06_x000d__x000a_" sqref="T58">
      <formula1>0</formula1>
      <formula2>300</formula2>
    </dataValidation>
    <dataValidation type="textLength" errorStyle="information" allowBlank="1" showInputMessage="1" showErrorMessage="1" error="XLBVal:6=15786.47_x000d__x000a_" sqref="W28">
      <formula1>0</formula1>
      <formula2>300</formula2>
    </dataValidation>
    <dataValidation type="textLength" errorStyle="information" allowBlank="1" showInputMessage="1" showErrorMessage="1" error="XLBVal:6=16336.47_x000d__x000a_" sqref="X28">
      <formula1>0</formula1>
      <formula2>300</formula2>
    </dataValidation>
    <dataValidation type="textLength" errorStyle="information" allowBlank="1" showInputMessage="1" showErrorMessage="1" error="XLBVal:6=-7837.75_x000d__x000a_" sqref="V26">
      <formula1>0</formula1>
      <formula2>300</formula2>
    </dataValidation>
    <dataValidation type="textLength" errorStyle="information" allowBlank="1" showInputMessage="1" showErrorMessage="1" error="XLBVal:6=637.16_x000d__x000a_" sqref="Q19:S19">
      <formula1>0</formula1>
      <formula2>300</formula2>
    </dataValidation>
    <dataValidation type="textLength" errorStyle="information" allowBlank="1" showInputMessage="1" showErrorMessage="1" error="XLBVal:6=420.35_x000d__x000a_" sqref="AA19:AB19">
      <formula1>0</formula1>
      <formula2>300</formula2>
    </dataValidation>
    <dataValidation type="textLength" errorStyle="information" allowBlank="1" showInputMessage="1" showErrorMessage="1" error="XLBVal:6=188.11_x000d__x000a_" sqref="V14 S14:T14">
      <formula1>0</formula1>
      <formula2>300</formula2>
    </dataValidation>
    <dataValidation type="textLength" errorStyle="information" allowBlank="1" showInputMessage="1" showErrorMessage="1" error="XLBVal:6=1490_x000d__x000a_" sqref="Q58:R58 U58">
      <formula1>0</formula1>
      <formula2>300</formula2>
    </dataValidation>
    <dataValidation type="textLength" errorStyle="information" allowBlank="1" showInputMessage="1" showErrorMessage="1" error="XLBVal:6=1500_x000d__x000a_" sqref="Q60:V60">
      <formula1>0</formula1>
      <formula2>300</formula2>
    </dataValidation>
    <dataValidation type="textLength" errorStyle="information" allowBlank="1" showInputMessage="1" showErrorMessage="1" error="XLBVal:6=79689.04_x000d__x000a_" sqref="W45">
      <formula1>0</formula1>
      <formula2>300</formula2>
    </dataValidation>
    <dataValidation type="textLength" errorStyle="information" allowBlank="1" showInputMessage="1" showErrorMessage="1" error="XLBVal:6=5692.39_x000d__x000a_" sqref="W25">
      <formula1>0</formula1>
      <formula2>300</formula2>
    </dataValidation>
    <dataValidation type="textLength" errorStyle="information" allowBlank="1" showInputMessage="1" showErrorMessage="1" error="XLBVal:6=740.1_x000d__x000a_" sqref="W24">
      <formula1>0</formula1>
      <formula2>300</formula2>
    </dataValidation>
    <dataValidation type="textLength" errorStyle="information" allowBlank="1" showInputMessage="1" showErrorMessage="1" error="XLBVal:6=66.13_x000d__x000a_" sqref="W22">
      <formula1>0</formula1>
      <formula2>300</formula2>
    </dataValidation>
    <dataValidation type="textLength" errorStyle="information" allowBlank="1" showInputMessage="1" showErrorMessage="1" error="XLBVal:6=3145.75_x000d__x000a_" sqref="W15">
      <formula1>0</formula1>
      <formula2>300</formula2>
    </dataValidation>
    <dataValidation type="textLength" errorStyle="information" allowBlank="1" showInputMessage="1" showErrorMessage="1" error="XLBVal:6=45719.91_x000d__x000a_" sqref="R57">
      <formula1>0</formula1>
      <formula2>300</formula2>
    </dataValidation>
    <dataValidation type="textLength" errorStyle="information" allowBlank="1" showInputMessage="1" showErrorMessage="1" error="XLBVal:6=178968.35_x000d__x000a_" sqref="E52:O53">
      <formula1>0</formula1>
      <formula2>300</formula2>
    </dataValidation>
    <dataValidation type="textLength" errorStyle="information" allowBlank="1" showInputMessage="1" showErrorMessage="1" error="XLBVal:6=68397.85_x000d__x000a_" sqref="D45:O45">
      <formula1>0</formula1>
      <formula2>300</formula2>
    </dataValidation>
    <dataValidation type="textLength" errorStyle="information" allowBlank="1" showInputMessage="1" showErrorMessage="1" error="XLBVal:6=6708.1_x000d__x000a_" sqref="D25:O25">
      <formula1>0</formula1>
      <formula2>300</formula2>
    </dataValidation>
    <dataValidation type="textLength" errorStyle="information" allowBlank="1" showInputMessage="1" showErrorMessage="1" error="XLBVal:6=1672.46_x000d__x000a_" sqref="D24:O24">
      <formula1>0</formula1>
      <formula2>300</formula2>
    </dataValidation>
    <dataValidation type="textLength" errorStyle="information" allowBlank="1" showInputMessage="1" showErrorMessage="1" error="XLBVal:6=130_x000d__x000a_" sqref="D20">
      <formula1>0</formula1>
      <formula2>300</formula2>
    </dataValidation>
    <dataValidation type="textLength" errorStyle="information" allowBlank="1" showInputMessage="1" showErrorMessage="1" error="XLBVal:6=36316.99_x000d__x000a_" sqref="D15:O15">
      <formula1>0</formula1>
      <formula2>300</formula2>
    </dataValidation>
    <dataValidation type="textLength" errorStyle="information" allowBlank="1" showInputMessage="1" showErrorMessage="1" error="XLBVal:6=460.18_x000d__x000a_" sqref="D19:O19">
      <formula1>0</formula1>
      <formula2>300</formula2>
    </dataValidation>
    <dataValidation type="textLength" errorStyle="information" allowBlank="1" showInputMessage="1" showErrorMessage="1" error="XLBVal:6=26586.11_x000d__x000a_" sqref="D28:O28">
      <formula1>0</formula1>
      <formula2>300</formula2>
    </dataValidation>
    <dataValidation type="textLength" errorStyle="information" allowBlank="1" showInputMessage="1" showErrorMessage="1" error="XLBVal:6=10949.25_x000d__x000a_" sqref="V76 T76">
      <formula1>0</formula1>
      <formula2>300</formula2>
    </dataValidation>
    <dataValidation type="textLength" errorStyle="information" allowBlank="1" showInputMessage="1" showErrorMessage="1" error="XLBVal:6=11015.25_x000d__x000a_" sqref="U76">
      <formula1>0</formula1>
      <formula2>300</formula2>
    </dataValidation>
    <dataValidation type="textLength" errorStyle="information" allowBlank="1" showInputMessage="1" showErrorMessage="1" error="XLBVal:6=465.41_x000d__x000a_" sqref="Q65:V65">
      <formula1>0</formula1>
      <formula2>300</formula2>
    </dataValidation>
    <dataValidation type="textLength" errorStyle="information" allowBlank="1" showInputMessage="1" showErrorMessage="1" error="XLBVal:6=1444.48_x000d__x000a_" sqref="S58">
      <formula1>0</formula1>
      <formula2>300</formula2>
    </dataValidation>
    <dataValidation type="textLength" errorStyle="information" allowBlank="1" showInputMessage="1" showErrorMessage="1" error="XLBVal:6=1590_x000d__x000a_" sqref="V58">
      <formula1>0</formula1>
      <formula2>300</formula2>
    </dataValidation>
    <dataValidation type="textLength" errorStyle="information" allowBlank="1" showInputMessage="1" showErrorMessage="1" error="XLBVal:6=1000_x000d__x000a_" sqref="D18:O18">
      <formula1>0</formula1>
      <formula2>300</formula2>
    </dataValidation>
    <dataValidation type="textLength" errorStyle="information" allowBlank="1" showInputMessage="1" showErrorMessage="1" error="XLBVal:6=917.33_x000d__x000a_" sqref="D14:O14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7468.22_x000d__x000a_" sqref="V79">
      <formula1>0</formula1>
      <formula2>300</formula2>
    </dataValidation>
    <dataValidation type="textLength" errorStyle="information" allowBlank="1" showInputMessage="1" showErrorMessage="1" error="XLBVal:6=7342.44_x000d__x000a_" sqref="U79">
      <formula1>0</formula1>
      <formula2>300</formula2>
    </dataValidation>
    <dataValidation type="textLength" errorStyle="information" allowBlank="1" showInputMessage="1" showErrorMessage="1" error="XLBVal:6=8847.44_x000d__x000a_" sqref="T79">
      <formula1>0</formula1>
      <formula2>300</formula2>
    </dataValidation>
    <dataValidation type="textLength" errorStyle="information" allowBlank="1" showInputMessage="1" showErrorMessage="1" error="XLBVal:6=9392.28_x000d__x000a_" sqref="S79">
      <formula1>0</formula1>
      <formula2>300</formula2>
    </dataValidation>
    <dataValidation type="textLength" errorStyle="information" allowBlank="1" showInputMessage="1" showErrorMessage="1" error="XLBVal:6=12731.12_x000d__x000a_" sqref="R79">
      <formula1>0</formula1>
      <formula2>300</formula2>
    </dataValidation>
    <dataValidation type="textLength" errorStyle="information" allowBlank="1" showInputMessage="1" showErrorMessage="1" error="XLBVal:6=7330.73_x000d__x000a_" sqref="Q79">
      <formula1>0</formula1>
      <formula2>300</formula2>
    </dataValidation>
    <dataValidation type="textLength" errorStyle="information" allowBlank="1" showInputMessage="1" showErrorMessage="1" error="XLBVal:6=1516.59_x000d__x000a_" sqref="V78">
      <formula1>0</formula1>
      <formula2>300</formula2>
    </dataValidation>
    <dataValidation type="textLength" errorStyle="information" allowBlank="1" showInputMessage="1" showErrorMessage="1" error="XLBVal:6=1516.73_x000d__x000a_" sqref="U78">
      <formula1>0</formula1>
      <formula2>300</formula2>
    </dataValidation>
    <dataValidation type="textLength" errorStyle="information" allowBlank="1" showInputMessage="1" showErrorMessage="1" error="XLBVal:6=1396.02_x000d__x000a_" sqref="T78">
      <formula1>0</formula1>
      <formula2>300</formula2>
    </dataValidation>
    <dataValidation type="textLength" errorStyle="information" allowBlank="1" showInputMessage="1" showErrorMessage="1" error="XLBVal:6=1213.11_x000d__x000a_" sqref="S78">
      <formula1>0</formula1>
      <formula2>300</formula2>
    </dataValidation>
    <dataValidation type="textLength" errorStyle="information" allowBlank="1" showInputMessage="1" showErrorMessage="1" error="XLBVal:6=1383.77_x000d__x000a_" sqref="R78">
      <formula1>0</formula1>
      <formula2>300</formula2>
    </dataValidation>
    <dataValidation type="textLength" errorStyle="information" allowBlank="1" showInputMessage="1" showErrorMessage="1" error="XLBVal:6=1085.54_x000d__x000a_" sqref="Q78">
      <formula1>0</formula1>
      <formula2>300</formula2>
    </dataValidation>
    <dataValidation type="textLength" errorStyle="information" allowBlank="1" showInputMessage="1" showErrorMessage="1" error="XLBVal:6=7318.56_x000d__x000a_" sqref="V77">
      <formula1>0</formula1>
      <formula2>300</formula2>
    </dataValidation>
    <dataValidation type="textLength" errorStyle="information" allowBlank="1" showInputMessage="1" showErrorMessage="1" error="XLBVal:6=7318.04_x000d__x000a_" sqref="U77">
      <formula1>0</formula1>
      <formula2>300</formula2>
    </dataValidation>
    <dataValidation type="textLength" errorStyle="information" allowBlank="1" showInputMessage="1" showErrorMessage="1" error="XLBVal:6=7314.06_x000d__x000a_" sqref="R77">
      <formula1>0</formula1>
      <formula2>300</formula2>
    </dataValidation>
    <dataValidation type="textLength" errorStyle="information" allowBlank="1" showInputMessage="1" showErrorMessage="1" error="XLBVal:6=7313.11_x000d__x000a_" sqref="Q77 S77:T77">
      <formula1>0</formula1>
      <formula2>300</formula2>
    </dataValidation>
    <dataValidation type="textLength" errorStyle="information" allowBlank="1" showInputMessage="1" showErrorMessage="1" error="XLBVal:6=10943.25_x000d__x000a_" sqref="R76">
      <formula1>0</formula1>
      <formula2>300</formula2>
    </dataValidation>
    <dataValidation type="textLength" errorStyle="information" allowBlank="1" showInputMessage="1" showErrorMessage="1" error="XLBVal:6=11143.25_x000d__x000a_" sqref="Q76">
      <formula1>0</formula1>
      <formula2>300</formula2>
    </dataValidation>
    <dataValidation type="textLength" errorStyle="information" allowBlank="1" showInputMessage="1" showErrorMessage="1" error="XLBVal:6=3650.12_x000d__x000a_" sqref="V69">
      <formula1>0</formula1>
      <formula2>300</formula2>
    </dataValidation>
    <dataValidation type="textLength" errorStyle="information" allowBlank="1" showInputMessage="1" showErrorMessage="1" error="XLBVal:6=3642.12_x000d__x000a_" sqref="U69">
      <formula1>0</formula1>
      <formula2>300</formula2>
    </dataValidation>
    <dataValidation type="textLength" errorStyle="information" allowBlank="1" showInputMessage="1" showErrorMessage="1" error="XLBVal:6=4159.51_x000d__x000a_" sqref="T69">
      <formula1>0</formula1>
      <formula2>300</formula2>
    </dataValidation>
    <dataValidation type="textLength" errorStyle="information" allowBlank="1" showInputMessage="1" showErrorMessage="1" error="XLBVal:6=9494.99_x000d__x000a_" sqref="S69">
      <formula1>0</formula1>
      <formula2>300</formula2>
    </dataValidation>
    <dataValidation type="textLength" errorStyle="information" allowBlank="1" showInputMessage="1" showErrorMessage="1" error="XLBVal:6=3672.46_x000d__x000a_" sqref="Q69:R69">
      <formula1>0</formula1>
      <formula2>300</formula2>
    </dataValidation>
    <dataValidation type="textLength" errorStyle="information" allowBlank="1" showInputMessage="1" showErrorMessage="1" error="XLBVal:6=4886_x000d__x000a_" sqref="Q68:V68">
      <formula1>0</formula1>
      <formula2>300</formula2>
    </dataValidation>
    <dataValidation type="textLength" errorStyle="information" allowBlank="1" showInputMessage="1" showErrorMessage="1" error="XLBVal:6=111.69_x000d__x000a_" sqref="Q66:V66">
      <formula1>0</formula1>
      <formula2>300</formula2>
    </dataValidation>
    <dataValidation type="textLength" errorStyle="information" allowBlank="1" showInputMessage="1" showErrorMessage="1" error="XLBVal:6=7911.83_x000d__x000a_" sqref="Q64:V64">
      <formula1>0</formula1>
      <formula2>300</formula2>
    </dataValidation>
    <dataValidation type="textLength" errorStyle="information" allowBlank="1" showInputMessage="1" showErrorMessage="1" error="XLBVal:6=0_x000d__x000a_" sqref="E20 T18">
      <formula1>0</formula1>
      <formula2>300</formula2>
    </dataValidation>
    <dataValidation type="textLength" errorStyle="information" allowBlank="1" showInputMessage="1" showErrorMessage="1" error="XLBVal:6=14892.85_x000d__x000a_" sqref="Q63:V63">
      <formula1>0</formula1>
      <formula2>300</formula2>
    </dataValidation>
    <dataValidation type="textLength" errorStyle="information" allowBlank="1" showInputMessage="1" showErrorMessage="1" error="XLBVal:6=24788_x000d__x000a_" sqref="U45">
      <formula1>0</formula1>
      <formula2>300</formula2>
    </dataValidation>
    <dataValidation type="textLength" errorStyle="information" allowBlank="1" showInputMessage="1" showErrorMessage="1" error="XLBVal:6=90000_x000d__x000a_" sqref="R45">
      <formula1>0</formula1>
      <formula2>300</formula2>
    </dataValidation>
    <dataValidation type="textLength" errorStyle="information" allowBlank="1" showInputMessage="1" showErrorMessage="1" error="XLBVal:6=3891.51_x000d__x000a_" sqref="AA32:AB32 W32:Y32">
      <formula1>0</formula1>
      <formula2>300</formula2>
    </dataValidation>
    <dataValidation type="textLength" errorStyle="information" allowBlank="1" showInputMessage="1" showErrorMessage="1" error="XLBVal:6=112500_x000d__x000a_" sqref="S28">
      <formula1>0</formula1>
      <formula2>300</formula2>
    </dataValidation>
    <dataValidation type="textLength" errorStyle="information" allowBlank="1" showInputMessage="1" showErrorMessage="1" error="XLBVal:6=7322.95_x000d__x000a_" sqref="V25">
      <formula1>0</formula1>
      <formula2>300</formula2>
    </dataValidation>
    <dataValidation type="textLength" errorStyle="information" allowBlank="1" showInputMessage="1" showErrorMessage="1" error="XLBVal:6=8974.14_x000d__x000a_" sqref="U25">
      <formula1>0</formula1>
      <formula2>300</formula2>
    </dataValidation>
    <dataValidation type="textLength" errorStyle="information" allowBlank="1" showInputMessage="1" showErrorMessage="1" error="XLBVal:6=5878.19_x000d__x000a_" sqref="T25">
      <formula1>0</formula1>
      <formula2>300</formula2>
    </dataValidation>
    <dataValidation type="textLength" errorStyle="information" allowBlank="1" showInputMessage="1" showErrorMessage="1" error="XLBVal:6=11907.51_x000d__x000a_" sqref="S25">
      <formula1>0</formula1>
      <formula2>300</formula2>
    </dataValidation>
    <dataValidation type="textLength" errorStyle="information" allowBlank="1" showInputMessage="1" showErrorMessage="1" error="XLBVal:6=6070.57_x000d__x000a_" sqref="R25">
      <formula1>0</formula1>
      <formula2>300</formula2>
    </dataValidation>
    <dataValidation type="textLength" errorStyle="information" allowBlank="1" showInputMessage="1" showErrorMessage="1" error="XLBVal:6=7292.9_x000d__x000a_" sqref="Q25">
      <formula1>0</formula1>
      <formula2>300</formula2>
    </dataValidation>
    <dataValidation type="textLength" errorStyle="information" allowBlank="1" showInputMessage="1" showErrorMessage="1" error="XLBVal:6=1996.62_x000d__x000a_" sqref="V24">
      <formula1>0</formula1>
      <formula2>300</formula2>
    </dataValidation>
    <dataValidation type="textLength" errorStyle="information" allowBlank="1" showInputMessage="1" showErrorMessage="1" error="XLBVal:6=1989.34_x000d__x000a_" sqref="U24">
      <formula1>0</formula1>
      <formula2>300</formula2>
    </dataValidation>
    <dataValidation type="textLength" errorStyle="information" allowBlank="1" showInputMessage="1" showErrorMessage="1" error="XLBVal:6=1989.08_x000d__x000a_" sqref="T24">
      <formula1>0</formula1>
      <formula2>300</formula2>
    </dataValidation>
    <dataValidation type="textLength" errorStyle="information" allowBlank="1" showInputMessage="1" showErrorMessage="1" error="XLBVal:6=1897.4_x000d__x000a_" sqref="S24">
      <formula1>0</formula1>
      <formula2>300</formula2>
    </dataValidation>
    <dataValidation type="textLength" errorStyle="information" allowBlank="1" showInputMessage="1" showErrorMessage="1" error="XLBVal:6=1942.71_x000d__x000a_" sqref="R24">
      <formula1>0</formula1>
      <formula2>300</formula2>
    </dataValidation>
    <dataValidation type="textLength" errorStyle="information" allowBlank="1" showInputMessage="1" showErrorMessage="1" error="XLBVal:6=1516.13_x000d__x000a_" sqref="Q24">
      <formula1>0</formula1>
      <formula2>300</formula2>
    </dataValidation>
    <dataValidation type="textLength" errorStyle="information" allowBlank="1" showInputMessage="1" showErrorMessage="1" error="XLBVal:6=90.32_x000d__x000a_" sqref="V22">
      <formula1>0</formula1>
      <formula2>300</formula2>
    </dataValidation>
    <dataValidation type="textLength" errorStyle="information" allowBlank="1" showInputMessage="1" showErrorMessage="1" error="XLBVal:6=40.31_x000d__x000a_" sqref="U22">
      <formula1>0</formula1>
      <formula2>300</formula2>
    </dataValidation>
    <dataValidation type="textLength" errorStyle="information" allowBlank="1" showInputMessage="1" showErrorMessage="1" error="XLBVal:6=80.82_x000d__x000a_" sqref="T22">
      <formula1>0</formula1>
      <formula2>300</formula2>
    </dataValidation>
    <dataValidation type="textLength" errorStyle="information" allowBlank="1" showInputMessage="1" showErrorMessage="1" error="XLBVal:6=107.2_x000d__x000a_" sqref="S22">
      <formula1>0</formula1>
      <formula2>300</formula2>
    </dataValidation>
    <dataValidation type="textLength" errorStyle="information" allowBlank="1" showInputMessage="1" showErrorMessage="1" error="XLBVal:6=292.03_x000d__x000a_" sqref="R22">
      <formula1>0</formula1>
      <formula2>300</formula2>
    </dataValidation>
    <dataValidation type="textLength" errorStyle="information" allowBlank="1" showInputMessage="1" showErrorMessage="1" error="XLBVal:6=256.81_x000d__x000a_" sqref="Q22">
      <formula1>0</formula1>
      <formula2>300</formula2>
    </dataValidation>
    <dataValidation type="textLength" errorStyle="information" allowBlank="1" showInputMessage="1" showErrorMessage="1" error="XLBVal:6=23_x000d__x000a_" sqref="F20 Y20">
      <formula1>0</formula1>
      <formula2>300</formula2>
    </dataValidation>
    <dataValidation type="textLength" errorStyle="information" allowBlank="1" showInputMessage="1" showErrorMessage="1" error="XLBVal:6=659.29_x000d__x000a_" sqref="W19">
      <formula1>0</formula1>
      <formula2>300</formula2>
    </dataValidation>
    <dataValidation type="textLength" errorStyle="information" allowBlank="1" showInputMessage="1" showErrorMessage="1" error="XLBVal:6=530.97_x000d__x000a_" sqref="U19:V19">
      <formula1>0</formula1>
      <formula2>300</formula2>
    </dataValidation>
    <dataValidation type="textLength" errorStyle="information" allowBlank="1" showInputMessage="1" showErrorMessage="1" error="XLBVal:6=2484.14_x000d__x000a_" sqref="V15">
      <formula1>0</formula1>
      <formula2>300</formula2>
    </dataValidation>
    <dataValidation type="textLength" errorStyle="information" allowBlank="1" showInputMessage="1" showErrorMessage="1" error="XLBVal:6=4604.01_x000d__x000a_" sqref="U15">
      <formula1>0</formula1>
      <formula2>300</formula2>
    </dataValidation>
    <dataValidation type="textLength" errorStyle="information" allowBlank="1" showInputMessage="1" showErrorMessage="1" error="XLBVal:6=3178.59_x000d__x000a_" sqref="T15">
      <formula1>0</formula1>
      <formula2>300</formula2>
    </dataValidation>
    <dataValidation type="textLength" errorStyle="information" allowBlank="1" showInputMessage="1" showErrorMessage="1" error="XLBVal:6=3171.13_x000d__x000a_" sqref="S15">
      <formula1>0</formula1>
      <formula2>300</formula2>
    </dataValidation>
    <dataValidation type="textLength" errorStyle="information" allowBlank="1" showInputMessage="1" showErrorMessage="1" error="XLBVal:6=3403.97_x000d__x000a_" sqref="R15">
      <formula1>0</formula1>
      <formula2>300</formula2>
    </dataValidation>
    <dataValidation type="textLength" errorStyle="information" allowBlank="1" showInputMessage="1" showErrorMessage="1" error="XLBVal:6=6701.92_x000d__x000a_" sqref="Q15">
      <formula1>0</formula1>
      <formula2>300</formula2>
    </dataValidation>
    <dataValidation type="textLength" errorStyle="information" allowBlank="1" showInputMessage="1" showErrorMessage="1" error="XLBVal:6=1079.33_x000d__x000a_" sqref="W14:AA14">
      <formula1>0</formula1>
      <formula2>300</formula2>
    </dataValidation>
    <dataValidation type="textLength" errorStyle="information" allowBlank="1" showInputMessage="1" showErrorMessage="1" error="XLBVal:6=6_x000d__x000a_" sqref="Q85:V85">
      <formula1>0</formula1>
      <formula2>300</formula2>
    </dataValidation>
    <dataValidation type="textLength" errorStyle="information" allowBlank="1" showInputMessage="1" showErrorMessage="1" error="XLBVal:6=178000_x000d__x000a_" sqref="Q52:V52">
      <formula1>0</formula1>
      <formula2>300</formula2>
    </dataValidation>
    <dataValidation type="textLength" errorStyle="information" allowBlank="1" showInputMessage="1" showErrorMessage="1" error="XLBVal:6=4716.98_x000d__x000a_" sqref="V32 R32:T32 D32:O32">
      <formula1>0</formula1>
      <formula2>300</formula2>
    </dataValidation>
    <dataValidation type="textLength" errorStyle="information" allowBlank="1" showInputMessage="1" showErrorMessage="1" error="XLBVal:6=1517.25_x000d__x000a_" sqref="Q56:R56">
      <formula1>0</formula1>
      <formula2>300</formula2>
    </dataValidation>
    <dataValidation type="textLength" errorStyle="information" allowBlank="1" showInputMessage="1" showErrorMessage="1" error="XLBVal:6=622_x000d__x000a_" sqref="AA18:AB18 W18">
      <formula1>0</formula1>
      <formula2>300</formula2>
    </dataValidation>
    <dataValidation type="textLength" errorStyle="information" allowBlank="1" showInputMessage="1" showErrorMessage="1" error="XLBVal:6=1132415.79_x000d__x000a_" sqref="D80:I81 Q80:V81">
      <formula1>0</formula1>
      <formula2>300</formula2>
    </dataValidation>
    <dataValidation type="textLength" errorStyle="information" allowBlank="1" showInputMessage="1" showErrorMessage="1" error="XLBVal:2=0_x000d__x000a_" sqref="G20:I20 Q33:AB44 D29:I31 Q59:AB59 D16:I17 D23:I23 D27:I27 D33:I44 D21:O21 Q28:R28 D26:O26 X18:Y19 AB21 W26 D13:I13 AB26 Q20:Q21 Q16:AB17 Y26 AA31:AB31 Q12:AB13 W20:X21 W60:AB60 W52:AB53 Q27:AB27 Q23:AB23 AB30 AA29:AB29 Z18 Z20:AA21 W57:AB58 Q67:AB67 W63:AB66 W68:AB70 W73:AB81 W85:AB85 Q29:Z31 R21:U21 R20:V20 Q14 S56:AB56 U18:V18 V45 S45:T45 Q45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I93"/>
  <sheetViews>
    <sheetView view="pageBreakPreview" zoomScaleNormal="100" zoomScaleSheetLayoutView="100" workbookViewId="0">
      <pane xSplit="4" ySplit="7" topLeftCell="L23" activePane="bottomRight" state="frozen"/>
      <selection activeCell="AP43" sqref="AP43"/>
      <selection pane="topRight" activeCell="AP43" sqref="AP43"/>
      <selection pane="bottomLeft" activeCell="AP43" sqref="AP43"/>
      <selection pane="bottomRight" activeCell="P36" sqref="P36"/>
    </sheetView>
  </sheetViews>
  <sheetFormatPr defaultColWidth="9" defaultRowHeight="14.25" outlineLevelCol="2"/>
  <cols>
    <col min="1" max="2" width="9" style="105" hidden="1" customWidth="1" outlineLevel="1"/>
    <col min="3" max="3" width="51" style="105" customWidth="1" collapsed="1"/>
    <col min="4" max="4" width="14.5" style="105" customWidth="1"/>
    <col min="5" max="15" width="15.875" style="105" bestFit="1" customWidth="1"/>
    <col min="16" max="16" width="18.375" style="224" bestFit="1" customWidth="1"/>
    <col min="17" max="23" width="18.25" style="105" hidden="1" customWidth="1" outlineLevel="1"/>
    <col min="24" max="28" width="15.75" style="105" hidden="1" customWidth="1" outlineLevel="2"/>
    <col min="29" max="29" width="17" style="228" customWidth="1" collapsed="1"/>
    <col min="30" max="30" width="15.75" style="105" customWidth="1"/>
    <col min="31" max="31" width="10.5" style="192" customWidth="1"/>
    <col min="32" max="32" width="18.25" style="224" hidden="1" customWidth="1"/>
    <col min="33" max="33" width="18.375" style="105" hidden="1" customWidth="1"/>
    <col min="34" max="34" width="13.75" style="105" bestFit="1" customWidth="1"/>
    <col min="35" max="35" width="16" style="105" bestFit="1" customWidth="1"/>
    <col min="36" max="16384" width="9" style="105"/>
  </cols>
  <sheetData>
    <row r="1" spans="1:34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297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98"/>
      <c r="AE1" s="186"/>
      <c r="AF1" s="297"/>
    </row>
    <row r="2" spans="1:34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297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98"/>
      <c r="AE2" s="186"/>
      <c r="AF2" s="297"/>
    </row>
    <row r="3" spans="1:34">
      <c r="C3" s="299" t="s">
        <v>889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300"/>
      <c r="AE3" s="279"/>
    </row>
    <row r="4" spans="1:34" s="100" customFormat="1" ht="18">
      <c r="C4" s="18">
        <f>+'2025 Summay'!$D$7</f>
        <v>2025</v>
      </c>
      <c r="P4" s="297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298"/>
      <c r="AE4" s="186"/>
      <c r="AF4" s="297"/>
    </row>
    <row r="5" spans="1:34" s="100" customFormat="1">
      <c r="C5" s="100" t="s">
        <v>154</v>
      </c>
      <c r="P5" s="297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298"/>
      <c r="AE5" s="186"/>
      <c r="AF5" s="297"/>
    </row>
    <row r="6" spans="1:34" s="100" customFormat="1">
      <c r="C6" s="100" t="s">
        <v>154</v>
      </c>
      <c r="D6" s="100">
        <f>'A&amp;G'!D6</f>
        <v>1</v>
      </c>
      <c r="E6" s="100">
        <f>'A&amp;G'!E6</f>
        <v>2</v>
      </c>
      <c r="F6" s="100">
        <f>'A&amp;G'!F6</f>
        <v>3</v>
      </c>
      <c r="G6" s="100">
        <f>'A&amp;G'!G6</f>
        <v>4</v>
      </c>
      <c r="H6" s="100">
        <f>'A&amp;G'!H6</f>
        <v>5</v>
      </c>
      <c r="I6" s="100">
        <f>'A&amp;G'!I6</f>
        <v>6</v>
      </c>
      <c r="J6" s="100">
        <f>'A&amp;G'!J6</f>
        <v>7</v>
      </c>
      <c r="K6" s="100">
        <f>'A&amp;G'!K6</f>
        <v>8</v>
      </c>
      <c r="L6" s="100">
        <f>'A&amp;G'!L6</f>
        <v>9</v>
      </c>
      <c r="M6" s="100">
        <f>'A&amp;G'!M6</f>
        <v>10</v>
      </c>
      <c r="N6" s="100">
        <f>'A&amp;G'!N6</f>
        <v>11</v>
      </c>
      <c r="O6" s="100">
        <f>'A&amp;G'!O6</f>
        <v>12</v>
      </c>
      <c r="P6" s="301">
        <f>'A&amp;G'!P6</f>
        <v>2025</v>
      </c>
      <c r="Q6" s="114">
        <f>'A&amp;G'!Q6</f>
        <v>202401</v>
      </c>
      <c r="R6" s="114">
        <f>'A&amp;G'!R6</f>
        <v>202402</v>
      </c>
      <c r="S6" s="114">
        <f>'A&amp;G'!S6</f>
        <v>202403</v>
      </c>
      <c r="T6" s="114">
        <f>'A&amp;G'!T6</f>
        <v>202404</v>
      </c>
      <c r="U6" s="114">
        <f>'A&amp;G'!U6</f>
        <v>202405</v>
      </c>
      <c r="V6" s="114">
        <f>'A&amp;G'!V6</f>
        <v>202406</v>
      </c>
      <c r="W6" s="114">
        <f>'A&amp;G'!W6</f>
        <v>202407</v>
      </c>
      <c r="X6" s="114">
        <f>'A&amp;G'!X6</f>
        <v>202408</v>
      </c>
      <c r="Y6" s="114">
        <f>'A&amp;G'!Y6</f>
        <v>202409</v>
      </c>
      <c r="Z6" s="114">
        <f>'A&amp;G'!Z6</f>
        <v>202410</v>
      </c>
      <c r="AA6" s="114">
        <f>'A&amp;G'!AA6</f>
        <v>202411</v>
      </c>
      <c r="AB6" s="114">
        <f>'A&amp;G'!AB6</f>
        <v>202412</v>
      </c>
      <c r="AC6" s="115">
        <f>'A&amp;G'!AC6</f>
        <v>2024</v>
      </c>
      <c r="AD6" s="188" t="s">
        <v>6</v>
      </c>
      <c r="AE6" s="177" t="s">
        <v>156</v>
      </c>
      <c r="AF6" s="298">
        <v>2019</v>
      </c>
    </row>
    <row r="7" spans="1:34">
      <c r="C7" s="105" t="s">
        <v>154</v>
      </c>
      <c r="D7" s="105" t="str">
        <f>'A&amp;G'!D7</f>
        <v>Budget</v>
      </c>
      <c r="E7" s="105" t="str">
        <f>'A&amp;G'!E7</f>
        <v>Budget</v>
      </c>
      <c r="F7" s="105" t="str">
        <f>'A&amp;G'!F7</f>
        <v>Budget</v>
      </c>
      <c r="G7" s="105" t="str">
        <f>'A&amp;G'!G7</f>
        <v>Budget</v>
      </c>
      <c r="H7" s="105" t="str">
        <f>'A&amp;G'!H7</f>
        <v>Budget</v>
      </c>
      <c r="I7" s="105" t="str">
        <f>'A&amp;G'!I7</f>
        <v>Budget</v>
      </c>
      <c r="J7" s="105" t="str">
        <f>'A&amp;G'!J7</f>
        <v>Budget</v>
      </c>
      <c r="K7" s="105" t="str">
        <f>'A&amp;G'!K7</f>
        <v>Budget</v>
      </c>
      <c r="L7" s="105" t="str">
        <f>'A&amp;G'!L7</f>
        <v>Budget</v>
      </c>
      <c r="M7" s="105" t="str">
        <f>'A&amp;G'!M7</f>
        <v>Budget</v>
      </c>
      <c r="N7" s="105" t="str">
        <f>'A&amp;G'!N7</f>
        <v>Budget</v>
      </c>
      <c r="O7" s="105" t="str">
        <f>'A&amp;G'!O7</f>
        <v>Budget</v>
      </c>
      <c r="P7" s="224" t="str">
        <f>'A&amp;G'!P7</f>
        <v>Budget</v>
      </c>
      <c r="Q7" s="244" t="str">
        <f>'A&amp;G'!Q7</f>
        <v>Actual</v>
      </c>
      <c r="R7" s="244" t="str">
        <f>'A&amp;G'!R7</f>
        <v>Actual</v>
      </c>
      <c r="S7" s="244" t="str">
        <f>'A&amp;G'!S7</f>
        <v>Actual</v>
      </c>
      <c r="T7" s="244" t="str">
        <f>'A&amp;G'!T7</f>
        <v>Actual</v>
      </c>
      <c r="U7" s="244" t="str">
        <f>'A&amp;G'!U7</f>
        <v>Actual</v>
      </c>
      <c r="V7" s="244" t="str">
        <f>'A&amp;G'!V7</f>
        <v>Actual</v>
      </c>
      <c r="W7" s="244" t="str">
        <f>'A&amp;G'!W7</f>
        <v>Actual</v>
      </c>
      <c r="X7" s="244" t="str">
        <f>'A&amp;G'!X7</f>
        <v>Actual</v>
      </c>
      <c r="Y7" s="244" t="str">
        <f>'A&amp;G'!Y7</f>
        <v>Forecast</v>
      </c>
      <c r="Z7" s="244" t="str">
        <f>'A&amp;G'!Z7</f>
        <v>Forecast</v>
      </c>
      <c r="AA7" s="244" t="str">
        <f>'A&amp;G'!AA7</f>
        <v>Forecast</v>
      </c>
      <c r="AB7" s="244" t="str">
        <f>'A&amp;G'!AB7</f>
        <v>Forecast</v>
      </c>
      <c r="AC7" s="245" t="str">
        <f>'A&amp;G'!AC7</f>
        <v>Forecast</v>
      </c>
      <c r="AD7" s="189"/>
      <c r="AE7" s="132"/>
      <c r="AF7" s="228" t="s">
        <v>12</v>
      </c>
    </row>
    <row r="8" spans="1:34">
      <c r="C8" s="105" t="s">
        <v>154</v>
      </c>
      <c r="L8" s="105" t="s">
        <v>831</v>
      </c>
      <c r="M8" s="105" t="s">
        <v>831</v>
      </c>
      <c r="O8" s="105" t="s">
        <v>831</v>
      </c>
      <c r="P8" s="224" t="s">
        <v>831</v>
      </c>
      <c r="AF8" s="228"/>
    </row>
    <row r="9" spans="1:34">
      <c r="A9" s="105" t="s">
        <v>832</v>
      </c>
      <c r="B9" s="105" t="s">
        <v>890</v>
      </c>
      <c r="C9" s="109" t="s">
        <v>175</v>
      </c>
      <c r="D9" s="129">
        <f t="shared" ref="D9:O9" si="0">D83</f>
        <v>483325.66000000003</v>
      </c>
      <c r="E9" s="129">
        <f t="shared" si="0"/>
        <v>469239.76</v>
      </c>
      <c r="F9" s="129">
        <f t="shared" si="0"/>
        <v>469385.26</v>
      </c>
      <c r="G9" s="129">
        <f t="shared" si="0"/>
        <v>480892.43</v>
      </c>
      <c r="H9" s="129">
        <f t="shared" si="0"/>
        <v>484423.28</v>
      </c>
      <c r="I9" s="129">
        <f t="shared" si="0"/>
        <v>479678.48</v>
      </c>
      <c r="J9" s="129">
        <f t="shared" si="0"/>
        <v>482070.24</v>
      </c>
      <c r="K9" s="129">
        <f t="shared" si="0"/>
        <v>481519.93</v>
      </c>
      <c r="L9" s="129">
        <f t="shared" si="0"/>
        <v>481721.93</v>
      </c>
      <c r="M9" s="129">
        <f t="shared" si="0"/>
        <v>493804.39</v>
      </c>
      <c r="N9" s="129">
        <f t="shared" si="0"/>
        <v>481588.12</v>
      </c>
      <c r="O9" s="129">
        <f t="shared" si="0"/>
        <v>480793.81</v>
      </c>
      <c r="P9" s="228">
        <f>SUM(D9:O9)</f>
        <v>5768443.29</v>
      </c>
      <c r="Q9" s="142">
        <f t="shared" ref="Q9:AB9" si="1">Q83</f>
        <v>496925.48</v>
      </c>
      <c r="R9" s="142">
        <f t="shared" si="1"/>
        <v>515631.43000000005</v>
      </c>
      <c r="S9" s="142">
        <f t="shared" si="1"/>
        <v>518045.20999999996</v>
      </c>
      <c r="T9" s="142">
        <f t="shared" si="1"/>
        <v>489466.79000000004</v>
      </c>
      <c r="U9" s="142">
        <f t="shared" si="1"/>
        <v>470644.92</v>
      </c>
      <c r="V9" s="142">
        <f t="shared" si="1"/>
        <v>473667.06</v>
      </c>
      <c r="W9" s="142">
        <f t="shared" si="1"/>
        <v>450409.06</v>
      </c>
      <c r="X9" s="142">
        <f t="shared" si="1"/>
        <v>458563.92000000004</v>
      </c>
      <c r="Y9" s="142">
        <f t="shared" si="1"/>
        <v>475752</v>
      </c>
      <c r="Z9" s="142">
        <f t="shared" si="1"/>
        <v>481144</v>
      </c>
      <c r="AA9" s="142">
        <f t="shared" si="1"/>
        <v>474392</v>
      </c>
      <c r="AB9" s="142">
        <f t="shared" si="1"/>
        <v>474613.01</v>
      </c>
      <c r="AC9" s="302">
        <f>SUM(Q9:AB9)</f>
        <v>5779254.8799999999</v>
      </c>
      <c r="AD9" s="142">
        <f>AC9-P9</f>
        <v>10811.589999999851</v>
      </c>
      <c r="AE9" s="132">
        <f>AD9/AC9</f>
        <v>1.8707584670499687E-3</v>
      </c>
      <c r="AF9" s="228">
        <v>4857959.3599999994</v>
      </c>
      <c r="AG9" s="123">
        <f t="shared" ref="AG9:AG72" si="2">AF9-P9</f>
        <v>-910483.93000000063</v>
      </c>
    </row>
    <row r="10" spans="1:34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 t="s">
        <v>831</v>
      </c>
      <c r="M10" s="124" t="s">
        <v>831</v>
      </c>
      <c r="N10" s="124"/>
      <c r="O10" s="124" t="s">
        <v>831</v>
      </c>
      <c r="P10" s="228" t="s">
        <v>831</v>
      </c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302"/>
      <c r="AD10" s="141"/>
      <c r="AF10" s="228"/>
      <c r="AG10" s="123" t="e">
        <f t="shared" si="2"/>
        <v>#VALUE!</v>
      </c>
    </row>
    <row r="11" spans="1:34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228" t="s">
        <v>831</v>
      </c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302"/>
      <c r="AD11" s="141"/>
      <c r="AF11" s="228"/>
      <c r="AG11" s="123" t="e">
        <f t="shared" si="2"/>
        <v>#VALUE!</v>
      </c>
    </row>
    <row r="12" spans="1:34">
      <c r="A12" s="105" t="s">
        <v>687</v>
      </c>
      <c r="B12" s="105" t="s">
        <v>890</v>
      </c>
      <c r="C12" s="105" t="s">
        <v>144</v>
      </c>
      <c r="D12" s="212">
        <f>+D90+D91+D92</f>
        <v>0</v>
      </c>
      <c r="E12" s="212">
        <f t="shared" ref="E12:O12" si="3">+E90+E91+E92</f>
        <v>0</v>
      </c>
      <c r="F12" s="212">
        <f t="shared" si="3"/>
        <v>0</v>
      </c>
      <c r="G12" s="212">
        <f t="shared" si="3"/>
        <v>0</v>
      </c>
      <c r="H12" s="212">
        <f t="shared" si="3"/>
        <v>0</v>
      </c>
      <c r="I12" s="212">
        <f t="shared" si="3"/>
        <v>0</v>
      </c>
      <c r="J12" s="212">
        <f t="shared" si="3"/>
        <v>0</v>
      </c>
      <c r="K12" s="212">
        <f t="shared" si="3"/>
        <v>0</v>
      </c>
      <c r="L12" s="212">
        <f t="shared" si="3"/>
        <v>0</v>
      </c>
      <c r="M12" s="212">
        <f t="shared" si="3"/>
        <v>0</v>
      </c>
      <c r="N12" s="212">
        <f t="shared" si="3"/>
        <v>0</v>
      </c>
      <c r="O12" s="212">
        <f t="shared" si="3"/>
        <v>0</v>
      </c>
      <c r="P12" s="228">
        <f>SUM(D12:O12)</f>
        <v>0</v>
      </c>
      <c r="Q12" s="141">
        <v>0</v>
      </c>
      <c r="R12" s="141">
        <v>0</v>
      </c>
      <c r="S12" s="141">
        <v>0</v>
      </c>
      <c r="T12" s="141">
        <v>0</v>
      </c>
      <c r="U12" s="141">
        <v>0</v>
      </c>
      <c r="V12" s="141">
        <v>0</v>
      </c>
      <c r="W12" s="141">
        <v>0</v>
      </c>
      <c r="X12" s="141">
        <v>0</v>
      </c>
      <c r="Y12" s="141">
        <v>0</v>
      </c>
      <c r="Z12" s="141">
        <v>0</v>
      </c>
      <c r="AA12" s="141">
        <v>0</v>
      </c>
      <c r="AB12" s="141">
        <v>0</v>
      </c>
      <c r="AC12" s="302">
        <f t="shared" ref="AC12:AC45" si="4">SUM(Q12:AB12)</f>
        <v>0</v>
      </c>
      <c r="AD12" s="141">
        <f t="shared" ref="AD12:AD47" si="5">AC12-P12</f>
        <v>0</v>
      </c>
      <c r="AE12" s="192" t="e">
        <f t="shared" ref="AE12:AE47" si="6">AD12/AC12</f>
        <v>#DIV/0!</v>
      </c>
      <c r="AF12" s="228">
        <v>4297.8500000000004</v>
      </c>
      <c r="AG12" s="123">
        <f t="shared" si="2"/>
        <v>4297.8500000000004</v>
      </c>
      <c r="AH12" s="124"/>
    </row>
    <row r="13" spans="1:34">
      <c r="A13" s="105">
        <v>60010060</v>
      </c>
      <c r="B13" s="105" t="s">
        <v>890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228">
        <f t="shared" ref="P13:P45" si="7">SUM(D13:O13)</f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302">
        <f t="shared" si="4"/>
        <v>0</v>
      </c>
      <c r="AD13" s="141"/>
      <c r="AF13" s="228">
        <v>0</v>
      </c>
      <c r="AG13" s="123">
        <f t="shared" si="2"/>
        <v>0</v>
      </c>
      <c r="AH13" s="124"/>
    </row>
    <row r="14" spans="1:34">
      <c r="A14" s="105" t="s">
        <v>834</v>
      </c>
      <c r="B14" s="105" t="s">
        <v>890</v>
      </c>
      <c r="C14" s="105" t="s">
        <v>431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228">
        <f t="shared" si="7"/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302">
        <f t="shared" si="4"/>
        <v>0</v>
      </c>
      <c r="AD14" s="141">
        <f t="shared" si="5"/>
        <v>0</v>
      </c>
      <c r="AE14" s="192" t="e">
        <f t="shared" si="6"/>
        <v>#DIV/0!</v>
      </c>
      <c r="AF14" s="228">
        <v>0</v>
      </c>
      <c r="AG14" s="123">
        <f t="shared" si="2"/>
        <v>0</v>
      </c>
      <c r="AH14" s="124"/>
    </row>
    <row r="15" spans="1:34">
      <c r="A15" s="105" t="s">
        <v>688</v>
      </c>
      <c r="B15" s="105" t="s">
        <v>890</v>
      </c>
      <c r="C15" s="105" t="s">
        <v>184</v>
      </c>
      <c r="D15" s="124">
        <v>500</v>
      </c>
      <c r="E15" s="124">
        <v>500</v>
      </c>
      <c r="F15" s="124">
        <v>500</v>
      </c>
      <c r="G15" s="124">
        <v>500</v>
      </c>
      <c r="H15" s="124">
        <v>500</v>
      </c>
      <c r="I15" s="124">
        <v>500</v>
      </c>
      <c r="J15" s="124">
        <v>500</v>
      </c>
      <c r="K15" s="124">
        <v>500</v>
      </c>
      <c r="L15" s="124">
        <v>500</v>
      </c>
      <c r="M15" s="124">
        <v>500</v>
      </c>
      <c r="N15" s="124">
        <v>500</v>
      </c>
      <c r="O15" s="124">
        <v>500</v>
      </c>
      <c r="P15" s="228">
        <f t="shared" si="7"/>
        <v>6000</v>
      </c>
      <c r="Q15" s="141">
        <v>0</v>
      </c>
      <c r="R15" s="141">
        <v>0</v>
      </c>
      <c r="S15" s="141">
        <v>0</v>
      </c>
      <c r="T15" s="141">
        <v>1682</v>
      </c>
      <c r="U15" s="141">
        <v>0</v>
      </c>
      <c r="V15" s="141">
        <v>0</v>
      </c>
      <c r="W15" s="141">
        <v>1198.78</v>
      </c>
      <c r="X15" s="141">
        <v>0</v>
      </c>
      <c r="Y15" s="141">
        <v>1000</v>
      </c>
      <c r="Z15" s="141">
        <v>5000</v>
      </c>
      <c r="AA15" s="141">
        <v>500</v>
      </c>
      <c r="AB15" s="141">
        <v>500</v>
      </c>
      <c r="AC15" s="302">
        <f t="shared" si="4"/>
        <v>9880.7799999999988</v>
      </c>
      <c r="AD15" s="141">
        <f t="shared" si="5"/>
        <v>3880.7799999999988</v>
      </c>
      <c r="AE15" s="192">
        <f t="shared" si="6"/>
        <v>0.39276049056855827</v>
      </c>
      <c r="AF15" s="228">
        <v>23377.030000000002</v>
      </c>
      <c r="AG15" s="123">
        <f t="shared" si="2"/>
        <v>17377.030000000002</v>
      </c>
      <c r="AH15" s="124"/>
    </row>
    <row r="16" spans="1:34">
      <c r="A16" s="105" t="s">
        <v>835</v>
      </c>
      <c r="B16" s="105" t="s">
        <v>890</v>
      </c>
      <c r="C16" s="105" t="s">
        <v>305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228">
        <f t="shared" si="7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302">
        <f t="shared" si="4"/>
        <v>0</v>
      </c>
      <c r="AD16" s="141">
        <f t="shared" si="5"/>
        <v>0</v>
      </c>
      <c r="AE16" s="192" t="e">
        <f t="shared" si="6"/>
        <v>#DIV/0!</v>
      </c>
      <c r="AF16" s="228">
        <v>0</v>
      </c>
      <c r="AG16" s="123">
        <f t="shared" si="2"/>
        <v>0</v>
      </c>
      <c r="AH16" s="124"/>
    </row>
    <row r="17" spans="1:34">
      <c r="A17" s="105" t="s">
        <v>689</v>
      </c>
      <c r="B17" s="105" t="s">
        <v>891</v>
      </c>
      <c r="C17" s="105" t="s">
        <v>202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228">
        <f t="shared" si="7"/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302">
        <f t="shared" si="4"/>
        <v>0</v>
      </c>
      <c r="AD17" s="141"/>
      <c r="AF17" s="228">
        <v>0</v>
      </c>
      <c r="AG17" s="123">
        <f t="shared" si="2"/>
        <v>0</v>
      </c>
      <c r="AH17" s="124"/>
    </row>
    <row r="18" spans="1:34">
      <c r="A18" s="105" t="s">
        <v>692</v>
      </c>
      <c r="B18" s="105" t="s">
        <v>890</v>
      </c>
      <c r="C18" s="105" t="s">
        <v>204</v>
      </c>
      <c r="D18" s="124">
        <v>1600</v>
      </c>
      <c r="E18" s="124">
        <v>1600</v>
      </c>
      <c r="F18" s="124">
        <v>1600</v>
      </c>
      <c r="G18" s="124">
        <v>1600</v>
      </c>
      <c r="H18" s="124">
        <v>1600</v>
      </c>
      <c r="I18" s="124">
        <v>1600</v>
      </c>
      <c r="J18" s="124">
        <v>1600</v>
      </c>
      <c r="K18" s="124">
        <v>1600</v>
      </c>
      <c r="L18" s="124">
        <v>1600</v>
      </c>
      <c r="M18" s="124">
        <v>1600</v>
      </c>
      <c r="N18" s="124">
        <v>1600</v>
      </c>
      <c r="O18" s="124">
        <v>1600</v>
      </c>
      <c r="P18" s="228">
        <f t="shared" si="7"/>
        <v>19200</v>
      </c>
      <c r="Q18" s="141">
        <v>6506</v>
      </c>
      <c r="R18" s="141">
        <v>6506</v>
      </c>
      <c r="S18" s="141">
        <v>6506</v>
      </c>
      <c r="T18" s="141">
        <v>-38.4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  <c r="AA18" s="141">
        <v>0</v>
      </c>
      <c r="AB18" s="141">
        <v>0</v>
      </c>
      <c r="AC18" s="302">
        <f t="shared" si="4"/>
        <v>19479.599999999999</v>
      </c>
      <c r="AD18" s="141">
        <f t="shared" si="5"/>
        <v>279.59999999999854</v>
      </c>
      <c r="AE18" s="192">
        <f t="shared" si="6"/>
        <v>1.4353477484137178E-2</v>
      </c>
      <c r="AF18" s="228">
        <v>11861.539999999999</v>
      </c>
      <c r="AG18" s="123">
        <f t="shared" si="2"/>
        <v>-7338.4600000000009</v>
      </c>
      <c r="AH18" s="124"/>
    </row>
    <row r="19" spans="1:34">
      <c r="A19" s="105" t="s">
        <v>717</v>
      </c>
      <c r="B19" s="105" t="s">
        <v>891</v>
      </c>
      <c r="C19" s="105" t="s">
        <v>208</v>
      </c>
      <c r="D19" s="124">
        <v>173</v>
      </c>
      <c r="E19" s="124">
        <v>173</v>
      </c>
      <c r="F19" s="124">
        <v>173</v>
      </c>
      <c r="G19" s="124">
        <v>173</v>
      </c>
      <c r="H19" s="124">
        <v>173</v>
      </c>
      <c r="I19" s="124">
        <v>173</v>
      </c>
      <c r="J19" s="124">
        <v>173</v>
      </c>
      <c r="K19" s="124">
        <v>173</v>
      </c>
      <c r="L19" s="124">
        <v>173</v>
      </c>
      <c r="M19" s="124">
        <v>173</v>
      </c>
      <c r="N19" s="124">
        <v>173</v>
      </c>
      <c r="O19" s="124">
        <v>173</v>
      </c>
      <c r="P19" s="228">
        <f t="shared" si="7"/>
        <v>2076</v>
      </c>
      <c r="Q19" s="141">
        <v>172.57</v>
      </c>
      <c r="R19" s="141">
        <v>172.57</v>
      </c>
      <c r="S19" s="141">
        <v>172.57</v>
      </c>
      <c r="T19" s="141">
        <v>172.57</v>
      </c>
      <c r="U19" s="141">
        <v>172.57</v>
      </c>
      <c r="V19" s="141">
        <v>172.57</v>
      </c>
      <c r="W19" s="141">
        <v>172.57</v>
      </c>
      <c r="X19" s="141">
        <v>172.56</v>
      </c>
      <c r="Y19" s="141">
        <v>172.57</v>
      </c>
      <c r="Z19" s="141">
        <v>172.57</v>
      </c>
      <c r="AA19" s="141">
        <v>172.57</v>
      </c>
      <c r="AB19" s="141">
        <v>172.57</v>
      </c>
      <c r="AC19" s="302">
        <f t="shared" si="4"/>
        <v>2070.8299999999995</v>
      </c>
      <c r="AD19" s="141">
        <f t="shared" si="5"/>
        <v>-5.1700000000005275</v>
      </c>
      <c r="AE19" s="192">
        <f t="shared" si="6"/>
        <v>-2.4965834955068878E-3</v>
      </c>
      <c r="AF19" s="228">
        <v>7163.16</v>
      </c>
      <c r="AG19" s="123">
        <f t="shared" si="2"/>
        <v>5087.16</v>
      </c>
      <c r="AH19" s="124"/>
    </row>
    <row r="20" spans="1:34">
      <c r="A20" s="105" t="s">
        <v>690</v>
      </c>
      <c r="B20" s="105" t="s">
        <v>890</v>
      </c>
      <c r="C20" s="105" t="s">
        <v>210</v>
      </c>
      <c r="D20" s="124">
        <v>300</v>
      </c>
      <c r="E20" s="124">
        <v>300</v>
      </c>
      <c r="F20" s="124">
        <v>300</v>
      </c>
      <c r="G20" s="124">
        <v>300</v>
      </c>
      <c r="H20" s="124">
        <v>300</v>
      </c>
      <c r="I20" s="124">
        <v>300</v>
      </c>
      <c r="J20" s="124">
        <v>300</v>
      </c>
      <c r="K20" s="124">
        <v>300</v>
      </c>
      <c r="L20" s="124">
        <v>300</v>
      </c>
      <c r="M20" s="124">
        <v>300</v>
      </c>
      <c r="N20" s="124">
        <v>300</v>
      </c>
      <c r="O20" s="124">
        <v>300</v>
      </c>
      <c r="P20" s="228">
        <f t="shared" si="7"/>
        <v>3600</v>
      </c>
      <c r="Q20" s="141">
        <v>182.08</v>
      </c>
      <c r="R20" s="141">
        <v>0</v>
      </c>
      <c r="S20" s="141">
        <v>106.6</v>
      </c>
      <c r="T20" s="141">
        <v>933.02</v>
      </c>
      <c r="U20" s="141">
        <v>0</v>
      </c>
      <c r="V20" s="141">
        <v>452.68</v>
      </c>
      <c r="W20" s="141">
        <v>127.36</v>
      </c>
      <c r="X20" s="141">
        <v>0</v>
      </c>
      <c r="Y20" s="141">
        <v>500</v>
      </c>
      <c r="Z20" s="141">
        <v>500</v>
      </c>
      <c r="AA20" s="141">
        <v>500</v>
      </c>
      <c r="AB20" s="141">
        <v>500</v>
      </c>
      <c r="AC20" s="302">
        <f t="shared" si="4"/>
        <v>3801.74</v>
      </c>
      <c r="AD20" s="141">
        <f t="shared" si="5"/>
        <v>201.73999999999978</v>
      </c>
      <c r="AE20" s="192">
        <f t="shared" si="6"/>
        <v>5.3065175419676196E-2</v>
      </c>
      <c r="AF20" s="228">
        <v>16683.030000000002</v>
      </c>
      <c r="AG20" s="123">
        <f t="shared" si="2"/>
        <v>13083.030000000002</v>
      </c>
      <c r="AH20" s="124"/>
    </row>
    <row r="21" spans="1:34">
      <c r="A21" s="105" t="s">
        <v>694</v>
      </c>
      <c r="B21" s="105" t="s">
        <v>891</v>
      </c>
      <c r="C21" s="105" t="s">
        <v>212</v>
      </c>
      <c r="D21" s="124">
        <v>5000</v>
      </c>
      <c r="E21" s="124">
        <v>5000</v>
      </c>
      <c r="F21" s="124">
        <v>5000</v>
      </c>
      <c r="G21" s="124">
        <v>5000</v>
      </c>
      <c r="H21" s="124">
        <v>5000</v>
      </c>
      <c r="I21" s="124">
        <v>5000</v>
      </c>
      <c r="J21" s="124">
        <v>5000</v>
      </c>
      <c r="K21" s="124">
        <v>5000</v>
      </c>
      <c r="L21" s="124">
        <v>3000</v>
      </c>
      <c r="M21" s="124">
        <v>3000</v>
      </c>
      <c r="N21" s="124">
        <v>5000</v>
      </c>
      <c r="O21" s="124">
        <v>5000</v>
      </c>
      <c r="P21" s="228">
        <f t="shared" si="7"/>
        <v>56000</v>
      </c>
      <c r="Q21" s="141">
        <v>16041.34</v>
      </c>
      <c r="R21" s="141">
        <v>3030.23</v>
      </c>
      <c r="S21" s="141">
        <v>3999.62</v>
      </c>
      <c r="T21" s="141">
        <v>1543.09</v>
      </c>
      <c r="U21" s="141">
        <v>5633.16</v>
      </c>
      <c r="V21" s="141">
        <v>2075.52</v>
      </c>
      <c r="W21" s="141">
        <v>3048.78</v>
      </c>
      <c r="X21" s="141">
        <v>4804.54</v>
      </c>
      <c r="Y21" s="141">
        <v>4200</v>
      </c>
      <c r="Z21" s="141">
        <v>4200</v>
      </c>
      <c r="AA21" s="141">
        <v>4200</v>
      </c>
      <c r="AB21" s="141">
        <v>4200</v>
      </c>
      <c r="AC21" s="302">
        <f t="shared" si="4"/>
        <v>56976.28</v>
      </c>
      <c r="AD21" s="141">
        <f t="shared" si="5"/>
        <v>976.27999999999884</v>
      </c>
      <c r="AE21" s="192">
        <f t="shared" si="6"/>
        <v>1.7134849800653867E-2</v>
      </c>
      <c r="AF21" s="228">
        <v>51935.159999999996</v>
      </c>
      <c r="AG21" s="123">
        <f t="shared" si="2"/>
        <v>-4064.8400000000038</v>
      </c>
      <c r="AH21" s="124"/>
    </row>
    <row r="22" spans="1:34">
      <c r="A22" s="105" t="s">
        <v>709</v>
      </c>
      <c r="B22" s="105" t="s">
        <v>890</v>
      </c>
      <c r="C22" s="105" t="s">
        <v>214</v>
      </c>
      <c r="D22" s="212">
        <f>Laundry!E155</f>
        <v>407</v>
      </c>
      <c r="E22" s="212">
        <f>Laundry!F155</f>
        <v>371</v>
      </c>
      <c r="F22" s="212">
        <f>Laundry!G155</f>
        <v>375</v>
      </c>
      <c r="G22" s="212">
        <f>Laundry!H155</f>
        <v>385</v>
      </c>
      <c r="H22" s="212">
        <f>Laundry!I155</f>
        <v>396</v>
      </c>
      <c r="I22" s="212">
        <f>Laundry!J155</f>
        <v>379</v>
      </c>
      <c r="J22" s="212">
        <f>Laundry!K155</f>
        <v>404</v>
      </c>
      <c r="K22" s="212">
        <f>Laundry!L155</f>
        <v>402</v>
      </c>
      <c r="L22" s="212">
        <f>Laundry!M155</f>
        <v>388</v>
      </c>
      <c r="M22" s="212">
        <f>Laundry!N155</f>
        <v>441</v>
      </c>
      <c r="N22" s="212">
        <f>Laundry!O155</f>
        <v>390</v>
      </c>
      <c r="O22" s="212">
        <f>Laundry!P155</f>
        <v>388</v>
      </c>
      <c r="P22" s="228">
        <f t="shared" si="7"/>
        <v>4726</v>
      </c>
      <c r="Q22" s="141">
        <v>550.30999999999995</v>
      </c>
      <c r="R22" s="141">
        <v>458.9</v>
      </c>
      <c r="S22" s="141">
        <v>403.2</v>
      </c>
      <c r="T22" s="141">
        <v>323.29000000000002</v>
      </c>
      <c r="U22" s="141">
        <v>120.93</v>
      </c>
      <c r="V22" s="141">
        <v>421.46</v>
      </c>
      <c r="W22" s="141">
        <v>361.77</v>
      </c>
      <c r="X22" s="141">
        <v>293.27</v>
      </c>
      <c r="Y22" s="141">
        <v>408</v>
      </c>
      <c r="Z22" s="141">
        <v>456</v>
      </c>
      <c r="AA22" s="141">
        <v>383</v>
      </c>
      <c r="AB22" s="141">
        <v>392</v>
      </c>
      <c r="AC22" s="302">
        <f t="shared" si="4"/>
        <v>4572.1299999999992</v>
      </c>
      <c r="AD22" s="141">
        <f t="shared" si="5"/>
        <v>-153.8700000000008</v>
      </c>
      <c r="AE22" s="192">
        <f t="shared" si="6"/>
        <v>-3.3653898729913811E-2</v>
      </c>
      <c r="AF22" s="228">
        <v>4136.5200000000004</v>
      </c>
      <c r="AG22" s="123">
        <f t="shared" si="2"/>
        <v>-589.47999999999956</v>
      </c>
      <c r="AH22" s="124"/>
    </row>
    <row r="23" spans="1:34">
      <c r="A23" s="105" t="s">
        <v>306</v>
      </c>
      <c r="B23" s="105" t="s">
        <v>890</v>
      </c>
      <c r="C23" s="105" t="s">
        <v>206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228">
        <f t="shared" si="7"/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  <c r="AA23" s="141">
        <v>0</v>
      </c>
      <c r="AB23" s="141">
        <v>0</v>
      </c>
      <c r="AC23" s="302">
        <f t="shared" si="4"/>
        <v>0</v>
      </c>
      <c r="AD23" s="141"/>
      <c r="AF23" s="228">
        <v>0</v>
      </c>
      <c r="AG23" s="123">
        <f t="shared" si="2"/>
        <v>0</v>
      </c>
      <c r="AH23" s="124"/>
    </row>
    <row r="24" spans="1:34">
      <c r="A24" s="105" t="s">
        <v>696</v>
      </c>
      <c r="B24" s="105" t="s">
        <v>890</v>
      </c>
      <c r="C24" s="105" t="s">
        <v>216</v>
      </c>
      <c r="D24" s="124">
        <f>2700-1507</f>
        <v>1193</v>
      </c>
      <c r="E24" s="124">
        <f t="shared" ref="E24:O24" si="8">2700-1507</f>
        <v>1193</v>
      </c>
      <c r="F24" s="124">
        <f t="shared" si="8"/>
        <v>1193</v>
      </c>
      <c r="G24" s="124">
        <f t="shared" si="8"/>
        <v>1193</v>
      </c>
      <c r="H24" s="124">
        <f t="shared" si="8"/>
        <v>1193</v>
      </c>
      <c r="I24" s="124">
        <f t="shared" si="8"/>
        <v>1193</v>
      </c>
      <c r="J24" s="124">
        <f t="shared" si="8"/>
        <v>1193</v>
      </c>
      <c r="K24" s="124">
        <f t="shared" si="8"/>
        <v>1193</v>
      </c>
      <c r="L24" s="124">
        <f t="shared" si="8"/>
        <v>1193</v>
      </c>
      <c r="M24" s="124">
        <f t="shared" si="8"/>
        <v>1193</v>
      </c>
      <c r="N24" s="124">
        <f t="shared" si="8"/>
        <v>1193</v>
      </c>
      <c r="O24" s="124">
        <f t="shared" si="8"/>
        <v>1193</v>
      </c>
      <c r="P24" s="228">
        <f t="shared" si="7"/>
        <v>14316</v>
      </c>
      <c r="Q24" s="141">
        <v>1912.89</v>
      </c>
      <c r="R24" s="141">
        <v>2185.7199999999998</v>
      </c>
      <c r="S24" s="141">
        <v>2545.5</v>
      </c>
      <c r="T24" s="141">
        <v>2600.17</v>
      </c>
      <c r="U24" s="141">
        <v>2196.29</v>
      </c>
      <c r="V24" s="141">
        <v>2507.25</v>
      </c>
      <c r="W24" s="141">
        <v>2093.4899999999998</v>
      </c>
      <c r="X24" s="141">
        <v>-10459.02</v>
      </c>
      <c r="Y24" s="141">
        <v>2700</v>
      </c>
      <c r="Z24" s="141">
        <v>2700</v>
      </c>
      <c r="AA24" s="141">
        <v>2700</v>
      </c>
      <c r="AB24" s="141">
        <v>2700</v>
      </c>
      <c r="AC24" s="302">
        <f t="shared" si="4"/>
        <v>16382.289999999999</v>
      </c>
      <c r="AD24" s="141">
        <f t="shared" si="5"/>
        <v>2066.2899999999991</v>
      </c>
      <c r="AE24" s="192">
        <f t="shared" si="6"/>
        <v>0.12612949715821165</v>
      </c>
      <c r="AF24" s="228">
        <v>24463.96</v>
      </c>
      <c r="AG24" s="123">
        <f t="shared" si="2"/>
        <v>10147.959999999999</v>
      </c>
      <c r="AH24" s="124"/>
    </row>
    <row r="25" spans="1:34">
      <c r="A25" s="105" t="s">
        <v>697</v>
      </c>
      <c r="B25" s="105" t="s">
        <v>890</v>
      </c>
      <c r="C25" s="105" t="s">
        <v>218</v>
      </c>
      <c r="D25" s="124">
        <v>3000</v>
      </c>
      <c r="E25" s="124">
        <v>3000</v>
      </c>
      <c r="F25" s="124">
        <v>3000</v>
      </c>
      <c r="G25" s="124">
        <v>3000</v>
      </c>
      <c r="H25" s="124">
        <v>3000</v>
      </c>
      <c r="I25" s="124">
        <v>3000</v>
      </c>
      <c r="J25" s="124">
        <v>3000</v>
      </c>
      <c r="K25" s="124">
        <v>3000</v>
      </c>
      <c r="L25" s="124">
        <v>3000</v>
      </c>
      <c r="M25" s="124">
        <v>3000</v>
      </c>
      <c r="N25" s="124">
        <v>3000</v>
      </c>
      <c r="O25" s="124">
        <v>3000</v>
      </c>
      <c r="P25" s="228">
        <f t="shared" si="7"/>
        <v>36000</v>
      </c>
      <c r="Q25" s="141">
        <v>4075.14</v>
      </c>
      <c r="R25" s="141">
        <v>4819</v>
      </c>
      <c r="S25" s="141">
        <v>-23249.4</v>
      </c>
      <c r="T25" s="141">
        <v>-16166.32</v>
      </c>
      <c r="U25" s="141">
        <v>2650.3</v>
      </c>
      <c r="V25" s="141">
        <v>3259.38</v>
      </c>
      <c r="W25" s="141">
        <v>3057.86</v>
      </c>
      <c r="X25" s="141">
        <v>2806.37</v>
      </c>
      <c r="Y25" s="141">
        <v>5000</v>
      </c>
      <c r="Z25" s="141">
        <v>5000</v>
      </c>
      <c r="AA25" s="141">
        <v>5000</v>
      </c>
      <c r="AB25" s="141">
        <v>5000</v>
      </c>
      <c r="AC25" s="302">
        <f t="shared" si="4"/>
        <v>1252.3299999999981</v>
      </c>
      <c r="AD25" s="141">
        <f t="shared" si="5"/>
        <v>-34747.67</v>
      </c>
      <c r="AE25" s="192">
        <f t="shared" si="6"/>
        <v>-27.746416679309807</v>
      </c>
      <c r="AF25" s="228">
        <v>98957.340000000011</v>
      </c>
      <c r="AG25" s="123">
        <f t="shared" si="2"/>
        <v>62957.340000000011</v>
      </c>
      <c r="AH25" s="124"/>
    </row>
    <row r="26" spans="1:34">
      <c r="A26" s="105" t="s">
        <v>836</v>
      </c>
      <c r="B26" s="105" t="s">
        <v>890</v>
      </c>
      <c r="C26" s="105" t="s">
        <v>220</v>
      </c>
      <c r="D26" s="124"/>
      <c r="E26" s="124"/>
      <c r="F26" s="124">
        <v>10000</v>
      </c>
      <c r="G26" s="124"/>
      <c r="H26" s="124"/>
      <c r="I26" s="124"/>
      <c r="J26" s="124"/>
      <c r="K26" s="124"/>
      <c r="L26" s="124"/>
      <c r="M26" s="124">
        <v>10000</v>
      </c>
      <c r="N26" s="124"/>
      <c r="O26" s="124"/>
      <c r="P26" s="228">
        <f t="shared" si="7"/>
        <v>20000</v>
      </c>
      <c r="Q26" s="141">
        <v>0</v>
      </c>
      <c r="R26" s="141">
        <v>0</v>
      </c>
      <c r="S26" s="141">
        <v>0</v>
      </c>
      <c r="T26" s="141">
        <v>8580.06</v>
      </c>
      <c r="U26" s="141">
        <v>0</v>
      </c>
      <c r="V26" s="141">
        <v>0</v>
      </c>
      <c r="W26" s="141">
        <v>2550</v>
      </c>
      <c r="X26" s="141">
        <v>0</v>
      </c>
      <c r="Y26" s="141">
        <v>0</v>
      </c>
      <c r="Z26" s="141">
        <v>10000</v>
      </c>
      <c r="AA26" s="141">
        <v>0</v>
      </c>
      <c r="AB26" s="141">
        <v>0</v>
      </c>
      <c r="AC26" s="302">
        <f t="shared" si="4"/>
        <v>21130.059999999998</v>
      </c>
      <c r="AD26" s="141">
        <f t="shared" si="5"/>
        <v>1130.0599999999977</v>
      </c>
      <c r="AE26" s="192">
        <f t="shared" si="6"/>
        <v>5.3481154336523312E-2</v>
      </c>
      <c r="AF26" s="228">
        <v>10987.2</v>
      </c>
      <c r="AG26" s="123">
        <f t="shared" si="2"/>
        <v>-9012.7999999999993</v>
      </c>
      <c r="AH26" s="124"/>
    </row>
    <row r="27" spans="1:34">
      <c r="A27" s="105">
        <v>60014101</v>
      </c>
      <c r="B27" s="105" t="s">
        <v>890</v>
      </c>
      <c r="C27" s="105" t="s">
        <v>459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228">
        <f t="shared" si="7"/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0</v>
      </c>
      <c r="AC27" s="302">
        <f t="shared" si="4"/>
        <v>0</v>
      </c>
      <c r="AD27" s="141"/>
      <c r="AF27" s="228">
        <v>0</v>
      </c>
      <c r="AG27" s="123">
        <f t="shared" si="2"/>
        <v>0</v>
      </c>
      <c r="AH27" s="124"/>
    </row>
    <row r="28" spans="1:34">
      <c r="A28" s="105" t="s">
        <v>746</v>
      </c>
      <c r="B28" s="105" t="s">
        <v>890</v>
      </c>
      <c r="C28" s="105" t="s">
        <v>678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228">
        <f t="shared" si="7"/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0</v>
      </c>
      <c r="AC28" s="302">
        <f t="shared" si="4"/>
        <v>0</v>
      </c>
      <c r="AD28" s="141">
        <f t="shared" si="5"/>
        <v>0</v>
      </c>
      <c r="AE28" s="192" t="e">
        <f t="shared" si="6"/>
        <v>#DIV/0!</v>
      </c>
      <c r="AF28" s="228">
        <v>0</v>
      </c>
      <c r="AG28" s="123">
        <f t="shared" si="2"/>
        <v>0</v>
      </c>
      <c r="AH28" s="124"/>
    </row>
    <row r="29" spans="1:34">
      <c r="A29" s="105" t="s">
        <v>837</v>
      </c>
      <c r="B29" s="105" t="s">
        <v>890</v>
      </c>
      <c r="C29" s="105" t="s">
        <v>888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228">
        <f t="shared" si="7"/>
        <v>0</v>
      </c>
      <c r="Q29" s="141">
        <v>-37.89</v>
      </c>
      <c r="R29" s="141">
        <v>0</v>
      </c>
      <c r="S29" s="141">
        <v>-32.54</v>
      </c>
      <c r="T29" s="141">
        <v>-15772.66</v>
      </c>
      <c r="U29" s="141">
        <v>-32.71</v>
      </c>
      <c r="V29" s="141">
        <v>-14.59</v>
      </c>
      <c r="W29" s="141">
        <v>-12.51</v>
      </c>
      <c r="X29" s="141">
        <v>-0.55000000000000004</v>
      </c>
      <c r="Y29" s="141">
        <v>0</v>
      </c>
      <c r="Z29" s="141">
        <v>0</v>
      </c>
      <c r="AA29" s="141">
        <v>0</v>
      </c>
      <c r="AB29" s="141">
        <v>0</v>
      </c>
      <c r="AC29" s="302">
        <f t="shared" si="4"/>
        <v>-15903.449999999999</v>
      </c>
      <c r="AD29" s="141">
        <f t="shared" si="5"/>
        <v>-15903.449999999999</v>
      </c>
      <c r="AF29" s="228">
        <v>-850.89</v>
      </c>
      <c r="AG29" s="123">
        <f t="shared" si="2"/>
        <v>-850.89</v>
      </c>
      <c r="AH29" s="124"/>
    </row>
    <row r="30" spans="1:34">
      <c r="A30" s="105">
        <v>60014104</v>
      </c>
      <c r="B30" s="105" t="s">
        <v>890</v>
      </c>
      <c r="C30" s="105" t="s">
        <v>892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228">
        <f t="shared" si="7"/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0</v>
      </c>
      <c r="AC30" s="302">
        <f t="shared" si="4"/>
        <v>0</v>
      </c>
      <c r="AD30" s="141">
        <f t="shared" si="5"/>
        <v>0</v>
      </c>
      <c r="AF30" s="228">
        <v>0</v>
      </c>
      <c r="AG30" s="123">
        <f t="shared" si="2"/>
        <v>0</v>
      </c>
      <c r="AH30" s="124"/>
    </row>
    <row r="31" spans="1:34">
      <c r="A31" s="105" t="s">
        <v>841</v>
      </c>
      <c r="B31" s="105" t="s">
        <v>890</v>
      </c>
      <c r="C31" s="105" t="s">
        <v>842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228">
        <f t="shared" si="7"/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302">
        <f t="shared" si="4"/>
        <v>0</v>
      </c>
      <c r="AD31" s="141">
        <f t="shared" si="5"/>
        <v>0</v>
      </c>
      <c r="AE31" s="192" t="e">
        <f t="shared" si="6"/>
        <v>#DIV/0!</v>
      </c>
      <c r="AF31" s="228">
        <v>0</v>
      </c>
      <c r="AG31" s="123">
        <f t="shared" si="2"/>
        <v>0</v>
      </c>
    </row>
    <row r="32" spans="1:34">
      <c r="A32" s="105" t="s">
        <v>843</v>
      </c>
      <c r="B32" s="105" t="s">
        <v>890</v>
      </c>
      <c r="C32" s="105" t="s">
        <v>844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228">
        <f t="shared" si="7"/>
        <v>0</v>
      </c>
      <c r="Q32" s="141">
        <v>0</v>
      </c>
      <c r="R32" s="141">
        <v>0</v>
      </c>
      <c r="S32" s="141">
        <v>0</v>
      </c>
      <c r="T32" s="141">
        <v>0</v>
      </c>
      <c r="U32" s="141">
        <v>0</v>
      </c>
      <c r="V32" s="141">
        <v>0</v>
      </c>
      <c r="W32" s="141">
        <v>0</v>
      </c>
      <c r="X32" s="141">
        <v>0</v>
      </c>
      <c r="Y32" s="141">
        <v>0</v>
      </c>
      <c r="Z32" s="141">
        <v>0</v>
      </c>
      <c r="AA32" s="141">
        <v>0</v>
      </c>
      <c r="AB32" s="141">
        <v>0</v>
      </c>
      <c r="AC32" s="302">
        <f t="shared" si="4"/>
        <v>0</v>
      </c>
      <c r="AD32" s="141">
        <f t="shared" si="5"/>
        <v>0</v>
      </c>
      <c r="AE32" s="192" t="e">
        <f t="shared" si="6"/>
        <v>#DIV/0!</v>
      </c>
      <c r="AF32" s="228">
        <v>0</v>
      </c>
      <c r="AG32" s="123">
        <f t="shared" si="2"/>
        <v>0</v>
      </c>
    </row>
    <row r="33" spans="1:35">
      <c r="A33" s="105">
        <v>60014110</v>
      </c>
      <c r="B33" s="105" t="s">
        <v>890</v>
      </c>
      <c r="C33" s="105" t="s">
        <v>845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228">
        <f t="shared" si="7"/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  <c r="AA33" s="141">
        <v>0</v>
      </c>
      <c r="AB33" s="141">
        <v>0</v>
      </c>
      <c r="AC33" s="302">
        <f t="shared" si="4"/>
        <v>0</v>
      </c>
      <c r="AD33" s="141">
        <f t="shared" si="5"/>
        <v>0</v>
      </c>
      <c r="AF33" s="228">
        <v>0</v>
      </c>
      <c r="AG33" s="123">
        <f t="shared" si="2"/>
        <v>0</v>
      </c>
    </row>
    <row r="34" spans="1:35">
      <c r="A34" s="105">
        <v>60014111</v>
      </c>
      <c r="B34" s="105" t="s">
        <v>890</v>
      </c>
      <c r="C34" s="105" t="s">
        <v>846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228">
        <f t="shared" si="7"/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41">
        <v>0</v>
      </c>
      <c r="W34" s="141">
        <v>0</v>
      </c>
      <c r="X34" s="141">
        <v>0</v>
      </c>
      <c r="Y34" s="141">
        <v>0</v>
      </c>
      <c r="Z34" s="141">
        <v>0</v>
      </c>
      <c r="AA34" s="141">
        <v>0</v>
      </c>
      <c r="AB34" s="141">
        <v>0</v>
      </c>
      <c r="AC34" s="302">
        <f t="shared" si="4"/>
        <v>0</v>
      </c>
      <c r="AD34" s="141">
        <f t="shared" si="5"/>
        <v>0</v>
      </c>
      <c r="AF34" s="228">
        <v>14647.27</v>
      </c>
      <c r="AG34" s="123">
        <f t="shared" si="2"/>
        <v>14647.27</v>
      </c>
    </row>
    <row r="35" spans="1:35">
      <c r="A35" s="105" t="s">
        <v>847</v>
      </c>
      <c r="B35" s="105" t="s">
        <v>890</v>
      </c>
      <c r="C35" s="105" t="s">
        <v>848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228">
        <f t="shared" si="7"/>
        <v>0</v>
      </c>
      <c r="Q35" s="141">
        <v>-1</v>
      </c>
      <c r="R35" s="141">
        <v>-196.59</v>
      </c>
      <c r="S35" s="141">
        <v>-44.9</v>
      </c>
      <c r="T35" s="141">
        <v>0</v>
      </c>
      <c r="U35" s="141">
        <v>-1.3</v>
      </c>
      <c r="V35" s="141">
        <v>0</v>
      </c>
      <c r="W35" s="141">
        <v>0</v>
      </c>
      <c r="X35" s="141">
        <v>-1</v>
      </c>
      <c r="Y35" s="141">
        <v>0</v>
      </c>
      <c r="Z35" s="141">
        <v>0</v>
      </c>
      <c r="AA35" s="141">
        <v>0</v>
      </c>
      <c r="AB35" s="141">
        <v>0</v>
      </c>
      <c r="AC35" s="302">
        <f t="shared" si="4"/>
        <v>-244.79000000000002</v>
      </c>
      <c r="AD35" s="141">
        <f t="shared" si="5"/>
        <v>-244.79000000000002</v>
      </c>
      <c r="AE35" s="192">
        <f t="shared" si="6"/>
        <v>1</v>
      </c>
      <c r="AF35" s="228">
        <v>-603.66999999999996</v>
      </c>
      <c r="AG35" s="123">
        <f t="shared" si="2"/>
        <v>-603.66999999999996</v>
      </c>
    </row>
    <row r="36" spans="1:35">
      <c r="A36" s="105" t="s">
        <v>849</v>
      </c>
      <c r="B36" s="105" t="s">
        <v>890</v>
      </c>
      <c r="C36" s="303" t="s">
        <v>850</v>
      </c>
      <c r="D36" s="212">
        <f>ROUND('2025 Summay'!E16*0.095%,0)</f>
        <v>37271</v>
      </c>
      <c r="E36" s="212">
        <f>ROUND('2025 Summay'!F16*0.095%,0)</f>
        <v>41280</v>
      </c>
      <c r="F36" s="212">
        <f>ROUND('2025 Summay'!G16*0.095%,0)</f>
        <v>25679</v>
      </c>
      <c r="G36" s="212">
        <f>ROUND('2025 Summay'!H16*0.095%,0)</f>
        <v>23776</v>
      </c>
      <c r="H36" s="212">
        <f>ROUND('2025 Summay'!I16*0.095%,0)</f>
        <v>22617</v>
      </c>
      <c r="I36" s="212">
        <f>ROUND('2025 Summay'!J16*0.095%,0)</f>
        <v>20231</v>
      </c>
      <c r="J36" s="212">
        <f>ROUND('2025 Summay'!K16*0.095%,0)</f>
        <v>29361</v>
      </c>
      <c r="K36" s="212">
        <f>ROUND('2025 Summay'!L16*0.095%,0)</f>
        <v>33078</v>
      </c>
      <c r="L36" s="212">
        <f>ROUND('2025 Summay'!M16*0.095%,0)</f>
        <v>19072</v>
      </c>
      <c r="M36" s="212">
        <f>ROUND('2025 Summay'!N16*0.095%,0)</f>
        <v>24112</v>
      </c>
      <c r="N36" s="212">
        <f>ROUND('2025 Summay'!O16*0.095%,0)</f>
        <v>20840</v>
      </c>
      <c r="O36" s="212">
        <f>ROUND('2025 Summay'!P16*0.095%,0)</f>
        <v>26277</v>
      </c>
      <c r="P36" s="228">
        <f t="shared" si="7"/>
        <v>323594</v>
      </c>
      <c r="Q36" s="141">
        <v>66700.36</v>
      </c>
      <c r="R36" s="141">
        <v>96575.85</v>
      </c>
      <c r="S36" s="141">
        <v>25619.03</v>
      </c>
      <c r="T36" s="141">
        <v>27197.71</v>
      </c>
      <c r="U36" s="141">
        <v>28889.16</v>
      </c>
      <c r="V36" s="141">
        <v>20555.07</v>
      </c>
      <c r="W36" s="141">
        <v>30653.74</v>
      </c>
      <c r="X36" s="141">
        <v>39730.129999999997</v>
      </c>
      <c r="Y36" s="141">
        <v>17956</v>
      </c>
      <c r="Z36" s="141">
        <v>21246</v>
      </c>
      <c r="AA36" s="141">
        <v>19522</v>
      </c>
      <c r="AB36" s="141">
        <v>23686</v>
      </c>
      <c r="AC36" s="302">
        <f t="shared" si="4"/>
        <v>418331.05</v>
      </c>
      <c r="AD36" s="141">
        <f>AC36-P36</f>
        <v>94737.049999999988</v>
      </c>
      <c r="AE36" s="192">
        <f t="shared" si="6"/>
        <v>0.22646430380914825</v>
      </c>
      <c r="AF36" s="228">
        <v>613385.66999999993</v>
      </c>
      <c r="AG36" s="123">
        <f t="shared" si="2"/>
        <v>289791.66999999993</v>
      </c>
      <c r="AH36" s="304"/>
      <c r="AI36" s="305"/>
    </row>
    <row r="37" spans="1:35">
      <c r="A37" s="105" t="s">
        <v>851</v>
      </c>
      <c r="B37" s="105" t="s">
        <v>890</v>
      </c>
      <c r="C37" s="303" t="s">
        <v>852</v>
      </c>
      <c r="D37" s="212">
        <f>ROUND('2025 Summay'!E16*0.0045%,0)</f>
        <v>1765</v>
      </c>
      <c r="E37" s="212">
        <f>ROUND('2025 Summay'!F16*0.0045%,0)</f>
        <v>1955</v>
      </c>
      <c r="F37" s="212">
        <f>ROUND('2025 Summay'!G16*0.0045%,0)</f>
        <v>1216</v>
      </c>
      <c r="G37" s="212">
        <f>ROUND('2025 Summay'!H16*0.0045%,0)</f>
        <v>1126</v>
      </c>
      <c r="H37" s="212">
        <f>ROUND('2025 Summay'!I16*0.0045%,0)</f>
        <v>1071</v>
      </c>
      <c r="I37" s="212">
        <f>ROUND('2025 Summay'!J16*0.0045%,0)</f>
        <v>958</v>
      </c>
      <c r="J37" s="212">
        <f>ROUND('2025 Summay'!K16*0.0045%,0)</f>
        <v>1391</v>
      </c>
      <c r="K37" s="212">
        <f>ROUND('2025 Summay'!L16*0.0045%,0)</f>
        <v>1567</v>
      </c>
      <c r="L37" s="212">
        <f>ROUND('2025 Summay'!M16*0.0045%,0)</f>
        <v>903</v>
      </c>
      <c r="M37" s="212">
        <f>ROUND('2025 Summay'!N16*0.0045%,0)</f>
        <v>1142</v>
      </c>
      <c r="N37" s="212">
        <f>ROUND('2025 Summay'!O16*0.0045%,0)</f>
        <v>987</v>
      </c>
      <c r="O37" s="212">
        <f>ROUND('2025 Summay'!P16*0.0045%,0)</f>
        <v>1245</v>
      </c>
      <c r="P37" s="228">
        <f t="shared" si="7"/>
        <v>15326</v>
      </c>
      <c r="Q37" s="141">
        <v>1350.4</v>
      </c>
      <c r="R37" s="141">
        <v>1982</v>
      </c>
      <c r="S37" s="141">
        <v>2084.0300000000002</v>
      </c>
      <c r="T37" s="141">
        <v>2041.15</v>
      </c>
      <c r="U37" s="141">
        <v>1401.33</v>
      </c>
      <c r="V37" s="141">
        <v>752.19</v>
      </c>
      <c r="W37" s="141">
        <v>1499.94</v>
      </c>
      <c r="X37" s="141">
        <v>1512</v>
      </c>
      <c r="Y37" s="141">
        <v>851</v>
      </c>
      <c r="Z37" s="141">
        <v>1006</v>
      </c>
      <c r="AA37" s="141">
        <v>925</v>
      </c>
      <c r="AB37" s="141">
        <v>1122</v>
      </c>
      <c r="AC37" s="302">
        <f t="shared" si="4"/>
        <v>16527.04</v>
      </c>
      <c r="AD37" s="141">
        <f t="shared" si="5"/>
        <v>1201.0400000000009</v>
      </c>
      <c r="AE37" s="192">
        <f t="shared" si="6"/>
        <v>7.2671210331674688E-2</v>
      </c>
      <c r="AF37" s="228">
        <v>21154.18</v>
      </c>
      <c r="AG37" s="123">
        <f t="shared" si="2"/>
        <v>5828.18</v>
      </c>
      <c r="AI37" s="305"/>
    </row>
    <row r="38" spans="1:35">
      <c r="A38" s="105" t="s">
        <v>853</v>
      </c>
      <c r="B38" s="105" t="s">
        <v>890</v>
      </c>
      <c r="C38" s="105" t="s">
        <v>854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228">
        <f t="shared" si="7"/>
        <v>0</v>
      </c>
      <c r="Q38" s="141">
        <v>0</v>
      </c>
      <c r="R38" s="141">
        <v>0</v>
      </c>
      <c r="S38" s="141">
        <v>0</v>
      </c>
      <c r="T38" s="141">
        <v>0</v>
      </c>
      <c r="U38" s="141">
        <v>0</v>
      </c>
      <c r="V38" s="141">
        <v>0</v>
      </c>
      <c r="W38" s="141">
        <v>0</v>
      </c>
      <c r="X38" s="141">
        <v>0</v>
      </c>
      <c r="Y38" s="141">
        <v>0</v>
      </c>
      <c r="Z38" s="141">
        <v>0</v>
      </c>
      <c r="AA38" s="141">
        <v>0</v>
      </c>
      <c r="AB38" s="141">
        <v>0</v>
      </c>
      <c r="AC38" s="302">
        <f t="shared" si="4"/>
        <v>0</v>
      </c>
      <c r="AD38" s="141">
        <f t="shared" si="5"/>
        <v>0</v>
      </c>
      <c r="AE38" s="192" t="e">
        <f t="shared" si="6"/>
        <v>#DIV/0!</v>
      </c>
      <c r="AF38" s="228">
        <v>0</v>
      </c>
      <c r="AG38" s="123">
        <f t="shared" si="2"/>
        <v>0</v>
      </c>
    </row>
    <row r="39" spans="1:35">
      <c r="A39" s="105" t="s">
        <v>855</v>
      </c>
      <c r="B39" s="105" t="s">
        <v>890</v>
      </c>
      <c r="C39" s="105" t="s">
        <v>856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228">
        <f t="shared" si="7"/>
        <v>0</v>
      </c>
      <c r="Q39" s="141">
        <v>0</v>
      </c>
      <c r="R39" s="141">
        <v>0</v>
      </c>
      <c r="S39" s="141">
        <v>0</v>
      </c>
      <c r="T39" s="141">
        <v>0</v>
      </c>
      <c r="U39" s="141">
        <v>0</v>
      </c>
      <c r="V39" s="141">
        <v>0</v>
      </c>
      <c r="W39" s="141">
        <v>0</v>
      </c>
      <c r="X39" s="141">
        <v>0</v>
      </c>
      <c r="Y39" s="141">
        <v>0</v>
      </c>
      <c r="Z39" s="141">
        <v>0</v>
      </c>
      <c r="AA39" s="141">
        <v>0</v>
      </c>
      <c r="AB39" s="141">
        <v>0</v>
      </c>
      <c r="AC39" s="302">
        <f t="shared" si="4"/>
        <v>0</v>
      </c>
      <c r="AD39" s="141">
        <f t="shared" si="5"/>
        <v>0</v>
      </c>
      <c r="AE39" s="192" t="e">
        <f t="shared" si="6"/>
        <v>#DIV/0!</v>
      </c>
      <c r="AF39" s="228">
        <v>0</v>
      </c>
      <c r="AG39" s="123">
        <f t="shared" si="2"/>
        <v>0</v>
      </c>
    </row>
    <row r="40" spans="1:35">
      <c r="A40" s="105" t="s">
        <v>857</v>
      </c>
      <c r="B40" s="105" t="s">
        <v>890</v>
      </c>
      <c r="C40" s="105" t="s">
        <v>858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228">
        <f t="shared" si="7"/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41">
        <v>0</v>
      </c>
      <c r="W40" s="141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302">
        <f t="shared" si="4"/>
        <v>0</v>
      </c>
      <c r="AD40" s="141">
        <f t="shared" si="5"/>
        <v>0</v>
      </c>
      <c r="AE40" s="192" t="e">
        <f t="shared" si="6"/>
        <v>#DIV/0!</v>
      </c>
      <c r="AF40" s="228">
        <v>0</v>
      </c>
      <c r="AG40" s="123">
        <f t="shared" si="2"/>
        <v>0</v>
      </c>
    </row>
    <row r="41" spans="1:35">
      <c r="A41" s="105" t="s">
        <v>859</v>
      </c>
      <c r="B41" s="105" t="s">
        <v>890</v>
      </c>
      <c r="C41" s="105" t="s">
        <v>860</v>
      </c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228">
        <f t="shared" si="7"/>
        <v>0</v>
      </c>
      <c r="Q41" s="141">
        <v>0</v>
      </c>
      <c r="R41" s="141">
        <v>0</v>
      </c>
      <c r="S41" s="141">
        <v>0</v>
      </c>
      <c r="T41" s="141">
        <v>0</v>
      </c>
      <c r="U41" s="141">
        <v>0</v>
      </c>
      <c r="V41" s="141">
        <v>0</v>
      </c>
      <c r="W41" s="141">
        <v>0</v>
      </c>
      <c r="X41" s="141">
        <v>0</v>
      </c>
      <c r="Y41" s="141">
        <v>0</v>
      </c>
      <c r="Z41" s="141">
        <v>0</v>
      </c>
      <c r="AA41" s="141">
        <v>0</v>
      </c>
      <c r="AB41" s="141">
        <v>0</v>
      </c>
      <c r="AC41" s="302">
        <f t="shared" si="4"/>
        <v>0</v>
      </c>
      <c r="AD41" s="141">
        <f t="shared" si="5"/>
        <v>0</v>
      </c>
      <c r="AF41" s="228">
        <v>0</v>
      </c>
      <c r="AG41" s="123">
        <f t="shared" si="2"/>
        <v>0</v>
      </c>
    </row>
    <row r="42" spans="1:35">
      <c r="A42" s="105" t="s">
        <v>861</v>
      </c>
      <c r="B42" s="105" t="s">
        <v>890</v>
      </c>
      <c r="C42" s="105" t="s">
        <v>862</v>
      </c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228">
        <f t="shared" si="7"/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141">
        <v>0</v>
      </c>
      <c r="W42" s="141">
        <v>0</v>
      </c>
      <c r="X42" s="141">
        <v>0</v>
      </c>
      <c r="Y42" s="141">
        <v>0</v>
      </c>
      <c r="Z42" s="141">
        <v>0</v>
      </c>
      <c r="AA42" s="141">
        <v>0</v>
      </c>
      <c r="AB42" s="141">
        <v>0</v>
      </c>
      <c r="AC42" s="302">
        <f t="shared" si="4"/>
        <v>0</v>
      </c>
      <c r="AD42" s="141">
        <f t="shared" si="5"/>
        <v>0</v>
      </c>
      <c r="AE42" s="192" t="e">
        <f t="shared" si="6"/>
        <v>#DIV/0!</v>
      </c>
      <c r="AF42" s="228">
        <v>0</v>
      </c>
      <c r="AG42" s="123">
        <f t="shared" si="2"/>
        <v>0</v>
      </c>
    </row>
    <row r="43" spans="1:35">
      <c r="A43" s="105" t="s">
        <v>863</v>
      </c>
      <c r="B43" s="105" t="s">
        <v>890</v>
      </c>
      <c r="C43" s="105" t="s">
        <v>864</v>
      </c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228">
        <f t="shared" si="7"/>
        <v>0</v>
      </c>
      <c r="Q43" s="141">
        <v>0</v>
      </c>
      <c r="R43" s="141">
        <v>0</v>
      </c>
      <c r="S43" s="141">
        <v>0</v>
      </c>
      <c r="T43" s="141">
        <v>0</v>
      </c>
      <c r="U43" s="141">
        <v>0</v>
      </c>
      <c r="V43" s="141">
        <v>0</v>
      </c>
      <c r="W43" s="141">
        <v>0</v>
      </c>
      <c r="X43" s="141">
        <v>0</v>
      </c>
      <c r="Y43" s="141">
        <v>0</v>
      </c>
      <c r="Z43" s="141">
        <v>0</v>
      </c>
      <c r="AA43" s="141">
        <v>0</v>
      </c>
      <c r="AB43" s="141">
        <v>0</v>
      </c>
      <c r="AC43" s="302">
        <f t="shared" si="4"/>
        <v>0</v>
      </c>
      <c r="AD43" s="141">
        <f t="shared" si="5"/>
        <v>0</v>
      </c>
      <c r="AE43" s="192" t="e">
        <f t="shared" si="6"/>
        <v>#DIV/0!</v>
      </c>
      <c r="AF43" s="228">
        <v>0</v>
      </c>
      <c r="AG43" s="123">
        <f t="shared" si="2"/>
        <v>0</v>
      </c>
    </row>
    <row r="44" spans="1:35">
      <c r="A44" s="105" t="s">
        <v>865</v>
      </c>
      <c r="B44" s="105" t="s">
        <v>890</v>
      </c>
      <c r="C44" s="105" t="s">
        <v>866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228">
        <f t="shared" si="7"/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41">
        <v>0</v>
      </c>
      <c r="W44" s="141">
        <v>0</v>
      </c>
      <c r="X44" s="141">
        <v>0</v>
      </c>
      <c r="Y44" s="141">
        <v>0</v>
      </c>
      <c r="Z44" s="141">
        <v>0</v>
      </c>
      <c r="AA44" s="141">
        <v>0</v>
      </c>
      <c r="AB44" s="141">
        <v>0</v>
      </c>
      <c r="AC44" s="302">
        <f t="shared" si="4"/>
        <v>0</v>
      </c>
      <c r="AD44" s="141">
        <f t="shared" si="5"/>
        <v>0</v>
      </c>
      <c r="AE44" s="192" t="e">
        <f t="shared" si="6"/>
        <v>#DIV/0!</v>
      </c>
      <c r="AF44" s="228">
        <v>0</v>
      </c>
      <c r="AG44" s="123">
        <f t="shared" si="2"/>
        <v>0</v>
      </c>
    </row>
    <row r="45" spans="1:35">
      <c r="A45" s="105" t="s">
        <v>698</v>
      </c>
      <c r="B45" s="105" t="s">
        <v>890</v>
      </c>
      <c r="C45" s="105" t="s">
        <v>222</v>
      </c>
      <c r="D45" s="124">
        <v>2000</v>
      </c>
      <c r="E45" s="124">
        <v>2000</v>
      </c>
      <c r="F45" s="124">
        <v>2000</v>
      </c>
      <c r="G45" s="124">
        <v>2000</v>
      </c>
      <c r="H45" s="124">
        <v>2000</v>
      </c>
      <c r="I45" s="124">
        <v>2000</v>
      </c>
      <c r="J45" s="124">
        <v>2000</v>
      </c>
      <c r="K45" s="124">
        <v>2000</v>
      </c>
      <c r="L45" s="124">
        <v>2000</v>
      </c>
      <c r="M45" s="124">
        <v>2000</v>
      </c>
      <c r="N45" s="124">
        <v>2000</v>
      </c>
      <c r="O45" s="124">
        <v>2000</v>
      </c>
      <c r="P45" s="228">
        <f t="shared" si="7"/>
        <v>24000</v>
      </c>
      <c r="Q45" s="141">
        <v>2882.45</v>
      </c>
      <c r="R45" s="141">
        <v>561.52</v>
      </c>
      <c r="S45" s="141">
        <v>430.72</v>
      </c>
      <c r="T45" s="141">
        <v>2919.98</v>
      </c>
      <c r="U45" s="141">
        <v>413.06</v>
      </c>
      <c r="V45" s="141">
        <v>18798.95</v>
      </c>
      <c r="W45" s="141">
        <v>-132.09</v>
      </c>
      <c r="X45" s="141">
        <v>2842.81</v>
      </c>
      <c r="Y45" s="141">
        <v>500</v>
      </c>
      <c r="Z45" s="141">
        <v>1000</v>
      </c>
      <c r="AA45" s="141">
        <v>1000</v>
      </c>
      <c r="AB45" s="141">
        <v>2000</v>
      </c>
      <c r="AC45" s="302">
        <f t="shared" si="4"/>
        <v>33217.4</v>
      </c>
      <c r="AD45" s="141">
        <f t="shared" si="5"/>
        <v>9217.4000000000015</v>
      </c>
      <c r="AE45" s="192">
        <f t="shared" si="6"/>
        <v>0.27748710013426703</v>
      </c>
      <c r="AF45" s="228">
        <v>25089.810000000005</v>
      </c>
      <c r="AG45" s="123">
        <f t="shared" si="2"/>
        <v>1089.8100000000049</v>
      </c>
      <c r="AH45" s="124"/>
    </row>
    <row r="46" spans="1:35">
      <c r="C46" s="109" t="s">
        <v>867</v>
      </c>
      <c r="D46" s="129">
        <f t="shared" ref="D46:I46" si="9">SUM(D12:D45)</f>
        <v>53209</v>
      </c>
      <c r="E46" s="129">
        <f t="shared" si="9"/>
        <v>57372</v>
      </c>
      <c r="F46" s="129">
        <f t="shared" si="9"/>
        <v>51036</v>
      </c>
      <c r="G46" s="129">
        <f t="shared" si="9"/>
        <v>39053</v>
      </c>
      <c r="H46" s="129">
        <f t="shared" si="9"/>
        <v>37850</v>
      </c>
      <c r="I46" s="129">
        <f t="shared" si="9"/>
        <v>35334</v>
      </c>
      <c r="J46" s="129">
        <f t="shared" ref="J46:AC46" si="10">SUM(J12:J45)</f>
        <v>44922</v>
      </c>
      <c r="K46" s="129">
        <f t="shared" si="10"/>
        <v>48813</v>
      </c>
      <c r="L46" s="129">
        <f t="shared" si="10"/>
        <v>32129</v>
      </c>
      <c r="M46" s="129">
        <f t="shared" si="10"/>
        <v>47461</v>
      </c>
      <c r="N46" s="129">
        <f t="shared" si="10"/>
        <v>35983</v>
      </c>
      <c r="O46" s="129">
        <f t="shared" si="10"/>
        <v>41676</v>
      </c>
      <c r="P46" s="228">
        <f t="shared" si="10"/>
        <v>524838</v>
      </c>
      <c r="Q46" s="142">
        <f t="shared" si="10"/>
        <v>100334.65</v>
      </c>
      <c r="R46" s="142">
        <f t="shared" si="10"/>
        <v>116095.20000000001</v>
      </c>
      <c r="S46" s="142">
        <f t="shared" si="10"/>
        <v>18540.43</v>
      </c>
      <c r="T46" s="142">
        <f t="shared" si="10"/>
        <v>16015.659999999998</v>
      </c>
      <c r="U46" s="142">
        <f t="shared" si="10"/>
        <v>41442.79</v>
      </c>
      <c r="V46" s="142">
        <f t="shared" si="10"/>
        <v>48980.479999999996</v>
      </c>
      <c r="W46" s="142">
        <f t="shared" si="10"/>
        <v>44619.69000000001</v>
      </c>
      <c r="X46" s="142">
        <f t="shared" si="10"/>
        <v>41701.109999999993</v>
      </c>
      <c r="Y46" s="142">
        <f t="shared" si="10"/>
        <v>33287.57</v>
      </c>
      <c r="Z46" s="142">
        <f t="shared" si="10"/>
        <v>51280.57</v>
      </c>
      <c r="AA46" s="142">
        <f t="shared" si="10"/>
        <v>34902.57</v>
      </c>
      <c r="AB46" s="142">
        <f t="shared" si="10"/>
        <v>40272.57</v>
      </c>
      <c r="AC46" s="302">
        <f t="shared" si="10"/>
        <v>587473.29</v>
      </c>
      <c r="AD46" s="142">
        <f t="shared" si="5"/>
        <v>62635.290000000037</v>
      </c>
      <c r="AE46" s="132">
        <f t="shared" si="6"/>
        <v>0.10661810684192984</v>
      </c>
      <c r="AF46" s="228">
        <v>926685.16</v>
      </c>
      <c r="AG46" s="123">
        <f t="shared" si="2"/>
        <v>401847.16000000003</v>
      </c>
    </row>
    <row r="47" spans="1:35">
      <c r="C47" s="109" t="s">
        <v>868</v>
      </c>
      <c r="D47" s="129">
        <f t="shared" ref="D47:AC47" si="11">D46+D83</f>
        <v>536534.66</v>
      </c>
      <c r="E47" s="129">
        <f t="shared" si="11"/>
        <v>526611.76</v>
      </c>
      <c r="F47" s="129">
        <f t="shared" si="11"/>
        <v>520421.26</v>
      </c>
      <c r="G47" s="129">
        <f t="shared" si="11"/>
        <v>519945.43</v>
      </c>
      <c r="H47" s="129">
        <f t="shared" si="11"/>
        <v>522273.28000000003</v>
      </c>
      <c r="I47" s="129">
        <f t="shared" si="11"/>
        <v>515012.48</v>
      </c>
      <c r="J47" s="129">
        <f t="shared" si="11"/>
        <v>526992.24</v>
      </c>
      <c r="K47" s="129">
        <f t="shared" si="11"/>
        <v>530332.92999999993</v>
      </c>
      <c r="L47" s="129">
        <f t="shared" si="11"/>
        <v>513850.93</v>
      </c>
      <c r="M47" s="129">
        <f t="shared" si="11"/>
        <v>541265.39</v>
      </c>
      <c r="N47" s="129">
        <f t="shared" si="11"/>
        <v>517571.12</v>
      </c>
      <c r="O47" s="129">
        <f t="shared" si="11"/>
        <v>522469.81</v>
      </c>
      <c r="P47" s="228">
        <f t="shared" si="11"/>
        <v>6293281.290000001</v>
      </c>
      <c r="Q47" s="142">
        <f t="shared" si="11"/>
        <v>597260.13</v>
      </c>
      <c r="R47" s="142">
        <f t="shared" si="11"/>
        <v>631726.63000000012</v>
      </c>
      <c r="S47" s="142">
        <f t="shared" si="11"/>
        <v>536585.64</v>
      </c>
      <c r="T47" s="142">
        <f t="shared" si="11"/>
        <v>505482.45</v>
      </c>
      <c r="U47" s="142">
        <f t="shared" si="11"/>
        <v>512087.70999999996</v>
      </c>
      <c r="V47" s="142">
        <f t="shared" si="11"/>
        <v>522647.54</v>
      </c>
      <c r="W47" s="142">
        <f t="shared" si="11"/>
        <v>495028.75</v>
      </c>
      <c r="X47" s="142">
        <f t="shared" si="11"/>
        <v>500265.03</v>
      </c>
      <c r="Y47" s="142">
        <f t="shared" si="11"/>
        <v>509039.57</v>
      </c>
      <c r="Z47" s="142">
        <f t="shared" si="11"/>
        <v>532424.56999999995</v>
      </c>
      <c r="AA47" s="142">
        <f t="shared" si="11"/>
        <v>509294.57</v>
      </c>
      <c r="AB47" s="142">
        <f t="shared" si="11"/>
        <v>514885.58</v>
      </c>
      <c r="AC47" s="302">
        <f t="shared" si="11"/>
        <v>6366728.1700000009</v>
      </c>
      <c r="AD47" s="142">
        <f t="shared" si="5"/>
        <v>73446.879999999888</v>
      </c>
      <c r="AE47" s="132">
        <f t="shared" si="6"/>
        <v>1.1536047721666729E-2</v>
      </c>
      <c r="AF47" s="228">
        <v>5784644.5200000005</v>
      </c>
      <c r="AG47" s="123">
        <f t="shared" si="2"/>
        <v>-508636.77000000048</v>
      </c>
    </row>
    <row r="48" spans="1:35">
      <c r="C48" s="105" t="s">
        <v>154</v>
      </c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228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302"/>
      <c r="AD48" s="141"/>
      <c r="AF48" s="228"/>
      <c r="AG48" s="123">
        <f t="shared" si="2"/>
        <v>0</v>
      </c>
    </row>
    <row r="49" spans="1:33">
      <c r="C49" s="105" t="s">
        <v>154</v>
      </c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228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302"/>
      <c r="AD49" s="141"/>
      <c r="AF49" s="228"/>
      <c r="AG49" s="123">
        <f t="shared" si="2"/>
        <v>0</v>
      </c>
    </row>
    <row r="50" spans="1:33">
      <c r="C50" s="109" t="s">
        <v>869</v>
      </c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228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302"/>
      <c r="AD50" s="141"/>
      <c r="AF50" s="228"/>
      <c r="AG50" s="123">
        <f t="shared" si="2"/>
        <v>0</v>
      </c>
    </row>
    <row r="51" spans="1:33">
      <c r="C51" s="105" t="s">
        <v>465</v>
      </c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228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24"/>
      <c r="AC51" s="302"/>
      <c r="AD51" s="141"/>
      <c r="AF51" s="228"/>
      <c r="AG51" s="123">
        <f t="shared" si="2"/>
        <v>0</v>
      </c>
    </row>
    <row r="52" spans="1:33">
      <c r="A52" s="105" t="s">
        <v>248</v>
      </c>
      <c r="B52" s="105" t="s">
        <v>890</v>
      </c>
      <c r="C52" s="105" t="s">
        <v>250</v>
      </c>
      <c r="D52" s="293">
        <v>171871.91</v>
      </c>
      <c r="E52" s="123">
        <v>171871.91</v>
      </c>
      <c r="F52" s="123">
        <v>171871.91</v>
      </c>
      <c r="G52" s="123">
        <v>177479.81</v>
      </c>
      <c r="H52" s="123">
        <v>177479.81</v>
      </c>
      <c r="I52" s="123">
        <v>177479.81</v>
      </c>
      <c r="J52" s="123">
        <v>177479.81</v>
      </c>
      <c r="K52" s="123">
        <v>177479.81</v>
      </c>
      <c r="L52" s="123">
        <v>177479.81</v>
      </c>
      <c r="M52" s="123">
        <v>177479.81</v>
      </c>
      <c r="N52" s="123">
        <v>177479.81</v>
      </c>
      <c r="O52" s="123">
        <v>177479.81</v>
      </c>
      <c r="P52" s="227">
        <f>SUM(D52:O52)</f>
        <v>2112934.0200000005</v>
      </c>
      <c r="Q52" s="231">
        <v>179005.45</v>
      </c>
      <c r="R52" s="231">
        <v>179341.66</v>
      </c>
      <c r="S52" s="231">
        <v>187244.77</v>
      </c>
      <c r="T52" s="231">
        <v>186341.66</v>
      </c>
      <c r="U52" s="231">
        <v>186924.83</v>
      </c>
      <c r="V52" s="231">
        <v>186341.66</v>
      </c>
      <c r="W52" s="141">
        <v>182269.82</v>
      </c>
      <c r="X52" s="141">
        <v>179841.66</v>
      </c>
      <c r="Y52" s="141">
        <v>186968.44</v>
      </c>
      <c r="Z52" s="141">
        <v>186968.44</v>
      </c>
      <c r="AA52" s="141">
        <v>186968.44</v>
      </c>
      <c r="AB52" s="124">
        <v>186968.44</v>
      </c>
      <c r="AC52" s="228">
        <f>SUM(Q52:AB52)</f>
        <v>2215185.27</v>
      </c>
      <c r="AD52" s="141">
        <f>AC52-P52</f>
        <v>102251.24999999953</v>
      </c>
      <c r="AE52" s="192">
        <f>AD52/AC52</f>
        <v>4.6159231638444188E-2</v>
      </c>
      <c r="AF52" s="228">
        <v>1822108.2800000003</v>
      </c>
      <c r="AG52" s="123">
        <f t="shared" si="2"/>
        <v>-290825.74000000022</v>
      </c>
    </row>
    <row r="53" spans="1:33">
      <c r="A53" s="105" t="s">
        <v>251</v>
      </c>
      <c r="B53" s="105" t="s">
        <v>890</v>
      </c>
      <c r="C53" s="105" t="s">
        <v>468</v>
      </c>
      <c r="D53" s="293">
        <v>80703</v>
      </c>
      <c r="E53" s="123">
        <v>80703</v>
      </c>
      <c r="F53" s="123">
        <v>80703</v>
      </c>
      <c r="G53" s="123">
        <v>80703</v>
      </c>
      <c r="H53" s="123">
        <v>80703</v>
      </c>
      <c r="I53" s="123">
        <v>80703</v>
      </c>
      <c r="J53" s="123">
        <v>80703</v>
      </c>
      <c r="K53" s="123">
        <v>80703</v>
      </c>
      <c r="L53" s="123">
        <v>80703</v>
      </c>
      <c r="M53" s="123">
        <v>80703</v>
      </c>
      <c r="N53" s="123">
        <v>80703</v>
      </c>
      <c r="O53" s="123">
        <v>80703</v>
      </c>
      <c r="P53" s="227">
        <f>SUM(D53:O53)</f>
        <v>968436</v>
      </c>
      <c r="Q53" s="123">
        <v>87852.87</v>
      </c>
      <c r="R53" s="123">
        <v>88900</v>
      </c>
      <c r="S53" s="123">
        <v>83555.179999999993</v>
      </c>
      <c r="T53" s="123">
        <v>83344.03</v>
      </c>
      <c r="U53" s="123">
        <v>79935.210000000006</v>
      </c>
      <c r="V53" s="123">
        <v>80914.09</v>
      </c>
      <c r="W53" s="124">
        <v>73626.75</v>
      </c>
      <c r="X53" s="124">
        <v>79768.97</v>
      </c>
      <c r="Y53" s="124">
        <v>77457.56</v>
      </c>
      <c r="Z53" s="124">
        <v>77457.56</v>
      </c>
      <c r="AA53" s="124">
        <v>77457.56</v>
      </c>
      <c r="AB53" s="124">
        <v>77457.570000000007</v>
      </c>
      <c r="AC53" s="228">
        <f>SUM(Q53:AB53)</f>
        <v>967727.35000000009</v>
      </c>
      <c r="AD53" s="141">
        <f>AC53-P53</f>
        <v>-708.64999999990687</v>
      </c>
      <c r="AE53" s="192">
        <f>AD53/AC53</f>
        <v>-7.3228270338738155E-4</v>
      </c>
      <c r="AF53" s="228">
        <v>835944.79999999993</v>
      </c>
      <c r="AG53" s="123">
        <f t="shared" si="2"/>
        <v>-132491.20000000007</v>
      </c>
    </row>
    <row r="54" spans="1:33">
      <c r="C54" s="109" t="s">
        <v>471</v>
      </c>
      <c r="D54" s="133">
        <f t="shared" ref="D54:AC54" si="12">SUM(D52:D53)</f>
        <v>252574.91</v>
      </c>
      <c r="E54" s="133">
        <f t="shared" si="12"/>
        <v>252574.91</v>
      </c>
      <c r="F54" s="133">
        <f t="shared" si="12"/>
        <v>252574.91</v>
      </c>
      <c r="G54" s="133">
        <f t="shared" si="12"/>
        <v>258182.81</v>
      </c>
      <c r="H54" s="133">
        <f t="shared" si="12"/>
        <v>258182.81</v>
      </c>
      <c r="I54" s="133">
        <f t="shared" si="12"/>
        <v>258182.81</v>
      </c>
      <c r="J54" s="133">
        <f t="shared" si="12"/>
        <v>258182.81</v>
      </c>
      <c r="K54" s="133">
        <f t="shared" si="12"/>
        <v>258182.81</v>
      </c>
      <c r="L54" s="133">
        <f t="shared" si="12"/>
        <v>258182.81</v>
      </c>
      <c r="M54" s="133">
        <f t="shared" si="12"/>
        <v>258182.81</v>
      </c>
      <c r="N54" s="133">
        <f t="shared" si="12"/>
        <v>258182.81</v>
      </c>
      <c r="O54" s="133">
        <f t="shared" si="12"/>
        <v>258182.81</v>
      </c>
      <c r="P54" s="227">
        <f t="shared" si="12"/>
        <v>3081370.0200000005</v>
      </c>
      <c r="Q54" s="145">
        <f t="shared" si="12"/>
        <v>266858.32</v>
      </c>
      <c r="R54" s="145">
        <f t="shared" si="12"/>
        <v>268241.66000000003</v>
      </c>
      <c r="S54" s="145">
        <f t="shared" si="12"/>
        <v>270799.94999999995</v>
      </c>
      <c r="T54" s="145">
        <f t="shared" si="12"/>
        <v>269685.69</v>
      </c>
      <c r="U54" s="145">
        <f t="shared" si="12"/>
        <v>266860.03999999998</v>
      </c>
      <c r="V54" s="145">
        <f t="shared" si="12"/>
        <v>267255.75</v>
      </c>
      <c r="W54" s="145">
        <f t="shared" si="12"/>
        <v>255896.57</v>
      </c>
      <c r="X54" s="145">
        <f t="shared" si="12"/>
        <v>259610.63</v>
      </c>
      <c r="Y54" s="145">
        <f t="shared" si="12"/>
        <v>264426</v>
      </c>
      <c r="Z54" s="145">
        <f t="shared" si="12"/>
        <v>264426</v>
      </c>
      <c r="AA54" s="145">
        <f t="shared" si="12"/>
        <v>264426</v>
      </c>
      <c r="AB54" s="133">
        <f t="shared" si="12"/>
        <v>264426.01</v>
      </c>
      <c r="AC54" s="227">
        <f t="shared" si="12"/>
        <v>3182912.62</v>
      </c>
      <c r="AD54" s="142">
        <f>AC54-P54</f>
        <v>101542.59999999963</v>
      </c>
      <c r="AE54" s="132">
        <f>AD54/AC54</f>
        <v>3.1902415216161238E-2</v>
      </c>
      <c r="AF54" s="228">
        <v>2658053.08</v>
      </c>
      <c r="AG54" s="123">
        <f t="shared" si="2"/>
        <v>-423316.94000000041</v>
      </c>
    </row>
    <row r="55" spans="1:33"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227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123"/>
      <c r="AC55" s="306"/>
      <c r="AD55" s="141"/>
      <c r="AF55" s="228"/>
      <c r="AG55" s="123">
        <f t="shared" si="2"/>
        <v>0</v>
      </c>
    </row>
    <row r="56" spans="1:33">
      <c r="A56" s="105" t="s">
        <v>870</v>
      </c>
      <c r="B56" s="105" t="s">
        <v>890</v>
      </c>
      <c r="C56" s="105" t="s">
        <v>260</v>
      </c>
      <c r="D56" s="293">
        <v>6806.9</v>
      </c>
      <c r="E56" s="293">
        <v>0</v>
      </c>
      <c r="F56" s="293">
        <v>0</v>
      </c>
      <c r="G56" s="293">
        <v>1062.0700000000002</v>
      </c>
      <c r="H56" s="293">
        <v>1572.42</v>
      </c>
      <c r="I56" s="293">
        <v>0</v>
      </c>
      <c r="J56" s="293">
        <v>0</v>
      </c>
      <c r="K56" s="293">
        <v>0</v>
      </c>
      <c r="L56" s="293">
        <v>0</v>
      </c>
      <c r="M56" s="293">
        <v>6510.3499999999995</v>
      </c>
      <c r="N56" s="293">
        <v>0</v>
      </c>
      <c r="O56" s="293">
        <v>0</v>
      </c>
      <c r="P56" s="227">
        <f>SUM(D56:O56)</f>
        <v>15951.739999999998</v>
      </c>
      <c r="Q56" s="231">
        <v>5117.3</v>
      </c>
      <c r="R56" s="231">
        <v>5048.34</v>
      </c>
      <c r="S56" s="231">
        <v>0</v>
      </c>
      <c r="T56" s="231">
        <v>441.39</v>
      </c>
      <c r="U56" s="231">
        <v>1131.06</v>
      </c>
      <c r="V56" s="231">
        <v>441.39</v>
      </c>
      <c r="W56" s="141">
        <v>0</v>
      </c>
      <c r="X56" s="141">
        <v>0</v>
      </c>
      <c r="Y56" s="141">
        <v>1086</v>
      </c>
      <c r="Z56" s="141">
        <v>3259</v>
      </c>
      <c r="AA56" s="141">
        <v>0</v>
      </c>
      <c r="AB56" s="124">
        <v>0</v>
      </c>
      <c r="AC56" s="302">
        <f>SUM(Q56:AB56)</f>
        <v>16524.479999999996</v>
      </c>
      <c r="AD56" s="141">
        <f t="shared" ref="AD56:AD61" si="13">AC56-P56</f>
        <v>572.73999999999796</v>
      </c>
      <c r="AE56" s="192">
        <f t="shared" ref="AE56:AE61" si="14">AD56/AC56</f>
        <v>3.4660092178392186E-2</v>
      </c>
      <c r="AF56" s="228">
        <v>43789.759999999995</v>
      </c>
      <c r="AG56" s="123">
        <f t="shared" si="2"/>
        <v>27838.019999999997</v>
      </c>
    </row>
    <row r="57" spans="1:33">
      <c r="A57" s="105" t="s">
        <v>120</v>
      </c>
      <c r="B57" s="105" t="s">
        <v>890</v>
      </c>
      <c r="C57" s="105" t="s">
        <v>261</v>
      </c>
      <c r="D57" s="293">
        <v>43854.12000000001</v>
      </c>
      <c r="E57" s="293">
        <v>43854.12000000001</v>
      </c>
      <c r="F57" s="293">
        <v>43854.12000000001</v>
      </c>
      <c r="G57" s="293">
        <v>44854.12000000001</v>
      </c>
      <c r="H57" s="293">
        <v>44854.12000000001</v>
      </c>
      <c r="I57" s="293">
        <v>44854.12000000001</v>
      </c>
      <c r="J57" s="293">
        <v>44854.12000000001</v>
      </c>
      <c r="K57" s="293">
        <v>44854.12000000001</v>
      </c>
      <c r="L57" s="293">
        <v>44854.12000000001</v>
      </c>
      <c r="M57" s="293">
        <v>44854.12000000001</v>
      </c>
      <c r="N57" s="293">
        <v>44854.12000000001</v>
      </c>
      <c r="O57" s="293">
        <v>44854.12000000001</v>
      </c>
      <c r="P57" s="227">
        <f>SUM(D57:O57)</f>
        <v>535249.44000000006</v>
      </c>
      <c r="Q57" s="231">
        <v>67273.100000000006</v>
      </c>
      <c r="R57" s="231">
        <v>67187.19</v>
      </c>
      <c r="S57" s="231">
        <v>67428.7</v>
      </c>
      <c r="T57" s="231">
        <v>44379.38</v>
      </c>
      <c r="U57" s="231">
        <v>44843.41</v>
      </c>
      <c r="V57" s="231">
        <v>44280.43</v>
      </c>
      <c r="W57" s="141">
        <v>44305.54</v>
      </c>
      <c r="X57" s="141">
        <v>43812.4</v>
      </c>
      <c r="Y57" s="141">
        <v>44071</v>
      </c>
      <c r="Z57" s="141">
        <v>44071</v>
      </c>
      <c r="AA57" s="141">
        <v>44071</v>
      </c>
      <c r="AB57" s="124">
        <v>44071</v>
      </c>
      <c r="AC57" s="302">
        <f>SUM(Q57:AB57)</f>
        <v>599794.15</v>
      </c>
      <c r="AD57" s="141">
        <f t="shared" si="13"/>
        <v>64544.709999999963</v>
      </c>
      <c r="AE57" s="192">
        <f t="shared" si="14"/>
        <v>0.10761143635695673</v>
      </c>
      <c r="AF57" s="228">
        <v>455716.92000000004</v>
      </c>
      <c r="AG57" s="123">
        <f t="shared" si="2"/>
        <v>-79532.520000000019</v>
      </c>
    </row>
    <row r="58" spans="1:33">
      <c r="A58" s="105" t="s">
        <v>871</v>
      </c>
      <c r="B58" s="105" t="s">
        <v>890</v>
      </c>
      <c r="C58" s="105" t="s">
        <v>262</v>
      </c>
      <c r="D58" s="293">
        <v>15280</v>
      </c>
      <c r="E58" s="293">
        <v>15280</v>
      </c>
      <c r="F58" s="293">
        <v>15280</v>
      </c>
      <c r="G58" s="293">
        <v>15610</v>
      </c>
      <c r="H58" s="293">
        <v>15610</v>
      </c>
      <c r="I58" s="293">
        <v>15610</v>
      </c>
      <c r="J58" s="293">
        <v>15610</v>
      </c>
      <c r="K58" s="293">
        <v>15610</v>
      </c>
      <c r="L58" s="293">
        <v>15610</v>
      </c>
      <c r="M58" s="293">
        <v>15610</v>
      </c>
      <c r="N58" s="293">
        <v>15610</v>
      </c>
      <c r="O58" s="293">
        <v>15610</v>
      </c>
      <c r="P58" s="227">
        <f>SUM(D58:O58)</f>
        <v>186330</v>
      </c>
      <c r="Q58" s="231">
        <v>16132.05</v>
      </c>
      <c r="R58" s="231">
        <v>16195</v>
      </c>
      <c r="S58" s="231">
        <v>15920</v>
      </c>
      <c r="T58" s="231">
        <v>15748.22</v>
      </c>
      <c r="U58" s="231">
        <v>15586</v>
      </c>
      <c r="V58" s="231">
        <v>15639.51</v>
      </c>
      <c r="W58" s="141">
        <v>14592</v>
      </c>
      <c r="X58" s="141">
        <v>15933.38</v>
      </c>
      <c r="Y58" s="141">
        <v>18744</v>
      </c>
      <c r="Z58" s="141">
        <v>18744</v>
      </c>
      <c r="AA58" s="141">
        <v>18854</v>
      </c>
      <c r="AB58" s="124">
        <v>19074</v>
      </c>
      <c r="AC58" s="302">
        <f>SUM(Q58:AB58)</f>
        <v>201162.16</v>
      </c>
      <c r="AD58" s="141">
        <f t="shared" si="13"/>
        <v>14832.160000000003</v>
      </c>
      <c r="AE58" s="192">
        <f t="shared" si="14"/>
        <v>7.3732356025606419E-2</v>
      </c>
      <c r="AF58" s="228">
        <v>69796</v>
      </c>
      <c r="AG58" s="123">
        <f t="shared" si="2"/>
        <v>-116534</v>
      </c>
    </row>
    <row r="59" spans="1:33">
      <c r="A59" s="105" t="s">
        <v>872</v>
      </c>
      <c r="B59" s="105" t="s">
        <v>890</v>
      </c>
      <c r="C59" s="105" t="s">
        <v>263</v>
      </c>
      <c r="D59" s="293">
        <v>0</v>
      </c>
      <c r="E59" s="293">
        <v>0</v>
      </c>
      <c r="F59" s="293">
        <v>0</v>
      </c>
      <c r="G59" s="293">
        <v>0</v>
      </c>
      <c r="H59" s="293">
        <v>0</v>
      </c>
      <c r="I59" s="293">
        <v>0</v>
      </c>
      <c r="J59" s="293">
        <v>0</v>
      </c>
      <c r="K59" s="293">
        <v>0</v>
      </c>
      <c r="L59" s="293">
        <v>0</v>
      </c>
      <c r="M59" s="293">
        <v>0</v>
      </c>
      <c r="N59" s="293">
        <v>0</v>
      </c>
      <c r="O59" s="293">
        <v>0</v>
      </c>
      <c r="P59" s="227">
        <f>SUM(D59:O59)</f>
        <v>0</v>
      </c>
      <c r="Q59" s="231">
        <v>0</v>
      </c>
      <c r="R59" s="231">
        <v>0</v>
      </c>
      <c r="S59" s="231">
        <v>0</v>
      </c>
      <c r="T59" s="231">
        <v>0</v>
      </c>
      <c r="U59" s="231">
        <v>0</v>
      </c>
      <c r="V59" s="231">
        <v>0</v>
      </c>
      <c r="W59" s="141">
        <v>0</v>
      </c>
      <c r="X59" s="141">
        <v>0</v>
      </c>
      <c r="Y59" s="141">
        <v>0</v>
      </c>
      <c r="Z59" s="141">
        <v>0</v>
      </c>
      <c r="AA59" s="141">
        <v>0</v>
      </c>
      <c r="AB59" s="124">
        <v>0</v>
      </c>
      <c r="AC59" s="302">
        <f>SUM(Q59:AB59)</f>
        <v>0</v>
      </c>
      <c r="AD59" s="141">
        <f t="shared" si="13"/>
        <v>0</v>
      </c>
      <c r="AE59" s="192" t="e">
        <f t="shared" si="14"/>
        <v>#DIV/0!</v>
      </c>
      <c r="AF59" s="228">
        <v>0</v>
      </c>
      <c r="AG59" s="123">
        <f t="shared" si="2"/>
        <v>0</v>
      </c>
    </row>
    <row r="60" spans="1:33">
      <c r="A60" s="105" t="s">
        <v>873</v>
      </c>
      <c r="B60" s="105" t="s">
        <v>890</v>
      </c>
      <c r="C60" s="105" t="s">
        <v>264</v>
      </c>
      <c r="D60" s="293">
        <v>3000</v>
      </c>
      <c r="E60" s="293">
        <v>3000</v>
      </c>
      <c r="F60" s="293">
        <v>3000</v>
      </c>
      <c r="G60" s="293">
        <v>3000</v>
      </c>
      <c r="H60" s="293">
        <v>3000</v>
      </c>
      <c r="I60" s="293">
        <v>3000</v>
      </c>
      <c r="J60" s="293">
        <v>3000</v>
      </c>
      <c r="K60" s="293">
        <v>3000</v>
      </c>
      <c r="L60" s="293">
        <v>3000</v>
      </c>
      <c r="M60" s="293">
        <v>3000</v>
      </c>
      <c r="N60" s="293">
        <v>3000</v>
      </c>
      <c r="O60" s="293">
        <v>3000</v>
      </c>
      <c r="P60" s="227">
        <f>SUM(D60:O60)</f>
        <v>36000</v>
      </c>
      <c r="Q60" s="231">
        <v>3000</v>
      </c>
      <c r="R60" s="231">
        <v>3000</v>
      </c>
      <c r="S60" s="231">
        <v>2095.92</v>
      </c>
      <c r="T60" s="231">
        <v>3904.08</v>
      </c>
      <c r="U60" s="231">
        <v>3000</v>
      </c>
      <c r="V60" s="231">
        <v>3000</v>
      </c>
      <c r="W60" s="141">
        <v>3000</v>
      </c>
      <c r="X60" s="141">
        <v>3000</v>
      </c>
      <c r="Y60" s="141">
        <v>3000</v>
      </c>
      <c r="Z60" s="141">
        <v>3000</v>
      </c>
      <c r="AA60" s="141">
        <v>3000</v>
      </c>
      <c r="AB60" s="124">
        <v>3000</v>
      </c>
      <c r="AC60" s="302">
        <f>SUM(Q60:AB60)</f>
        <v>36000</v>
      </c>
      <c r="AD60" s="141">
        <f t="shared" si="13"/>
        <v>0</v>
      </c>
      <c r="AE60" s="192">
        <f t="shared" si="14"/>
        <v>0</v>
      </c>
      <c r="AF60" s="228">
        <v>0</v>
      </c>
      <c r="AG60" s="123">
        <f t="shared" si="2"/>
        <v>-36000</v>
      </c>
    </row>
    <row r="61" spans="1:33">
      <c r="C61" s="109" t="s">
        <v>265</v>
      </c>
      <c r="D61" s="133">
        <f t="shared" ref="D61:AC61" si="15">SUM(D56:D60)</f>
        <v>68941.020000000019</v>
      </c>
      <c r="E61" s="133">
        <f t="shared" si="15"/>
        <v>62134.12000000001</v>
      </c>
      <c r="F61" s="133">
        <f t="shared" si="15"/>
        <v>62134.12000000001</v>
      </c>
      <c r="G61" s="133">
        <f t="shared" si="15"/>
        <v>64526.19000000001</v>
      </c>
      <c r="H61" s="133">
        <f t="shared" si="15"/>
        <v>65036.540000000008</v>
      </c>
      <c r="I61" s="133">
        <f t="shared" si="15"/>
        <v>63464.12000000001</v>
      </c>
      <c r="J61" s="133">
        <f t="shared" si="15"/>
        <v>63464.12000000001</v>
      </c>
      <c r="K61" s="133">
        <f t="shared" si="15"/>
        <v>63464.12000000001</v>
      </c>
      <c r="L61" s="133">
        <f t="shared" si="15"/>
        <v>63464.12000000001</v>
      </c>
      <c r="M61" s="133">
        <f t="shared" si="15"/>
        <v>69974.47</v>
      </c>
      <c r="N61" s="133">
        <f t="shared" si="15"/>
        <v>63464.12000000001</v>
      </c>
      <c r="O61" s="133">
        <f t="shared" si="15"/>
        <v>63464.12000000001</v>
      </c>
      <c r="P61" s="227">
        <f t="shared" si="15"/>
        <v>773531.18</v>
      </c>
      <c r="Q61" s="145">
        <f t="shared" si="15"/>
        <v>91522.450000000012</v>
      </c>
      <c r="R61" s="145">
        <f t="shared" si="15"/>
        <v>91430.53</v>
      </c>
      <c r="S61" s="145">
        <f t="shared" si="15"/>
        <v>85444.62</v>
      </c>
      <c r="T61" s="145">
        <f t="shared" si="15"/>
        <v>64473.07</v>
      </c>
      <c r="U61" s="145">
        <f t="shared" si="15"/>
        <v>64560.47</v>
      </c>
      <c r="V61" s="145">
        <f t="shared" si="15"/>
        <v>63361.33</v>
      </c>
      <c r="W61" s="145">
        <f t="shared" si="15"/>
        <v>61897.54</v>
      </c>
      <c r="X61" s="145">
        <f t="shared" si="15"/>
        <v>62745.78</v>
      </c>
      <c r="Y61" s="145">
        <f t="shared" si="15"/>
        <v>66901</v>
      </c>
      <c r="Z61" s="145">
        <f t="shared" si="15"/>
        <v>69074</v>
      </c>
      <c r="AA61" s="145">
        <f t="shared" si="15"/>
        <v>65925</v>
      </c>
      <c r="AB61" s="133">
        <f t="shared" si="15"/>
        <v>66145</v>
      </c>
      <c r="AC61" s="306">
        <f t="shared" si="15"/>
        <v>853480.79</v>
      </c>
      <c r="AD61" s="142">
        <f t="shared" si="13"/>
        <v>79949.609999999986</v>
      </c>
      <c r="AE61" s="132">
        <f t="shared" si="14"/>
        <v>9.3674762146667631E-2</v>
      </c>
      <c r="AF61" s="228">
        <v>569302.68000000005</v>
      </c>
      <c r="AG61" s="123">
        <f t="shared" si="2"/>
        <v>-204228.5</v>
      </c>
    </row>
    <row r="62" spans="1:33">
      <c r="C62" s="105" t="s">
        <v>154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227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123"/>
      <c r="AC62" s="306"/>
      <c r="AD62" s="141"/>
      <c r="AF62" s="228"/>
      <c r="AG62" s="123">
        <f t="shared" si="2"/>
        <v>0</v>
      </c>
    </row>
    <row r="63" spans="1:33">
      <c r="A63" s="105" t="s">
        <v>874</v>
      </c>
      <c r="B63" s="105" t="s">
        <v>890</v>
      </c>
      <c r="C63" s="105" t="s">
        <v>266</v>
      </c>
      <c r="D63" s="293">
        <v>49253.659999999989</v>
      </c>
      <c r="E63" s="293">
        <v>49253.659999999989</v>
      </c>
      <c r="F63" s="293">
        <v>49253.659999999989</v>
      </c>
      <c r="G63" s="293">
        <v>50213.659999999989</v>
      </c>
      <c r="H63" s="293">
        <v>50213.659999999989</v>
      </c>
      <c r="I63" s="293">
        <v>50213.659999999989</v>
      </c>
      <c r="J63" s="293">
        <v>51383.99</v>
      </c>
      <c r="K63" s="293">
        <v>51383.99</v>
      </c>
      <c r="L63" s="293">
        <v>51383.99</v>
      </c>
      <c r="M63" s="293">
        <v>51383.99</v>
      </c>
      <c r="N63" s="293">
        <v>51383.99</v>
      </c>
      <c r="O63" s="293">
        <v>51383.99</v>
      </c>
      <c r="P63" s="227">
        <f t="shared" ref="P63:P70" si="16">SUM(D63:O63)</f>
        <v>606705.89999999991</v>
      </c>
      <c r="Q63" s="231">
        <v>50001.02</v>
      </c>
      <c r="R63" s="231">
        <v>50001.02</v>
      </c>
      <c r="S63" s="231">
        <v>50241.02</v>
      </c>
      <c r="T63" s="231">
        <v>49228.22</v>
      </c>
      <c r="U63" s="231">
        <v>48455.42</v>
      </c>
      <c r="V63" s="231">
        <v>48455.42</v>
      </c>
      <c r="W63" s="141">
        <v>46415.21</v>
      </c>
      <c r="X63" s="141">
        <v>46947.62</v>
      </c>
      <c r="Y63" s="141">
        <v>48527</v>
      </c>
      <c r="Z63" s="307">
        <v>48527</v>
      </c>
      <c r="AA63" s="307">
        <v>48527</v>
      </c>
      <c r="AB63" s="124">
        <v>48527</v>
      </c>
      <c r="AC63" s="302">
        <f t="shared" ref="AC63:AC70" si="17">SUM(Q63:AB63)</f>
        <v>583852.94999999995</v>
      </c>
      <c r="AD63" s="141">
        <f t="shared" ref="AD63:AD69" si="18">AC63-P63</f>
        <v>-22852.949999999953</v>
      </c>
      <c r="AE63" s="192">
        <f t="shared" ref="AE63:AE69" si="19">AD63/AC63</f>
        <v>-3.9141619477986632E-2</v>
      </c>
      <c r="AF63" s="228">
        <v>409423.52</v>
      </c>
      <c r="AG63" s="123">
        <f t="shared" si="2"/>
        <v>-197282.37999999989</v>
      </c>
    </row>
    <row r="64" spans="1:33">
      <c r="A64" s="105" t="s">
        <v>875</v>
      </c>
      <c r="B64" s="105" t="s">
        <v>890</v>
      </c>
      <c r="C64" s="105" t="s">
        <v>267</v>
      </c>
      <c r="D64" s="293">
        <v>19968.179999999997</v>
      </c>
      <c r="E64" s="293">
        <v>19968.179999999997</v>
      </c>
      <c r="F64" s="293">
        <v>19968.179999999997</v>
      </c>
      <c r="G64" s="293">
        <v>20358.179999999997</v>
      </c>
      <c r="H64" s="293">
        <v>20358.179999999997</v>
      </c>
      <c r="I64" s="293">
        <v>20358.179999999997</v>
      </c>
      <c r="J64" s="293">
        <v>20778.809999999998</v>
      </c>
      <c r="K64" s="293">
        <v>20778.809999999998</v>
      </c>
      <c r="L64" s="293">
        <v>20778.809999999998</v>
      </c>
      <c r="M64" s="293">
        <v>20778.809999999998</v>
      </c>
      <c r="N64" s="293">
        <v>20778.809999999998</v>
      </c>
      <c r="O64" s="293">
        <v>20778.809999999998</v>
      </c>
      <c r="P64" s="227">
        <f t="shared" si="16"/>
        <v>245651.93999999994</v>
      </c>
      <c r="Q64" s="231">
        <v>26563.040000000001</v>
      </c>
      <c r="R64" s="231">
        <v>26563.040000000001</v>
      </c>
      <c r="S64" s="231">
        <v>26690.54</v>
      </c>
      <c r="T64" s="231">
        <v>26152.49</v>
      </c>
      <c r="U64" s="231">
        <v>25741.94</v>
      </c>
      <c r="V64" s="231">
        <v>25741.94</v>
      </c>
      <c r="W64" s="141">
        <v>18856.189999999999</v>
      </c>
      <c r="X64" s="141">
        <v>19072.48</v>
      </c>
      <c r="Y64" s="141">
        <v>25635</v>
      </c>
      <c r="Z64" s="307">
        <v>25635</v>
      </c>
      <c r="AA64" s="307">
        <v>25635</v>
      </c>
      <c r="AB64" s="124">
        <v>25635</v>
      </c>
      <c r="AC64" s="302">
        <f t="shared" si="17"/>
        <v>297921.66000000003</v>
      </c>
      <c r="AD64" s="141">
        <f t="shared" si="18"/>
        <v>52269.720000000088</v>
      </c>
      <c r="AE64" s="192">
        <f t="shared" si="19"/>
        <v>0.17544786773811641</v>
      </c>
      <c r="AF64" s="228">
        <v>198941.34000000003</v>
      </c>
      <c r="AG64" s="123">
        <f t="shared" si="2"/>
        <v>-46710.599999999919</v>
      </c>
    </row>
    <row r="65" spans="1:33">
      <c r="A65" s="105" t="s">
        <v>876</v>
      </c>
      <c r="B65" s="105" t="s">
        <v>890</v>
      </c>
      <c r="C65" s="105" t="s">
        <v>268</v>
      </c>
      <c r="D65" s="293">
        <v>1536.04</v>
      </c>
      <c r="E65" s="293">
        <v>1536.04</v>
      </c>
      <c r="F65" s="293">
        <v>1536.04</v>
      </c>
      <c r="G65" s="293">
        <v>1566.04</v>
      </c>
      <c r="H65" s="293">
        <v>1566.04</v>
      </c>
      <c r="I65" s="293">
        <v>1566.04</v>
      </c>
      <c r="J65" s="293">
        <v>1598.4300000000003</v>
      </c>
      <c r="K65" s="293">
        <v>1598.4300000000003</v>
      </c>
      <c r="L65" s="293">
        <v>1598.4300000000003</v>
      </c>
      <c r="M65" s="293">
        <v>1598.4300000000003</v>
      </c>
      <c r="N65" s="293">
        <v>1598.4300000000003</v>
      </c>
      <c r="O65" s="293">
        <v>1598.4300000000003</v>
      </c>
      <c r="P65" s="227">
        <f t="shared" si="16"/>
        <v>18896.82</v>
      </c>
      <c r="Q65" s="231">
        <v>1562.54</v>
      </c>
      <c r="R65" s="231">
        <v>1562.54</v>
      </c>
      <c r="S65" s="231">
        <v>1570.04</v>
      </c>
      <c r="T65" s="231">
        <v>1538.39</v>
      </c>
      <c r="U65" s="231">
        <v>1514.24</v>
      </c>
      <c r="V65" s="231">
        <v>1514.24</v>
      </c>
      <c r="W65" s="141">
        <v>1450.48</v>
      </c>
      <c r="X65" s="141">
        <v>1467.12</v>
      </c>
      <c r="Y65" s="141">
        <v>1490</v>
      </c>
      <c r="Z65" s="307">
        <v>1490</v>
      </c>
      <c r="AA65" s="307">
        <v>1490</v>
      </c>
      <c r="AB65" s="124">
        <v>1490</v>
      </c>
      <c r="AC65" s="302">
        <f t="shared" si="17"/>
        <v>18139.59</v>
      </c>
      <c r="AD65" s="141">
        <f t="shared" si="18"/>
        <v>-757.22999999999956</v>
      </c>
      <c r="AE65" s="192">
        <f t="shared" si="19"/>
        <v>-4.1744603929857266E-2</v>
      </c>
      <c r="AF65" s="228">
        <v>12183.560000000001</v>
      </c>
      <c r="AG65" s="123">
        <f t="shared" si="2"/>
        <v>-6713.2599999999984</v>
      </c>
    </row>
    <row r="66" spans="1:33">
      <c r="A66" s="105" t="s">
        <v>877</v>
      </c>
      <c r="B66" s="105" t="s">
        <v>890</v>
      </c>
      <c r="C66" s="105" t="s">
        <v>269</v>
      </c>
      <c r="D66" s="293">
        <v>368.63</v>
      </c>
      <c r="E66" s="293">
        <v>368.63</v>
      </c>
      <c r="F66" s="293">
        <v>368.63</v>
      </c>
      <c r="G66" s="293">
        <v>375.83</v>
      </c>
      <c r="H66" s="293">
        <v>375.83</v>
      </c>
      <c r="I66" s="293">
        <v>375.83</v>
      </c>
      <c r="J66" s="293">
        <v>383.65000000000003</v>
      </c>
      <c r="K66" s="293">
        <v>383.65000000000003</v>
      </c>
      <c r="L66" s="293">
        <v>383.65000000000003</v>
      </c>
      <c r="M66" s="293">
        <v>383.65000000000003</v>
      </c>
      <c r="N66" s="293">
        <v>383.65000000000003</v>
      </c>
      <c r="O66" s="293">
        <v>383.65000000000003</v>
      </c>
      <c r="P66" s="227">
        <f t="shared" si="16"/>
        <v>4535.28</v>
      </c>
      <c r="Q66" s="231">
        <v>400.61</v>
      </c>
      <c r="R66" s="231">
        <v>400.61</v>
      </c>
      <c r="S66" s="231">
        <v>402.41</v>
      </c>
      <c r="T66" s="231">
        <v>394.81</v>
      </c>
      <c r="U66" s="231">
        <v>389.01</v>
      </c>
      <c r="V66" s="231">
        <v>389.01</v>
      </c>
      <c r="W66" s="141">
        <v>373.7</v>
      </c>
      <c r="X66" s="141">
        <v>377.7</v>
      </c>
      <c r="Y66" s="141">
        <v>393</v>
      </c>
      <c r="Z66" s="141">
        <v>393</v>
      </c>
      <c r="AA66" s="141">
        <v>393</v>
      </c>
      <c r="AB66" s="124">
        <v>393</v>
      </c>
      <c r="AC66" s="302">
        <f t="shared" si="17"/>
        <v>4699.8599999999997</v>
      </c>
      <c r="AD66" s="141">
        <f t="shared" si="18"/>
        <v>164.57999999999993</v>
      </c>
      <c r="AE66" s="192">
        <f t="shared" si="19"/>
        <v>3.5018064367874774E-2</v>
      </c>
      <c r="AF66" s="228">
        <v>3898.7200000000003</v>
      </c>
      <c r="AG66" s="123">
        <f t="shared" si="2"/>
        <v>-636.55999999999949</v>
      </c>
    </row>
    <row r="67" spans="1:33">
      <c r="A67" s="105" t="s">
        <v>878</v>
      </c>
      <c r="B67" s="105" t="s">
        <v>890</v>
      </c>
      <c r="C67" s="105" t="s">
        <v>270</v>
      </c>
      <c r="D67" s="293">
        <v>0</v>
      </c>
      <c r="E67" s="293">
        <v>0</v>
      </c>
      <c r="F67" s="293">
        <v>0</v>
      </c>
      <c r="G67" s="293">
        <v>0</v>
      </c>
      <c r="H67" s="293">
        <v>0</v>
      </c>
      <c r="I67" s="293">
        <v>0</v>
      </c>
      <c r="J67" s="293">
        <v>0</v>
      </c>
      <c r="K67" s="293">
        <v>0</v>
      </c>
      <c r="L67" s="293">
        <v>0</v>
      </c>
      <c r="M67" s="293">
        <v>0</v>
      </c>
      <c r="N67" s="293">
        <v>0</v>
      </c>
      <c r="O67" s="293">
        <v>0</v>
      </c>
      <c r="P67" s="227">
        <f t="shared" si="16"/>
        <v>0</v>
      </c>
      <c r="Q67" s="231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141">
        <v>0</v>
      </c>
      <c r="X67" s="141">
        <v>0</v>
      </c>
      <c r="Y67" s="141">
        <v>0</v>
      </c>
      <c r="Z67" s="141">
        <v>0</v>
      </c>
      <c r="AA67" s="141">
        <v>0</v>
      </c>
      <c r="AB67" s="124">
        <v>0</v>
      </c>
      <c r="AC67" s="302">
        <f t="shared" si="17"/>
        <v>0</v>
      </c>
      <c r="AD67" s="141">
        <f t="shared" si="18"/>
        <v>0</v>
      </c>
      <c r="AE67" s="192" t="e">
        <f t="shared" si="19"/>
        <v>#DIV/0!</v>
      </c>
      <c r="AF67" s="228">
        <v>8175.29</v>
      </c>
      <c r="AG67" s="123">
        <f t="shared" si="2"/>
        <v>8175.29</v>
      </c>
    </row>
    <row r="68" spans="1:33">
      <c r="A68" s="105" t="s">
        <v>879</v>
      </c>
      <c r="B68" s="105" t="s">
        <v>890</v>
      </c>
      <c r="C68" s="105" t="s">
        <v>271</v>
      </c>
      <c r="D68" s="293">
        <v>14780.220000000005</v>
      </c>
      <c r="E68" s="293">
        <v>14780.220000000005</v>
      </c>
      <c r="F68" s="293">
        <v>14780.220000000005</v>
      </c>
      <c r="G68" s="293">
        <v>15080.220000000005</v>
      </c>
      <c r="H68" s="293">
        <v>15080.220000000005</v>
      </c>
      <c r="I68" s="293">
        <v>15080.220000000005</v>
      </c>
      <c r="J68" s="293">
        <v>15983.810000000005</v>
      </c>
      <c r="K68" s="293">
        <v>15240.500000000004</v>
      </c>
      <c r="L68" s="293">
        <v>15240.500000000004</v>
      </c>
      <c r="M68" s="293">
        <v>15240.500000000004</v>
      </c>
      <c r="N68" s="293">
        <v>15983.810000000005</v>
      </c>
      <c r="O68" s="293">
        <v>15240.500000000004</v>
      </c>
      <c r="P68" s="227">
        <f t="shared" si="16"/>
        <v>182510.94000000003</v>
      </c>
      <c r="Q68" s="231">
        <v>17680</v>
      </c>
      <c r="R68" s="231">
        <v>17680</v>
      </c>
      <c r="S68" s="231">
        <v>17680</v>
      </c>
      <c r="T68" s="231">
        <v>17489</v>
      </c>
      <c r="U68" s="231">
        <v>17284</v>
      </c>
      <c r="V68" s="231">
        <v>17284</v>
      </c>
      <c r="W68" s="141">
        <v>16972</v>
      </c>
      <c r="X68" s="141">
        <v>16990</v>
      </c>
      <c r="Y68" s="141">
        <v>14586</v>
      </c>
      <c r="Z68" s="141">
        <v>14586</v>
      </c>
      <c r="AA68" s="141">
        <v>14586</v>
      </c>
      <c r="AB68" s="124">
        <v>14586</v>
      </c>
      <c r="AC68" s="302">
        <f t="shared" si="17"/>
        <v>197403</v>
      </c>
      <c r="AD68" s="141">
        <f t="shared" si="18"/>
        <v>14892.059999999969</v>
      </c>
      <c r="AE68" s="192">
        <f t="shared" si="19"/>
        <v>7.5439886931809391E-2</v>
      </c>
      <c r="AF68" s="228">
        <v>118318</v>
      </c>
      <c r="AG68" s="123">
        <f t="shared" si="2"/>
        <v>-64192.940000000031</v>
      </c>
    </row>
    <row r="69" spans="1:33">
      <c r="A69" s="105" t="s">
        <v>880</v>
      </c>
      <c r="B69" s="105" t="s">
        <v>890</v>
      </c>
      <c r="C69" s="105" t="s">
        <v>272</v>
      </c>
      <c r="D69" s="293">
        <v>6681</v>
      </c>
      <c r="E69" s="293">
        <v>6545</v>
      </c>
      <c r="F69" s="293">
        <v>6545</v>
      </c>
      <c r="G69" s="293">
        <v>6705</v>
      </c>
      <c r="H69" s="293">
        <v>6715</v>
      </c>
      <c r="I69" s="293">
        <v>6684</v>
      </c>
      <c r="J69" s="293">
        <v>6684</v>
      </c>
      <c r="K69" s="293">
        <v>6684</v>
      </c>
      <c r="L69" s="293">
        <v>6684</v>
      </c>
      <c r="M69" s="293">
        <v>6814</v>
      </c>
      <c r="N69" s="293">
        <v>6684</v>
      </c>
      <c r="O69" s="293">
        <v>6684</v>
      </c>
      <c r="P69" s="227">
        <f t="shared" si="16"/>
        <v>80109</v>
      </c>
      <c r="Q69" s="231">
        <v>5766.14</v>
      </c>
      <c r="R69" s="231">
        <v>5911.66</v>
      </c>
      <c r="S69" s="231">
        <v>13492.75</v>
      </c>
      <c r="T69" s="231">
        <v>8655.58</v>
      </c>
      <c r="U69" s="231">
        <v>5671.53</v>
      </c>
      <c r="V69" s="231">
        <v>6632.79</v>
      </c>
      <c r="W69" s="141">
        <v>5415.75</v>
      </c>
      <c r="X69" s="141">
        <v>5524.92</v>
      </c>
      <c r="Y69" s="141">
        <v>6816</v>
      </c>
      <c r="Z69" s="141">
        <v>6816</v>
      </c>
      <c r="AA69" s="141">
        <v>6816</v>
      </c>
      <c r="AB69" s="124">
        <v>6816</v>
      </c>
      <c r="AC69" s="302">
        <f t="shared" si="17"/>
        <v>84335.12</v>
      </c>
      <c r="AD69" s="141">
        <f t="shared" si="18"/>
        <v>4226.1199999999953</v>
      </c>
      <c r="AE69" s="192">
        <f t="shared" si="19"/>
        <v>5.0111033220798115E-2</v>
      </c>
      <c r="AF69" s="228">
        <v>70245.19</v>
      </c>
      <c r="AG69" s="123">
        <f t="shared" si="2"/>
        <v>-9863.8099999999977</v>
      </c>
    </row>
    <row r="70" spans="1:33">
      <c r="A70" s="105" t="s">
        <v>273</v>
      </c>
      <c r="B70" s="105" t="s">
        <v>890</v>
      </c>
      <c r="C70" s="105" t="s">
        <v>274</v>
      </c>
      <c r="D70" s="293">
        <v>0</v>
      </c>
      <c r="E70" s="293">
        <v>0</v>
      </c>
      <c r="F70" s="293">
        <v>0</v>
      </c>
      <c r="G70" s="293">
        <v>0</v>
      </c>
      <c r="H70" s="293">
        <v>0</v>
      </c>
      <c r="I70" s="293">
        <v>0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227">
        <f t="shared" si="16"/>
        <v>0</v>
      </c>
      <c r="Q70" s="231"/>
      <c r="R70" s="231"/>
      <c r="S70" s="231"/>
      <c r="T70" s="231"/>
      <c r="U70" s="231"/>
      <c r="V70" s="231"/>
      <c r="W70" s="141">
        <v>0</v>
      </c>
      <c r="X70" s="141">
        <v>0</v>
      </c>
      <c r="Y70" s="141">
        <v>0</v>
      </c>
      <c r="Z70" s="141">
        <v>0</v>
      </c>
      <c r="AA70" s="141">
        <v>0</v>
      </c>
      <c r="AB70" s="124">
        <v>0</v>
      </c>
      <c r="AC70" s="302">
        <f t="shared" si="17"/>
        <v>0</v>
      </c>
      <c r="AD70" s="141"/>
      <c r="AF70" s="228">
        <v>0</v>
      </c>
      <c r="AG70" s="123">
        <f t="shared" si="2"/>
        <v>0</v>
      </c>
    </row>
    <row r="71" spans="1:33">
      <c r="C71" s="109" t="s">
        <v>275</v>
      </c>
      <c r="D71" s="133">
        <f t="shared" ref="D71:AC71" si="20">SUM(D63:D70)</f>
        <v>92587.729999999981</v>
      </c>
      <c r="E71" s="133">
        <f t="shared" si="20"/>
        <v>92451.729999999981</v>
      </c>
      <c r="F71" s="133">
        <f t="shared" si="20"/>
        <v>92451.729999999981</v>
      </c>
      <c r="G71" s="133">
        <f t="shared" si="20"/>
        <v>94298.929999999978</v>
      </c>
      <c r="H71" s="133">
        <f t="shared" si="20"/>
        <v>94308.929999999978</v>
      </c>
      <c r="I71" s="133">
        <f t="shared" si="20"/>
        <v>94277.929999999978</v>
      </c>
      <c r="J71" s="133">
        <f t="shared" si="20"/>
        <v>96812.689999999973</v>
      </c>
      <c r="K71" s="133">
        <f t="shared" si="20"/>
        <v>96069.379999999976</v>
      </c>
      <c r="L71" s="133">
        <f t="shared" si="20"/>
        <v>96069.379999999976</v>
      </c>
      <c r="M71" s="133">
        <f t="shared" si="20"/>
        <v>96199.379999999976</v>
      </c>
      <c r="N71" s="133">
        <f t="shared" si="20"/>
        <v>96812.689999999973</v>
      </c>
      <c r="O71" s="133">
        <f t="shared" si="20"/>
        <v>96069.379999999976</v>
      </c>
      <c r="P71" s="227">
        <f t="shared" si="20"/>
        <v>1138409.8799999999</v>
      </c>
      <c r="Q71" s="145">
        <f t="shared" si="20"/>
        <v>101973.34999999999</v>
      </c>
      <c r="R71" s="145">
        <f t="shared" si="20"/>
        <v>102118.87</v>
      </c>
      <c r="S71" s="145">
        <f t="shared" si="20"/>
        <v>110076.76</v>
      </c>
      <c r="T71" s="145">
        <f t="shared" si="20"/>
        <v>103458.49</v>
      </c>
      <c r="U71" s="145">
        <f t="shared" si="20"/>
        <v>99056.14</v>
      </c>
      <c r="V71" s="145">
        <f t="shared" si="20"/>
        <v>100017.4</v>
      </c>
      <c r="W71" s="145">
        <f t="shared" si="20"/>
        <v>89483.329999999987</v>
      </c>
      <c r="X71" s="145">
        <f t="shared" si="20"/>
        <v>90379.839999999997</v>
      </c>
      <c r="Y71" s="145">
        <f t="shared" si="20"/>
        <v>97447</v>
      </c>
      <c r="Z71" s="145">
        <f t="shared" si="20"/>
        <v>97447</v>
      </c>
      <c r="AA71" s="145">
        <f t="shared" si="20"/>
        <v>97447</v>
      </c>
      <c r="AB71" s="133">
        <f t="shared" si="20"/>
        <v>97447</v>
      </c>
      <c r="AC71" s="306">
        <f t="shared" si="20"/>
        <v>1186352.1800000002</v>
      </c>
      <c r="AD71" s="142">
        <f>AC71-P71</f>
        <v>47942.300000000279</v>
      </c>
      <c r="AE71" s="132">
        <f>AD71/AC71</f>
        <v>4.0411524341785486E-2</v>
      </c>
      <c r="AF71" s="228">
        <v>821185.62000000011</v>
      </c>
      <c r="AG71" s="123">
        <f t="shared" si="2"/>
        <v>-317224.25999999978</v>
      </c>
    </row>
    <row r="72" spans="1:33">
      <c r="C72" s="105" t="s">
        <v>154</v>
      </c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227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123"/>
      <c r="AC72" s="306"/>
      <c r="AD72" s="141"/>
      <c r="AF72" s="228"/>
      <c r="AG72" s="123">
        <f t="shared" si="2"/>
        <v>0</v>
      </c>
    </row>
    <row r="73" spans="1:33">
      <c r="A73" s="105" t="s">
        <v>131</v>
      </c>
      <c r="B73" s="105" t="s">
        <v>890</v>
      </c>
      <c r="C73" s="105" t="s">
        <v>276</v>
      </c>
      <c r="D73" s="293">
        <v>0</v>
      </c>
      <c r="E73" s="293">
        <v>0</v>
      </c>
      <c r="F73" s="293">
        <v>0</v>
      </c>
      <c r="G73" s="293">
        <v>0</v>
      </c>
      <c r="H73" s="293">
        <v>0</v>
      </c>
      <c r="I73" s="293">
        <v>0</v>
      </c>
      <c r="J73" s="293">
        <v>0</v>
      </c>
      <c r="K73" s="293">
        <v>0</v>
      </c>
      <c r="L73" s="293">
        <v>0</v>
      </c>
      <c r="M73" s="293">
        <v>0</v>
      </c>
      <c r="N73" s="293">
        <v>0</v>
      </c>
      <c r="O73" s="293">
        <v>0</v>
      </c>
      <c r="P73" s="227">
        <f t="shared" ref="P73:P79" si="21">SUM(D73:O73)</f>
        <v>0</v>
      </c>
      <c r="Q73" s="231"/>
      <c r="R73" s="231"/>
      <c r="S73" s="231"/>
      <c r="T73" s="231"/>
      <c r="U73" s="231"/>
      <c r="V73" s="231"/>
      <c r="W73" s="141">
        <v>0</v>
      </c>
      <c r="X73" s="141">
        <v>0</v>
      </c>
      <c r="Y73" s="141">
        <v>0</v>
      </c>
      <c r="Z73" s="141">
        <v>0</v>
      </c>
      <c r="AA73" s="141">
        <v>0</v>
      </c>
      <c r="AB73" s="124">
        <v>0</v>
      </c>
      <c r="AC73" s="302">
        <f t="shared" ref="AC73:AC81" si="22">SUM(Q73:AB73)</f>
        <v>0</v>
      </c>
      <c r="AD73" s="141"/>
      <c r="AF73" s="228">
        <v>0</v>
      </c>
      <c r="AG73" s="123">
        <f t="shared" ref="AG73:AG85" si="23">AF73-P73</f>
        <v>0</v>
      </c>
    </row>
    <row r="74" spans="1:33">
      <c r="A74" s="105" t="s">
        <v>132</v>
      </c>
      <c r="B74" s="105" t="s">
        <v>890</v>
      </c>
      <c r="C74" s="105" t="s">
        <v>277</v>
      </c>
      <c r="D74" s="293">
        <v>0</v>
      </c>
      <c r="E74" s="293">
        <v>0</v>
      </c>
      <c r="F74" s="293">
        <v>0</v>
      </c>
      <c r="G74" s="293">
        <v>0</v>
      </c>
      <c r="H74" s="293">
        <v>0</v>
      </c>
      <c r="I74" s="293">
        <v>0</v>
      </c>
      <c r="J74" s="293">
        <v>0</v>
      </c>
      <c r="K74" s="293">
        <v>0</v>
      </c>
      <c r="L74" s="293">
        <v>0</v>
      </c>
      <c r="M74" s="293">
        <v>0</v>
      </c>
      <c r="N74" s="293">
        <v>0</v>
      </c>
      <c r="O74" s="293">
        <v>0</v>
      </c>
      <c r="P74" s="227">
        <f t="shared" si="21"/>
        <v>0</v>
      </c>
      <c r="Q74" s="231"/>
      <c r="R74" s="231"/>
      <c r="S74" s="231"/>
      <c r="T74" s="231"/>
      <c r="U74" s="231"/>
      <c r="V74" s="231"/>
      <c r="W74" s="141">
        <v>0</v>
      </c>
      <c r="X74" s="141">
        <v>0</v>
      </c>
      <c r="Y74" s="141">
        <v>0</v>
      </c>
      <c r="Z74" s="141">
        <v>0</v>
      </c>
      <c r="AA74" s="141">
        <v>0</v>
      </c>
      <c r="AB74" s="124">
        <v>0</v>
      </c>
      <c r="AC74" s="302">
        <f t="shared" si="22"/>
        <v>0</v>
      </c>
      <c r="AD74" s="141"/>
      <c r="AF74" s="228">
        <v>0</v>
      </c>
      <c r="AG74" s="123">
        <f t="shared" si="23"/>
        <v>0</v>
      </c>
    </row>
    <row r="75" spans="1:33">
      <c r="A75" s="105" t="s">
        <v>133</v>
      </c>
      <c r="B75" s="105" t="s">
        <v>890</v>
      </c>
      <c r="C75" s="105" t="s">
        <v>278</v>
      </c>
      <c r="D75" s="293">
        <v>0</v>
      </c>
      <c r="E75" s="293">
        <v>0</v>
      </c>
      <c r="F75" s="293">
        <v>0</v>
      </c>
      <c r="G75" s="293">
        <v>0</v>
      </c>
      <c r="H75" s="293">
        <v>0</v>
      </c>
      <c r="I75" s="293">
        <v>0</v>
      </c>
      <c r="J75" s="293">
        <v>0</v>
      </c>
      <c r="K75" s="293">
        <v>0</v>
      </c>
      <c r="L75" s="293">
        <v>0</v>
      </c>
      <c r="M75" s="293">
        <v>0</v>
      </c>
      <c r="N75" s="293">
        <v>0</v>
      </c>
      <c r="O75" s="293">
        <v>0</v>
      </c>
      <c r="P75" s="227">
        <f t="shared" si="21"/>
        <v>0</v>
      </c>
      <c r="Q75" s="231"/>
      <c r="R75" s="231"/>
      <c r="S75" s="231"/>
      <c r="T75" s="231"/>
      <c r="U75" s="231"/>
      <c r="V75" s="231"/>
      <c r="W75" s="141">
        <v>0</v>
      </c>
      <c r="X75" s="141">
        <v>0</v>
      </c>
      <c r="Y75" s="141">
        <v>0</v>
      </c>
      <c r="Z75" s="141">
        <v>0</v>
      </c>
      <c r="AA75" s="141">
        <v>0</v>
      </c>
      <c r="AB75" s="124">
        <v>0</v>
      </c>
      <c r="AC75" s="302">
        <f t="shared" si="22"/>
        <v>0</v>
      </c>
      <c r="AD75" s="141"/>
      <c r="AF75" s="228">
        <v>0</v>
      </c>
      <c r="AG75" s="123">
        <f t="shared" si="23"/>
        <v>0</v>
      </c>
    </row>
    <row r="76" spans="1:33">
      <c r="A76" s="105" t="s">
        <v>134</v>
      </c>
      <c r="B76" s="105" t="s">
        <v>890</v>
      </c>
      <c r="C76" s="105" t="s">
        <v>279</v>
      </c>
      <c r="D76" s="293">
        <v>5166.6499999999996</v>
      </c>
      <c r="E76" s="293">
        <v>5166.6499999999996</v>
      </c>
      <c r="F76" s="293">
        <v>5166.6499999999996</v>
      </c>
      <c r="G76" s="293">
        <v>5166.6499999999996</v>
      </c>
      <c r="H76" s="293">
        <v>5166.6499999999996</v>
      </c>
      <c r="I76" s="293">
        <v>5166.6499999999996</v>
      </c>
      <c r="J76" s="293">
        <v>5166.6499999999996</v>
      </c>
      <c r="K76" s="293">
        <v>5166.6499999999996</v>
      </c>
      <c r="L76" s="293">
        <v>5166.6499999999996</v>
      </c>
      <c r="M76" s="293">
        <v>5166.6499999999996</v>
      </c>
      <c r="N76" s="293">
        <v>5166.6499999999996</v>
      </c>
      <c r="O76" s="293">
        <v>5166.6499999999996</v>
      </c>
      <c r="P76" s="227">
        <f t="shared" si="21"/>
        <v>61999.80000000001</v>
      </c>
      <c r="Q76" s="231">
        <v>3848.63</v>
      </c>
      <c r="R76" s="231">
        <v>4806</v>
      </c>
      <c r="S76" s="231">
        <v>5155</v>
      </c>
      <c r="T76" s="231">
        <v>4994</v>
      </c>
      <c r="U76" s="231">
        <v>5155</v>
      </c>
      <c r="V76" s="231">
        <v>4994</v>
      </c>
      <c r="W76" s="141">
        <v>5155</v>
      </c>
      <c r="X76" s="141">
        <v>5155</v>
      </c>
      <c r="Y76" s="141">
        <v>5000</v>
      </c>
      <c r="Z76" s="141">
        <v>5000</v>
      </c>
      <c r="AA76" s="141">
        <v>5000</v>
      </c>
      <c r="AB76" s="124">
        <v>5000</v>
      </c>
      <c r="AC76" s="302">
        <f t="shared" si="22"/>
        <v>59262.630000000005</v>
      </c>
      <c r="AD76" s="141">
        <f t="shared" ref="AD76:AD83" si="24">AC76-P76</f>
        <v>-2737.1700000000055</v>
      </c>
      <c r="AE76" s="192">
        <f t="shared" ref="AE76:AE83" si="25">AD76/AC76</f>
        <v>-4.6187116569075745E-2</v>
      </c>
      <c r="AF76" s="228">
        <v>31952.79</v>
      </c>
      <c r="AG76" s="123">
        <f t="shared" si="23"/>
        <v>-30047.010000000009</v>
      </c>
    </row>
    <row r="77" spans="1:33">
      <c r="A77" s="105" t="s">
        <v>135</v>
      </c>
      <c r="B77" s="105" t="s">
        <v>890</v>
      </c>
      <c r="C77" s="105" t="s">
        <v>280</v>
      </c>
      <c r="D77" s="293">
        <v>11494.91</v>
      </c>
      <c r="E77" s="293">
        <v>11494.91</v>
      </c>
      <c r="F77" s="293">
        <v>11494.91</v>
      </c>
      <c r="G77" s="293">
        <v>11494.91</v>
      </c>
      <c r="H77" s="293">
        <v>11494.91</v>
      </c>
      <c r="I77" s="293">
        <v>11494.91</v>
      </c>
      <c r="J77" s="293">
        <v>11494.91</v>
      </c>
      <c r="K77" s="293">
        <v>11494.91</v>
      </c>
      <c r="L77" s="293">
        <v>11494.91</v>
      </c>
      <c r="M77" s="293">
        <v>11494.91</v>
      </c>
      <c r="N77" s="293">
        <v>11494.91</v>
      </c>
      <c r="O77" s="293">
        <v>11494.91</v>
      </c>
      <c r="P77" s="227">
        <f t="shared" si="21"/>
        <v>137938.92000000001</v>
      </c>
      <c r="Q77" s="231">
        <v>677.93</v>
      </c>
      <c r="R77" s="231">
        <v>646.34</v>
      </c>
      <c r="S77" s="231">
        <v>677.93</v>
      </c>
      <c r="T77" s="231">
        <v>677.93</v>
      </c>
      <c r="U77" s="231">
        <v>649.24</v>
      </c>
      <c r="V77" s="231">
        <v>632.33000000000004</v>
      </c>
      <c r="W77" s="141">
        <v>713.34</v>
      </c>
      <c r="X77" s="141">
        <v>684.89</v>
      </c>
      <c r="Y77" s="141">
        <v>550</v>
      </c>
      <c r="Z77" s="141">
        <v>550</v>
      </c>
      <c r="AA77" s="141">
        <v>550</v>
      </c>
      <c r="AB77" s="124">
        <v>550</v>
      </c>
      <c r="AC77" s="302">
        <f t="shared" si="22"/>
        <v>7559.93</v>
      </c>
      <c r="AD77" s="141">
        <f t="shared" si="24"/>
        <v>-130378.99000000002</v>
      </c>
      <c r="AE77" s="192">
        <f t="shared" si="25"/>
        <v>-17.246057833868836</v>
      </c>
      <c r="AF77" s="228">
        <v>148689.35999999999</v>
      </c>
      <c r="AG77" s="123">
        <f t="shared" si="23"/>
        <v>10750.439999999973</v>
      </c>
    </row>
    <row r="78" spans="1:33">
      <c r="A78" s="105" t="s">
        <v>281</v>
      </c>
      <c r="B78" s="105" t="s">
        <v>890</v>
      </c>
      <c r="C78" s="105" t="s">
        <v>282</v>
      </c>
      <c r="D78" s="212">
        <v>10171</v>
      </c>
      <c r="E78" s="212">
        <v>9350</v>
      </c>
      <c r="F78" s="212">
        <v>9477</v>
      </c>
      <c r="G78" s="212">
        <v>10686</v>
      </c>
      <c r="H78" s="212">
        <v>11052</v>
      </c>
      <c r="I78" s="212">
        <v>10478</v>
      </c>
      <c r="J78" s="212">
        <v>10530</v>
      </c>
      <c r="K78" s="212">
        <v>10751</v>
      </c>
      <c r="L78" s="212">
        <v>10753</v>
      </c>
      <c r="M78" s="212">
        <v>10802</v>
      </c>
      <c r="N78" s="212">
        <v>10026</v>
      </c>
      <c r="O78" s="212">
        <v>10003</v>
      </c>
      <c r="P78" s="227">
        <f t="shared" si="21"/>
        <v>124079</v>
      </c>
      <c r="Q78" s="231">
        <v>5196.7700000000004</v>
      </c>
      <c r="R78" s="231">
        <v>6616.77</v>
      </c>
      <c r="S78" s="231">
        <v>5803.82</v>
      </c>
      <c r="T78" s="231">
        <v>6242.14</v>
      </c>
      <c r="U78" s="231">
        <v>6731.14</v>
      </c>
      <c r="V78" s="231">
        <v>6823.17</v>
      </c>
      <c r="W78" s="141">
        <v>6539.19</v>
      </c>
      <c r="X78" s="141">
        <v>8320.81</v>
      </c>
      <c r="Y78" s="141">
        <v>7404</v>
      </c>
      <c r="Z78" s="141">
        <v>7040</v>
      </c>
      <c r="AA78" s="141">
        <v>6585</v>
      </c>
      <c r="AB78" s="124">
        <v>6586</v>
      </c>
      <c r="AC78" s="302">
        <f t="shared" si="22"/>
        <v>79888.81</v>
      </c>
      <c r="AD78" s="141">
        <f t="shared" si="24"/>
        <v>-44190.19</v>
      </c>
      <c r="AE78" s="192">
        <f t="shared" si="25"/>
        <v>-0.55314617904560104</v>
      </c>
      <c r="AF78" s="228">
        <v>70226.799999999988</v>
      </c>
      <c r="AG78" s="123">
        <f t="shared" si="23"/>
        <v>-53852.200000000012</v>
      </c>
    </row>
    <row r="79" spans="1:33">
      <c r="A79" s="105" t="s">
        <v>137</v>
      </c>
      <c r="B79" s="105" t="s">
        <v>890</v>
      </c>
      <c r="C79" s="105" t="s">
        <v>283</v>
      </c>
      <c r="D79" s="212">
        <v>42389.440000000002</v>
      </c>
      <c r="E79" s="212">
        <v>36067.440000000002</v>
      </c>
      <c r="F79" s="212">
        <v>36085.94</v>
      </c>
      <c r="G79" s="212">
        <v>36536.94</v>
      </c>
      <c r="H79" s="212">
        <v>39181.440000000002</v>
      </c>
      <c r="I79" s="212">
        <v>36614.06</v>
      </c>
      <c r="J79" s="212">
        <v>36419.06</v>
      </c>
      <c r="K79" s="212">
        <v>36391.06</v>
      </c>
      <c r="L79" s="212">
        <v>36591.06</v>
      </c>
      <c r="M79" s="212">
        <v>41984.17</v>
      </c>
      <c r="N79" s="212">
        <v>36440.94</v>
      </c>
      <c r="O79" s="212">
        <v>36412.94</v>
      </c>
      <c r="P79" s="227">
        <f t="shared" si="21"/>
        <v>451114.49</v>
      </c>
      <c r="Q79" s="231">
        <v>26848.03</v>
      </c>
      <c r="R79" s="231">
        <v>41771.26</v>
      </c>
      <c r="S79" s="231">
        <v>40087.129999999997</v>
      </c>
      <c r="T79" s="231">
        <v>39935.47</v>
      </c>
      <c r="U79" s="231">
        <v>27632.89</v>
      </c>
      <c r="V79" s="231">
        <v>30583.08</v>
      </c>
      <c r="W79" s="141">
        <v>30724.09</v>
      </c>
      <c r="X79" s="141">
        <v>31666.97</v>
      </c>
      <c r="Y79" s="141">
        <v>34024</v>
      </c>
      <c r="Z79" s="141">
        <v>37607</v>
      </c>
      <c r="AA79" s="141">
        <v>34459</v>
      </c>
      <c r="AB79" s="124">
        <v>34459</v>
      </c>
      <c r="AC79" s="302">
        <f t="shared" si="22"/>
        <v>409797.92000000004</v>
      </c>
      <c r="AD79" s="141">
        <f t="shared" si="24"/>
        <v>-41316.569999999949</v>
      </c>
      <c r="AE79" s="192">
        <f t="shared" si="25"/>
        <v>-0.10082181481057773</v>
      </c>
      <c r="AF79" s="228">
        <v>558549.03</v>
      </c>
      <c r="AG79" s="123">
        <f t="shared" si="23"/>
        <v>107434.54000000004</v>
      </c>
    </row>
    <row r="80" spans="1:33">
      <c r="A80" s="105" t="s">
        <v>138</v>
      </c>
      <c r="B80" s="105" t="s">
        <v>890</v>
      </c>
      <c r="C80" s="105" t="s">
        <v>881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>
        <v>0</v>
      </c>
      <c r="J80" s="124">
        <v>0</v>
      </c>
      <c r="K80" s="124">
        <v>0</v>
      </c>
      <c r="L80" s="124">
        <v>0</v>
      </c>
      <c r="M80" s="124">
        <v>0</v>
      </c>
      <c r="N80" s="124">
        <v>0</v>
      </c>
      <c r="O80" s="124">
        <v>0</v>
      </c>
      <c r="P80" s="227"/>
      <c r="Q80" s="231"/>
      <c r="R80" s="231"/>
      <c r="S80" s="231"/>
      <c r="T80" s="231"/>
      <c r="U80" s="231"/>
      <c r="V80" s="231"/>
      <c r="W80" s="141">
        <v>0</v>
      </c>
      <c r="X80" s="141">
        <v>0</v>
      </c>
      <c r="Y80" s="141">
        <v>0</v>
      </c>
      <c r="Z80" s="141">
        <v>0</v>
      </c>
      <c r="AA80" s="141">
        <v>0</v>
      </c>
      <c r="AB80" s="124">
        <v>0</v>
      </c>
      <c r="AC80" s="302">
        <f t="shared" si="22"/>
        <v>0</v>
      </c>
      <c r="AD80" s="141"/>
      <c r="AF80" s="228">
        <v>0</v>
      </c>
      <c r="AG80" s="123">
        <f t="shared" si="23"/>
        <v>0</v>
      </c>
    </row>
    <row r="81" spans="1:33">
      <c r="A81" s="105" t="s">
        <v>140</v>
      </c>
      <c r="B81" s="105" t="s">
        <v>890</v>
      </c>
      <c r="C81" s="105" t="s">
        <v>882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227"/>
      <c r="Q81" s="231"/>
      <c r="R81" s="231"/>
      <c r="S81" s="231"/>
      <c r="T81" s="231"/>
      <c r="U81" s="231"/>
      <c r="V81" s="231"/>
      <c r="W81" s="141">
        <v>0</v>
      </c>
      <c r="X81" s="141">
        <v>0</v>
      </c>
      <c r="Y81" s="141">
        <v>0</v>
      </c>
      <c r="Z81" s="141">
        <v>0</v>
      </c>
      <c r="AA81" s="141">
        <v>0</v>
      </c>
      <c r="AB81" s="124">
        <v>0</v>
      </c>
      <c r="AC81" s="302">
        <f t="shared" si="22"/>
        <v>0</v>
      </c>
      <c r="AD81" s="141"/>
      <c r="AF81" s="228">
        <v>0</v>
      </c>
      <c r="AG81" s="123">
        <f t="shared" si="23"/>
        <v>0</v>
      </c>
    </row>
    <row r="82" spans="1:33">
      <c r="C82" s="109" t="s">
        <v>286</v>
      </c>
      <c r="D82" s="133">
        <f t="shared" ref="D82:I82" si="26">SUM(D73:D79)</f>
        <v>69222</v>
      </c>
      <c r="E82" s="133">
        <f t="shared" si="26"/>
        <v>62079</v>
      </c>
      <c r="F82" s="133">
        <f t="shared" si="26"/>
        <v>62224.5</v>
      </c>
      <c r="G82" s="133">
        <f t="shared" si="26"/>
        <v>63884.5</v>
      </c>
      <c r="H82" s="133">
        <f t="shared" si="26"/>
        <v>66895</v>
      </c>
      <c r="I82" s="133">
        <f t="shared" si="26"/>
        <v>63753.619999999995</v>
      </c>
      <c r="J82" s="133">
        <f t="shared" ref="J82:P82" si="27">SUM(J73:J81)</f>
        <v>63610.619999999995</v>
      </c>
      <c r="K82" s="133">
        <f t="shared" si="27"/>
        <v>63803.619999999995</v>
      </c>
      <c r="L82" s="133">
        <f t="shared" si="27"/>
        <v>64005.619999999995</v>
      </c>
      <c r="M82" s="133">
        <f t="shared" si="27"/>
        <v>69447.73</v>
      </c>
      <c r="N82" s="133">
        <f t="shared" si="27"/>
        <v>63128.5</v>
      </c>
      <c r="O82" s="133">
        <f t="shared" si="27"/>
        <v>63077.5</v>
      </c>
      <c r="P82" s="227">
        <f t="shared" si="27"/>
        <v>775132.21</v>
      </c>
      <c r="Q82" s="145">
        <f t="shared" ref="Q82:AC82" si="28">SUM(Q73:Q79)</f>
        <v>36571.360000000001</v>
      </c>
      <c r="R82" s="145">
        <f t="shared" si="28"/>
        <v>53840.37</v>
      </c>
      <c r="S82" s="145">
        <f t="shared" si="28"/>
        <v>51723.88</v>
      </c>
      <c r="T82" s="145">
        <f t="shared" si="28"/>
        <v>51849.54</v>
      </c>
      <c r="U82" s="145">
        <f t="shared" si="28"/>
        <v>40168.270000000004</v>
      </c>
      <c r="V82" s="145">
        <f t="shared" si="28"/>
        <v>43032.58</v>
      </c>
      <c r="W82" s="145">
        <f t="shared" si="28"/>
        <v>43131.619999999995</v>
      </c>
      <c r="X82" s="145">
        <f t="shared" si="28"/>
        <v>45827.67</v>
      </c>
      <c r="Y82" s="145">
        <f t="shared" si="28"/>
        <v>46978</v>
      </c>
      <c r="Z82" s="145">
        <f t="shared" si="28"/>
        <v>50197</v>
      </c>
      <c r="AA82" s="145">
        <f t="shared" si="28"/>
        <v>46594</v>
      </c>
      <c r="AB82" s="133">
        <f t="shared" si="28"/>
        <v>46595</v>
      </c>
      <c r="AC82" s="306">
        <f t="shared" si="28"/>
        <v>556509.29</v>
      </c>
      <c r="AD82" s="142">
        <f t="shared" si="24"/>
        <v>-218622.91999999993</v>
      </c>
      <c r="AE82" s="132">
        <f t="shared" si="25"/>
        <v>-0.39284684717482415</v>
      </c>
      <c r="AF82" s="228">
        <v>809417.98</v>
      </c>
      <c r="AG82" s="123">
        <f t="shared" si="23"/>
        <v>34285.770000000019</v>
      </c>
    </row>
    <row r="83" spans="1:33">
      <c r="C83" s="109" t="s">
        <v>287</v>
      </c>
      <c r="D83" s="133">
        <f t="shared" ref="D83:AC83" si="29">D82+D71+D61+D54</f>
        <v>483325.66000000003</v>
      </c>
      <c r="E83" s="133">
        <f t="shared" si="29"/>
        <v>469239.76</v>
      </c>
      <c r="F83" s="133">
        <f t="shared" si="29"/>
        <v>469385.26</v>
      </c>
      <c r="G83" s="133">
        <f t="shared" si="29"/>
        <v>480892.43</v>
      </c>
      <c r="H83" s="133">
        <f t="shared" si="29"/>
        <v>484423.28</v>
      </c>
      <c r="I83" s="133">
        <f t="shared" si="29"/>
        <v>479678.48</v>
      </c>
      <c r="J83" s="133">
        <f t="shared" si="29"/>
        <v>482070.24</v>
      </c>
      <c r="K83" s="133">
        <f t="shared" si="29"/>
        <v>481519.93</v>
      </c>
      <c r="L83" s="133">
        <f t="shared" si="29"/>
        <v>481721.93</v>
      </c>
      <c r="M83" s="133">
        <f t="shared" si="29"/>
        <v>493804.39</v>
      </c>
      <c r="N83" s="133">
        <f t="shared" si="29"/>
        <v>481588.12</v>
      </c>
      <c r="O83" s="133">
        <f t="shared" si="29"/>
        <v>480793.81</v>
      </c>
      <c r="P83" s="227">
        <f t="shared" si="29"/>
        <v>5768443.290000001</v>
      </c>
      <c r="Q83" s="145">
        <f t="shared" si="29"/>
        <v>496925.48</v>
      </c>
      <c r="R83" s="145">
        <f t="shared" si="29"/>
        <v>515631.43000000005</v>
      </c>
      <c r="S83" s="145">
        <f t="shared" si="29"/>
        <v>518045.20999999996</v>
      </c>
      <c r="T83" s="145">
        <f t="shared" si="29"/>
        <v>489466.79000000004</v>
      </c>
      <c r="U83" s="145">
        <f t="shared" si="29"/>
        <v>470644.92</v>
      </c>
      <c r="V83" s="145">
        <f t="shared" si="29"/>
        <v>473667.06</v>
      </c>
      <c r="W83" s="145">
        <f t="shared" si="29"/>
        <v>450409.06</v>
      </c>
      <c r="X83" s="145">
        <f t="shared" si="29"/>
        <v>458563.92000000004</v>
      </c>
      <c r="Y83" s="145">
        <f t="shared" si="29"/>
        <v>475752</v>
      </c>
      <c r="Z83" s="145">
        <f t="shared" si="29"/>
        <v>481144</v>
      </c>
      <c r="AA83" s="145">
        <f t="shared" si="29"/>
        <v>474392</v>
      </c>
      <c r="AB83" s="133">
        <f t="shared" si="29"/>
        <v>474613.01</v>
      </c>
      <c r="AC83" s="306">
        <f t="shared" si="29"/>
        <v>5779254.8800000008</v>
      </c>
      <c r="AD83" s="142">
        <f t="shared" si="24"/>
        <v>10811.589999999851</v>
      </c>
      <c r="AE83" s="132">
        <f t="shared" si="25"/>
        <v>1.8707584670499685E-3</v>
      </c>
      <c r="AF83" s="228">
        <v>4857959.3600000003</v>
      </c>
      <c r="AG83" s="123">
        <f t="shared" si="23"/>
        <v>-910483.93000000063</v>
      </c>
    </row>
    <row r="84" spans="1:33">
      <c r="C84" s="105" t="s">
        <v>154</v>
      </c>
      <c r="AC84" s="227"/>
      <c r="AF84" s="228"/>
      <c r="AG84" s="123">
        <f t="shared" si="23"/>
        <v>0</v>
      </c>
    </row>
    <row r="85" spans="1:33" s="256" customFormat="1">
      <c r="A85" s="109" t="s">
        <v>141</v>
      </c>
      <c r="B85" s="256" t="s">
        <v>890</v>
      </c>
      <c r="C85" s="256" t="s">
        <v>288</v>
      </c>
      <c r="D85" s="215">
        <v>34</v>
      </c>
      <c r="E85" s="215">
        <v>34</v>
      </c>
      <c r="F85" s="215">
        <v>34</v>
      </c>
      <c r="G85" s="215">
        <v>34</v>
      </c>
      <c r="H85" s="215">
        <v>34</v>
      </c>
      <c r="I85" s="215">
        <v>34</v>
      </c>
      <c r="J85" s="215">
        <v>34</v>
      </c>
      <c r="K85" s="215">
        <v>34</v>
      </c>
      <c r="L85" s="215">
        <v>34</v>
      </c>
      <c r="M85" s="215">
        <v>34</v>
      </c>
      <c r="N85" s="215">
        <v>34</v>
      </c>
      <c r="O85" s="215">
        <v>34</v>
      </c>
      <c r="P85" s="224">
        <f>SUM(D85:O85)/12</f>
        <v>34</v>
      </c>
      <c r="Q85" s="256">
        <v>34</v>
      </c>
      <c r="R85" s="256">
        <v>34</v>
      </c>
      <c r="S85" s="256">
        <v>34</v>
      </c>
      <c r="T85" s="256">
        <v>34</v>
      </c>
      <c r="U85" s="256">
        <v>33</v>
      </c>
      <c r="V85" s="256">
        <v>32</v>
      </c>
      <c r="W85" s="142">
        <v>32</v>
      </c>
      <c r="X85" s="142">
        <v>32</v>
      </c>
      <c r="Y85" s="142">
        <v>36</v>
      </c>
      <c r="Z85" s="142">
        <v>36</v>
      </c>
      <c r="AA85" s="142">
        <v>36</v>
      </c>
      <c r="AB85" s="142">
        <v>36</v>
      </c>
      <c r="AC85" s="308">
        <f>SUM(Q85:AB85)/12</f>
        <v>34.083333333333336</v>
      </c>
      <c r="AD85" s="294">
        <f>AC85-P85</f>
        <v>8.3333333333335702E-2</v>
      </c>
      <c r="AE85" s="295"/>
      <c r="AF85" s="308">
        <v>32.166666666666664</v>
      </c>
      <c r="AG85" s="296">
        <f t="shared" si="23"/>
        <v>-1.8333333333333357</v>
      </c>
    </row>
    <row r="86" spans="1:33">
      <c r="AC86" s="227"/>
    </row>
    <row r="88" spans="1:33">
      <c r="C88" s="105" t="s">
        <v>883</v>
      </c>
      <c r="D88" s="141">
        <f>'2025 Summay'!E16</f>
        <v>39233149</v>
      </c>
      <c r="E88" s="141">
        <f>'2025 Summay'!F16</f>
        <v>43452422</v>
      </c>
      <c r="F88" s="141">
        <f>'2025 Summay'!G16</f>
        <v>27030377</v>
      </c>
      <c r="G88" s="141">
        <f>'2025 Summay'!H16</f>
        <v>25027257</v>
      </c>
      <c r="H88" s="141">
        <f>'2025 Summay'!I16</f>
        <v>23807640</v>
      </c>
      <c r="I88" s="141">
        <f>'2025 Summay'!J16</f>
        <v>21296011</v>
      </c>
      <c r="J88" s="141">
        <f>'2025 Summay'!K16</f>
        <v>30906188</v>
      </c>
      <c r="K88" s="141">
        <f>'2025 Summay'!L16</f>
        <v>34819289</v>
      </c>
      <c r="L88" s="141">
        <f>'2025 Summay'!M16</f>
        <v>20076077</v>
      </c>
      <c r="M88" s="141">
        <f>'2025 Summay'!N16</f>
        <v>25381394</v>
      </c>
      <c r="N88" s="141">
        <f>'2025 Summay'!O16</f>
        <v>21936590</v>
      </c>
      <c r="O88" s="141">
        <f>'2025 Summay'!P16</f>
        <v>27659550</v>
      </c>
      <c r="P88" s="309">
        <f>SUM(D88:O88)</f>
        <v>340625944</v>
      </c>
      <c r="Q88" s="284" t="e">
        <f>SUM(#REF!)</f>
        <v>#REF!</v>
      </c>
      <c r="R88" s="284" t="e">
        <f>SUM(#REF!)</f>
        <v>#REF!</v>
      </c>
      <c r="S88" s="284" t="e">
        <f>SUM(#REF!)</f>
        <v>#REF!</v>
      </c>
      <c r="T88" s="284">
        <f>SUM(A88:L88)</f>
        <v>265648410</v>
      </c>
      <c r="U88" s="284">
        <f>SUM(B88:M88)</f>
        <v>291029804</v>
      </c>
      <c r="V88" s="284">
        <f>SUM(C88:N88)</f>
        <v>312966394</v>
      </c>
      <c r="W88" s="284">
        <f>SUM(D88:O88)</f>
        <v>340625944</v>
      </c>
      <c r="X88" s="284">
        <f>SUM(E88:P88)</f>
        <v>642018739</v>
      </c>
      <c r="Y88" s="284"/>
    </row>
    <row r="90" spans="1:33">
      <c r="C90" s="151" t="s">
        <v>292</v>
      </c>
      <c r="D90" s="124">
        <v>0</v>
      </c>
      <c r="E90" s="124">
        <v>0</v>
      </c>
      <c r="F90" s="124">
        <v>0</v>
      </c>
      <c r="G90" s="124">
        <v>0</v>
      </c>
      <c r="H90" s="124">
        <v>0</v>
      </c>
      <c r="I90" s="124">
        <v>0</v>
      </c>
      <c r="J90" s="124">
        <v>0</v>
      </c>
      <c r="K90" s="124">
        <v>0</v>
      </c>
      <c r="L90" s="124">
        <v>0</v>
      </c>
      <c r="M90" s="124">
        <v>0</v>
      </c>
      <c r="N90" s="124">
        <v>0</v>
      </c>
      <c r="O90" s="124">
        <v>0</v>
      </c>
      <c r="P90" s="227">
        <f t="shared" ref="P90:P92" si="30">SUM(D90:O90)</f>
        <v>0</v>
      </c>
    </row>
    <row r="91" spans="1:33">
      <c r="C91" s="152" t="s">
        <v>366</v>
      </c>
      <c r="D91" s="136">
        <v>0</v>
      </c>
      <c r="E91" s="136">
        <v>0</v>
      </c>
      <c r="F91" s="136">
        <v>0</v>
      </c>
      <c r="G91" s="136">
        <v>0</v>
      </c>
      <c r="H91" s="136">
        <v>0</v>
      </c>
      <c r="I91" s="136">
        <v>0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227">
        <f t="shared" si="30"/>
        <v>0</v>
      </c>
      <c r="Q91" s="310">
        <f>Q36/'2025 Summay'!R16</f>
        <v>1.591826228074055E-3</v>
      </c>
      <c r="R91" s="310">
        <f>R36/'2025 Summay'!S16</f>
        <v>1.4768675310675016E-3</v>
      </c>
      <c r="S91" s="310">
        <f>S36/'2025 Summay'!T16</f>
        <v>8.5548686590775156E-4</v>
      </c>
      <c r="T91" s="310">
        <f>T36/'2025 Summay'!U16</f>
        <v>1.0558124031587594E-3</v>
      </c>
      <c r="U91" s="310">
        <f>U36/'2025 Summay'!V16</f>
        <v>1.1976870882930682E-3</v>
      </c>
      <c r="V91" s="310">
        <f>V36/'2025 Summay'!W16</f>
        <v>9.5271779249931287E-4</v>
      </c>
      <c r="W91" s="310">
        <f>W36/'2025 Summay'!X16</f>
        <v>9.9127865551097249E-4</v>
      </c>
      <c r="X91" s="310">
        <f>X36/'2025 Summay'!Y16</f>
        <v>1.1229756845965672E-3</v>
      </c>
      <c r="Y91" s="310">
        <f>Y36/'2025 Summay'!Z16</f>
        <v>9.5001608059353177E-4</v>
      </c>
      <c r="Z91" s="310">
        <f>Z36/'2025 Summay'!AA16</f>
        <v>9.5000893020020215E-4</v>
      </c>
      <c r="AA91" s="310">
        <f>AA36/'2025 Summay'!AB16</f>
        <v>9.4999868171989101E-4</v>
      </c>
      <c r="AB91" s="310">
        <f>AB36/'2025 Summay'!AC16</f>
        <v>9.4999526305874604E-4</v>
      </c>
      <c r="AC91" s="310">
        <f>AC36/'2025 Summay'!AD16</f>
        <v>1.1564201541607517E-3</v>
      </c>
    </row>
    <row r="92" spans="1:33">
      <c r="C92" s="151" t="s">
        <v>367</v>
      </c>
      <c r="D92" s="136">
        <v>0</v>
      </c>
      <c r="E92" s="136">
        <v>0</v>
      </c>
      <c r="F92" s="136">
        <v>0</v>
      </c>
      <c r="G92" s="136">
        <v>0</v>
      </c>
      <c r="H92" s="136">
        <v>0</v>
      </c>
      <c r="I92" s="136">
        <v>0</v>
      </c>
      <c r="J92" s="136">
        <v>0</v>
      </c>
      <c r="K92" s="136">
        <v>0</v>
      </c>
      <c r="L92" s="136">
        <v>0</v>
      </c>
      <c r="M92" s="136">
        <v>0</v>
      </c>
      <c r="N92" s="136">
        <v>0</v>
      </c>
      <c r="O92" s="136">
        <v>0</v>
      </c>
      <c r="P92" s="227">
        <f t="shared" si="30"/>
        <v>0</v>
      </c>
      <c r="Q92" s="310">
        <f>Q37/'2025 Summay'!R16</f>
        <v>3.2227744173962539E-5</v>
      </c>
      <c r="R92" s="310">
        <f>R37/'2025 Summay'!S16</f>
        <v>3.0309352147309997E-5</v>
      </c>
      <c r="S92" s="310">
        <f>S37/'2025 Summay'!T16</f>
        <v>6.9591248894190446E-5</v>
      </c>
      <c r="T92" s="310">
        <f>T37/'2025 Summay'!U16</f>
        <v>7.9237240440739381E-5</v>
      </c>
      <c r="U92" s="310">
        <f>U37/'2025 Summay'!V16</f>
        <v>5.8096353353220559E-5</v>
      </c>
      <c r="V92" s="310">
        <f>V37/'2025 Summay'!W16</f>
        <v>3.4863651466040166E-5</v>
      </c>
      <c r="W92" s="310">
        <f>W37/'2025 Summay'!X16</f>
        <v>4.8504962413954319E-5</v>
      </c>
      <c r="X92" s="310">
        <f>X37/'2025 Summay'!Y16</f>
        <v>4.2736815487641484E-5</v>
      </c>
      <c r="Y92" s="310">
        <f>Y37/'2025 Summay'!Z16</f>
        <v>4.5024709544725744E-5</v>
      </c>
      <c r="Z92" s="310">
        <f>Z37/'2025 Summay'!AA16</f>
        <v>4.4983007802946595E-5</v>
      </c>
      <c r="AA92" s="310">
        <f>AA37/'2025 Summay'!AB16</f>
        <v>4.5013255844221863E-5</v>
      </c>
      <c r="AB92" s="310">
        <f>AB37/'2025 Summay'!AC16</f>
        <v>4.5001042183226928E-5</v>
      </c>
      <c r="AC92" s="310">
        <f>AC37/'2025 Summay'!AD16</f>
        <v>4.5686788357261345E-5</v>
      </c>
    </row>
    <row r="93" spans="1:33">
      <c r="C93" s="109" t="s">
        <v>476</v>
      </c>
      <c r="D93" s="117">
        <f>SUM(D90:D92)</f>
        <v>0</v>
      </c>
      <c r="E93" s="117">
        <f t="shared" ref="E93:P93" si="31">SUM(E90:E92)</f>
        <v>0</v>
      </c>
      <c r="F93" s="117">
        <f t="shared" si="31"/>
        <v>0</v>
      </c>
      <c r="G93" s="117">
        <f t="shared" si="31"/>
        <v>0</v>
      </c>
      <c r="H93" s="117">
        <f t="shared" si="31"/>
        <v>0</v>
      </c>
      <c r="I93" s="117">
        <f t="shared" si="31"/>
        <v>0</v>
      </c>
      <c r="J93" s="117">
        <f t="shared" si="31"/>
        <v>0</v>
      </c>
      <c r="K93" s="117">
        <f t="shared" si="31"/>
        <v>0</v>
      </c>
      <c r="L93" s="117">
        <f t="shared" si="31"/>
        <v>0</v>
      </c>
      <c r="M93" s="117">
        <f t="shared" si="31"/>
        <v>0</v>
      </c>
      <c r="N93" s="117">
        <f t="shared" si="31"/>
        <v>0</v>
      </c>
      <c r="O93" s="117">
        <f t="shared" si="31"/>
        <v>0</v>
      </c>
      <c r="P93" s="117">
        <f t="shared" si="31"/>
        <v>0</v>
      </c>
    </row>
  </sheetData>
  <phoneticPr fontId="7" type="noConversion"/>
  <dataValidations count="226">
    <dataValidation type="textLength" errorStyle="information" allowBlank="1" showInputMessage="1" showErrorMessage="1" error="XLBVal:6=32_x000d__x000a_" sqref="V85">
      <formula1>0</formula1>
      <formula2>300</formula2>
    </dataValidation>
    <dataValidation type="textLength" errorStyle="information" allowBlank="1" showInputMessage="1" showErrorMessage="1" error="XLBVal:6=3904.08_x000d__x000a_" sqref="T60">
      <formula1>0</formula1>
      <formula2>300</formula2>
    </dataValidation>
    <dataValidation type="textLength" errorStyle="information" allowBlank="1" showInputMessage="1" showErrorMessage="1" error="XLBVal:6=2095.92_x000d__x000a_" sqref="S60">
      <formula1>0</formula1>
      <formula2>300</formula2>
    </dataValidation>
    <dataValidation type="textLength" errorStyle="information" allowBlank="1" showInputMessage="1" showErrorMessage="1" error="XLBVal:6=-1.3_x000d__x000a_" sqref="U35">
      <formula1>0</formula1>
      <formula2>300</formula2>
    </dataValidation>
    <dataValidation type="textLength" errorStyle="information" allowBlank="1" showInputMessage="1" showErrorMessage="1" error="XLBVal:6=-44.9_x000d__x000a_" sqref="S35">
      <formula1>0</formula1>
      <formula2>300</formula2>
    </dataValidation>
    <dataValidation type="textLength" errorStyle="information" allowBlank="1" showInputMessage="1" showErrorMessage="1" error="XLBVal:6=-15772.66_x000d__x000a_" sqref="T29">
      <formula1>0</formula1>
      <formula2>300</formula2>
    </dataValidation>
    <dataValidation type="textLength" errorStyle="information" allowBlank="1" showInputMessage="1" showErrorMessage="1" error="XLBVal:6=-32.54_x000d__x000a_" sqref="S29">
      <formula1>0</formula1>
      <formula2>300</formula2>
    </dataValidation>
    <dataValidation type="textLength" errorStyle="information" allowBlank="1" showInputMessage="1" showErrorMessage="1" error="XLBVal:6=-37.89_x000d__x000a_" sqref="Q29">
      <formula1>0</formula1>
      <formula2>300</formula2>
    </dataValidation>
    <dataValidation type="textLength" errorStyle="information" allowBlank="1" showInputMessage="1" showErrorMessage="1" error="XLBVal:6=8580.06_x000d__x000a_" sqref="T26">
      <formula1>0</formula1>
      <formula2>300</formula2>
    </dataValidation>
    <dataValidation type="textLength" errorStyle="information" allowBlank="1" showInputMessage="1" showErrorMessage="1" error="XLBVal:6=452.68_x000d__x000a_" sqref="V20">
      <formula1>0</formula1>
      <formula2>300</formula2>
    </dataValidation>
    <dataValidation type="textLength" errorStyle="information" allowBlank="1" showInputMessage="1" showErrorMessage="1" error="XLBVal:6=106.6_x000d__x000a_" sqref="S20">
      <formula1>0</formula1>
      <formula2>300</formula2>
    </dataValidation>
    <dataValidation type="textLength" errorStyle="information" allowBlank="1" showInputMessage="1" showErrorMessage="1" error="XLBVal:6=182.08_x000d__x000a_" sqref="Q20">
      <formula1>0</formula1>
      <formula2>300</formula2>
    </dataValidation>
    <dataValidation type="textLength" errorStyle="information" allowBlank="1" showInputMessage="1" showErrorMessage="1" error="XLBVal:6=-38.4_x000d__x000a_" sqref="T18">
      <formula1>0</formula1>
      <formula2>300</formula2>
    </dataValidation>
    <dataValidation type="textLength" errorStyle="information" allowBlank="1" showInputMessage="1" showErrorMessage="1" error="XLBVal:6=1682_x000d__x000a_" sqref="T15">
      <formula1>0</formula1>
      <formula2>300</formula2>
    </dataValidation>
    <dataValidation type="textLength" errorStyle="information" allowBlank="1" showInputMessage="1" showErrorMessage="1" error="XLBVal:6=34143_x000d__x000a_" sqref="D52:D53 D56:O60 D63:O70 D73:O77 D85:O85">
      <formula1>0</formula1>
      <formula2>300</formula2>
    </dataValidation>
    <dataValidation type="textLength" errorStyle="information" allowBlank="1" showInputMessage="1" showErrorMessage="1" error="XLBVal:6=44280.43_x000d__x000a_" sqref="V57">
      <formula1>0</formula1>
      <formula2>300</formula2>
    </dataValidation>
    <dataValidation type="textLength" errorStyle="information" allowBlank="1" showInputMessage="1" showErrorMessage="1" error="XLBVal:6=44843.41_x000d__x000a_" sqref="U57">
      <formula1>0</formula1>
      <formula2>300</formula2>
    </dataValidation>
    <dataValidation type="textLength" errorStyle="information" allowBlank="1" showInputMessage="1" showErrorMessage="1" error="XLBVal:6=44379.38_x000d__x000a_" sqref="T57">
      <formula1>0</formula1>
      <formula2>300</formula2>
    </dataValidation>
    <dataValidation type="textLength" errorStyle="information" allowBlank="1" showInputMessage="1" showErrorMessage="1" error="XLBVal:6=67428.7_x000d__x000a_" sqref="S57">
      <formula1>0</formula1>
      <formula2>300</formula2>
    </dataValidation>
    <dataValidation type="textLength" errorStyle="information" allowBlank="1" showInputMessage="1" showErrorMessage="1" error="XLBVal:6=441.39_x000d__x000a_" sqref="T56 V56">
      <formula1>0</formula1>
      <formula2>300</formula2>
    </dataValidation>
    <dataValidation type="textLength" errorStyle="information" allowBlank="1" showInputMessage="1" showErrorMessage="1" error="XLBVal:6=5117.3_x000d__x000a_" sqref="Q56">
      <formula1>0</formula1>
      <formula2>300</formula2>
    </dataValidation>
    <dataValidation type="textLength" errorStyle="information" allowBlank="1" showInputMessage="1" showErrorMessage="1" error="XLBVal:6=-14.59_x000d__x000a_" sqref="V29">
      <formula1>0</formula1>
      <formula2>300</formula2>
    </dataValidation>
    <dataValidation type="textLength" errorStyle="information" allowBlank="1" showInputMessage="1" showErrorMessage="1" error="XLBVal:6=-32.71_x000d__x000a_" sqref="U29">
      <formula1>0</formula1>
      <formula2>300</formula2>
    </dataValidation>
    <dataValidation type="textLength" errorStyle="information" allowBlank="1" showInputMessage="1" showErrorMessage="1" error="XLBVal:6=6506_x000d__x000a_" sqref="Q18:S18">
      <formula1>0</formula1>
      <formula2>300</formula2>
    </dataValidation>
    <dataValidation type="textLength" errorStyle="information" allowBlank="1" showInputMessage="1" showErrorMessage="1" error="XLBVal:6=284.07_x000d__x000a_" sqref="AB45">
      <formula1>0</formula1>
      <formula2>300</formula2>
    </dataValidation>
    <dataValidation type="textLength" errorStyle="information" allowBlank="1" showInputMessage="1" showErrorMessage="1" error="XLBVal:6=1837.3_x000d__x000a_" sqref="AB37">
      <formula1>0</formula1>
      <formula2>300</formula2>
    </dataValidation>
    <dataValidation type="textLength" errorStyle="information" allowBlank="1" showInputMessage="1" showErrorMessage="1" error="XLBVal:6=36606_x000d__x000a_" sqref="AB36">
      <formula1>0</formula1>
      <formula2>300</formula2>
    </dataValidation>
    <dataValidation type="textLength" errorStyle="information" allowBlank="1" showInputMessage="1" showErrorMessage="1" error="XLBVal:6=-110_x000d__x000a_" sqref="AB35">
      <formula1>0</formula1>
      <formula2>300</formula2>
    </dataValidation>
    <dataValidation type="textLength" errorStyle="information" allowBlank="1" showInputMessage="1" showErrorMessage="1" error="XLBVal:6=4781.87_x000d__x000a_" sqref="AB25">
      <formula1>0</formula1>
      <formula2>300</formula2>
    </dataValidation>
    <dataValidation type="textLength" errorStyle="information" allowBlank="1" showInputMessage="1" showErrorMessage="1" error="XLBVal:6=1446.51_x000d__x000a_" sqref="AB24">
      <formula1>0</formula1>
      <formula2>300</formula2>
    </dataValidation>
    <dataValidation type="textLength" errorStyle="information" allowBlank="1" showInputMessage="1" showErrorMessage="1" error="XLBVal:6=408.88_x000d__x000a_" sqref="AB22">
      <formula1>0</formula1>
      <formula2>300</formula2>
    </dataValidation>
    <dataValidation type="textLength" errorStyle="information" allowBlank="1" showInputMessage="1" showErrorMessage="1" error="XLBVal:6=3025_x000d__x000a_" sqref="AB21">
      <formula1>0</formula1>
      <formula2>300</formula2>
    </dataValidation>
    <dataValidation type="textLength" errorStyle="information" allowBlank="1" showInputMessage="1" showErrorMessage="1" error="XLBVal:6=516_x000d__x000a_" sqref="AB20">
      <formula1>0</formula1>
      <formula2>300</formula2>
    </dataValidation>
    <dataValidation type="textLength" errorStyle="information" allowBlank="1" showInputMessage="1" showErrorMessage="1" error="XLBVal:6=6943.13_x000d__x000a_" sqref="AA45">
      <formula1>0</formula1>
      <formula2>300</formula2>
    </dataValidation>
    <dataValidation type="textLength" errorStyle="information" allowBlank="1" showInputMessage="1" showErrorMessage="1" error="XLBVal:6=12090.69_x000d__x000a_" sqref="Z45">
      <formula1>0</formula1>
      <formula2>300</formula2>
    </dataValidation>
    <dataValidation type="textLength" errorStyle="information" allowBlank="1" showInputMessage="1" showErrorMessage="1" error="XLBVal:6=2270_x000d__x000a_" sqref="AA37">
      <formula1>0</formula1>
      <formula2>300</formula2>
    </dataValidation>
    <dataValidation type="textLength" errorStyle="information" allowBlank="1" showInputMessage="1" showErrorMessage="1" error="XLBVal:6=1275_x000d__x000a_" sqref="Z37">
      <formula1>0</formula1>
      <formula2>300</formula2>
    </dataValidation>
    <dataValidation type="textLength" errorStyle="information" allowBlank="1" showInputMessage="1" showErrorMessage="1" error="XLBVal:6=20066.86_x000d__x000a_" sqref="AA36">
      <formula1>0</formula1>
      <formula2>300</formula2>
    </dataValidation>
    <dataValidation type="textLength" errorStyle="information" allowBlank="1" showInputMessage="1" showErrorMessage="1" error="XLBVal:6=15716.24_x000d__x000a_" sqref="Z36">
      <formula1>0</formula1>
      <formula2>300</formula2>
    </dataValidation>
    <dataValidation type="textLength" errorStyle="information" allowBlank="1" showInputMessage="1" showErrorMessage="1" error="XLBVal:6=-7.8_x000d__x000a_" sqref="AA35">
      <formula1>0</formula1>
      <formula2>300</formula2>
    </dataValidation>
    <dataValidation type="textLength" errorStyle="information" allowBlank="1" showInputMessage="1" showErrorMessage="1" error="XLBVal:6=-0.9_x000d__x000a_" sqref="Z35">
      <formula1>0</formula1>
      <formula2>300</formula2>
    </dataValidation>
    <dataValidation type="textLength" errorStyle="information" allowBlank="1" showInputMessage="1" showErrorMessage="1" error="XLBVal:6=4137.33_x000d__x000a_" sqref="AA25">
      <formula1>0</formula1>
      <formula2>300</formula2>
    </dataValidation>
    <dataValidation type="textLength" errorStyle="information" allowBlank="1" showInputMessage="1" showErrorMessage="1" error="XLBVal:6=12614.39_x000d__x000a_" sqref="Z25">
      <formula1>0</formula1>
      <formula2>300</formula2>
    </dataValidation>
    <dataValidation type="textLength" errorStyle="information" allowBlank="1" showInputMessage="1" showErrorMessage="1" error="XLBVal:6=1998.23_x000d__x000a_" sqref="AA24">
      <formula1>0</formula1>
      <formula2>300</formula2>
    </dataValidation>
    <dataValidation type="textLength" errorStyle="information" allowBlank="1" showInputMessage="1" showErrorMessage="1" error="XLBVal:6=1522.3_x000d__x000a_" sqref="Z24">
      <formula1>0</formula1>
      <formula2>300</formula2>
    </dataValidation>
    <dataValidation type="textLength" errorStyle="information" allowBlank="1" showInputMessage="1" showErrorMessage="1" error="XLBVal:6=507.82_x000d__x000a_" sqref="AA22">
      <formula1>0</formula1>
      <formula2>300</formula2>
    </dataValidation>
    <dataValidation type="textLength" errorStyle="information" allowBlank="1" showInputMessage="1" showErrorMessage="1" error="XLBVal:6=348.77_x000d__x000a_" sqref="Z22">
      <formula1>0</formula1>
      <formula2>300</formula2>
    </dataValidation>
    <dataValidation type="textLength" errorStyle="information" allowBlank="1" showInputMessage="1" showErrorMessage="1" error="XLBVal:6=3871.72_x000d__x000a_" sqref="AA21">
      <formula1>0</formula1>
      <formula2>300</formula2>
    </dataValidation>
    <dataValidation type="textLength" errorStyle="information" allowBlank="1" showInputMessage="1" showErrorMessage="1" error="XLBVal:6=3904.98_x000d__x000a_" sqref="Z21">
      <formula1>0</formula1>
      <formula2>300</formula2>
    </dataValidation>
    <dataValidation type="textLength" errorStyle="information" allowBlank="1" showInputMessage="1" showErrorMessage="1" error="XLBVal:6=122.56_x000d__x000a_" sqref="AA20">
      <formula1>0</formula1>
      <formula2>300</formula2>
    </dataValidation>
    <dataValidation type="textLength" errorStyle="information" allowBlank="1" showInputMessage="1" showErrorMessage="1" error="XLBVal:6=381.42_x000d__x000a_" sqref="AA19">
      <formula1>0</formula1>
      <formula2>300</formula2>
    </dataValidation>
    <dataValidation type="textLength" errorStyle="information" allowBlank="1" showInputMessage="1" showErrorMessage="1" error="XLBVal:6=189.69_x000d__x000a_" sqref="Z19">
      <formula1>0</formula1>
      <formula2>300</formula2>
    </dataValidation>
    <dataValidation type="textLength" errorStyle="information" allowBlank="1" showInputMessage="1" showErrorMessage="1" error="XLBVal:6=602.59_x000d__x000a_" sqref="AA15">
      <formula1>0</formula1>
      <formula2>300</formula2>
    </dataValidation>
    <dataValidation type="textLength" errorStyle="information" allowBlank="1" showInputMessage="1" showErrorMessage="1" error="XLBVal:6=33.96_x000d__x000a_" sqref="Z15">
      <formula1>0</formula1>
      <formula2>300</formula2>
    </dataValidation>
    <dataValidation type="textLength" errorStyle="information" allowBlank="1" showInputMessage="1" showErrorMessage="1" error="XLBVal:6=300_x000d__x000a_" sqref="Z12">
      <formula1>0</formula1>
      <formula2>300</formula2>
    </dataValidation>
    <dataValidation type="textLength" errorStyle="information" allowBlank="1" showInputMessage="1" showErrorMessage="1" error="XLBVal:6=2.45_x000d__x000a_" sqref="Y45">
      <formula1>0</formula1>
      <formula2>300</formula2>
    </dataValidation>
    <dataValidation type="textLength" errorStyle="information" allowBlank="1" showInputMessage="1" showErrorMessage="1" error="XLBVal:6=1135_x000d__x000a_" sqref="Y37">
      <formula1>0</formula1>
      <formula2>300</formula2>
    </dataValidation>
    <dataValidation type="textLength" errorStyle="information" allowBlank="1" showInputMessage="1" showErrorMessage="1" error="XLBVal:6=-144.9_x000d__x000a_" sqref="Y36">
      <formula1>0</formula1>
      <formula2>300</formula2>
    </dataValidation>
    <dataValidation type="textLength" errorStyle="information" allowBlank="1" showInputMessage="1" showErrorMessage="1" error="XLBVal:6=3681.57_x000d__x000a_" sqref="Y25">
      <formula1>0</formula1>
      <formula2>300</formula2>
    </dataValidation>
    <dataValidation type="textLength" errorStyle="information" allowBlank="1" showInputMessage="1" showErrorMessage="1" error="XLBVal:6=1504.3_x000d__x000a_" sqref="Y24">
      <formula1>0</formula1>
      <formula2>300</formula2>
    </dataValidation>
    <dataValidation type="textLength" errorStyle="information" allowBlank="1" showInputMessage="1" showErrorMessage="1" error="XLBVal:6=237.38_x000d__x000a_" sqref="Y22">
      <formula1>0</formula1>
      <formula2>300</formula2>
    </dataValidation>
    <dataValidation type="textLength" errorStyle="information" allowBlank="1" showInputMessage="1" showErrorMessage="1" error="XLBVal:6=25691.51_x000d__x000a_" sqref="Y21">
      <formula1>0</formula1>
      <formula2>300</formula2>
    </dataValidation>
    <dataValidation type="textLength" errorStyle="information" allowBlank="1" showInputMessage="1" showErrorMessage="1" error="XLBVal:6=1633_x000d__x000a_" sqref="Y20">
      <formula1>0</formula1>
      <formula2>300</formula2>
    </dataValidation>
    <dataValidation type="textLength" errorStyle="information" allowBlank="1" showInputMessage="1" showErrorMessage="1" error="XLBVal:6=749.04_x000d__x000a_" sqref="X45">
      <formula1>0</formula1>
      <formula2>300</formula2>
    </dataValidation>
    <dataValidation type="textLength" errorStyle="information" allowBlank="1" showInputMessage="1" showErrorMessage="1" error="XLBVal:6=629.3_x000d__x000a_" sqref="X37">
      <formula1>0</formula1>
      <formula2>300</formula2>
    </dataValidation>
    <dataValidation type="textLength" errorStyle="information" allowBlank="1" showInputMessage="1" showErrorMessage="1" error="XLBVal:6=23993.75_x000d__x000a_" sqref="X36">
      <formula1>0</formula1>
      <formula2>300</formula2>
    </dataValidation>
    <dataValidation type="textLength" errorStyle="information" allowBlank="1" showInputMessage="1" showErrorMessage="1" error="XLBVal:6=-0.1_x000d__x000a_" sqref="X35">
      <formula1>0</formula1>
      <formula2>300</formula2>
    </dataValidation>
    <dataValidation type="textLength" errorStyle="information" allowBlank="1" showInputMessage="1" showErrorMessage="1" error="XLBVal:6=3697.2_x000d__x000a_" sqref="X26">
      <formula1>0</formula1>
      <formula2>300</formula2>
    </dataValidation>
    <dataValidation type="textLength" errorStyle="information" allowBlank="1" showInputMessage="1" showErrorMessage="1" error="XLBVal:6=3973.62_x000d__x000a_" sqref="X25">
      <formula1>0</formula1>
      <formula2>300</formula2>
    </dataValidation>
    <dataValidation type="textLength" errorStyle="information" allowBlank="1" showInputMessage="1" showErrorMessage="1" error="XLBVal:6=1023_x000d__x000a_" sqref="X24">
      <formula1>0</formula1>
      <formula2>300</formula2>
    </dataValidation>
    <dataValidation type="textLength" errorStyle="information" allowBlank="1" showInputMessage="1" showErrorMessage="1" error="XLBVal:6=420.94_x000d__x000a_" sqref="X22">
      <formula1>0</formula1>
      <formula2>300</formula2>
    </dataValidation>
    <dataValidation type="textLength" errorStyle="information" allowBlank="1" showInputMessage="1" showErrorMessage="1" error="XLBVal:6=2067.8_x000d__x000a_" sqref="X21">
      <formula1>0</formula1>
      <formula2>300</formula2>
    </dataValidation>
    <dataValidation type="textLength" errorStyle="information" allowBlank="1" showInputMessage="1" showErrorMessage="1" error="XLBVal:6=614.25_x000d__x000a_" sqref="X20">
      <formula1>0</formula1>
      <formula2>300</formula2>
    </dataValidation>
    <dataValidation type="textLength" errorStyle="information" allowBlank="1" showInputMessage="1" showErrorMessage="1" error="XLBVal:6=1370_x000d__x000a_" sqref="X15">
      <formula1>0</formula1>
      <formula2>300</formula2>
    </dataValidation>
    <dataValidation type="textLength" errorStyle="information" allowBlank="1" showInputMessage="1" showErrorMessage="1" error="XLBVal:6=200_x000d__x000a_" sqref="X12:Y12 AA12:AB12">
      <formula1>0</formula1>
      <formula2>300</formula2>
    </dataValidation>
    <dataValidation type="textLength" errorStyle="information" allowBlank="1" showInputMessage="1" showErrorMessage="1" error="XLBVal:6=5155_x000d__x000a_" sqref="U76 S76">
      <formula1>0</formula1>
      <formula2>300</formula2>
    </dataValidation>
    <dataValidation type="textLength" errorStyle="information" allowBlank="1" showInputMessage="1" showErrorMessage="1" error="XLBVal:6=67187.19_x000d__x000a_" sqref="R57">
      <formula1>0</formula1>
      <formula2>300</formula2>
    </dataValidation>
    <dataValidation type="textLength" errorStyle="information" allowBlank="1" showInputMessage="1" showErrorMessage="1" error="XLBVal:6=491.14_x000d__x000a_" sqref="AB19">
      <formula1>0</formula1>
      <formula2>300</formula2>
    </dataValidation>
    <dataValidation type="textLength" errorStyle="information" allowBlank="1" showInputMessage="1" showErrorMessage="1" error="XLBVal:6=167.74_x000d__x000a_" sqref="W12">
      <formula1>0</formula1>
      <formula2>300</formula2>
    </dataValidation>
    <dataValidation type="textLength" errorStyle="information" allowBlank="1" showInputMessage="1" showErrorMessage="1" error="XLBVal:6=34_x000d__x000a_" sqref="Q85:T85">
      <formula1>0</formula1>
      <formula2>300</formula2>
    </dataValidation>
    <dataValidation type="textLength" errorStyle="information" allowBlank="1" showInputMessage="1" showErrorMessage="1" error="XLBVal:6=3000_x000d__x000a_" sqref="Q60:R60 U60:V60">
      <formula1>0</formula1>
      <formula2>300</formula2>
    </dataValidation>
    <dataValidation type="textLength" errorStyle="information" allowBlank="1" showInputMessage="1" showErrorMessage="1" error="XLBVal:6=-211.75_x000d__x000a_" sqref="W45">
      <formula1>0</formula1>
      <formula2>300</formula2>
    </dataValidation>
    <dataValidation type="textLength" errorStyle="information" allowBlank="1" showInputMessage="1" showErrorMessage="1" error="XLBVal:6=1636.36_x000d__x000a_" sqref="W37">
      <formula1>0</formula1>
      <formula2>300</formula2>
    </dataValidation>
    <dataValidation type="textLength" errorStyle="information" allowBlank="1" showInputMessage="1" showErrorMessage="1" error="XLBVal:6=63615.25_x000d__x000a_" sqref="W36">
      <formula1>0</formula1>
      <formula2>300</formula2>
    </dataValidation>
    <dataValidation type="textLength" errorStyle="information" allowBlank="1" showInputMessage="1" showErrorMessage="1" error="XLBVal:6=-10_x000d__x000a_" sqref="W35">
      <formula1>0</formula1>
      <formula2>300</formula2>
    </dataValidation>
    <dataValidation type="textLength" errorStyle="information" allowBlank="1" showInputMessage="1" showErrorMessage="1" error="XLBVal:6=0_x000d__x000a_" sqref="AB15 R12 W26">
      <formula1>0</formula1>
      <formula2>300</formula2>
    </dataValidation>
    <dataValidation type="textLength" errorStyle="information" allowBlank="1" showInputMessage="1" showErrorMessage="1" error="XLBVal:6=9284.15_x000d__x000a_" sqref="W25">
      <formula1>0</formula1>
      <formula2>300</formula2>
    </dataValidation>
    <dataValidation type="textLength" errorStyle="information" allowBlank="1" showInputMessage="1" showErrorMessage="1" error="XLBVal:6=1697.7_x000d__x000a_" sqref="W24">
      <formula1>0</formula1>
      <formula2>300</formula2>
    </dataValidation>
    <dataValidation type="textLength" errorStyle="information" allowBlank="1" showInputMessage="1" showErrorMessage="1" error="XLBVal:6=396.77_x000d__x000a_" sqref="W22">
      <formula1>0</formula1>
      <formula2>300</formula2>
    </dataValidation>
    <dataValidation type="textLength" errorStyle="information" allowBlank="1" showInputMessage="1" showErrorMessage="1" error="XLBVal:6=2835.1_x000d__x000a_" sqref="W21">
      <formula1>0</formula1>
      <formula2>300</formula2>
    </dataValidation>
    <dataValidation type="textLength" errorStyle="information" allowBlank="1" showInputMessage="1" showErrorMessage="1" error="XLBVal:6=225.4_x000d__x000a_" sqref="W20">
      <formula1>0</formula1>
      <formula2>300</formula2>
    </dataValidation>
    <dataValidation type="textLength" errorStyle="information" allowBlank="1" showInputMessage="1" showErrorMessage="1" error="XLBVal:6=-1.5_x000d__x000a_" sqref="I35">
      <formula1>0</formula1>
      <formula2>300</formula2>
    </dataValidation>
    <dataValidation type="textLength" errorStyle="information" allowBlank="1" showInputMessage="1" showErrorMessage="1" error="XLBVal:6=-17886.68_x000d__x000a_" sqref="I26">
      <formula1>0</formula1>
      <formula2>300</formula2>
    </dataValidation>
    <dataValidation type="textLength" errorStyle="information" allowBlank="1" showInputMessage="1" showErrorMessage="1" error="XLBVal:6=1514.24_x000d__x000a_" sqref="U65:V65">
      <formula1>0</formula1>
      <formula2>300</formula2>
    </dataValidation>
    <dataValidation type="textLength" errorStyle="information" allowBlank="1" showInputMessage="1" showErrorMessage="1" error="XLBVal:6=-5.8_x000d__x000a_" sqref="H35">
      <formula1>0</formula1>
      <formula2>300</formula2>
    </dataValidation>
    <dataValidation type="textLength" errorStyle="information" allowBlank="1" showInputMessage="1" showErrorMessage="1" error="XLBVal:6=13773.31_x000d__x000a_" sqref="H26">
      <formula1>0</formula1>
      <formula2>300</formula2>
    </dataValidation>
    <dataValidation type="textLength" errorStyle="information" allowBlank="1" showInputMessage="1" showErrorMessage="1" error="XLBVal:6=4994_x000d__x000a_" sqref="T76 V76">
      <formula1>0</formula1>
      <formula2>300</formula2>
    </dataValidation>
    <dataValidation type="textLength" errorStyle="information" allowBlank="1" showInputMessage="1" showErrorMessage="1" error="XLBVal:6=-.6_x000d__x000a_" sqref="G35">
      <formula1>0</formula1>
      <formula2>300</formula2>
    </dataValidation>
    <dataValidation type="textLength" errorStyle="information" allowBlank="1" showInputMessage="1" showErrorMessage="1" error="XLBVal:6=1570.04_x000d__x000a_" sqref="S65">
      <formula1>0</formula1>
      <formula2>300</formula2>
    </dataValidation>
    <dataValidation type="textLength" errorStyle="information" allowBlank="1" showInputMessage="1" showErrorMessage="1" error="XLBVal:6=50241.02_x000d__x000a_" sqref="S63">
      <formula1>0</formula1>
      <formula2>300</formula2>
    </dataValidation>
    <dataValidation type="textLength" errorStyle="information" allowBlank="1" showInputMessage="1" showErrorMessage="1" error="XLBVal:6=67273.1_x000d__x000a_" sqref="Q57">
      <formula1>0</formula1>
      <formula2>300</formula2>
    </dataValidation>
    <dataValidation type="textLength" errorStyle="information" allowBlank="1" showInputMessage="1" showErrorMessage="1" error="XLBVal:6=180282_x000d__x000a_" sqref="E52:O53">
      <formula1>0</formula1>
      <formula2>300</formula2>
    </dataValidation>
    <dataValidation type="textLength" errorStyle="information" allowBlank="1" showInputMessage="1" showErrorMessage="1" error="XLBVal:6=2160.37_x000d__x000a_" sqref="D45:O45">
      <formula1>0</formula1>
      <formula2>300</formula2>
    </dataValidation>
    <dataValidation type="textLength" errorStyle="information" allowBlank="1" showInputMessage="1" showErrorMessage="1" error="XLBVal:6=29643.32_x000d__x000a_" sqref="D36:O37">
      <formula1>0</formula1>
      <formula2>300</formula2>
    </dataValidation>
    <dataValidation type="textLength" errorStyle="information" allowBlank="1" showInputMessage="1" showErrorMessage="1" error="XLBVal:6=-2.1_x000d__x000a_" sqref="F35">
      <formula1>0</formula1>
      <formula2>300</formula2>
    </dataValidation>
    <dataValidation type="textLength" errorStyle="information" allowBlank="1" showInputMessage="1" showErrorMessage="1" error="XLBVal:6=-20.1_x000d__x000a_" sqref="E35">
      <formula1>0</formula1>
      <formula2>300</formula2>
    </dataValidation>
    <dataValidation type="textLength" errorStyle="information" allowBlank="1" showInputMessage="1" showErrorMessage="1" error="XLBVal:6=-9.8_x000d__x000a_" sqref="D35">
      <formula1>0</formula1>
      <formula2>300</formula2>
    </dataValidation>
    <dataValidation type="textLength" errorStyle="information" allowBlank="1" showInputMessage="1" showErrorMessage="1" error="XLBVal:6=17886.68_x000d__x000a_" sqref="F26">
      <formula1>0</formula1>
      <formula2>300</formula2>
    </dataValidation>
    <dataValidation type="textLength" errorStyle="information" allowBlank="1" showInputMessage="1" showErrorMessage="1" error="XLBVal:6=8794.88_x000d__x000a_" sqref="D25:O25">
      <formula1>0</formula1>
      <formula2>300</formula2>
    </dataValidation>
    <dataValidation type="textLength" errorStyle="information" allowBlank="1" showInputMessage="1" showErrorMessage="1" error="XLBVal:6=2666.37_x000d__x000a_" sqref="D24:O24">
      <formula1>0</formula1>
      <formula2>300</formula2>
    </dataValidation>
    <dataValidation type="textLength" errorStyle="information" allowBlank="1" showInputMessage="1" showErrorMessage="1" error="XLBVal:6=3581.01_x000d__x000a_" sqref="D21:O21">
      <formula1>0</formula1>
      <formula2>300</formula2>
    </dataValidation>
    <dataValidation type="textLength" errorStyle="information" allowBlank="1" showInputMessage="1" showErrorMessage="1" error="XLBVal:6=7268.3_x000d__x000a_" sqref="D20:O20">
      <formula1>0</formula1>
      <formula2>300</formula2>
    </dataValidation>
    <dataValidation type="textLength" errorStyle="information" allowBlank="1" showInputMessage="1" showErrorMessage="1" error="XLBVal:6=1913.01_x000d__x000a_" sqref="D18:O18">
      <formula1>0</formula1>
      <formula2>300</formula2>
    </dataValidation>
    <dataValidation type="textLength" errorStyle="information" allowBlank="1" showInputMessage="1" showErrorMessage="1" error="XLBVal:6=1883.79_x000d__x000a_" sqref="D15:O15">
      <formula1>0</formula1>
      <formula2>300</formula2>
    </dataValidation>
    <dataValidation type="textLength" errorStyle="information" allowBlank="1" showInputMessage="1" showErrorMessage="1" error="XLBVal:6=362.83_x000d__x000a_" sqref="D19:O19">
      <formula1>0</formula1>
      <formula2>300</formula2>
    </dataValidation>
    <dataValidation type="textLength" errorStyle="information" allowBlank="1" showInputMessage="1" showErrorMessage="1" error="XLBVal:6=1538.39_x000d__x000a_" sqref="T65">
      <formula1>0</formula1>
      <formula2>300</formula2>
    </dataValidation>
    <dataValidation type="textLength" errorStyle="information" allowBlank="1" showInputMessage="1" showErrorMessage="1" error="XLBVal:6=1562.54_x000d__x000a_" sqref="Q65:R65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30583.08_x000d__x000a_" sqref="V79">
      <formula1>0</formula1>
      <formula2>300</formula2>
    </dataValidation>
    <dataValidation type="textLength" errorStyle="information" allowBlank="1" showInputMessage="1" showErrorMessage="1" error="XLBVal:6=27632.89_x000d__x000a_" sqref="U79">
      <formula1>0</formula1>
      <formula2>300</formula2>
    </dataValidation>
    <dataValidation type="textLength" errorStyle="information" allowBlank="1" showInputMessage="1" showErrorMessage="1" error="XLBVal:6=39935.47_x000d__x000a_" sqref="T79">
      <formula1>0</formula1>
      <formula2>300</formula2>
    </dataValidation>
    <dataValidation type="textLength" errorStyle="information" allowBlank="1" showInputMessage="1" showErrorMessage="1" error="XLBVal:6=40087.13_x000d__x000a_" sqref="S79">
      <formula1>0</formula1>
      <formula2>300</formula2>
    </dataValidation>
    <dataValidation type="textLength" errorStyle="information" allowBlank="1" showInputMessage="1" showErrorMessage="1" error="XLBVal:6=41771.26_x000d__x000a_" sqref="R79">
      <formula1>0</formula1>
      <formula2>300</formula2>
    </dataValidation>
    <dataValidation type="textLength" errorStyle="information" allowBlank="1" showInputMessage="1" showErrorMessage="1" error="XLBVal:6=26848.03_x000d__x000a_" sqref="Q79">
      <formula1>0</formula1>
      <formula2>300</formula2>
    </dataValidation>
    <dataValidation type="textLength" errorStyle="information" allowBlank="1" showInputMessage="1" showErrorMessage="1" error="XLBVal:6=6823.17_x000d__x000a_" sqref="V78">
      <formula1>0</formula1>
      <formula2>300</formula2>
    </dataValidation>
    <dataValidation type="textLength" errorStyle="information" allowBlank="1" showInputMessage="1" showErrorMessage="1" error="XLBVal:6=6731.14_x000d__x000a_" sqref="U78">
      <formula1>0</formula1>
      <formula2>300</formula2>
    </dataValidation>
    <dataValidation type="textLength" errorStyle="information" allowBlank="1" showInputMessage="1" showErrorMessage="1" error="XLBVal:6=6242.14_x000d__x000a_" sqref="T78">
      <formula1>0</formula1>
      <formula2>300</formula2>
    </dataValidation>
    <dataValidation type="textLength" errorStyle="information" allowBlank="1" showInputMessage="1" showErrorMessage="1" error="XLBVal:6=5803.82_x000d__x000a_" sqref="S78">
      <formula1>0</formula1>
      <formula2>300</formula2>
    </dataValidation>
    <dataValidation type="textLength" errorStyle="information" allowBlank="1" showInputMessage="1" showErrorMessage="1" error="XLBVal:6=6616.77_x000d__x000a_" sqref="R78">
      <formula1>0</formula1>
      <formula2>300</formula2>
    </dataValidation>
    <dataValidation type="textLength" errorStyle="information" allowBlank="1" showInputMessage="1" showErrorMessage="1" error="XLBVal:6=5196.77_x000d__x000a_" sqref="Q78">
      <formula1>0</formula1>
      <formula2>300</formula2>
    </dataValidation>
    <dataValidation type="textLength" errorStyle="information" allowBlank="1" showInputMessage="1" showErrorMessage="1" error="XLBVal:6=632.33_x000d__x000a_" sqref="V77">
      <formula1>0</formula1>
      <formula2>300</formula2>
    </dataValidation>
    <dataValidation type="textLength" errorStyle="information" allowBlank="1" showInputMessage="1" showErrorMessage="1" error="XLBVal:6=649.24_x000d__x000a_" sqref="U77">
      <formula1>0</formula1>
      <formula2>300</formula2>
    </dataValidation>
    <dataValidation type="textLength" errorStyle="information" allowBlank="1" showInputMessage="1" showErrorMessage="1" error="XLBVal:6=646.34_x000d__x000a_" sqref="R77">
      <formula1>0</formula1>
      <formula2>300</formula2>
    </dataValidation>
    <dataValidation type="textLength" errorStyle="information" allowBlank="1" showInputMessage="1" showErrorMessage="1" error="XLBVal:6=677.93_x000d__x000a_" sqref="Q77 S77:T77">
      <formula1>0</formula1>
      <formula2>300</formula2>
    </dataValidation>
    <dataValidation type="textLength" errorStyle="information" allowBlank="1" showInputMessage="1" showErrorMessage="1" error="XLBVal:6=4806_x000d__x000a_" sqref="R76">
      <formula1>0</formula1>
      <formula2>300</formula2>
    </dataValidation>
    <dataValidation type="textLength" errorStyle="information" allowBlank="1" showInputMessage="1" showErrorMessage="1" error="XLBVal:6=3848.63_x000d__x000a_" sqref="Q76">
      <formula1>0</formula1>
      <formula2>300</formula2>
    </dataValidation>
    <dataValidation type="textLength" errorStyle="information" allowBlank="1" showInputMessage="1" showErrorMessage="1" error="XLBVal:6=6632.79_x000d__x000a_" sqref="V69">
      <formula1>0</formula1>
      <formula2>300</formula2>
    </dataValidation>
    <dataValidation type="textLength" errorStyle="information" allowBlank="1" showInputMessage="1" showErrorMessage="1" error="XLBVal:6=5671.53_x000d__x000a_" sqref="U69">
      <formula1>0</formula1>
      <formula2>300</formula2>
    </dataValidation>
    <dataValidation type="textLength" errorStyle="information" allowBlank="1" showInputMessage="1" showErrorMessage="1" error="XLBVal:6=8655.58_x000d__x000a_" sqref="T69">
      <formula1>0</formula1>
      <formula2>300</formula2>
    </dataValidation>
    <dataValidation type="textLength" errorStyle="information" allowBlank="1" showInputMessage="1" showErrorMessage="1" error="XLBVal:6=13492.75_x000d__x000a_" sqref="S69">
      <formula1>0</formula1>
      <formula2>300</formula2>
    </dataValidation>
    <dataValidation type="textLength" errorStyle="information" allowBlank="1" showInputMessage="1" showErrorMessage="1" error="XLBVal:6=5911.66_x000d__x000a_" sqref="R69">
      <formula1>0</formula1>
      <formula2>300</formula2>
    </dataValidation>
    <dataValidation type="textLength" errorStyle="information" allowBlank="1" showInputMessage="1" showErrorMessage="1" error="XLBVal:6=5766.14_x000d__x000a_" sqref="Q69">
      <formula1>0</formula1>
      <formula2>300</formula2>
    </dataValidation>
    <dataValidation type="textLength" errorStyle="information" allowBlank="1" showInputMessage="1" showErrorMessage="1" error="XLBVal:6=17284_x000d__x000a_" sqref="U68:V68">
      <formula1>0</formula1>
      <formula2>300</formula2>
    </dataValidation>
    <dataValidation type="textLength" errorStyle="information" allowBlank="1" showInputMessage="1" showErrorMessage="1" error="XLBVal:6=17489_x000d__x000a_" sqref="T68">
      <formula1>0</formula1>
      <formula2>300</formula2>
    </dataValidation>
    <dataValidation type="textLength" errorStyle="information" allowBlank="1" showInputMessage="1" showErrorMessage="1" error="XLBVal:6=17680_x000d__x000a_" sqref="Q68:S68">
      <formula1>0</formula1>
      <formula2>300</formula2>
    </dataValidation>
    <dataValidation type="textLength" errorStyle="information" allowBlank="1" showInputMessage="1" showErrorMessage="1" error="XLBVal:6=389.01_x000d__x000a_" sqref="U66:V66">
      <formula1>0</formula1>
      <formula2>300</formula2>
    </dataValidation>
    <dataValidation type="textLength" errorStyle="information" allowBlank="1" showInputMessage="1" showErrorMessage="1" error="XLBVal:6=394.81_x000d__x000a_" sqref="T66">
      <formula1>0</formula1>
      <formula2>300</formula2>
    </dataValidation>
    <dataValidation type="textLength" errorStyle="information" allowBlank="1" showInputMessage="1" showErrorMessage="1" error="XLBVal:6=402.41_x000d__x000a_" sqref="S66">
      <formula1>0</formula1>
      <formula2>300</formula2>
    </dataValidation>
    <dataValidation type="textLength" errorStyle="information" allowBlank="1" showInputMessage="1" showErrorMessage="1" error="XLBVal:6=400.61_x000d__x000a_" sqref="Q66:R66">
      <formula1>0</formula1>
      <formula2>300</formula2>
    </dataValidation>
    <dataValidation type="textLength" errorStyle="information" allowBlank="1" showInputMessage="1" showErrorMessage="1" error="XLBVal:6=25741.94_x000d__x000a_" sqref="U64:V64">
      <formula1>0</formula1>
      <formula2>300</formula2>
    </dataValidation>
    <dataValidation type="textLength" errorStyle="information" allowBlank="1" showInputMessage="1" showErrorMessage="1" error="XLBVal:6=26152.49_x000d__x000a_" sqref="T64">
      <formula1>0</formula1>
      <formula2>300</formula2>
    </dataValidation>
    <dataValidation type="textLength" errorStyle="information" allowBlank="1" showInputMessage="1" showErrorMessage="1" error="XLBVal:6=26690.54_x000d__x000a_" sqref="S64">
      <formula1>0</formula1>
      <formula2>300</formula2>
    </dataValidation>
    <dataValidation type="textLength" errorStyle="information" allowBlank="1" showInputMessage="1" showErrorMessage="1" error="XLBVal:6=26563.04_x000d__x000a_" sqref="Q64:R64">
      <formula1>0</formula1>
      <formula2>300</formula2>
    </dataValidation>
    <dataValidation type="textLength" errorStyle="information" allowBlank="1" showInputMessage="1" showErrorMessage="1" error="XLBVal:6=48455.42_x000d__x000a_" sqref="U63:V63">
      <formula1>0</formula1>
      <formula2>300</formula2>
    </dataValidation>
    <dataValidation type="textLength" errorStyle="information" allowBlank="1" showInputMessage="1" showErrorMessage="1" error="XLBVal:6=49228.22_x000d__x000a_" sqref="T63">
      <formula1>0</formula1>
      <formula2>300</formula2>
    </dataValidation>
    <dataValidation type="textLength" errorStyle="information" allowBlank="1" showInputMessage="1" showErrorMessage="1" error="XLBVal:6=50001.02_x000d__x000a_" sqref="Q63:R63">
      <formula1>0</formula1>
      <formula2>300</formula2>
    </dataValidation>
    <dataValidation type="textLength" errorStyle="information" allowBlank="1" showInputMessage="1" showErrorMessage="1" error="XLBVal:6=15639.51_x000d__x000a_" sqref="V58">
      <formula1>0</formula1>
      <formula2>300</formula2>
    </dataValidation>
    <dataValidation type="textLength" errorStyle="information" allowBlank="1" showInputMessage="1" showErrorMessage="1" error="XLBVal:6=15586_x000d__x000a_" sqref="U58">
      <formula1>0</formula1>
      <formula2>300</formula2>
    </dataValidation>
    <dataValidation type="textLength" errorStyle="information" allowBlank="1" showInputMessage="1" showErrorMessage="1" error="XLBVal:6=15748.22_x000d__x000a_" sqref="T58">
      <formula1>0</formula1>
      <formula2>300</formula2>
    </dataValidation>
    <dataValidation type="textLength" errorStyle="information" allowBlank="1" showInputMessage="1" showErrorMessage="1" error="XLBVal:6=15920_x000d__x000a_" sqref="S58">
      <formula1>0</formula1>
      <formula2>300</formula2>
    </dataValidation>
    <dataValidation type="textLength" errorStyle="information" allowBlank="1" showInputMessage="1" showErrorMessage="1" error="XLBVal:6=16195_x000d__x000a_" sqref="R58">
      <formula1>0</formula1>
      <formula2>300</formula2>
    </dataValidation>
    <dataValidation type="textLength" errorStyle="information" allowBlank="1" showInputMessage="1" showErrorMessage="1" error="XLBVal:6=16132.05_x000d__x000a_" sqref="Q58">
      <formula1>0</formula1>
      <formula2>300</formula2>
    </dataValidation>
    <dataValidation type="textLength" errorStyle="information" allowBlank="1" showInputMessage="1" showErrorMessage="1" error="XLBVal:6=1131.06_x000d__x000a_" sqref="U56">
      <formula1>0</formula1>
      <formula2>300</formula2>
    </dataValidation>
    <dataValidation type="textLength" errorStyle="information" allowBlank="1" showInputMessage="1" showErrorMessage="1" error="XLBVal:6=5048.34_x000d__x000a_" sqref="R56">
      <formula1>0</formula1>
      <formula2>300</formula2>
    </dataValidation>
    <dataValidation type="textLength" errorStyle="information" allowBlank="1" showInputMessage="1" showErrorMessage="1" error="XLBVal:6=80914.09_x000d__x000a_" sqref="V53">
      <formula1>0</formula1>
      <formula2>300</formula2>
    </dataValidation>
    <dataValidation type="textLength" errorStyle="information" allowBlank="1" showInputMessage="1" showErrorMessage="1" error="XLBVal:6=79935.21_x000d__x000a_" sqref="U53">
      <formula1>0</formula1>
      <formula2>300</formula2>
    </dataValidation>
    <dataValidation type="textLength" errorStyle="information" allowBlank="1" showInputMessage="1" showErrorMessage="1" error="XLBVal:6=83344.03_x000d__x000a_" sqref="T53">
      <formula1>0</formula1>
      <formula2>300</formula2>
    </dataValidation>
    <dataValidation type="textLength" errorStyle="information" allowBlank="1" showInputMessage="1" showErrorMessage="1" error="XLBVal:6=83555.18_x000d__x000a_" sqref="S53">
      <formula1>0</formula1>
      <formula2>300</formula2>
    </dataValidation>
    <dataValidation type="textLength" errorStyle="information" allowBlank="1" showInputMessage="1" showErrorMessage="1" error="XLBVal:6=88900_x000d__x000a_" sqref="R53">
      <formula1>0</formula1>
      <formula2>300</formula2>
    </dataValidation>
    <dataValidation type="textLength" errorStyle="information" allowBlank="1" showInputMessage="1" showErrorMessage="1" error="XLBVal:6=87852.87_x000d__x000a_" sqref="Q53">
      <formula1>0</formula1>
      <formula2>300</formula2>
    </dataValidation>
    <dataValidation type="textLength" errorStyle="information" allowBlank="1" showInputMessage="1" showErrorMessage="1" error="XLBVal:6=186924.83_x000d__x000a_" sqref="U52">
      <formula1>0</formula1>
      <formula2>300</formula2>
    </dataValidation>
    <dataValidation type="textLength" errorStyle="information" allowBlank="1" showInputMessage="1" showErrorMessage="1" error="XLBVal:6=186341.66_x000d__x000a_" sqref="T52 V52">
      <formula1>0</formula1>
      <formula2>300</formula2>
    </dataValidation>
    <dataValidation type="textLength" errorStyle="information" allowBlank="1" showInputMessage="1" showErrorMessage="1" error="XLBVal:6=187244.77_x000d__x000a_" sqref="S52">
      <formula1>0</formula1>
      <formula2>300</formula2>
    </dataValidation>
    <dataValidation type="textLength" errorStyle="information" allowBlank="1" showInputMessage="1" showErrorMessage="1" error="XLBVal:6=179341.66_x000d__x000a_" sqref="R52">
      <formula1>0</formula1>
      <formula2>300</formula2>
    </dataValidation>
    <dataValidation type="textLength" errorStyle="information" allowBlank="1" showInputMessage="1" showErrorMessage="1" error="XLBVal:6=179005.45_x000d__x000a_" sqref="Q52">
      <formula1>0</formula1>
      <formula2>300</formula2>
    </dataValidation>
    <dataValidation type="textLength" errorStyle="information" allowBlank="1" showInputMessage="1" showErrorMessage="1" error="XLBVal:6=18798.95_x000d__x000a_" sqref="V45">
      <formula1>0</formula1>
      <formula2>300</formula2>
    </dataValidation>
    <dataValidation type="textLength" errorStyle="information" allowBlank="1" showInputMessage="1" showErrorMessage="1" error="XLBVal:6=413.06_x000d__x000a_" sqref="U45">
      <formula1>0</formula1>
      <formula2>300</formula2>
    </dataValidation>
    <dataValidation type="textLength" errorStyle="information" allowBlank="1" showInputMessage="1" showErrorMessage="1" error="XLBVal:6=2919.98_x000d__x000a_" sqref="T45">
      <formula1>0</formula1>
      <formula2>300</formula2>
    </dataValidation>
    <dataValidation type="textLength" errorStyle="information" allowBlank="1" showInputMessage="1" showErrorMessage="1" error="XLBVal:6=430.72_x000d__x000a_" sqref="S45">
      <formula1>0</formula1>
      <formula2>300</formula2>
    </dataValidation>
    <dataValidation type="textLength" errorStyle="information" allowBlank="1" showInputMessage="1" showErrorMessage="1" error="XLBVal:6=561.52_x000d__x000a_" sqref="R45">
      <formula1>0</formula1>
      <formula2>300</formula2>
    </dataValidation>
    <dataValidation type="textLength" errorStyle="information" allowBlank="1" showInputMessage="1" showErrorMessage="1" error="XLBVal:6=2882.45_x000d__x000a_" sqref="Q45">
      <formula1>0</formula1>
      <formula2>300</formula2>
    </dataValidation>
    <dataValidation type="textLength" errorStyle="information" allowBlank="1" showInputMessage="1" showErrorMessage="1" error="XLBVal:6=752.19_x000d__x000a_" sqref="V37">
      <formula1>0</formula1>
      <formula2>300</formula2>
    </dataValidation>
    <dataValidation type="textLength" errorStyle="information" allowBlank="1" showInputMessage="1" showErrorMessage="1" error="XLBVal:6=1401.33_x000d__x000a_" sqref="U37">
      <formula1>0</formula1>
      <formula2>300</formula2>
    </dataValidation>
    <dataValidation type="textLength" errorStyle="information" allowBlank="1" showInputMessage="1" showErrorMessage="1" error="XLBVal:6=2041.15_x000d__x000a_" sqref="T37">
      <formula1>0</formula1>
      <formula2>300</formula2>
    </dataValidation>
    <dataValidation type="textLength" errorStyle="information" allowBlank="1" showInputMessage="1" showErrorMessage="1" error="XLBVal:6=2084.03_x000d__x000a_" sqref="S37">
      <formula1>0</formula1>
      <formula2>300</formula2>
    </dataValidation>
    <dataValidation type="textLength" errorStyle="information" allowBlank="1" showInputMessage="1" showErrorMessage="1" error="XLBVal:6=1982_x000d__x000a_" sqref="R37">
      <formula1>0</formula1>
      <formula2>300</formula2>
    </dataValidation>
    <dataValidation type="textLength" errorStyle="information" allowBlank="1" showInputMessage="1" showErrorMessage="1" error="XLBVal:6=1350.4_x000d__x000a_" sqref="Q37">
      <formula1>0</formula1>
      <formula2>300</formula2>
    </dataValidation>
    <dataValidation type="textLength" errorStyle="information" allowBlank="1" showInputMessage="1" showErrorMessage="1" error="XLBVal:6=20555.07_x000d__x000a_" sqref="V36">
      <formula1>0</formula1>
      <formula2>300</formula2>
    </dataValidation>
    <dataValidation type="textLength" errorStyle="information" allowBlank="1" showInputMessage="1" showErrorMessage="1" error="XLBVal:6=28889.16_x000d__x000a_" sqref="U36">
      <formula1>0</formula1>
      <formula2>300</formula2>
    </dataValidation>
    <dataValidation type="textLength" errorStyle="information" allowBlank="1" showInputMessage="1" showErrorMessage="1" error="XLBVal:6=27197.71_x000d__x000a_" sqref="T36">
      <formula1>0</formula1>
      <formula2>300</formula2>
    </dataValidation>
    <dataValidation type="textLength" errorStyle="information" allowBlank="1" showInputMessage="1" showErrorMessage="1" error="XLBVal:6=25619.03_x000d__x000a_" sqref="S36">
      <formula1>0</formula1>
      <formula2>300</formula2>
    </dataValidation>
    <dataValidation type="textLength" errorStyle="information" allowBlank="1" showInputMessage="1" showErrorMessage="1" error="XLBVal:6=96575.85_x000d__x000a_" sqref="R36">
      <formula1>0</formula1>
      <formula2>300</formula2>
    </dataValidation>
    <dataValidation type="textLength" errorStyle="information" allowBlank="1" showInputMessage="1" showErrorMessage="1" error="XLBVal:6=66700.36_x000d__x000a_" sqref="Q36">
      <formula1>0</formula1>
      <formula2>300</formula2>
    </dataValidation>
    <dataValidation type="textLength" errorStyle="information" allowBlank="1" showInputMessage="1" showErrorMessage="1" error="XLBVal:6=-196.59_x000d__x000a_" sqref="R35">
      <formula1>0</formula1>
      <formula2>300</formula2>
    </dataValidation>
    <dataValidation type="textLength" errorStyle="information" allowBlank="1" showInputMessage="1" showErrorMessage="1" error="XLBVal:6=-1_x000d__x000a_" sqref="Q35">
      <formula1>0</formula1>
      <formula2>300</formula2>
    </dataValidation>
    <dataValidation type="textLength" errorStyle="information" allowBlank="1" showInputMessage="1" showErrorMessage="1" error="XLBVal:6=3259.38_x000d__x000a_" sqref="V25">
      <formula1>0</formula1>
      <formula2>300</formula2>
    </dataValidation>
    <dataValidation type="textLength" errorStyle="information" allowBlank="1" showInputMessage="1" showErrorMessage="1" error="XLBVal:6=2650.3_x000d__x000a_" sqref="U25">
      <formula1>0</formula1>
      <formula2>300</formula2>
    </dataValidation>
    <dataValidation type="textLength" errorStyle="information" allowBlank="1" showInputMessage="1" showErrorMessage="1" error="XLBVal:6=-16166.32_x000d__x000a_" sqref="T25">
      <formula1>0</formula1>
      <formula2>300</formula2>
    </dataValidation>
    <dataValidation type="textLength" errorStyle="information" allowBlank="1" showInputMessage="1" showErrorMessage="1" error="XLBVal:6=-23249.4_x000d__x000a_" sqref="S25">
      <formula1>0</formula1>
      <formula2>300</formula2>
    </dataValidation>
    <dataValidation type="textLength" errorStyle="information" allowBlank="1" showInputMessage="1" showErrorMessage="1" error="XLBVal:6=4819_x000d__x000a_" sqref="R25">
      <formula1>0</formula1>
      <formula2>300</formula2>
    </dataValidation>
    <dataValidation type="textLength" errorStyle="information" allowBlank="1" showInputMessage="1" showErrorMessage="1" error="XLBVal:6=4075.14_x000d__x000a_" sqref="Q25">
      <formula1>0</formula1>
      <formula2>300</formula2>
    </dataValidation>
    <dataValidation type="textLength" errorStyle="information" allowBlank="1" showInputMessage="1" showErrorMessage="1" error="XLBVal:6=2507.25_x000d__x000a_" sqref="V24">
      <formula1>0</formula1>
      <formula2>300</formula2>
    </dataValidation>
    <dataValidation type="textLength" errorStyle="information" allowBlank="1" showInputMessage="1" showErrorMessage="1" error="XLBVal:6=2196.29_x000d__x000a_" sqref="U24">
      <formula1>0</formula1>
      <formula2>300</formula2>
    </dataValidation>
    <dataValidation type="textLength" errorStyle="information" allowBlank="1" showInputMessage="1" showErrorMessage="1" error="XLBVal:6=2600.17_x000d__x000a_" sqref="T24">
      <formula1>0</formula1>
      <formula2>300</formula2>
    </dataValidation>
    <dataValidation type="textLength" errorStyle="information" allowBlank="1" showInputMessage="1" showErrorMessage="1" error="XLBVal:6=2545.5_x000d__x000a_" sqref="S24">
      <formula1>0</formula1>
      <formula2>300</formula2>
    </dataValidation>
    <dataValidation type="textLength" errorStyle="information" allowBlank="1" showInputMessage="1" showErrorMessage="1" error="XLBVal:6=2185.72_x000d__x000a_" sqref="R24">
      <formula1>0</formula1>
      <formula2>300</formula2>
    </dataValidation>
    <dataValidation type="textLength" errorStyle="information" allowBlank="1" showInputMessage="1" showErrorMessage="1" error="XLBVal:6=1912.89_x000d__x000a_" sqref="Q24">
      <formula1>0</formula1>
      <formula2>300</formula2>
    </dataValidation>
    <dataValidation type="textLength" errorStyle="information" allowBlank="1" showInputMessage="1" showErrorMessage="1" error="XLBVal:6=421.46_x000d__x000a_" sqref="V22">
      <formula1>0</formula1>
      <formula2>300</formula2>
    </dataValidation>
    <dataValidation type="textLength" errorStyle="information" allowBlank="1" showInputMessage="1" showErrorMessage="1" error="XLBVal:6=120.93_x000d__x000a_" sqref="U22">
      <formula1>0</formula1>
      <formula2>300</formula2>
    </dataValidation>
    <dataValidation type="textLength" errorStyle="information" allowBlank="1" showInputMessage="1" showErrorMessage="1" error="XLBVal:6=323.29_x000d__x000a_" sqref="T22">
      <formula1>0</formula1>
      <formula2>300</formula2>
    </dataValidation>
    <dataValidation type="textLength" errorStyle="information" allowBlank="1" showInputMessage="1" showErrorMessage="1" error="XLBVal:6=403.2_x000d__x000a_" sqref="S22">
      <formula1>0</formula1>
      <formula2>300</formula2>
    </dataValidation>
    <dataValidation type="textLength" errorStyle="information" allowBlank="1" showInputMessage="1" showErrorMessage="1" error="XLBVal:6=458.9_x000d__x000a_" sqref="R22">
      <formula1>0</formula1>
      <formula2>300</formula2>
    </dataValidation>
    <dataValidation type="textLength" errorStyle="information" allowBlank="1" showInputMessage="1" showErrorMessage="1" error="XLBVal:6=550.31_x000d__x000a_" sqref="Q22">
      <formula1>0</formula1>
      <formula2>300</formula2>
    </dataValidation>
    <dataValidation type="textLength" errorStyle="information" allowBlank="1" showInputMessage="1" showErrorMessage="1" error="XLBVal:6=2075.52_x000d__x000a_" sqref="V21">
      <formula1>0</formula1>
      <formula2>300</formula2>
    </dataValidation>
    <dataValidation type="textLength" errorStyle="information" allowBlank="1" showInputMessage="1" showErrorMessage="1" error="XLBVal:6=5633.16_x000d__x000a_" sqref="U21">
      <formula1>0</formula1>
      <formula2>300</formula2>
    </dataValidation>
    <dataValidation type="textLength" errorStyle="information" allowBlank="1" showInputMessage="1" showErrorMessage="1" error="XLBVal:6=1543.09_x000d__x000a_" sqref="T21">
      <formula1>0</formula1>
      <formula2>300</formula2>
    </dataValidation>
    <dataValidation type="textLength" errorStyle="information" allowBlank="1" showInputMessage="1" showErrorMessage="1" error="XLBVal:6=3999.62_x000d__x000a_" sqref="S21">
      <formula1>0</formula1>
      <formula2>300</formula2>
    </dataValidation>
    <dataValidation type="textLength" errorStyle="information" allowBlank="1" showInputMessage="1" showErrorMessage="1" error="XLBVal:6=3030.23_x000d__x000a_" sqref="R21">
      <formula1>0</formula1>
      <formula2>300</formula2>
    </dataValidation>
    <dataValidation type="textLength" errorStyle="information" allowBlank="1" showInputMessage="1" showErrorMessage="1" error="XLBVal:6=16041.34_x000d__x000a_" sqref="Q21">
      <formula1>0</formula1>
      <formula2>300</formula2>
    </dataValidation>
    <dataValidation type="textLength" errorStyle="information" allowBlank="1" showInputMessage="1" showErrorMessage="1" error="XLBVal:6=933.02_x000d__x000a_" sqref="T20">
      <formula1>0</formula1>
      <formula2>300</formula2>
    </dataValidation>
    <dataValidation type="textLength" errorStyle="information" allowBlank="1" showInputMessage="1" showErrorMessage="1" error="XLBVal:6=491.15_x000d__x000a_" sqref="W19">
      <formula1>0</formula1>
      <formula2>300</formula2>
    </dataValidation>
    <dataValidation type="textLength" errorStyle="information" allowBlank="1" showInputMessage="1" showErrorMessage="1" error="XLBVal:6=172.57_x000d__x000a_" sqref="Q19:V19">
      <formula1>0</formula1>
      <formula2>300</formula2>
    </dataValidation>
    <dataValidation type="textLength" errorStyle="information" allowBlank="1" showInputMessage="1" showErrorMessage="1" error="XLBVal:6=2000_x000d__x000a_" sqref="AA18:AB18 W18">
      <formula1>0</formula1>
      <formula2>300</formula2>
    </dataValidation>
    <dataValidation type="textLength" errorStyle="information" allowBlank="1" showInputMessage="1" showErrorMessage="1" error="XLBVal:6=33_x000d__x000a_" sqref="U85">
      <formula1>0</formula1>
      <formula2>300</formula2>
    </dataValidation>
    <dataValidation type="textLength" errorStyle="information" allowBlank="1" showInputMessage="1" showErrorMessage="1" error="XLBVal:6=1132415.79_x000d__x000a_" sqref="D80:I81 Q80:V81">
      <formula1>0</formula1>
      <formula2>300</formula2>
    </dataValidation>
    <dataValidation type="textLength" errorStyle="information" allowBlank="1" showInputMessage="1" showErrorMessage="1" error="XLBVal:2=0_x000d__x000a_" sqref="D13:I13 S56 D38:I44 D23:I23 D16:I17 G26 W63:AB66 D26:E34 F27:I34 R20 Y15 W27:AB34 V13:AB14 D14:O14 U26:V28 R13:R15 Q16:AB17 Q38:AB44 Z18 X18:Y19 Y35 W60:AB60 Y26:AB26 Z20 Q23:AB23 Q30:V34 S13:T14 W56:AB58 Q67:AB67 W52:AB53 W68:AB70 W73:AB81 W85:AB85 Q59:AB59 Q26:R28 S27:T28 V35 R29 S26 V15:W15 S15 U13:U15 S12:V12 T35 U20 U18:V18 Q12:Q15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I93"/>
  <sheetViews>
    <sheetView view="pageBreakPreview" zoomScaleNormal="100" zoomScaleSheetLayoutView="100" workbookViewId="0">
      <pane xSplit="4" ySplit="7" topLeftCell="L8" activePane="bottomRight" state="frozen"/>
      <selection activeCell="AP43" sqref="AP43"/>
      <selection pane="topRight" activeCell="AP43" sqref="AP43"/>
      <selection pane="bottomLeft" activeCell="AP43" sqref="AP43"/>
      <selection pane="bottomRight" activeCell="P49" sqref="P49"/>
    </sheetView>
  </sheetViews>
  <sheetFormatPr defaultColWidth="9" defaultRowHeight="14.25" outlineLevelCol="2"/>
  <cols>
    <col min="1" max="2" width="9" style="105" hidden="1" customWidth="1" outlineLevel="1"/>
    <col min="3" max="3" width="46.875" style="105" customWidth="1" collapsed="1"/>
    <col min="4" max="15" width="15.875" style="105" bestFit="1" customWidth="1"/>
    <col min="16" max="16" width="18.375" style="224" bestFit="1" customWidth="1"/>
    <col min="17" max="23" width="18.25" style="105" hidden="1" customWidth="1" outlineLevel="1"/>
    <col min="24" max="28" width="15.75" style="105" hidden="1" customWidth="1" outlineLevel="2"/>
    <col min="29" max="29" width="18" style="228" customWidth="1" collapsed="1"/>
    <col min="30" max="30" width="15.75" style="105" bestFit="1" customWidth="1"/>
    <col min="31" max="31" width="10.5" style="192" customWidth="1"/>
    <col min="32" max="32" width="18.25" style="224" hidden="1" customWidth="1"/>
    <col min="33" max="33" width="18.375" style="105" hidden="1" customWidth="1"/>
    <col min="34" max="34" width="13.75" style="105" bestFit="1" customWidth="1"/>
    <col min="35" max="35" width="17.25" style="105" bestFit="1" customWidth="1"/>
    <col min="36" max="16384" width="9" style="105"/>
  </cols>
  <sheetData>
    <row r="1" spans="1:35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297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98"/>
      <c r="AE1" s="186"/>
      <c r="AF1" s="297"/>
    </row>
    <row r="2" spans="1:35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297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98"/>
      <c r="AE2" s="186"/>
      <c r="AF2" s="297"/>
    </row>
    <row r="3" spans="1:35">
      <c r="C3" s="105" t="s">
        <v>893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311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300"/>
      <c r="AE3" s="279"/>
    </row>
    <row r="4" spans="1:35" s="100" customFormat="1" ht="18">
      <c r="C4" s="18">
        <f>+'2025 Summay'!$D$7</f>
        <v>2025</v>
      </c>
      <c r="D4" s="154"/>
      <c r="P4" s="312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298"/>
      <c r="AE4" s="186"/>
      <c r="AF4" s="297"/>
    </row>
    <row r="5" spans="1:35" s="100" customFormat="1">
      <c r="C5" s="100" t="s">
        <v>154</v>
      </c>
      <c r="P5" s="297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298"/>
      <c r="AE5" s="186"/>
      <c r="AF5" s="297"/>
    </row>
    <row r="6" spans="1:35" s="100" customFormat="1">
      <c r="C6" s="100" t="s">
        <v>154</v>
      </c>
      <c r="D6" s="100">
        <f>'A&amp;G'!D6</f>
        <v>1</v>
      </c>
      <c r="E6" s="100">
        <f>'A&amp;G'!E6</f>
        <v>2</v>
      </c>
      <c r="F6" s="100">
        <f>'A&amp;G'!F6</f>
        <v>3</v>
      </c>
      <c r="G6" s="100">
        <f>'A&amp;G'!G6</f>
        <v>4</v>
      </c>
      <c r="H6" s="100">
        <f>'A&amp;G'!H6</f>
        <v>5</v>
      </c>
      <c r="I6" s="100">
        <f>'A&amp;G'!I6</f>
        <v>6</v>
      </c>
      <c r="J6" s="100">
        <f>'A&amp;G'!J6</f>
        <v>7</v>
      </c>
      <c r="K6" s="100">
        <f>'A&amp;G'!K6</f>
        <v>8</v>
      </c>
      <c r="L6" s="100">
        <f>'A&amp;G'!L6</f>
        <v>9</v>
      </c>
      <c r="M6" s="100">
        <f>'A&amp;G'!M6</f>
        <v>10</v>
      </c>
      <c r="N6" s="100">
        <f>'A&amp;G'!N6</f>
        <v>11</v>
      </c>
      <c r="O6" s="100">
        <f>'A&amp;G'!O6</f>
        <v>12</v>
      </c>
      <c r="P6" s="301">
        <f>'A&amp;G'!P6</f>
        <v>2025</v>
      </c>
      <c r="Q6" s="114">
        <f>'A&amp;G'!Q6</f>
        <v>202401</v>
      </c>
      <c r="R6" s="114">
        <f>'A&amp;G'!R6</f>
        <v>202402</v>
      </c>
      <c r="S6" s="114">
        <f>'A&amp;G'!S6</f>
        <v>202403</v>
      </c>
      <c r="T6" s="114">
        <f>'A&amp;G'!T6</f>
        <v>202404</v>
      </c>
      <c r="U6" s="114">
        <f>'A&amp;G'!U6</f>
        <v>202405</v>
      </c>
      <c r="V6" s="114">
        <f>'A&amp;G'!V6</f>
        <v>202406</v>
      </c>
      <c r="W6" s="114">
        <f>'A&amp;G'!W6</f>
        <v>202407</v>
      </c>
      <c r="X6" s="114">
        <f>'A&amp;G'!X6</f>
        <v>202408</v>
      </c>
      <c r="Y6" s="114">
        <f>'A&amp;G'!Y6</f>
        <v>202409</v>
      </c>
      <c r="Z6" s="114">
        <f>'A&amp;G'!Z6</f>
        <v>202410</v>
      </c>
      <c r="AA6" s="114">
        <f>'A&amp;G'!AA6</f>
        <v>202411</v>
      </c>
      <c r="AB6" s="114">
        <f>'A&amp;G'!AB6</f>
        <v>202412</v>
      </c>
      <c r="AC6" s="115">
        <f>'A&amp;G'!AC6</f>
        <v>2024</v>
      </c>
      <c r="AD6" s="188" t="s">
        <v>6</v>
      </c>
      <c r="AE6" s="177" t="s">
        <v>156</v>
      </c>
      <c r="AF6" s="298">
        <v>2019</v>
      </c>
    </row>
    <row r="7" spans="1:35">
      <c r="C7" s="105" t="s">
        <v>154</v>
      </c>
      <c r="D7" s="105" t="str">
        <f>'A&amp;G'!D7</f>
        <v>Budget</v>
      </c>
      <c r="E7" s="105" t="str">
        <f>'A&amp;G'!E7</f>
        <v>Budget</v>
      </c>
      <c r="F7" s="105" t="str">
        <f>'A&amp;G'!F7</f>
        <v>Budget</v>
      </c>
      <c r="G7" s="105" t="str">
        <f>'A&amp;G'!G7</f>
        <v>Budget</v>
      </c>
      <c r="H7" s="105" t="str">
        <f>'A&amp;G'!H7</f>
        <v>Budget</v>
      </c>
      <c r="I7" s="105" t="str">
        <f>'A&amp;G'!I7</f>
        <v>Budget</v>
      </c>
      <c r="J7" s="105" t="str">
        <f>'A&amp;G'!J7</f>
        <v>Budget</v>
      </c>
      <c r="K7" s="105" t="str">
        <f>'A&amp;G'!K7</f>
        <v>Budget</v>
      </c>
      <c r="L7" s="105" t="str">
        <f>'A&amp;G'!L7</f>
        <v>Budget</v>
      </c>
      <c r="M7" s="105" t="str">
        <f>'A&amp;G'!M7</f>
        <v>Budget</v>
      </c>
      <c r="N7" s="105" t="str">
        <f>'A&amp;G'!N7</f>
        <v>Budget</v>
      </c>
      <c r="O7" s="105" t="str">
        <f>'A&amp;G'!O7</f>
        <v>Budget</v>
      </c>
      <c r="P7" s="224" t="str">
        <f>'A&amp;G'!P7</f>
        <v>Budget</v>
      </c>
      <c r="Q7" s="244" t="str">
        <f>'A&amp;G'!Q7</f>
        <v>Actual</v>
      </c>
      <c r="R7" s="244" t="str">
        <f>'A&amp;G'!R7</f>
        <v>Actual</v>
      </c>
      <c r="S7" s="244" t="str">
        <f>'A&amp;G'!S7</f>
        <v>Actual</v>
      </c>
      <c r="T7" s="244" t="str">
        <f>'A&amp;G'!T7</f>
        <v>Actual</v>
      </c>
      <c r="U7" s="244" t="str">
        <f>'A&amp;G'!U7</f>
        <v>Actual</v>
      </c>
      <c r="V7" s="244" t="str">
        <f>'A&amp;G'!V7</f>
        <v>Actual</v>
      </c>
      <c r="W7" s="244" t="str">
        <f>'A&amp;G'!W7</f>
        <v>Actual</v>
      </c>
      <c r="X7" s="244" t="str">
        <f>'A&amp;G'!X7</f>
        <v>Actual</v>
      </c>
      <c r="Y7" s="244" t="str">
        <f>'A&amp;G'!Y7</f>
        <v>Forecast</v>
      </c>
      <c r="Z7" s="244" t="str">
        <f>'A&amp;G'!Z7</f>
        <v>Forecast</v>
      </c>
      <c r="AA7" s="244" t="str">
        <f>'A&amp;G'!AA7</f>
        <v>Forecast</v>
      </c>
      <c r="AB7" s="244" t="str">
        <f>'A&amp;G'!AB7</f>
        <v>Forecast</v>
      </c>
      <c r="AC7" s="245" t="str">
        <f>'A&amp;G'!AC7</f>
        <v>Forecast</v>
      </c>
      <c r="AD7" s="189"/>
      <c r="AE7" s="132"/>
      <c r="AF7" s="228" t="s">
        <v>12</v>
      </c>
    </row>
    <row r="8" spans="1:35">
      <c r="C8" s="105" t="s">
        <v>154</v>
      </c>
      <c r="L8" s="105" t="s">
        <v>831</v>
      </c>
      <c r="M8" s="105" t="s">
        <v>831</v>
      </c>
      <c r="O8" s="105" t="s">
        <v>831</v>
      </c>
      <c r="P8" s="224" t="s">
        <v>831</v>
      </c>
      <c r="AF8" s="228"/>
    </row>
    <row r="9" spans="1:35">
      <c r="A9" s="105" t="s">
        <v>832</v>
      </c>
      <c r="B9" s="105" t="s">
        <v>894</v>
      </c>
      <c r="C9" s="109" t="s">
        <v>175</v>
      </c>
      <c r="D9" s="129">
        <f t="shared" ref="D9:O9" si="0">D83</f>
        <v>186127.79</v>
      </c>
      <c r="E9" s="129">
        <f t="shared" si="0"/>
        <v>183480.79</v>
      </c>
      <c r="F9" s="129">
        <f t="shared" si="0"/>
        <v>186413.85</v>
      </c>
      <c r="G9" s="129">
        <f t="shared" si="0"/>
        <v>187001.85</v>
      </c>
      <c r="H9" s="129">
        <f t="shared" si="0"/>
        <v>188118.29</v>
      </c>
      <c r="I9" s="129">
        <f t="shared" si="0"/>
        <v>186959.4</v>
      </c>
      <c r="J9" s="129">
        <f t="shared" si="0"/>
        <v>187938.94</v>
      </c>
      <c r="K9" s="129">
        <f t="shared" si="0"/>
        <v>188954.78</v>
      </c>
      <c r="L9" s="129">
        <f t="shared" si="0"/>
        <v>189030.78</v>
      </c>
      <c r="M9" s="129">
        <f t="shared" si="0"/>
        <v>191297.08000000002</v>
      </c>
      <c r="N9" s="129">
        <f t="shared" si="0"/>
        <v>189100.69</v>
      </c>
      <c r="O9" s="129">
        <f t="shared" si="0"/>
        <v>188939.99</v>
      </c>
      <c r="P9" s="228">
        <f>SUM(D9:O9)</f>
        <v>2253364.23</v>
      </c>
      <c r="Q9" s="142">
        <f t="shared" ref="Q9:AB9" si="1">Q83</f>
        <v>190114.75</v>
      </c>
      <c r="R9" s="142">
        <f t="shared" si="1"/>
        <v>188583.26</v>
      </c>
      <c r="S9" s="142">
        <f t="shared" si="1"/>
        <v>190845.15</v>
      </c>
      <c r="T9" s="142">
        <f t="shared" si="1"/>
        <v>172791.09</v>
      </c>
      <c r="U9" s="142">
        <f t="shared" si="1"/>
        <v>169993.39999999997</v>
      </c>
      <c r="V9" s="142">
        <f t="shared" si="1"/>
        <v>187358.71000000002</v>
      </c>
      <c r="W9" s="142">
        <f t="shared" si="1"/>
        <v>164945.46000000002</v>
      </c>
      <c r="X9" s="142">
        <f t="shared" si="1"/>
        <v>171956.2</v>
      </c>
      <c r="Y9" s="142">
        <f t="shared" si="1"/>
        <v>170213.66999999998</v>
      </c>
      <c r="Z9" s="142">
        <f t="shared" si="1"/>
        <v>171462.66999999998</v>
      </c>
      <c r="AA9" s="142">
        <f t="shared" si="1"/>
        <v>170033.66999999998</v>
      </c>
      <c r="AB9" s="142">
        <f t="shared" si="1"/>
        <v>170034.66999999998</v>
      </c>
      <c r="AC9" s="302">
        <f>SUM(Q9:AB9)</f>
        <v>2118332.6999999997</v>
      </c>
      <c r="AD9" s="142">
        <f>AC9-P9</f>
        <v>-135031.53000000026</v>
      </c>
      <c r="AE9" s="132">
        <f>AD9/AC9</f>
        <v>-6.3744250372002598E-2</v>
      </c>
      <c r="AF9" s="228">
        <v>2240660.4200000004</v>
      </c>
      <c r="AG9" s="123">
        <f t="shared" ref="AG9:AG72" si="2">AF9-P9</f>
        <v>-12703.80999999959</v>
      </c>
    </row>
    <row r="10" spans="1:35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 t="s">
        <v>831</v>
      </c>
      <c r="M10" s="124" t="s">
        <v>831</v>
      </c>
      <c r="N10" s="124"/>
      <c r="O10" s="124" t="s">
        <v>831</v>
      </c>
      <c r="P10" s="228" t="s">
        <v>831</v>
      </c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302"/>
      <c r="AD10" s="141"/>
      <c r="AF10" s="228"/>
      <c r="AG10" s="123" t="e">
        <f t="shared" si="2"/>
        <v>#VALUE!</v>
      </c>
    </row>
    <row r="11" spans="1:35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228" t="s">
        <v>831</v>
      </c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302"/>
      <c r="AD11" s="141"/>
      <c r="AF11" s="228"/>
      <c r="AG11" s="123" t="e">
        <f t="shared" si="2"/>
        <v>#VALUE!</v>
      </c>
    </row>
    <row r="12" spans="1:35">
      <c r="A12" s="105" t="s">
        <v>687</v>
      </c>
      <c r="B12" s="105" t="s">
        <v>894</v>
      </c>
      <c r="C12" s="105" t="s">
        <v>144</v>
      </c>
      <c r="D12" s="212">
        <f>+D90+D91+D92</f>
        <v>4770.41</v>
      </c>
      <c r="E12" s="212">
        <f t="shared" ref="E12:O12" si="3">+E90+E91+E92</f>
        <v>4661.41</v>
      </c>
      <c r="F12" s="212">
        <f t="shared" si="3"/>
        <v>4674.41</v>
      </c>
      <c r="G12" s="212">
        <f t="shared" si="3"/>
        <v>4749.41</v>
      </c>
      <c r="H12" s="212">
        <f t="shared" si="3"/>
        <v>4793.41</v>
      </c>
      <c r="I12" s="212">
        <f t="shared" si="3"/>
        <v>4734.41</v>
      </c>
      <c r="J12" s="212">
        <f t="shared" si="3"/>
        <v>4732.41</v>
      </c>
      <c r="K12" s="212">
        <f t="shared" si="3"/>
        <v>4742.41</v>
      </c>
      <c r="L12" s="212">
        <f t="shared" si="3"/>
        <v>4747.41</v>
      </c>
      <c r="M12" s="212">
        <f t="shared" si="3"/>
        <v>4829.41</v>
      </c>
      <c r="N12" s="212">
        <f t="shared" si="3"/>
        <v>4712.41</v>
      </c>
      <c r="O12" s="212">
        <f t="shared" si="3"/>
        <v>4710.33</v>
      </c>
      <c r="P12" s="228">
        <f>SUM(D12:O12)</f>
        <v>56857.840000000011</v>
      </c>
      <c r="Q12" s="141">
        <v>2124.67</v>
      </c>
      <c r="R12" s="141">
        <v>4796.32</v>
      </c>
      <c r="S12" s="141">
        <v>6393.47</v>
      </c>
      <c r="T12" s="141">
        <v>3576.76</v>
      </c>
      <c r="U12" s="141">
        <v>4388.62</v>
      </c>
      <c r="V12" s="141">
        <v>18.170000000000002</v>
      </c>
      <c r="W12" s="141">
        <v>2601.61</v>
      </c>
      <c r="X12" s="141">
        <v>4687.07</v>
      </c>
      <c r="Y12" s="141">
        <v>503</v>
      </c>
      <c r="Z12" s="141">
        <v>503</v>
      </c>
      <c r="AA12" s="141">
        <v>503</v>
      </c>
      <c r="AB12" s="141">
        <v>503</v>
      </c>
      <c r="AC12" s="302">
        <f t="shared" ref="AC12:AC45" si="4">SUM(Q12:AB12)</f>
        <v>30598.69</v>
      </c>
      <c r="AD12" s="141">
        <f t="shared" ref="AD12:AD47" si="5">AC12-P12</f>
        <v>-26259.150000000012</v>
      </c>
      <c r="AE12" s="192">
        <f t="shared" ref="AE12:AE47" si="6">AD12/AC12</f>
        <v>-0.85817889589390961</v>
      </c>
      <c r="AF12" s="228">
        <v>3800</v>
      </c>
      <c r="AG12" s="123">
        <f t="shared" si="2"/>
        <v>-53057.840000000011</v>
      </c>
      <c r="AH12" s="124"/>
      <c r="AI12" s="124"/>
    </row>
    <row r="13" spans="1:35">
      <c r="A13" s="105">
        <v>60010060</v>
      </c>
      <c r="B13" s="105" t="s">
        <v>895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228">
        <f t="shared" ref="P13:P45" si="7">SUM(D13:O13)</f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302">
        <f t="shared" si="4"/>
        <v>0</v>
      </c>
      <c r="AD13" s="141"/>
      <c r="AF13" s="228">
        <v>0</v>
      </c>
      <c r="AG13" s="123">
        <f t="shared" si="2"/>
        <v>0</v>
      </c>
      <c r="AH13" s="124"/>
      <c r="AI13" s="124"/>
    </row>
    <row r="14" spans="1:35">
      <c r="A14" s="105" t="s">
        <v>834</v>
      </c>
      <c r="B14" s="105" t="s">
        <v>895</v>
      </c>
      <c r="C14" s="105" t="s">
        <v>431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228">
        <f t="shared" si="7"/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302">
        <f t="shared" si="4"/>
        <v>0</v>
      </c>
      <c r="AD14" s="141">
        <f t="shared" si="5"/>
        <v>0</v>
      </c>
      <c r="AE14" s="192" t="e">
        <f t="shared" si="6"/>
        <v>#DIV/0!</v>
      </c>
      <c r="AF14" s="228">
        <v>0</v>
      </c>
      <c r="AG14" s="123">
        <f t="shared" si="2"/>
        <v>0</v>
      </c>
      <c r="AH14" s="124"/>
      <c r="AI14" s="124"/>
    </row>
    <row r="15" spans="1:35">
      <c r="A15" s="105" t="s">
        <v>688</v>
      </c>
      <c r="B15" s="105" t="s">
        <v>895</v>
      </c>
      <c r="C15" s="105" t="s">
        <v>184</v>
      </c>
      <c r="D15" s="124">
        <v>9000</v>
      </c>
      <c r="E15" s="124">
        <v>2000</v>
      </c>
      <c r="F15" s="124">
        <v>3500</v>
      </c>
      <c r="G15" s="124">
        <v>3500</v>
      </c>
      <c r="H15" s="124">
        <v>2500</v>
      </c>
      <c r="I15" s="124">
        <v>1500</v>
      </c>
      <c r="J15" s="124">
        <v>1200</v>
      </c>
      <c r="K15" s="124">
        <v>3000</v>
      </c>
      <c r="L15" s="124">
        <v>3500</v>
      </c>
      <c r="M15" s="124">
        <v>3500</v>
      </c>
      <c r="N15" s="124">
        <v>4500</v>
      </c>
      <c r="O15" s="124">
        <v>5200</v>
      </c>
      <c r="P15" s="228">
        <f t="shared" si="7"/>
        <v>42900</v>
      </c>
      <c r="Q15" s="141">
        <v>6355.82</v>
      </c>
      <c r="R15" s="141">
        <v>349.46</v>
      </c>
      <c r="S15" s="141">
        <v>3482</v>
      </c>
      <c r="T15" s="141">
        <v>1759.16</v>
      </c>
      <c r="U15" s="141">
        <v>2063.83</v>
      </c>
      <c r="V15" s="141">
        <v>958</v>
      </c>
      <c r="W15" s="141">
        <v>767.01</v>
      </c>
      <c r="X15" s="141">
        <v>195.62</v>
      </c>
      <c r="Y15" s="141">
        <v>6500</v>
      </c>
      <c r="Z15" s="141">
        <v>3000</v>
      </c>
      <c r="AA15" s="141">
        <v>3000</v>
      </c>
      <c r="AB15" s="141">
        <v>3000</v>
      </c>
      <c r="AC15" s="302">
        <f t="shared" si="4"/>
        <v>31430.9</v>
      </c>
      <c r="AD15" s="141">
        <f t="shared" si="5"/>
        <v>-11469.099999999999</v>
      </c>
      <c r="AE15" s="192">
        <f t="shared" si="6"/>
        <v>-0.36489887340165245</v>
      </c>
      <c r="AF15" s="228">
        <v>50810.11</v>
      </c>
      <c r="AG15" s="123">
        <f t="shared" si="2"/>
        <v>7910.1100000000006</v>
      </c>
      <c r="AH15" s="124"/>
      <c r="AI15" s="124"/>
    </row>
    <row r="16" spans="1:35">
      <c r="A16" s="105" t="s">
        <v>835</v>
      </c>
      <c r="B16" s="105" t="s">
        <v>894</v>
      </c>
      <c r="C16" s="105" t="s">
        <v>305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228">
        <f t="shared" si="7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302">
        <f t="shared" si="4"/>
        <v>0</v>
      </c>
      <c r="AD16" s="141">
        <f t="shared" si="5"/>
        <v>0</v>
      </c>
      <c r="AE16" s="192" t="e">
        <f t="shared" si="6"/>
        <v>#DIV/0!</v>
      </c>
      <c r="AF16" s="228">
        <v>0</v>
      </c>
      <c r="AG16" s="123">
        <f t="shared" si="2"/>
        <v>0</v>
      </c>
      <c r="AH16" s="124"/>
      <c r="AI16" s="124"/>
    </row>
    <row r="17" spans="1:35">
      <c r="A17" s="105" t="s">
        <v>689</v>
      </c>
      <c r="B17" s="105" t="s">
        <v>895</v>
      </c>
      <c r="C17" s="105" t="s">
        <v>202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228">
        <f t="shared" si="7"/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302">
        <f t="shared" si="4"/>
        <v>0</v>
      </c>
      <c r="AD17" s="141"/>
      <c r="AF17" s="228">
        <v>0</v>
      </c>
      <c r="AG17" s="123">
        <f t="shared" si="2"/>
        <v>0</v>
      </c>
      <c r="AH17" s="124"/>
      <c r="AI17" s="124"/>
    </row>
    <row r="18" spans="1:35">
      <c r="A18" s="105" t="s">
        <v>692</v>
      </c>
      <c r="B18" s="105" t="s">
        <v>895</v>
      </c>
      <c r="C18" s="105" t="s">
        <v>204</v>
      </c>
      <c r="D18" s="124">
        <v>600</v>
      </c>
      <c r="E18" s="124">
        <v>600</v>
      </c>
      <c r="F18" s="124">
        <v>600</v>
      </c>
      <c r="G18" s="124">
        <v>600</v>
      </c>
      <c r="H18" s="124">
        <v>600</v>
      </c>
      <c r="I18" s="124">
        <v>600</v>
      </c>
      <c r="J18" s="124">
        <v>600</v>
      </c>
      <c r="K18" s="124">
        <v>600</v>
      </c>
      <c r="L18" s="124">
        <v>600</v>
      </c>
      <c r="M18" s="124">
        <v>600</v>
      </c>
      <c r="N18" s="124">
        <v>600</v>
      </c>
      <c r="O18" s="124">
        <v>600</v>
      </c>
      <c r="P18" s="228">
        <f t="shared" si="7"/>
        <v>7200</v>
      </c>
      <c r="Q18" s="141">
        <v>2163</v>
      </c>
      <c r="R18" s="141">
        <v>2163</v>
      </c>
      <c r="S18" s="141">
        <v>2163</v>
      </c>
      <c r="T18" s="141">
        <v>0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  <c r="AA18" s="141">
        <v>0</v>
      </c>
      <c r="AB18" s="141">
        <v>0</v>
      </c>
      <c r="AC18" s="302">
        <f t="shared" si="4"/>
        <v>6489</v>
      </c>
      <c r="AD18" s="141">
        <f t="shared" si="5"/>
        <v>-711</v>
      </c>
      <c r="AE18" s="192">
        <f t="shared" si="6"/>
        <v>-0.10957004160887657</v>
      </c>
      <c r="AF18" s="228">
        <v>3941.4299999999994</v>
      </c>
      <c r="AG18" s="123">
        <f t="shared" si="2"/>
        <v>-3258.5700000000006</v>
      </c>
      <c r="AH18" s="124"/>
      <c r="AI18" s="124"/>
    </row>
    <row r="19" spans="1:35">
      <c r="A19" s="105" t="s">
        <v>717</v>
      </c>
      <c r="B19" s="105" t="s">
        <v>894</v>
      </c>
      <c r="C19" s="105" t="s">
        <v>208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228">
        <f t="shared" si="7"/>
        <v>0</v>
      </c>
      <c r="Q19" s="141">
        <v>438.05</v>
      </c>
      <c r="R19" s="141">
        <v>438.05</v>
      </c>
      <c r="S19" s="141">
        <v>438.05</v>
      </c>
      <c r="T19" s="141">
        <v>438.05</v>
      </c>
      <c r="U19" s="141">
        <v>278.76</v>
      </c>
      <c r="V19" s="141">
        <v>278.76</v>
      </c>
      <c r="W19" s="141">
        <v>278.76</v>
      </c>
      <c r="X19" s="141">
        <v>278.76</v>
      </c>
      <c r="Y19" s="141">
        <v>386</v>
      </c>
      <c r="Z19" s="141">
        <v>386</v>
      </c>
      <c r="AA19" s="141">
        <v>386</v>
      </c>
      <c r="AB19" s="141">
        <v>386</v>
      </c>
      <c r="AC19" s="302">
        <f t="shared" si="4"/>
        <v>4411.2400000000007</v>
      </c>
      <c r="AD19" s="141">
        <f t="shared" si="5"/>
        <v>4411.2400000000007</v>
      </c>
      <c r="AE19" s="192">
        <f t="shared" si="6"/>
        <v>1</v>
      </c>
      <c r="AF19" s="228">
        <v>1633.2</v>
      </c>
      <c r="AG19" s="123">
        <f t="shared" si="2"/>
        <v>1633.2</v>
      </c>
      <c r="AH19" s="124"/>
      <c r="AI19" s="124"/>
    </row>
    <row r="20" spans="1:35">
      <c r="A20" s="105" t="s">
        <v>690</v>
      </c>
      <c r="B20" s="105" t="s">
        <v>895</v>
      </c>
      <c r="C20" s="105" t="s">
        <v>210</v>
      </c>
      <c r="D20" s="124">
        <v>350</v>
      </c>
      <c r="E20" s="124">
        <v>350</v>
      </c>
      <c r="F20" s="124">
        <v>350</v>
      </c>
      <c r="G20" s="124">
        <v>350</v>
      </c>
      <c r="H20" s="124">
        <v>350</v>
      </c>
      <c r="I20" s="124">
        <v>350</v>
      </c>
      <c r="J20" s="124">
        <v>350</v>
      </c>
      <c r="K20" s="124">
        <v>350</v>
      </c>
      <c r="L20" s="124">
        <v>350</v>
      </c>
      <c r="M20" s="124">
        <v>350</v>
      </c>
      <c r="N20" s="124">
        <v>350</v>
      </c>
      <c r="O20" s="124">
        <v>350</v>
      </c>
      <c r="P20" s="228">
        <f t="shared" si="7"/>
        <v>4200</v>
      </c>
      <c r="Q20" s="141">
        <v>305.66000000000003</v>
      </c>
      <c r="R20" s="141">
        <v>0</v>
      </c>
      <c r="S20" s="141">
        <v>326.42</v>
      </c>
      <c r="T20" s="141">
        <v>833.96</v>
      </c>
      <c r="U20" s="141">
        <v>0</v>
      </c>
      <c r="V20" s="141">
        <v>564.67999999999995</v>
      </c>
      <c r="W20" s="141">
        <v>198.11</v>
      </c>
      <c r="X20" s="141">
        <v>0</v>
      </c>
      <c r="Y20" s="141">
        <v>600</v>
      </c>
      <c r="Z20" s="141">
        <v>300</v>
      </c>
      <c r="AA20" s="141">
        <v>300</v>
      </c>
      <c r="AB20" s="141">
        <v>300</v>
      </c>
      <c r="AC20" s="302">
        <f t="shared" si="4"/>
        <v>3728.83</v>
      </c>
      <c r="AD20" s="141">
        <f t="shared" si="5"/>
        <v>-471.17000000000007</v>
      </c>
      <c r="AE20" s="192">
        <f t="shared" si="6"/>
        <v>-0.12635867014586347</v>
      </c>
      <c r="AF20" s="228">
        <v>2228.3500000000004</v>
      </c>
      <c r="AG20" s="123">
        <f t="shared" si="2"/>
        <v>-1971.6499999999996</v>
      </c>
      <c r="AH20" s="124"/>
      <c r="AI20" s="124"/>
    </row>
    <row r="21" spans="1:35">
      <c r="A21" s="105" t="s">
        <v>694</v>
      </c>
      <c r="B21" s="105" t="s">
        <v>894</v>
      </c>
      <c r="C21" s="105" t="s">
        <v>212</v>
      </c>
      <c r="D21" s="124">
        <v>1500</v>
      </c>
      <c r="E21" s="124">
        <v>1500</v>
      </c>
      <c r="F21" s="124">
        <v>1500</v>
      </c>
      <c r="G21" s="124">
        <v>1500</v>
      </c>
      <c r="H21" s="124">
        <v>1500</v>
      </c>
      <c r="I21" s="124">
        <v>1500</v>
      </c>
      <c r="J21" s="124">
        <v>1500</v>
      </c>
      <c r="K21" s="124">
        <v>1500</v>
      </c>
      <c r="L21" s="124">
        <v>1500</v>
      </c>
      <c r="M21" s="124">
        <v>1500</v>
      </c>
      <c r="N21" s="124">
        <v>1500</v>
      </c>
      <c r="O21" s="124">
        <v>1500</v>
      </c>
      <c r="P21" s="228">
        <f t="shared" si="7"/>
        <v>18000</v>
      </c>
      <c r="Q21" s="141">
        <v>228.68</v>
      </c>
      <c r="R21" s="141">
        <v>3478.89</v>
      </c>
      <c r="S21" s="141">
        <v>1739.34</v>
      </c>
      <c r="T21" s="141">
        <v>721.77</v>
      </c>
      <c r="U21" s="141">
        <v>482.64</v>
      </c>
      <c r="V21" s="141">
        <v>1288.6099999999999</v>
      </c>
      <c r="W21" s="141">
        <v>635.76</v>
      </c>
      <c r="X21" s="141">
        <v>3129.22</v>
      </c>
      <c r="Y21" s="141">
        <v>1500</v>
      </c>
      <c r="Z21" s="141">
        <v>1500</v>
      </c>
      <c r="AA21" s="141">
        <v>1500</v>
      </c>
      <c r="AB21" s="141">
        <v>1500</v>
      </c>
      <c r="AC21" s="302">
        <f t="shared" si="4"/>
        <v>17704.91</v>
      </c>
      <c r="AD21" s="141">
        <f t="shared" si="5"/>
        <v>-295.09000000000015</v>
      </c>
      <c r="AE21" s="192">
        <f t="shared" si="6"/>
        <v>-1.6667127932308051E-2</v>
      </c>
      <c r="AF21" s="228">
        <v>31886.73</v>
      </c>
      <c r="AG21" s="123">
        <f t="shared" si="2"/>
        <v>13886.73</v>
      </c>
      <c r="AH21" s="124"/>
      <c r="AI21" s="124"/>
    </row>
    <row r="22" spans="1:35">
      <c r="A22" s="105" t="s">
        <v>709</v>
      </c>
      <c r="B22" s="105" t="s">
        <v>894</v>
      </c>
      <c r="C22" s="105" t="s">
        <v>214</v>
      </c>
      <c r="D22" s="212">
        <f>Laundry!E156</f>
        <v>250</v>
      </c>
      <c r="E22" s="212">
        <f>Laundry!F156</f>
        <v>228</v>
      </c>
      <c r="F22" s="212">
        <f>Laundry!G156</f>
        <v>230</v>
      </c>
      <c r="G22" s="212">
        <f>Laundry!H156</f>
        <v>237</v>
      </c>
      <c r="H22" s="212">
        <f>Laundry!I156</f>
        <v>243</v>
      </c>
      <c r="I22" s="212">
        <f>Laundry!J156</f>
        <v>233</v>
      </c>
      <c r="J22" s="212">
        <f>Laundry!K156</f>
        <v>248</v>
      </c>
      <c r="K22" s="212">
        <f>Laundry!L156</f>
        <v>247</v>
      </c>
      <c r="L22" s="212">
        <f>Laundry!M156</f>
        <v>238</v>
      </c>
      <c r="M22" s="212">
        <f>Laundry!N156</f>
        <v>271</v>
      </c>
      <c r="N22" s="212">
        <f>Laundry!O156</f>
        <v>239</v>
      </c>
      <c r="O22" s="212">
        <f>Laundry!P156</f>
        <v>238</v>
      </c>
      <c r="P22" s="228">
        <f t="shared" si="7"/>
        <v>2902</v>
      </c>
      <c r="Q22" s="141">
        <v>330.19</v>
      </c>
      <c r="R22" s="141">
        <v>292.02999999999997</v>
      </c>
      <c r="S22" s="141">
        <v>230.4</v>
      </c>
      <c r="T22" s="141">
        <v>215.53</v>
      </c>
      <c r="U22" s="141">
        <v>80.63</v>
      </c>
      <c r="V22" s="141">
        <v>270.95</v>
      </c>
      <c r="W22" s="141">
        <v>222.63</v>
      </c>
      <c r="X22" s="141">
        <v>180.48</v>
      </c>
      <c r="Y22" s="141">
        <v>239</v>
      </c>
      <c r="Z22" s="141">
        <v>268</v>
      </c>
      <c r="AA22" s="141">
        <v>225</v>
      </c>
      <c r="AB22" s="141">
        <v>230</v>
      </c>
      <c r="AC22" s="302">
        <f t="shared" si="4"/>
        <v>2784.84</v>
      </c>
      <c r="AD22" s="141">
        <f t="shared" si="5"/>
        <v>-117.15999999999985</v>
      </c>
      <c r="AE22" s="192">
        <f t="shared" si="6"/>
        <v>-4.2070639605865989E-2</v>
      </c>
      <c r="AF22" s="228">
        <v>2147.12</v>
      </c>
      <c r="AG22" s="123">
        <f t="shared" si="2"/>
        <v>-754.88000000000011</v>
      </c>
      <c r="AH22" s="124"/>
      <c r="AI22" s="124"/>
    </row>
    <row r="23" spans="1:35">
      <c r="A23" s="105" t="s">
        <v>306</v>
      </c>
      <c r="B23" s="105" t="s">
        <v>894</v>
      </c>
      <c r="C23" s="105" t="s">
        <v>206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228">
        <f t="shared" si="7"/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  <c r="AA23" s="141">
        <v>0</v>
      </c>
      <c r="AB23" s="141">
        <v>0</v>
      </c>
      <c r="AC23" s="302">
        <f t="shared" si="4"/>
        <v>0</v>
      </c>
      <c r="AD23" s="141"/>
      <c r="AF23" s="228">
        <v>0</v>
      </c>
      <c r="AG23" s="123">
        <f t="shared" si="2"/>
        <v>0</v>
      </c>
      <c r="AH23" s="124"/>
      <c r="AI23" s="124"/>
    </row>
    <row r="24" spans="1:35">
      <c r="A24" s="105" t="s">
        <v>696</v>
      </c>
      <c r="B24" s="105" t="s">
        <v>894</v>
      </c>
      <c r="C24" s="105" t="s">
        <v>216</v>
      </c>
      <c r="D24" s="124">
        <f>1300-360</f>
        <v>940</v>
      </c>
      <c r="E24" s="124">
        <f t="shared" ref="E24:O24" si="8">1300-360</f>
        <v>940</v>
      </c>
      <c r="F24" s="124">
        <f t="shared" si="8"/>
        <v>940</v>
      </c>
      <c r="G24" s="124">
        <f t="shared" si="8"/>
        <v>940</v>
      </c>
      <c r="H24" s="124">
        <f t="shared" si="8"/>
        <v>940</v>
      </c>
      <c r="I24" s="124">
        <f t="shared" si="8"/>
        <v>940</v>
      </c>
      <c r="J24" s="124">
        <f t="shared" si="8"/>
        <v>940</v>
      </c>
      <c r="K24" s="124">
        <f t="shared" si="8"/>
        <v>940</v>
      </c>
      <c r="L24" s="124">
        <f t="shared" si="8"/>
        <v>940</v>
      </c>
      <c r="M24" s="124">
        <f t="shared" si="8"/>
        <v>940</v>
      </c>
      <c r="N24" s="124">
        <f t="shared" si="8"/>
        <v>940</v>
      </c>
      <c r="O24" s="124">
        <f t="shared" si="8"/>
        <v>940</v>
      </c>
      <c r="P24" s="228">
        <f t="shared" si="7"/>
        <v>11280</v>
      </c>
      <c r="Q24" s="141">
        <v>1069.56</v>
      </c>
      <c r="R24" s="141">
        <v>916.58</v>
      </c>
      <c r="S24" s="141">
        <v>1135.6600000000001</v>
      </c>
      <c r="T24" s="141">
        <v>930.14</v>
      </c>
      <c r="U24" s="141">
        <v>1398.82</v>
      </c>
      <c r="V24" s="141">
        <v>627.76</v>
      </c>
      <c r="W24" s="141">
        <v>1246.42</v>
      </c>
      <c r="X24" s="141">
        <v>891.76</v>
      </c>
      <c r="Y24" s="141">
        <v>1600</v>
      </c>
      <c r="Z24" s="141">
        <v>1600</v>
      </c>
      <c r="AA24" s="141">
        <v>1600</v>
      </c>
      <c r="AB24" s="141">
        <v>1600</v>
      </c>
      <c r="AC24" s="302">
        <f t="shared" si="4"/>
        <v>14616.7</v>
      </c>
      <c r="AD24" s="141">
        <f t="shared" si="5"/>
        <v>3336.7000000000007</v>
      </c>
      <c r="AE24" s="192">
        <f t="shared" si="6"/>
        <v>0.22827998111748893</v>
      </c>
      <c r="AF24" s="228">
        <v>16208.72</v>
      </c>
      <c r="AG24" s="123">
        <f t="shared" si="2"/>
        <v>4928.7199999999993</v>
      </c>
      <c r="AH24" s="124"/>
      <c r="AI24" s="124"/>
    </row>
    <row r="25" spans="1:35">
      <c r="A25" s="105" t="s">
        <v>697</v>
      </c>
      <c r="B25" s="105" t="s">
        <v>894</v>
      </c>
      <c r="C25" s="105" t="s">
        <v>218</v>
      </c>
      <c r="D25" s="124">
        <f>5800-2000</f>
        <v>3800</v>
      </c>
      <c r="E25" s="124">
        <f t="shared" ref="E25:O25" si="9">5800-2000</f>
        <v>3800</v>
      </c>
      <c r="F25" s="124">
        <f t="shared" si="9"/>
        <v>3800</v>
      </c>
      <c r="G25" s="124">
        <f t="shared" si="9"/>
        <v>3800</v>
      </c>
      <c r="H25" s="124">
        <f t="shared" si="9"/>
        <v>3800</v>
      </c>
      <c r="I25" s="124">
        <f t="shared" si="9"/>
        <v>3800</v>
      </c>
      <c r="J25" s="124">
        <f t="shared" si="9"/>
        <v>3800</v>
      </c>
      <c r="K25" s="124">
        <f t="shared" si="9"/>
        <v>3800</v>
      </c>
      <c r="L25" s="124">
        <f t="shared" si="9"/>
        <v>3800</v>
      </c>
      <c r="M25" s="124">
        <f t="shared" si="9"/>
        <v>3800</v>
      </c>
      <c r="N25" s="124">
        <f t="shared" si="9"/>
        <v>3800</v>
      </c>
      <c r="O25" s="124">
        <f t="shared" si="9"/>
        <v>3800</v>
      </c>
      <c r="P25" s="228">
        <f t="shared" si="7"/>
        <v>45600</v>
      </c>
      <c r="Q25" s="141">
        <v>5542.47</v>
      </c>
      <c r="R25" s="141">
        <v>5818.99</v>
      </c>
      <c r="S25" s="141">
        <v>1664.98</v>
      </c>
      <c r="T25" s="141">
        <v>5744.57</v>
      </c>
      <c r="U25" s="141">
        <v>5829.6</v>
      </c>
      <c r="V25" s="141">
        <v>5105.1899999999996</v>
      </c>
      <c r="W25" s="141">
        <v>5702.11</v>
      </c>
      <c r="X25" s="141">
        <v>5661.31</v>
      </c>
      <c r="Y25" s="141">
        <v>4950</v>
      </c>
      <c r="Z25" s="141">
        <v>4950</v>
      </c>
      <c r="AA25" s="141">
        <v>4950</v>
      </c>
      <c r="AB25" s="141">
        <v>4950</v>
      </c>
      <c r="AC25" s="302">
        <f t="shared" si="4"/>
        <v>60869.219999999994</v>
      </c>
      <c r="AD25" s="141">
        <f t="shared" si="5"/>
        <v>15269.219999999994</v>
      </c>
      <c r="AE25" s="192">
        <f t="shared" si="6"/>
        <v>0.25085289412284228</v>
      </c>
      <c r="AF25" s="228">
        <v>27702.67</v>
      </c>
      <c r="AG25" s="123">
        <f t="shared" si="2"/>
        <v>-17897.330000000002</v>
      </c>
      <c r="AH25" s="124"/>
      <c r="AI25" s="124"/>
    </row>
    <row r="26" spans="1:35">
      <c r="A26" s="105" t="s">
        <v>836</v>
      </c>
      <c r="B26" s="105" t="s">
        <v>894</v>
      </c>
      <c r="C26" s="105" t="s">
        <v>220</v>
      </c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228">
        <f t="shared" si="7"/>
        <v>0</v>
      </c>
      <c r="Q26" s="141">
        <v>0</v>
      </c>
      <c r="R26" s="141">
        <v>0</v>
      </c>
      <c r="S26" s="141">
        <v>0</v>
      </c>
      <c r="T26" s="141">
        <v>0</v>
      </c>
      <c r="U26" s="141">
        <v>0</v>
      </c>
      <c r="V26" s="141">
        <v>0</v>
      </c>
      <c r="W26" s="141">
        <v>0</v>
      </c>
      <c r="X26" s="141">
        <v>0</v>
      </c>
      <c r="Y26" s="141">
        <v>0</v>
      </c>
      <c r="Z26" s="141">
        <v>0</v>
      </c>
      <c r="AA26" s="141">
        <v>0</v>
      </c>
      <c r="AB26" s="141">
        <v>0</v>
      </c>
      <c r="AC26" s="302">
        <f t="shared" si="4"/>
        <v>0</v>
      </c>
      <c r="AD26" s="141">
        <f t="shared" si="5"/>
        <v>0</v>
      </c>
      <c r="AE26" s="192" t="e">
        <f t="shared" si="6"/>
        <v>#DIV/0!</v>
      </c>
      <c r="AF26" s="228">
        <v>3055</v>
      </c>
      <c r="AG26" s="123">
        <f t="shared" si="2"/>
        <v>3055</v>
      </c>
      <c r="AH26" s="124"/>
      <c r="AI26" s="124"/>
    </row>
    <row r="27" spans="1:35">
      <c r="A27" s="105">
        <v>60014101</v>
      </c>
      <c r="B27" s="105" t="s">
        <v>894</v>
      </c>
      <c r="C27" s="105" t="s">
        <v>459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228">
        <f t="shared" si="7"/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0</v>
      </c>
      <c r="AC27" s="302">
        <f t="shared" si="4"/>
        <v>0</v>
      </c>
      <c r="AD27" s="141"/>
      <c r="AF27" s="228">
        <v>0</v>
      </c>
      <c r="AG27" s="123">
        <f t="shared" si="2"/>
        <v>0</v>
      </c>
      <c r="AH27" s="124"/>
      <c r="AI27" s="124"/>
    </row>
    <row r="28" spans="1:35">
      <c r="A28" s="105" t="s">
        <v>746</v>
      </c>
      <c r="B28" s="105" t="s">
        <v>894</v>
      </c>
      <c r="C28" s="105" t="s">
        <v>678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228">
        <f t="shared" si="7"/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0</v>
      </c>
      <c r="AC28" s="302">
        <f t="shared" si="4"/>
        <v>0</v>
      </c>
      <c r="AD28" s="141">
        <f t="shared" si="5"/>
        <v>0</v>
      </c>
      <c r="AE28" s="192" t="e">
        <f t="shared" si="6"/>
        <v>#DIV/0!</v>
      </c>
      <c r="AF28" s="228">
        <v>0</v>
      </c>
      <c r="AG28" s="123">
        <f t="shared" si="2"/>
        <v>0</v>
      </c>
      <c r="AH28" s="124"/>
      <c r="AI28" s="124"/>
    </row>
    <row r="29" spans="1:35">
      <c r="A29" s="105" t="s">
        <v>837</v>
      </c>
      <c r="B29" s="105" t="s">
        <v>894</v>
      </c>
      <c r="C29" s="105" t="s">
        <v>888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228">
        <f t="shared" si="7"/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41">
        <v>0</v>
      </c>
      <c r="W29" s="141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302">
        <f t="shared" si="4"/>
        <v>0</v>
      </c>
      <c r="AD29" s="141"/>
      <c r="AF29" s="228">
        <v>0</v>
      </c>
      <c r="AG29" s="123">
        <f t="shared" si="2"/>
        <v>0</v>
      </c>
      <c r="AH29" s="124"/>
      <c r="AI29" s="124"/>
    </row>
    <row r="30" spans="1:35">
      <c r="A30" s="105">
        <v>60014104</v>
      </c>
      <c r="B30" s="105" t="s">
        <v>894</v>
      </c>
      <c r="C30" s="105" t="s">
        <v>892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228">
        <f t="shared" si="7"/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0</v>
      </c>
      <c r="AC30" s="302">
        <f t="shared" si="4"/>
        <v>0</v>
      </c>
      <c r="AD30" s="141"/>
      <c r="AF30" s="228">
        <v>0</v>
      </c>
      <c r="AG30" s="123">
        <f t="shared" si="2"/>
        <v>0</v>
      </c>
      <c r="AH30" s="124"/>
      <c r="AI30" s="124"/>
    </row>
    <row r="31" spans="1:35">
      <c r="A31" s="105" t="s">
        <v>841</v>
      </c>
      <c r="B31" s="105" t="s">
        <v>894</v>
      </c>
      <c r="C31" s="105" t="s">
        <v>842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228">
        <f t="shared" si="7"/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302">
        <f t="shared" si="4"/>
        <v>0</v>
      </c>
      <c r="AD31" s="141">
        <f t="shared" si="5"/>
        <v>0</v>
      </c>
      <c r="AE31" s="192" t="e">
        <f t="shared" si="6"/>
        <v>#DIV/0!</v>
      </c>
      <c r="AF31" s="228">
        <v>1358.52</v>
      </c>
      <c r="AG31" s="123">
        <f t="shared" si="2"/>
        <v>1358.52</v>
      </c>
      <c r="AH31" s="124"/>
      <c r="AI31" s="124"/>
    </row>
    <row r="32" spans="1:35">
      <c r="A32" s="105" t="s">
        <v>843</v>
      </c>
      <c r="B32" s="105" t="s">
        <v>894</v>
      </c>
      <c r="C32" s="105" t="s">
        <v>844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228">
        <f t="shared" si="7"/>
        <v>0</v>
      </c>
      <c r="Q32" s="141">
        <v>0</v>
      </c>
      <c r="R32" s="141">
        <v>0</v>
      </c>
      <c r="S32" s="141">
        <v>3773.58</v>
      </c>
      <c r="T32" s="141">
        <v>0</v>
      </c>
      <c r="U32" s="141">
        <v>0</v>
      </c>
      <c r="V32" s="141">
        <v>4716.9799999999996</v>
      </c>
      <c r="W32" s="141">
        <v>0</v>
      </c>
      <c r="X32" s="141">
        <v>0</v>
      </c>
      <c r="Y32" s="141">
        <v>0</v>
      </c>
      <c r="Z32" s="141">
        <v>0</v>
      </c>
      <c r="AA32" s="141">
        <v>0</v>
      </c>
      <c r="AB32" s="141">
        <v>0</v>
      </c>
      <c r="AC32" s="302">
        <f t="shared" si="4"/>
        <v>8490.56</v>
      </c>
      <c r="AD32" s="141">
        <f t="shared" si="5"/>
        <v>8490.56</v>
      </c>
      <c r="AE32" s="192">
        <f t="shared" si="6"/>
        <v>1</v>
      </c>
      <c r="AF32" s="228">
        <v>0</v>
      </c>
      <c r="AG32" s="123">
        <f t="shared" si="2"/>
        <v>0</v>
      </c>
      <c r="AH32" s="124"/>
      <c r="AI32" s="124"/>
    </row>
    <row r="33" spans="1:35">
      <c r="A33" s="105">
        <v>60014110</v>
      </c>
      <c r="B33" s="105" t="s">
        <v>894</v>
      </c>
      <c r="C33" s="105" t="s">
        <v>845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228">
        <f t="shared" si="7"/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  <c r="AA33" s="141">
        <v>0</v>
      </c>
      <c r="AB33" s="141">
        <v>0</v>
      </c>
      <c r="AC33" s="302">
        <f t="shared" si="4"/>
        <v>0</v>
      </c>
      <c r="AD33" s="141"/>
      <c r="AF33" s="228">
        <v>0</v>
      </c>
      <c r="AG33" s="123">
        <f t="shared" si="2"/>
        <v>0</v>
      </c>
      <c r="AH33" s="124"/>
      <c r="AI33" s="124"/>
    </row>
    <row r="34" spans="1:35">
      <c r="A34" s="105">
        <v>60014111</v>
      </c>
      <c r="B34" s="105" t="s">
        <v>894</v>
      </c>
      <c r="C34" s="105" t="s">
        <v>846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228">
        <f t="shared" si="7"/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41">
        <v>0</v>
      </c>
      <c r="W34" s="141">
        <v>0</v>
      </c>
      <c r="X34" s="141">
        <v>0</v>
      </c>
      <c r="Y34" s="141">
        <v>0</v>
      </c>
      <c r="Z34" s="141">
        <v>0</v>
      </c>
      <c r="AA34" s="141">
        <v>0</v>
      </c>
      <c r="AB34" s="141">
        <v>0</v>
      </c>
      <c r="AC34" s="302">
        <f t="shared" si="4"/>
        <v>0</v>
      </c>
      <c r="AD34" s="141"/>
      <c r="AF34" s="228">
        <v>0</v>
      </c>
      <c r="AG34" s="123">
        <f t="shared" si="2"/>
        <v>0</v>
      </c>
      <c r="AH34" s="124"/>
      <c r="AI34" s="124"/>
    </row>
    <row r="35" spans="1:35">
      <c r="A35" s="105" t="s">
        <v>847</v>
      </c>
      <c r="B35" s="105" t="s">
        <v>894</v>
      </c>
      <c r="C35" s="105" t="s">
        <v>848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228">
        <f t="shared" si="7"/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302">
        <f t="shared" si="4"/>
        <v>0</v>
      </c>
      <c r="AD35" s="141">
        <f t="shared" si="5"/>
        <v>0</v>
      </c>
      <c r="AE35" s="192" t="e">
        <f t="shared" si="6"/>
        <v>#DIV/0!</v>
      </c>
      <c r="AF35" s="228">
        <v>0</v>
      </c>
      <c r="AG35" s="123">
        <f t="shared" si="2"/>
        <v>0</v>
      </c>
      <c r="AH35" s="124"/>
      <c r="AI35" s="124"/>
    </row>
    <row r="36" spans="1:35">
      <c r="A36" s="105" t="s">
        <v>849</v>
      </c>
      <c r="B36" s="105" t="s">
        <v>894</v>
      </c>
      <c r="C36" s="105" t="s">
        <v>850</v>
      </c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228">
        <f t="shared" si="7"/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302">
        <f t="shared" si="4"/>
        <v>0</v>
      </c>
      <c r="AD36" s="141">
        <f>AC36-P36</f>
        <v>0</v>
      </c>
      <c r="AE36" s="192" t="e">
        <f t="shared" si="6"/>
        <v>#DIV/0!</v>
      </c>
      <c r="AF36" s="228">
        <v>0</v>
      </c>
      <c r="AG36" s="123">
        <f t="shared" si="2"/>
        <v>0</v>
      </c>
      <c r="AH36" s="124"/>
      <c r="AI36" s="124"/>
    </row>
    <row r="37" spans="1:35">
      <c r="A37" s="105" t="s">
        <v>851</v>
      </c>
      <c r="B37" s="105" t="s">
        <v>894</v>
      </c>
      <c r="C37" s="105" t="s">
        <v>852</v>
      </c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228">
        <f t="shared" si="7"/>
        <v>0</v>
      </c>
      <c r="Q37" s="141">
        <v>0</v>
      </c>
      <c r="R37" s="141">
        <v>0</v>
      </c>
      <c r="S37" s="141">
        <v>0</v>
      </c>
      <c r="T37" s="141">
        <v>0</v>
      </c>
      <c r="U37" s="141">
        <v>0</v>
      </c>
      <c r="V37" s="141">
        <v>0</v>
      </c>
      <c r="W37" s="141">
        <v>0</v>
      </c>
      <c r="X37" s="141">
        <v>0</v>
      </c>
      <c r="Y37" s="141">
        <v>0</v>
      </c>
      <c r="Z37" s="141">
        <v>0</v>
      </c>
      <c r="AA37" s="141">
        <v>0</v>
      </c>
      <c r="AB37" s="141">
        <v>0</v>
      </c>
      <c r="AC37" s="302">
        <f t="shared" si="4"/>
        <v>0</v>
      </c>
      <c r="AD37" s="141">
        <f t="shared" si="5"/>
        <v>0</v>
      </c>
      <c r="AE37" s="192" t="e">
        <f t="shared" si="6"/>
        <v>#DIV/0!</v>
      </c>
      <c r="AF37" s="228">
        <v>0</v>
      </c>
      <c r="AG37" s="123">
        <f t="shared" si="2"/>
        <v>0</v>
      </c>
      <c r="AH37" s="124"/>
      <c r="AI37" s="124"/>
    </row>
    <row r="38" spans="1:35">
      <c r="A38" s="105" t="s">
        <v>853</v>
      </c>
      <c r="B38" s="105" t="s">
        <v>894</v>
      </c>
      <c r="C38" s="105" t="s">
        <v>854</v>
      </c>
      <c r="D38" s="124">
        <v>108450</v>
      </c>
      <c r="E38" s="124">
        <v>19500</v>
      </c>
      <c r="F38" s="124">
        <v>19620</v>
      </c>
      <c r="G38" s="124">
        <v>183036</v>
      </c>
      <c r="H38" s="124">
        <v>14000</v>
      </c>
      <c r="I38" s="124">
        <v>12700</v>
      </c>
      <c r="J38" s="124">
        <v>27000</v>
      </c>
      <c r="K38" s="124">
        <v>7350</v>
      </c>
      <c r="L38" s="124">
        <v>5300</v>
      </c>
      <c r="M38" s="124">
        <v>27950.000000000007</v>
      </c>
      <c r="N38" s="124">
        <v>171500</v>
      </c>
      <c r="O38" s="124">
        <v>18640</v>
      </c>
      <c r="P38" s="227">
        <f t="shared" si="7"/>
        <v>615046</v>
      </c>
      <c r="Q38" s="141">
        <v>124786.77</v>
      </c>
      <c r="R38" s="141">
        <v>288831.96000000002</v>
      </c>
      <c r="S38" s="141">
        <v>37752.6</v>
      </c>
      <c r="T38" s="141">
        <v>241800</v>
      </c>
      <c r="U38" s="141">
        <v>4100</v>
      </c>
      <c r="V38" s="141">
        <v>74891.740000000005</v>
      </c>
      <c r="W38" s="141">
        <v>68080</v>
      </c>
      <c r="X38" s="141">
        <v>-281890</v>
      </c>
      <c r="Y38" s="141">
        <v>0</v>
      </c>
      <c r="Z38" s="141">
        <v>31900</v>
      </c>
      <c r="AA38" s="141">
        <v>264100</v>
      </c>
      <c r="AB38" s="141">
        <v>69300</v>
      </c>
      <c r="AC38" s="302">
        <f t="shared" si="4"/>
        <v>923653.07000000007</v>
      </c>
      <c r="AD38" s="141">
        <f>AC38-P38</f>
        <v>308607.07000000007</v>
      </c>
      <c r="AE38" s="192">
        <f t="shared" si="6"/>
        <v>0.33411578440376977</v>
      </c>
      <c r="AF38" s="228">
        <v>943199.4</v>
      </c>
      <c r="AG38" s="123">
        <f t="shared" si="2"/>
        <v>328153.40000000002</v>
      </c>
      <c r="AH38" s="124"/>
      <c r="AI38" s="124"/>
    </row>
    <row r="39" spans="1:35">
      <c r="A39" s="105" t="s">
        <v>855</v>
      </c>
      <c r="B39" s="105" t="s">
        <v>894</v>
      </c>
      <c r="C39" s="105" t="s">
        <v>856</v>
      </c>
      <c r="D39" s="123">
        <v>8000</v>
      </c>
      <c r="E39" s="123">
        <v>20000</v>
      </c>
      <c r="F39" s="123">
        <v>89275</v>
      </c>
      <c r="G39" s="123">
        <v>46200</v>
      </c>
      <c r="H39" s="123">
        <v>49000</v>
      </c>
      <c r="I39" s="123">
        <v>72818.75</v>
      </c>
      <c r="J39" s="123">
        <v>32000</v>
      </c>
      <c r="K39" s="123">
        <v>11000</v>
      </c>
      <c r="L39" s="123">
        <f>117875-76000</f>
        <v>41875</v>
      </c>
      <c r="M39" s="123">
        <v>14400</v>
      </c>
      <c r="N39" s="123">
        <v>23000</v>
      </c>
      <c r="O39" s="123">
        <v>47047.5</v>
      </c>
      <c r="P39" s="228">
        <f t="shared" si="7"/>
        <v>454616.25</v>
      </c>
      <c r="Q39" s="141">
        <v>6300</v>
      </c>
      <c r="R39" s="141">
        <v>23025.77</v>
      </c>
      <c r="S39" s="141">
        <v>73735.070000000007</v>
      </c>
      <c r="T39" s="141">
        <v>39317.760000000002</v>
      </c>
      <c r="U39" s="141">
        <v>42500</v>
      </c>
      <c r="V39" s="141">
        <v>38275</v>
      </c>
      <c r="W39" s="141">
        <v>22400</v>
      </c>
      <c r="X39" s="141">
        <v>11000</v>
      </c>
      <c r="Y39" s="141">
        <v>0</v>
      </c>
      <c r="Z39" s="141">
        <v>14600</v>
      </c>
      <c r="AA39" s="141">
        <v>30200</v>
      </c>
      <c r="AB39" s="141">
        <v>35275</v>
      </c>
      <c r="AC39" s="302">
        <f t="shared" si="4"/>
        <v>336628.6</v>
      </c>
      <c r="AD39" s="141">
        <f t="shared" si="5"/>
        <v>-117987.65000000002</v>
      </c>
      <c r="AE39" s="192">
        <f t="shared" si="6"/>
        <v>-0.35049799690222411</v>
      </c>
      <c r="AF39" s="228">
        <v>0</v>
      </c>
      <c r="AG39" s="123">
        <f t="shared" si="2"/>
        <v>-454616.25</v>
      </c>
      <c r="AH39" s="124"/>
      <c r="AI39" s="124"/>
    </row>
    <row r="40" spans="1:35">
      <c r="A40" s="105" t="s">
        <v>857</v>
      </c>
      <c r="B40" s="105" t="s">
        <v>894</v>
      </c>
      <c r="C40" s="105" t="s">
        <v>858</v>
      </c>
      <c r="D40" s="123">
        <v>8926.5</v>
      </c>
      <c r="E40" s="123">
        <v>6718.33</v>
      </c>
      <c r="F40" s="123">
        <v>10240.999999999998</v>
      </c>
      <c r="G40" s="123">
        <v>21174.67</v>
      </c>
      <c r="H40" s="123">
        <v>26125.48</v>
      </c>
      <c r="I40" s="123">
        <v>11176.5</v>
      </c>
      <c r="J40" s="123">
        <v>12211.5</v>
      </c>
      <c r="K40" s="123">
        <v>8934.67</v>
      </c>
      <c r="L40" s="123">
        <v>8374.67</v>
      </c>
      <c r="M40" s="123">
        <v>7390.9999999999991</v>
      </c>
      <c r="N40" s="123">
        <v>18039.43</v>
      </c>
      <c r="O40" s="123">
        <v>11679.43</v>
      </c>
      <c r="P40" s="228">
        <f t="shared" si="7"/>
        <v>150993.18</v>
      </c>
      <c r="Q40" s="141">
        <v>8719.44</v>
      </c>
      <c r="R40" s="141">
        <v>6011.25</v>
      </c>
      <c r="S40" s="141">
        <v>5614.76</v>
      </c>
      <c r="T40" s="141">
        <v>14988.09</v>
      </c>
      <c r="U40" s="141">
        <v>30818.98</v>
      </c>
      <c r="V40" s="141">
        <v>-438.64</v>
      </c>
      <c r="W40" s="141">
        <v>-400.43</v>
      </c>
      <c r="X40" s="141">
        <v>1679.72</v>
      </c>
      <c r="Y40" s="141">
        <v>0</v>
      </c>
      <c r="Z40" s="141">
        <v>5205</v>
      </c>
      <c r="AA40" s="141">
        <v>39955</v>
      </c>
      <c r="AB40" s="141">
        <v>32905</v>
      </c>
      <c r="AC40" s="302">
        <f t="shared" si="4"/>
        <v>145058.16999999998</v>
      </c>
      <c r="AD40" s="141">
        <f t="shared" si="5"/>
        <v>-5935.0100000000093</v>
      </c>
      <c r="AE40" s="192">
        <f t="shared" si="6"/>
        <v>-4.0914689603488104E-2</v>
      </c>
      <c r="AF40" s="228">
        <v>125237.78</v>
      </c>
      <c r="AG40" s="123">
        <f t="shared" si="2"/>
        <v>-25755.399999999994</v>
      </c>
      <c r="AH40" s="124"/>
      <c r="AI40" s="124"/>
    </row>
    <row r="41" spans="1:35">
      <c r="A41" s="105" t="s">
        <v>859</v>
      </c>
      <c r="B41" s="105" t="s">
        <v>894</v>
      </c>
      <c r="C41" s="105" t="s">
        <v>860</v>
      </c>
      <c r="D41" s="124">
        <v>800</v>
      </c>
      <c r="E41" s="124">
        <v>800</v>
      </c>
      <c r="F41" s="124">
        <v>800</v>
      </c>
      <c r="G41" s="124">
        <v>800</v>
      </c>
      <c r="H41" s="124">
        <v>800</v>
      </c>
      <c r="I41" s="124">
        <v>800</v>
      </c>
      <c r="J41" s="124">
        <v>800</v>
      </c>
      <c r="K41" s="124">
        <v>800</v>
      </c>
      <c r="L41" s="124">
        <v>800</v>
      </c>
      <c r="M41" s="124">
        <v>800</v>
      </c>
      <c r="N41" s="124">
        <v>800</v>
      </c>
      <c r="O41" s="124">
        <v>800</v>
      </c>
      <c r="P41" s="228">
        <f t="shared" si="7"/>
        <v>9600</v>
      </c>
      <c r="Q41" s="141">
        <v>0</v>
      </c>
      <c r="R41" s="141">
        <v>0</v>
      </c>
      <c r="S41" s="141">
        <v>0</v>
      </c>
      <c r="T41" s="141">
        <v>2500</v>
      </c>
      <c r="U41" s="141">
        <v>0</v>
      </c>
      <c r="V41" s="141">
        <v>0</v>
      </c>
      <c r="W41" s="141">
        <v>0</v>
      </c>
      <c r="X41" s="141">
        <v>0</v>
      </c>
      <c r="Y41" s="141">
        <v>0</v>
      </c>
      <c r="Z41" s="141">
        <v>1250</v>
      </c>
      <c r="AA41" s="141">
        <v>1250</v>
      </c>
      <c r="AB41" s="141">
        <v>1250</v>
      </c>
      <c r="AC41" s="302">
        <f t="shared" si="4"/>
        <v>6250</v>
      </c>
      <c r="AD41" s="141">
        <f t="shared" si="5"/>
        <v>-3350</v>
      </c>
      <c r="AF41" s="228">
        <v>0</v>
      </c>
      <c r="AG41" s="123">
        <f t="shared" si="2"/>
        <v>-9600</v>
      </c>
      <c r="AH41" s="124"/>
      <c r="AI41" s="124"/>
    </row>
    <row r="42" spans="1:35">
      <c r="A42" s="105" t="s">
        <v>861</v>
      </c>
      <c r="B42" s="105" t="s">
        <v>894</v>
      </c>
      <c r="C42" s="105" t="s">
        <v>862</v>
      </c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228">
        <f t="shared" si="7"/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141">
        <v>0</v>
      </c>
      <c r="W42" s="141">
        <v>0</v>
      </c>
      <c r="X42" s="141">
        <v>0</v>
      </c>
      <c r="Y42" s="141">
        <v>0</v>
      </c>
      <c r="Z42" s="141">
        <v>0</v>
      </c>
      <c r="AA42" s="141">
        <v>0</v>
      </c>
      <c r="AB42" s="141">
        <v>0</v>
      </c>
      <c r="AC42" s="302">
        <f t="shared" si="4"/>
        <v>0</v>
      </c>
      <c r="AD42" s="141">
        <f t="shared" si="5"/>
        <v>0</v>
      </c>
      <c r="AE42" s="192" t="e">
        <f t="shared" si="6"/>
        <v>#DIV/0!</v>
      </c>
      <c r="AF42" s="228">
        <v>0</v>
      </c>
      <c r="AG42" s="123">
        <f t="shared" si="2"/>
        <v>0</v>
      </c>
      <c r="AH42" s="124"/>
      <c r="AI42" s="124"/>
    </row>
    <row r="43" spans="1:35">
      <c r="A43" s="105" t="s">
        <v>863</v>
      </c>
      <c r="B43" s="105" t="s">
        <v>894</v>
      </c>
      <c r="C43" s="105" t="s">
        <v>864</v>
      </c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228">
        <f t="shared" si="7"/>
        <v>0</v>
      </c>
      <c r="Q43" s="141">
        <v>0</v>
      </c>
      <c r="R43" s="141">
        <v>0</v>
      </c>
      <c r="S43" s="141">
        <v>0</v>
      </c>
      <c r="T43" s="141">
        <v>0</v>
      </c>
      <c r="U43" s="141">
        <v>0</v>
      </c>
      <c r="V43" s="141">
        <v>0</v>
      </c>
      <c r="W43" s="141">
        <v>0</v>
      </c>
      <c r="X43" s="141">
        <v>0</v>
      </c>
      <c r="Y43" s="141">
        <v>0</v>
      </c>
      <c r="Z43" s="141">
        <v>0</v>
      </c>
      <c r="AA43" s="141">
        <v>0</v>
      </c>
      <c r="AB43" s="141">
        <v>0</v>
      </c>
      <c r="AC43" s="302">
        <f t="shared" si="4"/>
        <v>0</v>
      </c>
      <c r="AD43" s="141">
        <f t="shared" si="5"/>
        <v>0</v>
      </c>
      <c r="AE43" s="192" t="e">
        <f t="shared" si="6"/>
        <v>#DIV/0!</v>
      </c>
      <c r="AF43" s="228">
        <v>0</v>
      </c>
      <c r="AG43" s="123">
        <f t="shared" si="2"/>
        <v>0</v>
      </c>
      <c r="AH43" s="124"/>
      <c r="AI43" s="124"/>
    </row>
    <row r="44" spans="1:35">
      <c r="A44" s="105" t="s">
        <v>865</v>
      </c>
      <c r="B44" s="105" t="s">
        <v>894</v>
      </c>
      <c r="C44" s="105" t="s">
        <v>866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228">
        <f t="shared" si="7"/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41">
        <v>0</v>
      </c>
      <c r="W44" s="141">
        <v>0</v>
      </c>
      <c r="X44" s="141">
        <v>0</v>
      </c>
      <c r="Y44" s="141">
        <v>0</v>
      </c>
      <c r="Z44" s="141">
        <v>0</v>
      </c>
      <c r="AA44" s="141">
        <v>0</v>
      </c>
      <c r="AB44" s="141">
        <v>0</v>
      </c>
      <c r="AC44" s="302">
        <f t="shared" si="4"/>
        <v>0</v>
      </c>
      <c r="AD44" s="141">
        <f t="shared" si="5"/>
        <v>0</v>
      </c>
      <c r="AE44" s="192" t="e">
        <f t="shared" si="6"/>
        <v>#DIV/0!</v>
      </c>
      <c r="AF44" s="228">
        <v>0</v>
      </c>
      <c r="AG44" s="123">
        <f t="shared" si="2"/>
        <v>0</v>
      </c>
      <c r="AH44" s="124"/>
      <c r="AI44" s="124"/>
    </row>
    <row r="45" spans="1:35">
      <c r="A45" s="105" t="s">
        <v>698</v>
      </c>
      <c r="B45" s="105" t="s">
        <v>894</v>
      </c>
      <c r="C45" s="105" t="s">
        <v>222</v>
      </c>
      <c r="D45" s="123">
        <v>500</v>
      </c>
      <c r="E45" s="123">
        <v>500</v>
      </c>
      <c r="F45" s="123">
        <v>500</v>
      </c>
      <c r="G45" s="123">
        <v>500</v>
      </c>
      <c r="H45" s="123">
        <v>500</v>
      </c>
      <c r="I45" s="123">
        <v>500</v>
      </c>
      <c r="J45" s="123">
        <v>500</v>
      </c>
      <c r="K45" s="123">
        <v>500</v>
      </c>
      <c r="L45" s="123">
        <v>500</v>
      </c>
      <c r="M45" s="123">
        <v>500</v>
      </c>
      <c r="N45" s="123">
        <v>500</v>
      </c>
      <c r="O45" s="123">
        <v>500</v>
      </c>
      <c r="P45" s="228">
        <f t="shared" si="7"/>
        <v>6000</v>
      </c>
      <c r="Q45" s="141">
        <v>-493.26</v>
      </c>
      <c r="R45" s="141">
        <v>-1143</v>
      </c>
      <c r="S45" s="141">
        <v>-1269.96</v>
      </c>
      <c r="T45" s="141">
        <v>-1795.7</v>
      </c>
      <c r="U45" s="141">
        <v>-1018.26</v>
      </c>
      <c r="V45" s="141">
        <v>-761.72</v>
      </c>
      <c r="W45" s="141">
        <v>-755.12</v>
      </c>
      <c r="X45" s="141">
        <v>-522.5</v>
      </c>
      <c r="Y45" s="141">
        <v>1360</v>
      </c>
      <c r="Z45" s="141">
        <v>1360</v>
      </c>
      <c r="AA45" s="141">
        <v>1360</v>
      </c>
      <c r="AB45" s="141">
        <v>1360</v>
      </c>
      <c r="AC45" s="302">
        <f t="shared" si="4"/>
        <v>-2319.5200000000004</v>
      </c>
      <c r="AD45" s="141">
        <f t="shared" si="5"/>
        <v>-8319.52</v>
      </c>
      <c r="AE45" s="192">
        <f t="shared" si="6"/>
        <v>3.5867420845692206</v>
      </c>
      <c r="AF45" s="228">
        <v>31775.490000000005</v>
      </c>
      <c r="AG45" s="123">
        <f t="shared" si="2"/>
        <v>25775.490000000005</v>
      </c>
      <c r="AH45" s="124"/>
      <c r="AI45" s="124"/>
    </row>
    <row r="46" spans="1:35">
      <c r="C46" s="109" t="s">
        <v>867</v>
      </c>
      <c r="D46" s="129">
        <f t="shared" ref="D46:I46" si="10">SUM(D12:D45)</f>
        <v>147886.91</v>
      </c>
      <c r="E46" s="129">
        <f t="shared" si="10"/>
        <v>61597.740000000005</v>
      </c>
      <c r="F46" s="129">
        <f t="shared" si="10"/>
        <v>136030.41</v>
      </c>
      <c r="G46" s="129">
        <f t="shared" si="10"/>
        <v>267387.08</v>
      </c>
      <c r="H46" s="129">
        <f t="shared" si="10"/>
        <v>105151.89</v>
      </c>
      <c r="I46" s="129">
        <f t="shared" si="10"/>
        <v>111652.66</v>
      </c>
      <c r="J46" s="129">
        <f t="shared" ref="J46:AC46" si="11">SUM(J12:J45)</f>
        <v>85881.91</v>
      </c>
      <c r="K46" s="129">
        <f t="shared" si="11"/>
        <v>43764.08</v>
      </c>
      <c r="L46" s="129">
        <f t="shared" si="11"/>
        <v>72525.08</v>
      </c>
      <c r="M46" s="129">
        <f t="shared" si="11"/>
        <v>66831.41</v>
      </c>
      <c r="N46" s="129">
        <f t="shared" si="11"/>
        <v>230480.84</v>
      </c>
      <c r="O46" s="129">
        <f t="shared" si="11"/>
        <v>96005.260000000009</v>
      </c>
      <c r="P46" s="228">
        <f t="shared" si="11"/>
        <v>1425195.27</v>
      </c>
      <c r="Q46" s="142">
        <f t="shared" si="11"/>
        <v>157871.04999999999</v>
      </c>
      <c r="R46" s="142">
        <f t="shared" si="11"/>
        <v>334979.30000000005</v>
      </c>
      <c r="S46" s="142">
        <f t="shared" si="11"/>
        <v>137179.37000000002</v>
      </c>
      <c r="T46" s="142">
        <f t="shared" si="11"/>
        <v>311030.09000000003</v>
      </c>
      <c r="U46" s="142">
        <f t="shared" si="11"/>
        <v>90923.62000000001</v>
      </c>
      <c r="V46" s="142">
        <f t="shared" si="11"/>
        <v>125795.48</v>
      </c>
      <c r="W46" s="142">
        <f t="shared" si="11"/>
        <v>100976.86000000002</v>
      </c>
      <c r="X46" s="142">
        <f t="shared" si="11"/>
        <v>-254708.56000000003</v>
      </c>
      <c r="Y46" s="142">
        <f t="shared" si="11"/>
        <v>17638</v>
      </c>
      <c r="Z46" s="142">
        <f t="shared" si="11"/>
        <v>66822</v>
      </c>
      <c r="AA46" s="142">
        <f t="shared" si="11"/>
        <v>349329</v>
      </c>
      <c r="AB46" s="142">
        <f t="shared" si="11"/>
        <v>152559</v>
      </c>
      <c r="AC46" s="302">
        <f t="shared" si="11"/>
        <v>1590395.21</v>
      </c>
      <c r="AD46" s="142">
        <f t="shared" si="5"/>
        <v>165199.93999999994</v>
      </c>
      <c r="AE46" s="132">
        <f t="shared" si="6"/>
        <v>0.10387351455868629</v>
      </c>
      <c r="AF46" s="228">
        <v>1244984.52</v>
      </c>
      <c r="AG46" s="123">
        <f t="shared" si="2"/>
        <v>-180210.75</v>
      </c>
      <c r="AH46" s="124"/>
      <c r="AI46" s="124"/>
    </row>
    <row r="47" spans="1:35">
      <c r="C47" s="109" t="s">
        <v>868</v>
      </c>
      <c r="D47" s="129">
        <f t="shared" ref="D47:AB47" si="12">D46+D83</f>
        <v>334014.7</v>
      </c>
      <c r="E47" s="129">
        <f t="shared" si="12"/>
        <v>245078.53000000003</v>
      </c>
      <c r="F47" s="129">
        <f t="shared" si="12"/>
        <v>322444.26</v>
      </c>
      <c r="G47" s="129">
        <f t="shared" si="12"/>
        <v>454388.93000000005</v>
      </c>
      <c r="H47" s="129">
        <f t="shared" si="12"/>
        <v>293270.18</v>
      </c>
      <c r="I47" s="129">
        <f t="shared" si="12"/>
        <v>298612.06</v>
      </c>
      <c r="J47" s="129">
        <f t="shared" si="12"/>
        <v>273820.84999999998</v>
      </c>
      <c r="K47" s="129">
        <f t="shared" si="12"/>
        <v>232718.86</v>
      </c>
      <c r="L47" s="129">
        <f t="shared" si="12"/>
        <v>261555.86</v>
      </c>
      <c r="M47" s="129">
        <f t="shared" si="12"/>
        <v>258128.49000000002</v>
      </c>
      <c r="N47" s="129">
        <f t="shared" si="12"/>
        <v>419581.53</v>
      </c>
      <c r="O47" s="129">
        <f t="shared" si="12"/>
        <v>284945.25</v>
      </c>
      <c r="P47" s="228">
        <f t="shared" si="12"/>
        <v>3678559.5</v>
      </c>
      <c r="Q47" s="142">
        <f t="shared" si="12"/>
        <v>347985.8</v>
      </c>
      <c r="R47" s="142">
        <f t="shared" si="12"/>
        <v>523562.56000000006</v>
      </c>
      <c r="S47" s="142">
        <f t="shared" si="12"/>
        <v>328024.52</v>
      </c>
      <c r="T47" s="142">
        <f t="shared" si="12"/>
        <v>483821.18000000005</v>
      </c>
      <c r="U47" s="142">
        <f t="shared" si="12"/>
        <v>260917.01999999996</v>
      </c>
      <c r="V47" s="142">
        <f t="shared" si="12"/>
        <v>313154.19</v>
      </c>
      <c r="W47" s="142">
        <f t="shared" si="12"/>
        <v>265922.32000000007</v>
      </c>
      <c r="X47" s="142">
        <f t="shared" si="12"/>
        <v>-82752.360000000015</v>
      </c>
      <c r="Y47" s="142">
        <f t="shared" si="12"/>
        <v>187851.66999999998</v>
      </c>
      <c r="Z47" s="142">
        <f t="shared" si="12"/>
        <v>238284.66999999998</v>
      </c>
      <c r="AA47" s="142">
        <f t="shared" si="12"/>
        <v>519362.67</v>
      </c>
      <c r="AB47" s="142">
        <f t="shared" si="12"/>
        <v>322593.67</v>
      </c>
      <c r="AC47" s="302">
        <f>SUM(Q47:AB47)</f>
        <v>3708727.9099999997</v>
      </c>
      <c r="AD47" s="142">
        <f t="shared" si="5"/>
        <v>30168.409999999683</v>
      </c>
      <c r="AE47" s="132">
        <f t="shared" si="6"/>
        <v>8.1344360471026535E-3</v>
      </c>
      <c r="AF47" s="228">
        <v>3485644.94</v>
      </c>
      <c r="AG47" s="123">
        <f t="shared" si="2"/>
        <v>-192914.56000000006</v>
      </c>
      <c r="AH47" s="124"/>
      <c r="AI47" s="124"/>
    </row>
    <row r="48" spans="1:35">
      <c r="C48" s="105" t="s">
        <v>154</v>
      </c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228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302"/>
      <c r="AD48" s="141"/>
      <c r="AF48" s="228"/>
      <c r="AG48" s="123">
        <f t="shared" si="2"/>
        <v>0</v>
      </c>
      <c r="AH48" s="124"/>
      <c r="AI48" s="124"/>
    </row>
    <row r="49" spans="1:35">
      <c r="C49" s="105" t="s">
        <v>154</v>
      </c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228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302"/>
      <c r="AD49" s="141"/>
      <c r="AF49" s="228"/>
      <c r="AG49" s="123">
        <f t="shared" si="2"/>
        <v>0</v>
      </c>
      <c r="AH49" s="124"/>
      <c r="AI49" s="124"/>
    </row>
    <row r="50" spans="1:35">
      <c r="C50" s="105" t="s">
        <v>869</v>
      </c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228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302"/>
      <c r="AD50" s="141"/>
      <c r="AF50" s="228"/>
      <c r="AG50" s="123">
        <f t="shared" si="2"/>
        <v>0</v>
      </c>
      <c r="AH50" s="124"/>
      <c r="AI50" s="124"/>
    </row>
    <row r="51" spans="1:35">
      <c r="C51" s="105" t="s">
        <v>465</v>
      </c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228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302"/>
      <c r="AD51" s="141"/>
      <c r="AF51" s="228"/>
      <c r="AG51" s="123">
        <f t="shared" si="2"/>
        <v>0</v>
      </c>
      <c r="AH51" s="124"/>
      <c r="AI51" s="124"/>
    </row>
    <row r="52" spans="1:35">
      <c r="A52" s="105" t="s">
        <v>248</v>
      </c>
      <c r="B52" s="105" t="s">
        <v>894</v>
      </c>
      <c r="C52" s="105" t="s">
        <v>250</v>
      </c>
      <c r="D52" s="293">
        <v>81500</v>
      </c>
      <c r="E52" s="123">
        <v>81500</v>
      </c>
      <c r="F52" s="123">
        <v>83527.5</v>
      </c>
      <c r="G52" s="123">
        <v>83527.5</v>
      </c>
      <c r="H52" s="123">
        <v>83527.5</v>
      </c>
      <c r="I52" s="123">
        <v>83527.5</v>
      </c>
      <c r="J52" s="123">
        <v>83527.5</v>
      </c>
      <c r="K52" s="123">
        <v>84035</v>
      </c>
      <c r="L52" s="123">
        <v>84035</v>
      </c>
      <c r="M52" s="123">
        <v>84035</v>
      </c>
      <c r="N52" s="123">
        <v>84035</v>
      </c>
      <c r="O52" s="123">
        <v>84035</v>
      </c>
      <c r="P52" s="227">
        <f>SUM(D52:O52)</f>
        <v>1000812.5</v>
      </c>
      <c r="Q52" s="231">
        <v>71000</v>
      </c>
      <c r="R52" s="231">
        <v>71000</v>
      </c>
      <c r="S52" s="231">
        <v>71591.289999999994</v>
      </c>
      <c r="T52" s="231">
        <v>69051.72</v>
      </c>
      <c r="U52" s="231">
        <v>71195.399999999994</v>
      </c>
      <c r="V52" s="231">
        <v>78877.02</v>
      </c>
      <c r="W52" s="141">
        <v>69700</v>
      </c>
      <c r="X52" s="141">
        <v>69800</v>
      </c>
      <c r="Y52" s="141">
        <v>75000</v>
      </c>
      <c r="Z52" s="141">
        <v>75000</v>
      </c>
      <c r="AA52" s="141">
        <v>75000</v>
      </c>
      <c r="AB52" s="141">
        <v>75000</v>
      </c>
      <c r="AC52" s="228">
        <f>SUM(Q52:AB52)</f>
        <v>872215.43</v>
      </c>
      <c r="AD52" s="141">
        <f>AC52-P52</f>
        <v>-128597.06999999995</v>
      </c>
      <c r="AE52" s="192">
        <f>AD52/AC52</f>
        <v>-0.147437279342788</v>
      </c>
      <c r="AF52" s="228">
        <v>887807.06</v>
      </c>
      <c r="AG52" s="123">
        <f t="shared" si="2"/>
        <v>-113005.43999999994</v>
      </c>
      <c r="AH52" s="124"/>
      <c r="AI52" s="124"/>
    </row>
    <row r="53" spans="1:35">
      <c r="A53" s="105" t="s">
        <v>251</v>
      </c>
      <c r="B53" s="105" t="s">
        <v>894</v>
      </c>
      <c r="C53" s="105" t="s">
        <v>468</v>
      </c>
      <c r="D53" s="293">
        <v>24000</v>
      </c>
      <c r="E53" s="123">
        <v>24000</v>
      </c>
      <c r="F53" s="123">
        <v>24800</v>
      </c>
      <c r="G53" s="123">
        <v>24800</v>
      </c>
      <c r="H53" s="123">
        <v>24800</v>
      </c>
      <c r="I53" s="123">
        <v>24800</v>
      </c>
      <c r="J53" s="123">
        <v>24800</v>
      </c>
      <c r="K53" s="123">
        <v>24800</v>
      </c>
      <c r="L53" s="123">
        <v>24800</v>
      </c>
      <c r="M53" s="123">
        <v>24800</v>
      </c>
      <c r="N53" s="123">
        <v>24800</v>
      </c>
      <c r="O53" s="123">
        <v>24800</v>
      </c>
      <c r="P53" s="227">
        <f>SUM(D53:O53)</f>
        <v>296000</v>
      </c>
      <c r="Q53" s="231">
        <v>31517.09</v>
      </c>
      <c r="R53" s="231">
        <v>30044.799999999999</v>
      </c>
      <c r="S53" s="231">
        <v>31700</v>
      </c>
      <c r="T53" s="231">
        <v>28338.97</v>
      </c>
      <c r="U53" s="231">
        <v>27678.15</v>
      </c>
      <c r="V53" s="231">
        <v>30300.16</v>
      </c>
      <c r="W53" s="141">
        <v>27993.1</v>
      </c>
      <c r="X53" s="141">
        <v>31568.97</v>
      </c>
      <c r="Y53" s="141">
        <v>22792</v>
      </c>
      <c r="Z53" s="141">
        <v>22792</v>
      </c>
      <c r="AA53" s="141">
        <v>22792</v>
      </c>
      <c r="AB53" s="141">
        <v>22792</v>
      </c>
      <c r="AC53" s="228">
        <f>SUM(Q53:AB53)</f>
        <v>330309.24</v>
      </c>
      <c r="AD53" s="141">
        <f>AC53-P53</f>
        <v>34309.239999999991</v>
      </c>
      <c r="AE53" s="192">
        <f>AD53/AC53</f>
        <v>0.10387005825207915</v>
      </c>
      <c r="AF53" s="228">
        <v>401841.39999999997</v>
      </c>
      <c r="AG53" s="123">
        <f t="shared" si="2"/>
        <v>105841.39999999997</v>
      </c>
      <c r="AH53" s="124"/>
      <c r="AI53" s="124"/>
    </row>
    <row r="54" spans="1:35">
      <c r="C54" s="109" t="s">
        <v>471</v>
      </c>
      <c r="D54" s="133">
        <f t="shared" ref="D54:AC54" si="13">SUM(D52:D53)</f>
        <v>105500</v>
      </c>
      <c r="E54" s="133">
        <f t="shared" si="13"/>
        <v>105500</v>
      </c>
      <c r="F54" s="133">
        <f t="shared" si="13"/>
        <v>108327.5</v>
      </c>
      <c r="G54" s="133">
        <f t="shared" si="13"/>
        <v>108327.5</v>
      </c>
      <c r="H54" s="133">
        <f t="shared" si="13"/>
        <v>108327.5</v>
      </c>
      <c r="I54" s="133">
        <f t="shared" si="13"/>
        <v>108327.5</v>
      </c>
      <c r="J54" s="133">
        <f t="shared" si="13"/>
        <v>108327.5</v>
      </c>
      <c r="K54" s="133">
        <f t="shared" si="13"/>
        <v>108835</v>
      </c>
      <c r="L54" s="133">
        <f t="shared" si="13"/>
        <v>108835</v>
      </c>
      <c r="M54" s="133">
        <f t="shared" si="13"/>
        <v>108835</v>
      </c>
      <c r="N54" s="133">
        <f t="shared" si="13"/>
        <v>108835</v>
      </c>
      <c r="O54" s="133">
        <f t="shared" si="13"/>
        <v>108835</v>
      </c>
      <c r="P54" s="227">
        <f t="shared" si="13"/>
        <v>1296812.5</v>
      </c>
      <c r="Q54" s="145">
        <f t="shared" si="13"/>
        <v>102517.09</v>
      </c>
      <c r="R54" s="145">
        <f t="shared" si="13"/>
        <v>101044.8</v>
      </c>
      <c r="S54" s="145">
        <f t="shared" si="13"/>
        <v>103291.29</v>
      </c>
      <c r="T54" s="145">
        <f t="shared" si="13"/>
        <v>97390.69</v>
      </c>
      <c r="U54" s="145">
        <f t="shared" si="13"/>
        <v>98873.549999999988</v>
      </c>
      <c r="V54" s="145">
        <f t="shared" si="13"/>
        <v>109177.18000000001</v>
      </c>
      <c r="W54" s="145">
        <f t="shared" si="13"/>
        <v>97693.1</v>
      </c>
      <c r="X54" s="145">
        <f t="shared" si="13"/>
        <v>101368.97</v>
      </c>
      <c r="Y54" s="145">
        <f t="shared" si="13"/>
        <v>97792</v>
      </c>
      <c r="Z54" s="145">
        <f t="shared" si="13"/>
        <v>97792</v>
      </c>
      <c r="AA54" s="145">
        <f t="shared" si="13"/>
        <v>97792</v>
      </c>
      <c r="AB54" s="145">
        <f t="shared" si="13"/>
        <v>97792</v>
      </c>
      <c r="AC54" s="227">
        <f t="shared" si="13"/>
        <v>1202524.67</v>
      </c>
      <c r="AD54" s="142">
        <f>AC54-P54</f>
        <v>-94287.830000000075</v>
      </c>
      <c r="AE54" s="132">
        <f>AD54/AC54</f>
        <v>-7.8408229246556813E-2</v>
      </c>
      <c r="AF54" s="228">
        <v>1289648.46</v>
      </c>
      <c r="AG54" s="123">
        <f t="shared" si="2"/>
        <v>-7164.0400000000373</v>
      </c>
      <c r="AH54" s="124"/>
      <c r="AI54" s="124"/>
    </row>
    <row r="55" spans="1:35"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227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306"/>
      <c r="AD55" s="141"/>
      <c r="AF55" s="228"/>
      <c r="AG55" s="123">
        <f t="shared" si="2"/>
        <v>0</v>
      </c>
      <c r="AH55" s="124"/>
      <c r="AI55" s="124"/>
    </row>
    <row r="56" spans="1:35">
      <c r="A56" s="105" t="s">
        <v>870</v>
      </c>
      <c r="B56" s="105" t="s">
        <v>894</v>
      </c>
      <c r="C56" s="105" t="s">
        <v>260</v>
      </c>
      <c r="D56" s="293">
        <v>0</v>
      </c>
      <c r="E56" s="293">
        <v>0</v>
      </c>
      <c r="F56" s="293">
        <v>0</v>
      </c>
      <c r="G56" s="293">
        <v>0</v>
      </c>
      <c r="H56" s="293">
        <v>0</v>
      </c>
      <c r="I56" s="293">
        <v>0</v>
      </c>
      <c r="J56" s="293">
        <v>0</v>
      </c>
      <c r="K56" s="293">
        <v>0</v>
      </c>
      <c r="L56" s="293">
        <v>0</v>
      </c>
      <c r="M56" s="293">
        <v>0</v>
      </c>
      <c r="N56" s="293">
        <v>0</v>
      </c>
      <c r="O56" s="293">
        <v>0</v>
      </c>
      <c r="P56" s="227">
        <f>SUM(D56:O56)</f>
        <v>0</v>
      </c>
      <c r="Q56" s="231">
        <v>0</v>
      </c>
      <c r="R56" s="231">
        <v>0</v>
      </c>
      <c r="S56" s="231">
        <v>0</v>
      </c>
      <c r="T56" s="231">
        <v>0</v>
      </c>
      <c r="U56" s="231">
        <v>0</v>
      </c>
      <c r="V56" s="231">
        <v>0</v>
      </c>
      <c r="W56" s="141">
        <v>0</v>
      </c>
      <c r="X56" s="141">
        <v>0</v>
      </c>
      <c r="Y56" s="141">
        <v>0</v>
      </c>
      <c r="Z56" s="141">
        <v>0</v>
      </c>
      <c r="AA56" s="141">
        <v>0</v>
      </c>
      <c r="AB56" s="141">
        <v>0</v>
      </c>
      <c r="AC56" s="302">
        <f>SUM(Q56:AB56)</f>
        <v>0</v>
      </c>
      <c r="AD56" s="141">
        <f t="shared" ref="AD56:AD61" si="14">AC56-P56</f>
        <v>0</v>
      </c>
      <c r="AE56" s="192" t="e">
        <f t="shared" ref="AE56:AE61" si="15">AD56/AC56</f>
        <v>#DIV/0!</v>
      </c>
      <c r="AF56" s="228">
        <v>8120.64</v>
      </c>
      <c r="AG56" s="123">
        <f t="shared" si="2"/>
        <v>8120.64</v>
      </c>
      <c r="AH56" s="124"/>
      <c r="AI56" s="124"/>
    </row>
    <row r="57" spans="1:35">
      <c r="A57" s="105" t="s">
        <v>120</v>
      </c>
      <c r="B57" s="105" t="s">
        <v>894</v>
      </c>
      <c r="C57" s="105" t="s">
        <v>261</v>
      </c>
      <c r="D57" s="293">
        <v>17330.54</v>
      </c>
      <c r="E57" s="293">
        <v>17330.54</v>
      </c>
      <c r="F57" s="293">
        <v>17330.54</v>
      </c>
      <c r="G57" s="293">
        <v>17330.54</v>
      </c>
      <c r="H57" s="293">
        <v>17330.54</v>
      </c>
      <c r="I57" s="293">
        <v>17330.54</v>
      </c>
      <c r="J57" s="293">
        <v>17330.54</v>
      </c>
      <c r="K57" s="293">
        <v>17608.32</v>
      </c>
      <c r="L57" s="293">
        <v>17608.32</v>
      </c>
      <c r="M57" s="293">
        <v>17766.66</v>
      </c>
      <c r="N57" s="293">
        <v>17766.66</v>
      </c>
      <c r="O57" s="293">
        <v>17766.66</v>
      </c>
      <c r="P57" s="227">
        <f>SUM(D57:O57)</f>
        <v>209830.40000000005</v>
      </c>
      <c r="Q57" s="231">
        <v>25644.39</v>
      </c>
      <c r="R57" s="231">
        <v>25679.24</v>
      </c>
      <c r="S57" s="231">
        <v>25658.11</v>
      </c>
      <c r="T57" s="231">
        <v>15688.97</v>
      </c>
      <c r="U57" s="231">
        <v>16887.37</v>
      </c>
      <c r="V57" s="231">
        <v>18618.91</v>
      </c>
      <c r="W57" s="141">
        <v>16320.81</v>
      </c>
      <c r="X57" s="141">
        <v>16998.5</v>
      </c>
      <c r="Y57" s="141">
        <v>16298.67</v>
      </c>
      <c r="Z57" s="141">
        <v>16298.67</v>
      </c>
      <c r="AA57" s="141">
        <v>16298.67</v>
      </c>
      <c r="AB57" s="141">
        <v>16298.67</v>
      </c>
      <c r="AC57" s="302">
        <f>SUM(Q57:AB57)</f>
        <v>226690.98000000007</v>
      </c>
      <c r="AD57" s="141">
        <f t="shared" si="14"/>
        <v>16860.580000000016</v>
      </c>
      <c r="AE57" s="192">
        <f t="shared" si="15"/>
        <v>7.4376933744783366E-2</v>
      </c>
      <c r="AF57" s="228">
        <v>179564.06</v>
      </c>
      <c r="AG57" s="123">
        <f t="shared" si="2"/>
        <v>-30266.340000000055</v>
      </c>
      <c r="AI57" s="124"/>
    </row>
    <row r="58" spans="1:35">
      <c r="A58" s="105" t="s">
        <v>871</v>
      </c>
      <c r="B58" s="105" t="s">
        <v>894</v>
      </c>
      <c r="C58" s="105" t="s">
        <v>262</v>
      </c>
      <c r="D58" s="293">
        <v>4200</v>
      </c>
      <c r="E58" s="293">
        <v>4200</v>
      </c>
      <c r="F58" s="293">
        <v>4200</v>
      </c>
      <c r="G58" s="293">
        <v>4200</v>
      </c>
      <c r="H58" s="293">
        <v>4200</v>
      </c>
      <c r="I58" s="293">
        <v>4200</v>
      </c>
      <c r="J58" s="293">
        <v>4200</v>
      </c>
      <c r="K58" s="293">
        <v>4100</v>
      </c>
      <c r="L58" s="293">
        <v>4100</v>
      </c>
      <c r="M58" s="293">
        <v>4100</v>
      </c>
      <c r="N58" s="293">
        <v>4100</v>
      </c>
      <c r="O58" s="293">
        <v>4100</v>
      </c>
      <c r="P58" s="227">
        <f>SUM(D58:O58)</f>
        <v>49900</v>
      </c>
      <c r="Q58" s="231">
        <v>4198.62</v>
      </c>
      <c r="R58" s="231">
        <v>4208.97</v>
      </c>
      <c r="S58" s="231">
        <v>3306.64</v>
      </c>
      <c r="T58" s="231">
        <v>3762.42</v>
      </c>
      <c r="U58" s="231">
        <v>3824.75</v>
      </c>
      <c r="V58" s="231">
        <v>3810.64</v>
      </c>
      <c r="W58" s="141">
        <v>3548</v>
      </c>
      <c r="X58" s="141">
        <v>3665.8</v>
      </c>
      <c r="Y58" s="141">
        <v>5247</v>
      </c>
      <c r="Z58" s="141">
        <v>5337</v>
      </c>
      <c r="AA58" s="141">
        <v>5427</v>
      </c>
      <c r="AB58" s="141">
        <v>5427</v>
      </c>
      <c r="AC58" s="302">
        <f>SUM(Q58:AB58)</f>
        <v>51763.839999999997</v>
      </c>
      <c r="AD58" s="141">
        <f t="shared" si="14"/>
        <v>1863.8399999999965</v>
      </c>
      <c r="AE58" s="192">
        <f t="shared" si="15"/>
        <v>3.6006602292256461E-2</v>
      </c>
      <c r="AF58" s="228">
        <v>21500</v>
      </c>
      <c r="AG58" s="123">
        <f t="shared" si="2"/>
        <v>-28400</v>
      </c>
      <c r="AI58" s="124"/>
    </row>
    <row r="59" spans="1:35">
      <c r="A59" s="105" t="s">
        <v>872</v>
      </c>
      <c r="B59" s="105" t="s">
        <v>894</v>
      </c>
      <c r="C59" s="105" t="s">
        <v>263</v>
      </c>
      <c r="D59" s="293">
        <v>0</v>
      </c>
      <c r="E59" s="293">
        <v>0</v>
      </c>
      <c r="F59" s="293">
        <v>0</v>
      </c>
      <c r="G59" s="293">
        <v>0</v>
      </c>
      <c r="H59" s="293">
        <v>0</v>
      </c>
      <c r="I59" s="293">
        <v>0</v>
      </c>
      <c r="J59" s="293">
        <v>0</v>
      </c>
      <c r="K59" s="293">
        <v>0</v>
      </c>
      <c r="L59" s="293">
        <v>0</v>
      </c>
      <c r="M59" s="293">
        <v>0</v>
      </c>
      <c r="N59" s="293">
        <v>0</v>
      </c>
      <c r="O59" s="293">
        <v>0</v>
      </c>
      <c r="P59" s="227">
        <f>SUM(D59:O59)</f>
        <v>0</v>
      </c>
      <c r="Q59" s="231">
        <v>0</v>
      </c>
      <c r="R59" s="231">
        <v>0</v>
      </c>
      <c r="S59" s="231">
        <v>0</v>
      </c>
      <c r="T59" s="231">
        <v>0</v>
      </c>
      <c r="U59" s="231">
        <v>0</v>
      </c>
      <c r="V59" s="231">
        <v>0</v>
      </c>
      <c r="W59" s="141">
        <v>0</v>
      </c>
      <c r="X59" s="141">
        <v>0</v>
      </c>
      <c r="Y59" s="141">
        <v>0</v>
      </c>
      <c r="Z59" s="141">
        <v>0</v>
      </c>
      <c r="AA59" s="141">
        <v>0</v>
      </c>
      <c r="AB59" s="141">
        <v>0</v>
      </c>
      <c r="AC59" s="302">
        <f>SUM(Q59:AB59)</f>
        <v>0</v>
      </c>
      <c r="AD59" s="141">
        <f t="shared" si="14"/>
        <v>0</v>
      </c>
      <c r="AE59" s="192" t="e">
        <f t="shared" si="15"/>
        <v>#DIV/0!</v>
      </c>
      <c r="AF59" s="228">
        <v>0</v>
      </c>
      <c r="AG59" s="123">
        <f t="shared" si="2"/>
        <v>0</v>
      </c>
      <c r="AI59" s="124"/>
    </row>
    <row r="60" spans="1:35">
      <c r="A60" s="105" t="s">
        <v>873</v>
      </c>
      <c r="B60" s="105" t="s">
        <v>894</v>
      </c>
      <c r="C60" s="105" t="s">
        <v>264</v>
      </c>
      <c r="D60" s="293">
        <v>1500</v>
      </c>
      <c r="E60" s="293">
        <v>1500</v>
      </c>
      <c r="F60" s="293">
        <v>1500</v>
      </c>
      <c r="G60" s="293">
        <v>1500</v>
      </c>
      <c r="H60" s="293">
        <v>1500</v>
      </c>
      <c r="I60" s="293">
        <v>1500</v>
      </c>
      <c r="J60" s="293">
        <v>1500</v>
      </c>
      <c r="K60" s="293">
        <v>1500</v>
      </c>
      <c r="L60" s="293">
        <v>1500</v>
      </c>
      <c r="M60" s="293">
        <v>1500</v>
      </c>
      <c r="N60" s="293">
        <v>1500</v>
      </c>
      <c r="O60" s="293">
        <v>1500</v>
      </c>
      <c r="P60" s="227">
        <f>SUM(D60:O60)</f>
        <v>18000</v>
      </c>
      <c r="Q60" s="231">
        <v>1500</v>
      </c>
      <c r="R60" s="231">
        <v>1500</v>
      </c>
      <c r="S60" s="231">
        <v>236.25</v>
      </c>
      <c r="T60" s="231">
        <v>2763.75</v>
      </c>
      <c r="U60" s="231">
        <v>1500</v>
      </c>
      <c r="V60" s="231">
        <v>1500</v>
      </c>
      <c r="W60" s="141">
        <v>1500</v>
      </c>
      <c r="X60" s="141">
        <v>1500</v>
      </c>
      <c r="Y60" s="141">
        <v>0</v>
      </c>
      <c r="Z60" s="141">
        <v>0</v>
      </c>
      <c r="AA60" s="141">
        <v>0</v>
      </c>
      <c r="AB60" s="141">
        <v>0</v>
      </c>
      <c r="AC60" s="302">
        <f>SUM(Q60:AB60)</f>
        <v>12000</v>
      </c>
      <c r="AD60" s="141">
        <f t="shared" si="14"/>
        <v>-6000</v>
      </c>
      <c r="AE60" s="192">
        <f t="shared" si="15"/>
        <v>-0.5</v>
      </c>
      <c r="AF60" s="228">
        <v>974.62</v>
      </c>
      <c r="AG60" s="123">
        <f t="shared" si="2"/>
        <v>-17025.38</v>
      </c>
      <c r="AI60" s="124"/>
    </row>
    <row r="61" spans="1:35">
      <c r="C61" s="109" t="s">
        <v>265</v>
      </c>
      <c r="D61" s="133">
        <f t="shared" ref="D61:AC61" si="16">SUM(D56:D60)</f>
        <v>23030.54</v>
      </c>
      <c r="E61" s="133">
        <f t="shared" si="16"/>
        <v>23030.54</v>
      </c>
      <c r="F61" s="133">
        <f t="shared" si="16"/>
        <v>23030.54</v>
      </c>
      <c r="G61" s="133">
        <f t="shared" si="16"/>
        <v>23030.54</v>
      </c>
      <c r="H61" s="133">
        <f t="shared" si="16"/>
        <v>23030.54</v>
      </c>
      <c r="I61" s="133">
        <f t="shared" si="16"/>
        <v>23030.54</v>
      </c>
      <c r="J61" s="133">
        <f t="shared" si="16"/>
        <v>23030.54</v>
      </c>
      <c r="K61" s="133">
        <f t="shared" si="16"/>
        <v>23208.32</v>
      </c>
      <c r="L61" s="133">
        <f t="shared" si="16"/>
        <v>23208.32</v>
      </c>
      <c r="M61" s="133">
        <f t="shared" si="16"/>
        <v>23366.66</v>
      </c>
      <c r="N61" s="133">
        <f t="shared" si="16"/>
        <v>23366.66</v>
      </c>
      <c r="O61" s="133">
        <f t="shared" si="16"/>
        <v>23366.66</v>
      </c>
      <c r="P61" s="227">
        <f t="shared" si="16"/>
        <v>277730.40000000002</v>
      </c>
      <c r="Q61" s="145">
        <f t="shared" si="16"/>
        <v>31343.01</v>
      </c>
      <c r="R61" s="145">
        <f t="shared" si="16"/>
        <v>31388.210000000003</v>
      </c>
      <c r="S61" s="145">
        <f t="shared" si="16"/>
        <v>29201</v>
      </c>
      <c r="T61" s="145">
        <f t="shared" si="16"/>
        <v>22215.14</v>
      </c>
      <c r="U61" s="145">
        <f t="shared" si="16"/>
        <v>22212.12</v>
      </c>
      <c r="V61" s="145">
        <f t="shared" si="16"/>
        <v>23929.55</v>
      </c>
      <c r="W61" s="145">
        <f t="shared" si="16"/>
        <v>21368.809999999998</v>
      </c>
      <c r="X61" s="145">
        <f t="shared" si="16"/>
        <v>22164.3</v>
      </c>
      <c r="Y61" s="145">
        <f t="shared" si="16"/>
        <v>21545.67</v>
      </c>
      <c r="Z61" s="145">
        <f t="shared" si="16"/>
        <v>21635.67</v>
      </c>
      <c r="AA61" s="145">
        <f t="shared" si="16"/>
        <v>21725.67</v>
      </c>
      <c r="AB61" s="145">
        <f t="shared" si="16"/>
        <v>21725.67</v>
      </c>
      <c r="AC61" s="306">
        <f t="shared" si="16"/>
        <v>290454.82000000007</v>
      </c>
      <c r="AD61" s="142">
        <f t="shared" si="14"/>
        <v>12724.420000000042</v>
      </c>
      <c r="AE61" s="132">
        <f t="shared" si="15"/>
        <v>4.3808603348362542E-2</v>
      </c>
      <c r="AF61" s="228">
        <v>210159.32</v>
      </c>
      <c r="AG61" s="123">
        <f t="shared" si="2"/>
        <v>-67571.080000000016</v>
      </c>
      <c r="AI61" s="124"/>
    </row>
    <row r="62" spans="1:35">
      <c r="C62" s="105" t="s">
        <v>154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227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306"/>
      <c r="AD62" s="141"/>
      <c r="AF62" s="228"/>
      <c r="AG62" s="123">
        <f t="shared" si="2"/>
        <v>0</v>
      </c>
      <c r="AI62" s="124"/>
    </row>
    <row r="63" spans="1:35">
      <c r="A63" s="105" t="s">
        <v>874</v>
      </c>
      <c r="B63" s="105" t="s">
        <v>894</v>
      </c>
      <c r="C63" s="105" t="s">
        <v>266</v>
      </c>
      <c r="D63" s="293">
        <v>17026.96</v>
      </c>
      <c r="E63" s="293">
        <v>17026.96</v>
      </c>
      <c r="F63" s="293">
        <v>17026.96</v>
      </c>
      <c r="G63" s="293">
        <v>17026.96</v>
      </c>
      <c r="H63" s="293">
        <v>17026.96</v>
      </c>
      <c r="I63" s="293">
        <v>17026.96</v>
      </c>
      <c r="J63" s="293">
        <v>17555.16</v>
      </c>
      <c r="K63" s="293">
        <v>17821.260000000002</v>
      </c>
      <c r="L63" s="293">
        <v>17821.260000000002</v>
      </c>
      <c r="M63" s="293">
        <v>17821.260000000002</v>
      </c>
      <c r="N63" s="293">
        <v>17821.260000000002</v>
      </c>
      <c r="O63" s="293">
        <v>17821.260000000002</v>
      </c>
      <c r="P63" s="227">
        <f t="shared" ref="P63:P70" si="17">SUM(D63:O63)</f>
        <v>208823.22000000003</v>
      </c>
      <c r="Q63" s="231">
        <v>17501.57</v>
      </c>
      <c r="R63" s="231">
        <v>17501.57</v>
      </c>
      <c r="S63" s="231">
        <v>17501.57</v>
      </c>
      <c r="T63" s="231">
        <v>16122.17</v>
      </c>
      <c r="U63" s="231">
        <v>16014.97</v>
      </c>
      <c r="V63" s="231">
        <v>17092.41</v>
      </c>
      <c r="W63" s="141">
        <v>15856.74</v>
      </c>
      <c r="X63" s="141">
        <v>16288.84</v>
      </c>
      <c r="Y63" s="141">
        <v>15399</v>
      </c>
      <c r="Z63" s="313">
        <v>15399</v>
      </c>
      <c r="AA63" s="313">
        <v>15399</v>
      </c>
      <c r="AB63" s="313">
        <v>15399</v>
      </c>
      <c r="AC63" s="302">
        <f t="shared" ref="AC63:AC70" si="18">SUM(Q63:AB63)</f>
        <v>195475.84000000003</v>
      </c>
      <c r="AD63" s="141">
        <f t="shared" ref="AD63:AD69" si="19">AC63-P63</f>
        <v>-13347.380000000005</v>
      </c>
      <c r="AE63" s="192">
        <f t="shared" ref="AE63:AE69" si="20">AD63/AC63</f>
        <v>-6.8281481742193839E-2</v>
      </c>
      <c r="AF63" s="228">
        <v>176303.62999999998</v>
      </c>
      <c r="AG63" s="123">
        <f t="shared" si="2"/>
        <v>-32519.590000000055</v>
      </c>
      <c r="AI63" s="124"/>
    </row>
    <row r="64" spans="1:35">
      <c r="A64" s="105" t="s">
        <v>875</v>
      </c>
      <c r="B64" s="105" t="s">
        <v>894</v>
      </c>
      <c r="C64" s="105" t="s">
        <v>267</v>
      </c>
      <c r="D64" s="293">
        <v>6900.0700000000006</v>
      </c>
      <c r="E64" s="293">
        <v>6900.0700000000006</v>
      </c>
      <c r="F64" s="293">
        <v>6900.0700000000006</v>
      </c>
      <c r="G64" s="293">
        <v>6900.0700000000006</v>
      </c>
      <c r="H64" s="293">
        <v>6900.0700000000006</v>
      </c>
      <c r="I64" s="293">
        <v>6900.0700000000006</v>
      </c>
      <c r="J64" s="293">
        <v>7089.9900000000007</v>
      </c>
      <c r="K64" s="293">
        <v>7198.09</v>
      </c>
      <c r="L64" s="293">
        <v>7198.09</v>
      </c>
      <c r="M64" s="293">
        <v>7198.09</v>
      </c>
      <c r="N64" s="293">
        <v>7198.09</v>
      </c>
      <c r="O64" s="293">
        <v>7198.09</v>
      </c>
      <c r="P64" s="227">
        <f t="shared" si="17"/>
        <v>84480.859999999986</v>
      </c>
      <c r="Q64" s="231">
        <v>9297.7199999999993</v>
      </c>
      <c r="R64" s="231">
        <v>9297.7199999999993</v>
      </c>
      <c r="S64" s="231">
        <v>9297.7199999999993</v>
      </c>
      <c r="T64" s="231">
        <v>8564.91</v>
      </c>
      <c r="U64" s="231">
        <v>8507.9599999999991</v>
      </c>
      <c r="V64" s="231">
        <v>9080.35</v>
      </c>
      <c r="W64" s="141">
        <v>6465.4</v>
      </c>
      <c r="X64" s="141">
        <v>6617.34</v>
      </c>
      <c r="Y64" s="141">
        <v>7733</v>
      </c>
      <c r="Z64" s="313">
        <v>7733</v>
      </c>
      <c r="AA64" s="313">
        <v>7733</v>
      </c>
      <c r="AB64" s="313">
        <v>7733</v>
      </c>
      <c r="AC64" s="306">
        <f t="shared" si="18"/>
        <v>98061.119999999995</v>
      </c>
      <c r="AD64" s="231">
        <f t="shared" si="19"/>
        <v>13580.260000000009</v>
      </c>
      <c r="AE64" s="196">
        <f t="shared" si="20"/>
        <v>0.13848771052176448</v>
      </c>
      <c r="AF64" s="227">
        <v>86123.730000000025</v>
      </c>
      <c r="AG64" s="123">
        <f t="shared" si="2"/>
        <v>1642.870000000039</v>
      </c>
      <c r="AI64" s="124"/>
    </row>
    <row r="65" spans="1:35">
      <c r="A65" s="105" t="s">
        <v>876</v>
      </c>
      <c r="B65" s="105" t="s">
        <v>894</v>
      </c>
      <c r="C65" s="105" t="s">
        <v>268</v>
      </c>
      <c r="D65" s="293">
        <v>530.78</v>
      </c>
      <c r="E65" s="293">
        <v>530.78</v>
      </c>
      <c r="F65" s="293">
        <v>530.78</v>
      </c>
      <c r="G65" s="293">
        <v>530.78</v>
      </c>
      <c r="H65" s="293">
        <v>530.78</v>
      </c>
      <c r="I65" s="293">
        <v>530.78</v>
      </c>
      <c r="J65" s="293">
        <v>545.41000000000008</v>
      </c>
      <c r="K65" s="293">
        <v>553.73</v>
      </c>
      <c r="L65" s="293">
        <v>553.73</v>
      </c>
      <c r="M65" s="293">
        <v>553.73</v>
      </c>
      <c r="N65" s="293">
        <v>553.73</v>
      </c>
      <c r="O65" s="293">
        <v>553.73</v>
      </c>
      <c r="P65" s="227">
        <f t="shared" si="17"/>
        <v>6498.739999999998</v>
      </c>
      <c r="Q65" s="231">
        <v>546.94000000000005</v>
      </c>
      <c r="R65" s="231">
        <v>546.94000000000005</v>
      </c>
      <c r="S65" s="231">
        <v>546.94000000000005</v>
      </c>
      <c r="T65" s="231">
        <v>503.83</v>
      </c>
      <c r="U65" s="231">
        <v>500.48</v>
      </c>
      <c r="V65" s="231">
        <v>534.15</v>
      </c>
      <c r="W65" s="141">
        <v>494.41</v>
      </c>
      <c r="X65" s="141">
        <v>509.03</v>
      </c>
      <c r="Y65" s="141">
        <v>483</v>
      </c>
      <c r="Z65" s="141">
        <v>483</v>
      </c>
      <c r="AA65" s="141">
        <v>483</v>
      </c>
      <c r="AB65" s="141">
        <v>483</v>
      </c>
      <c r="AC65" s="302">
        <f t="shared" si="18"/>
        <v>6114.72</v>
      </c>
      <c r="AD65" s="141">
        <f t="shared" si="19"/>
        <v>-384.01999999999771</v>
      </c>
      <c r="AE65" s="192">
        <f t="shared" si="20"/>
        <v>-6.2802548604024011E-2</v>
      </c>
      <c r="AF65" s="228">
        <v>5548.4000000000005</v>
      </c>
      <c r="AG65" s="123">
        <f t="shared" si="2"/>
        <v>-950.33999999999742</v>
      </c>
      <c r="AI65" s="124"/>
    </row>
    <row r="66" spans="1:35">
      <c r="A66" s="105" t="s">
        <v>877</v>
      </c>
      <c r="B66" s="105" t="s">
        <v>894</v>
      </c>
      <c r="C66" s="105" t="s">
        <v>269</v>
      </c>
      <c r="D66" s="293">
        <v>127.38</v>
      </c>
      <c r="E66" s="293">
        <v>127.38</v>
      </c>
      <c r="F66" s="293">
        <v>127.38</v>
      </c>
      <c r="G66" s="293">
        <v>127.38</v>
      </c>
      <c r="H66" s="293">
        <v>127.38</v>
      </c>
      <c r="I66" s="293">
        <v>127.38</v>
      </c>
      <c r="J66" s="293">
        <v>130.91</v>
      </c>
      <c r="K66" s="293">
        <v>132.91</v>
      </c>
      <c r="L66" s="293">
        <v>132.91</v>
      </c>
      <c r="M66" s="293">
        <v>132.91</v>
      </c>
      <c r="N66" s="293">
        <v>132.91</v>
      </c>
      <c r="O66" s="293">
        <v>132.91</v>
      </c>
      <c r="P66" s="227">
        <f t="shared" si="17"/>
        <v>1559.7400000000002</v>
      </c>
      <c r="Q66" s="231">
        <v>131.29</v>
      </c>
      <c r="R66" s="231">
        <v>131.29</v>
      </c>
      <c r="S66" s="231">
        <v>131.29</v>
      </c>
      <c r="T66" s="231">
        <v>120.94</v>
      </c>
      <c r="U66" s="231">
        <v>120.14</v>
      </c>
      <c r="V66" s="231">
        <v>128.22</v>
      </c>
      <c r="W66" s="141">
        <v>118.68</v>
      </c>
      <c r="X66" s="141">
        <v>122.2</v>
      </c>
      <c r="Y66" s="141">
        <v>131</v>
      </c>
      <c r="Z66" s="141">
        <v>131</v>
      </c>
      <c r="AA66" s="141">
        <v>131</v>
      </c>
      <c r="AB66" s="141">
        <v>131</v>
      </c>
      <c r="AC66" s="306">
        <f t="shared" si="18"/>
        <v>1528.05</v>
      </c>
      <c r="AD66" s="231">
        <f t="shared" si="19"/>
        <v>-31.690000000000282</v>
      </c>
      <c r="AE66" s="196">
        <f t="shared" si="20"/>
        <v>-2.0738850168515614E-2</v>
      </c>
      <c r="AF66" s="227">
        <v>1798.82</v>
      </c>
      <c r="AG66" s="123">
        <f t="shared" si="2"/>
        <v>239.0799999999997</v>
      </c>
      <c r="AI66" s="124"/>
    </row>
    <row r="67" spans="1:35">
      <c r="A67" s="105" t="s">
        <v>878</v>
      </c>
      <c r="B67" s="105" t="s">
        <v>894</v>
      </c>
      <c r="C67" s="105" t="s">
        <v>270</v>
      </c>
      <c r="D67" s="293">
        <v>0</v>
      </c>
      <c r="E67" s="293">
        <v>0</v>
      </c>
      <c r="F67" s="293">
        <v>0</v>
      </c>
      <c r="G67" s="293">
        <v>0</v>
      </c>
      <c r="H67" s="293">
        <v>0</v>
      </c>
      <c r="I67" s="293">
        <v>0</v>
      </c>
      <c r="J67" s="293">
        <v>0</v>
      </c>
      <c r="K67" s="293">
        <v>0</v>
      </c>
      <c r="L67" s="293">
        <v>0</v>
      </c>
      <c r="M67" s="293">
        <v>0</v>
      </c>
      <c r="N67" s="293">
        <v>0</v>
      </c>
      <c r="O67" s="293">
        <v>0</v>
      </c>
      <c r="P67" s="227">
        <f t="shared" si="17"/>
        <v>0</v>
      </c>
      <c r="Q67" s="231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141">
        <v>0</v>
      </c>
      <c r="X67" s="141">
        <v>0</v>
      </c>
      <c r="Y67" s="141">
        <v>0</v>
      </c>
      <c r="Z67" s="141">
        <v>0</v>
      </c>
      <c r="AA67" s="141">
        <v>0</v>
      </c>
      <c r="AB67" s="141">
        <v>0</v>
      </c>
      <c r="AC67" s="302">
        <f t="shared" si="18"/>
        <v>0</v>
      </c>
      <c r="AD67" s="141">
        <f t="shared" si="19"/>
        <v>0</v>
      </c>
      <c r="AE67" s="192" t="e">
        <f t="shared" si="20"/>
        <v>#DIV/0!</v>
      </c>
      <c r="AF67" s="228">
        <v>3953.32</v>
      </c>
      <c r="AG67" s="123">
        <f t="shared" si="2"/>
        <v>3953.32</v>
      </c>
      <c r="AI67" s="124"/>
    </row>
    <row r="68" spans="1:35">
      <c r="A68" s="105" t="s">
        <v>879</v>
      </c>
      <c r="B68" s="105" t="s">
        <v>894</v>
      </c>
      <c r="C68" s="105" t="s">
        <v>271</v>
      </c>
      <c r="D68" s="293">
        <v>5155.6100000000006</v>
      </c>
      <c r="E68" s="293">
        <v>5155.6100000000006</v>
      </c>
      <c r="F68" s="293">
        <v>5155.6100000000006</v>
      </c>
      <c r="G68" s="293">
        <v>5155.6100000000006</v>
      </c>
      <c r="H68" s="293">
        <v>5155.6100000000006</v>
      </c>
      <c r="I68" s="293">
        <v>5155.6100000000006</v>
      </c>
      <c r="J68" s="293">
        <v>5453.87</v>
      </c>
      <c r="K68" s="293">
        <v>5318.91</v>
      </c>
      <c r="L68" s="293">
        <v>5318.91</v>
      </c>
      <c r="M68" s="293">
        <v>5395.33</v>
      </c>
      <c r="N68" s="293">
        <v>5537.03</v>
      </c>
      <c r="O68" s="293">
        <v>5395.33</v>
      </c>
      <c r="P68" s="227">
        <f t="shared" si="17"/>
        <v>63353.040000000008</v>
      </c>
      <c r="Q68" s="231">
        <v>5484</v>
      </c>
      <c r="R68" s="231">
        <v>5484</v>
      </c>
      <c r="S68" s="231">
        <v>5484</v>
      </c>
      <c r="T68" s="231">
        <v>5053</v>
      </c>
      <c r="U68" s="231">
        <v>5053</v>
      </c>
      <c r="V68" s="231">
        <v>5349</v>
      </c>
      <c r="W68" s="141">
        <v>4875</v>
      </c>
      <c r="X68" s="141">
        <v>5035</v>
      </c>
      <c r="Y68" s="141">
        <v>4701</v>
      </c>
      <c r="Z68" s="141">
        <v>4701</v>
      </c>
      <c r="AA68" s="141">
        <v>4701</v>
      </c>
      <c r="AB68" s="141">
        <v>4701</v>
      </c>
      <c r="AC68" s="306">
        <f t="shared" si="18"/>
        <v>60621</v>
      </c>
      <c r="AD68" s="231">
        <f t="shared" si="19"/>
        <v>-2732.0400000000081</v>
      </c>
      <c r="AE68" s="196">
        <f t="shared" si="20"/>
        <v>-4.5067550848715929E-2</v>
      </c>
      <c r="AF68" s="227">
        <v>53573</v>
      </c>
      <c r="AG68" s="123">
        <f t="shared" si="2"/>
        <v>-9780.0400000000081</v>
      </c>
      <c r="AI68" s="124"/>
    </row>
    <row r="69" spans="1:35">
      <c r="A69" s="105" t="s">
        <v>880</v>
      </c>
      <c r="B69" s="105" t="s">
        <v>894</v>
      </c>
      <c r="C69" s="105" t="s">
        <v>272</v>
      </c>
      <c r="D69" s="293">
        <v>2611</v>
      </c>
      <c r="E69" s="293">
        <v>2611</v>
      </c>
      <c r="F69" s="293">
        <v>2667</v>
      </c>
      <c r="G69" s="293">
        <v>2667</v>
      </c>
      <c r="H69" s="293">
        <v>2667</v>
      </c>
      <c r="I69" s="293">
        <v>2667</v>
      </c>
      <c r="J69" s="293">
        <v>2667</v>
      </c>
      <c r="K69" s="293">
        <v>2681</v>
      </c>
      <c r="L69" s="293">
        <v>2681</v>
      </c>
      <c r="M69" s="293">
        <v>2684</v>
      </c>
      <c r="N69" s="293">
        <v>2684</v>
      </c>
      <c r="O69" s="293">
        <v>2684</v>
      </c>
      <c r="P69" s="227">
        <f t="shared" si="17"/>
        <v>31971</v>
      </c>
      <c r="Q69" s="231">
        <v>2176.31</v>
      </c>
      <c r="R69" s="231">
        <v>2180.08</v>
      </c>
      <c r="S69" s="231">
        <v>4592.4799999999996</v>
      </c>
      <c r="T69" s="231">
        <v>2924.23</v>
      </c>
      <c r="U69" s="231">
        <v>2028.12</v>
      </c>
      <c r="V69" s="231">
        <v>2270.6999999999998</v>
      </c>
      <c r="W69" s="141">
        <v>2024.82</v>
      </c>
      <c r="X69" s="141">
        <v>2114.6999999999998</v>
      </c>
      <c r="Y69" s="141">
        <v>2452</v>
      </c>
      <c r="Z69" s="141">
        <v>2452</v>
      </c>
      <c r="AA69" s="141">
        <v>2452</v>
      </c>
      <c r="AB69" s="141">
        <v>2452</v>
      </c>
      <c r="AC69" s="306">
        <f t="shared" si="18"/>
        <v>30119.439999999999</v>
      </c>
      <c r="AD69" s="231">
        <f t="shared" si="19"/>
        <v>-1851.5600000000013</v>
      </c>
      <c r="AE69" s="196">
        <f t="shared" si="20"/>
        <v>-6.1473918505788996E-2</v>
      </c>
      <c r="AF69" s="227">
        <v>33735.659999999996</v>
      </c>
      <c r="AG69" s="123">
        <f t="shared" si="2"/>
        <v>1764.6599999999962</v>
      </c>
      <c r="AI69" s="124"/>
    </row>
    <row r="70" spans="1:35">
      <c r="A70" s="105" t="s">
        <v>273</v>
      </c>
      <c r="B70" s="105" t="s">
        <v>894</v>
      </c>
      <c r="C70" s="105" t="s">
        <v>274</v>
      </c>
      <c r="D70" s="293">
        <v>0</v>
      </c>
      <c r="E70" s="293">
        <v>0</v>
      </c>
      <c r="F70" s="293">
        <v>0</v>
      </c>
      <c r="G70" s="293">
        <v>0</v>
      </c>
      <c r="H70" s="293">
        <v>0</v>
      </c>
      <c r="I70" s="293">
        <v>0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227">
        <f t="shared" si="17"/>
        <v>0</v>
      </c>
      <c r="Q70" s="231"/>
      <c r="R70" s="231"/>
      <c r="S70" s="231"/>
      <c r="T70" s="231"/>
      <c r="U70" s="231"/>
      <c r="V70" s="231"/>
      <c r="W70" s="141">
        <v>0</v>
      </c>
      <c r="X70" s="141">
        <v>0</v>
      </c>
      <c r="Y70" s="141">
        <v>0</v>
      </c>
      <c r="Z70" s="141">
        <v>0</v>
      </c>
      <c r="AA70" s="141">
        <v>0</v>
      </c>
      <c r="AB70" s="141">
        <v>0</v>
      </c>
      <c r="AC70" s="302">
        <f t="shared" si="18"/>
        <v>0</v>
      </c>
      <c r="AD70" s="141"/>
      <c r="AF70" s="228">
        <v>0</v>
      </c>
      <c r="AG70" s="123">
        <f t="shared" si="2"/>
        <v>0</v>
      </c>
      <c r="AI70" s="124"/>
    </row>
    <row r="71" spans="1:35">
      <c r="C71" s="109" t="s">
        <v>275</v>
      </c>
      <c r="D71" s="133">
        <f t="shared" ref="D71:AC71" si="21">SUM(D63:D70)</f>
        <v>32351.8</v>
      </c>
      <c r="E71" s="133">
        <f t="shared" si="21"/>
        <v>32351.8</v>
      </c>
      <c r="F71" s="133">
        <f t="shared" si="21"/>
        <v>32407.8</v>
      </c>
      <c r="G71" s="133">
        <f t="shared" si="21"/>
        <v>32407.8</v>
      </c>
      <c r="H71" s="133">
        <f t="shared" si="21"/>
        <v>32407.8</v>
      </c>
      <c r="I71" s="133">
        <f t="shared" si="21"/>
        <v>32407.8</v>
      </c>
      <c r="J71" s="133">
        <f t="shared" si="21"/>
        <v>33442.339999999997</v>
      </c>
      <c r="K71" s="133">
        <f t="shared" si="21"/>
        <v>33705.9</v>
      </c>
      <c r="L71" s="133">
        <f t="shared" si="21"/>
        <v>33705.9</v>
      </c>
      <c r="M71" s="133">
        <f t="shared" si="21"/>
        <v>33785.32</v>
      </c>
      <c r="N71" s="133">
        <f t="shared" si="21"/>
        <v>33927.020000000004</v>
      </c>
      <c r="O71" s="133">
        <f t="shared" si="21"/>
        <v>33785.32</v>
      </c>
      <c r="P71" s="227">
        <f t="shared" si="21"/>
        <v>396686.6</v>
      </c>
      <c r="Q71" s="145">
        <f t="shared" si="21"/>
        <v>35137.83</v>
      </c>
      <c r="R71" s="145">
        <f t="shared" si="21"/>
        <v>35141.600000000006</v>
      </c>
      <c r="S71" s="145">
        <f t="shared" si="21"/>
        <v>37554</v>
      </c>
      <c r="T71" s="145">
        <f t="shared" si="21"/>
        <v>33289.08</v>
      </c>
      <c r="U71" s="145">
        <f t="shared" si="21"/>
        <v>32224.67</v>
      </c>
      <c r="V71" s="145">
        <f t="shared" si="21"/>
        <v>34454.83</v>
      </c>
      <c r="W71" s="145">
        <f t="shared" si="21"/>
        <v>29835.05</v>
      </c>
      <c r="X71" s="145">
        <f t="shared" si="21"/>
        <v>30687.11</v>
      </c>
      <c r="Y71" s="145">
        <f t="shared" si="21"/>
        <v>30899</v>
      </c>
      <c r="Z71" s="145">
        <f t="shared" si="21"/>
        <v>30899</v>
      </c>
      <c r="AA71" s="145">
        <f t="shared" si="21"/>
        <v>30899</v>
      </c>
      <c r="AB71" s="145">
        <f t="shared" si="21"/>
        <v>30899</v>
      </c>
      <c r="AC71" s="306">
        <f t="shared" si="21"/>
        <v>391920.17</v>
      </c>
      <c r="AD71" s="142">
        <f>AC71-P71</f>
        <v>-4766.429999999993</v>
      </c>
      <c r="AE71" s="132">
        <f>AD71/AC71</f>
        <v>-1.2161736916984888E-2</v>
      </c>
      <c r="AF71" s="228">
        <v>361036.56</v>
      </c>
      <c r="AG71" s="123">
        <f t="shared" si="2"/>
        <v>-35650.039999999979</v>
      </c>
      <c r="AI71" s="124"/>
    </row>
    <row r="72" spans="1:35">
      <c r="C72" s="105" t="s">
        <v>154</v>
      </c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227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306"/>
      <c r="AD72" s="141"/>
      <c r="AF72" s="228"/>
      <c r="AG72" s="123">
        <f t="shared" si="2"/>
        <v>0</v>
      </c>
      <c r="AI72" s="124"/>
    </row>
    <row r="73" spans="1:35">
      <c r="A73" s="105" t="s">
        <v>131</v>
      </c>
      <c r="B73" s="105" t="s">
        <v>894</v>
      </c>
      <c r="C73" s="105" t="s">
        <v>276</v>
      </c>
      <c r="D73" s="293">
        <v>0</v>
      </c>
      <c r="E73" s="293">
        <v>0</v>
      </c>
      <c r="F73" s="293">
        <v>0</v>
      </c>
      <c r="G73" s="293">
        <v>0</v>
      </c>
      <c r="H73" s="293">
        <v>0</v>
      </c>
      <c r="I73" s="293">
        <v>0</v>
      </c>
      <c r="J73" s="293">
        <v>0</v>
      </c>
      <c r="K73" s="293">
        <v>0</v>
      </c>
      <c r="L73" s="293">
        <v>0</v>
      </c>
      <c r="M73" s="293">
        <v>0</v>
      </c>
      <c r="N73" s="293">
        <v>0</v>
      </c>
      <c r="O73" s="293">
        <v>0</v>
      </c>
      <c r="P73" s="227">
        <f t="shared" ref="P73:P79" si="22">SUM(D73:O73)</f>
        <v>0</v>
      </c>
      <c r="Q73" s="231"/>
      <c r="R73" s="231"/>
      <c r="S73" s="231"/>
      <c r="T73" s="231"/>
      <c r="U73" s="231"/>
      <c r="V73" s="231"/>
      <c r="W73" s="141">
        <v>0</v>
      </c>
      <c r="X73" s="141">
        <v>0</v>
      </c>
      <c r="Y73" s="141">
        <v>0</v>
      </c>
      <c r="Z73" s="141">
        <v>0</v>
      </c>
      <c r="AA73" s="141">
        <v>0</v>
      </c>
      <c r="AB73" s="141">
        <v>0</v>
      </c>
      <c r="AC73" s="302">
        <f t="shared" ref="AC73:AC81" si="23">SUM(Q73:AB73)</f>
        <v>0</v>
      </c>
      <c r="AD73" s="141"/>
      <c r="AF73" s="228">
        <v>0</v>
      </c>
      <c r="AG73" s="123">
        <f t="shared" ref="AG73:AG85" si="24">AF73-P73</f>
        <v>0</v>
      </c>
      <c r="AI73" s="124"/>
    </row>
    <row r="74" spans="1:35">
      <c r="A74" s="105" t="s">
        <v>132</v>
      </c>
      <c r="B74" s="105" t="s">
        <v>894</v>
      </c>
      <c r="C74" s="105" t="s">
        <v>277</v>
      </c>
      <c r="D74" s="293">
        <v>0</v>
      </c>
      <c r="E74" s="293">
        <v>0</v>
      </c>
      <c r="F74" s="293">
        <v>0</v>
      </c>
      <c r="G74" s="293">
        <v>0</v>
      </c>
      <c r="H74" s="293">
        <v>0</v>
      </c>
      <c r="I74" s="293">
        <v>0</v>
      </c>
      <c r="J74" s="293">
        <v>0</v>
      </c>
      <c r="K74" s="293">
        <v>0</v>
      </c>
      <c r="L74" s="293">
        <v>0</v>
      </c>
      <c r="M74" s="293">
        <v>0</v>
      </c>
      <c r="N74" s="293">
        <v>0</v>
      </c>
      <c r="O74" s="293">
        <v>0</v>
      </c>
      <c r="P74" s="227">
        <f t="shared" si="22"/>
        <v>0</v>
      </c>
      <c r="Q74" s="231"/>
      <c r="R74" s="231"/>
      <c r="S74" s="231"/>
      <c r="T74" s="231"/>
      <c r="U74" s="231"/>
      <c r="V74" s="231"/>
      <c r="W74" s="141">
        <v>0</v>
      </c>
      <c r="X74" s="141">
        <v>0</v>
      </c>
      <c r="Y74" s="141">
        <v>0</v>
      </c>
      <c r="Z74" s="141">
        <v>0</v>
      </c>
      <c r="AA74" s="141">
        <v>0</v>
      </c>
      <c r="AB74" s="141">
        <v>0</v>
      </c>
      <c r="AC74" s="302">
        <f t="shared" si="23"/>
        <v>0</v>
      </c>
      <c r="AD74" s="141"/>
      <c r="AF74" s="228">
        <v>0</v>
      </c>
      <c r="AG74" s="123">
        <f t="shared" si="24"/>
        <v>0</v>
      </c>
      <c r="AI74" s="124"/>
    </row>
    <row r="75" spans="1:35">
      <c r="A75" s="105" t="s">
        <v>133</v>
      </c>
      <c r="B75" s="105" t="s">
        <v>894</v>
      </c>
      <c r="C75" s="105" t="s">
        <v>278</v>
      </c>
      <c r="D75" s="293">
        <v>0</v>
      </c>
      <c r="E75" s="293">
        <v>0</v>
      </c>
      <c r="F75" s="293">
        <v>0</v>
      </c>
      <c r="G75" s="293">
        <v>0</v>
      </c>
      <c r="H75" s="293">
        <v>0</v>
      </c>
      <c r="I75" s="293">
        <v>0</v>
      </c>
      <c r="J75" s="293">
        <v>0</v>
      </c>
      <c r="K75" s="293">
        <v>0</v>
      </c>
      <c r="L75" s="293">
        <v>0</v>
      </c>
      <c r="M75" s="293">
        <v>0</v>
      </c>
      <c r="N75" s="293">
        <v>0</v>
      </c>
      <c r="O75" s="293">
        <v>0</v>
      </c>
      <c r="P75" s="227">
        <f t="shared" si="22"/>
        <v>0</v>
      </c>
      <c r="Q75" s="231"/>
      <c r="R75" s="231"/>
      <c r="S75" s="231"/>
      <c r="T75" s="231"/>
      <c r="U75" s="231"/>
      <c r="V75" s="231"/>
      <c r="W75" s="141">
        <v>0</v>
      </c>
      <c r="X75" s="141">
        <v>0</v>
      </c>
      <c r="Y75" s="141">
        <v>0</v>
      </c>
      <c r="Z75" s="141">
        <v>0</v>
      </c>
      <c r="AA75" s="141">
        <v>0</v>
      </c>
      <c r="AB75" s="141">
        <v>0</v>
      </c>
      <c r="AC75" s="302">
        <f t="shared" si="23"/>
        <v>0</v>
      </c>
      <c r="AD75" s="141"/>
      <c r="AF75" s="228">
        <v>0</v>
      </c>
      <c r="AG75" s="123">
        <f t="shared" si="24"/>
        <v>0</v>
      </c>
      <c r="AI75" s="124"/>
    </row>
    <row r="76" spans="1:35">
      <c r="A76" s="105" t="s">
        <v>134</v>
      </c>
      <c r="B76" s="105" t="s">
        <v>894</v>
      </c>
      <c r="C76" s="105" t="s">
        <v>279</v>
      </c>
      <c r="D76" s="293">
        <v>1766.66</v>
      </c>
      <c r="E76" s="293">
        <v>1766.66</v>
      </c>
      <c r="F76" s="293">
        <v>1766.66</v>
      </c>
      <c r="G76" s="293">
        <v>1766.66</v>
      </c>
      <c r="H76" s="293">
        <v>1766.66</v>
      </c>
      <c r="I76" s="293">
        <v>1766.66</v>
      </c>
      <c r="J76" s="293">
        <v>1766.66</v>
      </c>
      <c r="K76" s="293">
        <v>1766.66</v>
      </c>
      <c r="L76" s="293">
        <v>1766.66</v>
      </c>
      <c r="M76" s="293">
        <v>1766.66</v>
      </c>
      <c r="N76" s="293">
        <v>1766.66</v>
      </c>
      <c r="O76" s="293">
        <v>1766.66</v>
      </c>
      <c r="P76" s="227">
        <f t="shared" si="22"/>
        <v>21199.920000000002</v>
      </c>
      <c r="Q76" s="231">
        <v>6407.69</v>
      </c>
      <c r="R76" s="231">
        <v>1500</v>
      </c>
      <c r="S76" s="231">
        <v>1656</v>
      </c>
      <c r="T76" s="231">
        <v>1736</v>
      </c>
      <c r="U76" s="231">
        <v>1792</v>
      </c>
      <c r="V76" s="231">
        <v>1736</v>
      </c>
      <c r="W76" s="141">
        <v>1792</v>
      </c>
      <c r="X76" s="141">
        <v>1792</v>
      </c>
      <c r="Y76" s="141">
        <v>1600</v>
      </c>
      <c r="Z76" s="141">
        <v>1600</v>
      </c>
      <c r="AA76" s="141">
        <v>1600</v>
      </c>
      <c r="AB76" s="141">
        <v>1600</v>
      </c>
      <c r="AC76" s="302">
        <f t="shared" si="23"/>
        <v>24811.69</v>
      </c>
      <c r="AD76" s="141">
        <f t="shared" ref="AD76:AD83" si="25">AC76-P76</f>
        <v>3611.7699999999968</v>
      </c>
      <c r="AE76" s="192">
        <f t="shared" ref="AE76:AE83" si="26">AD76/AC76</f>
        <v>0.145567270911413</v>
      </c>
      <c r="AF76" s="228">
        <v>17833.029999999995</v>
      </c>
      <c r="AG76" s="123">
        <f t="shared" si="24"/>
        <v>-3366.8900000000067</v>
      </c>
      <c r="AI76" s="124"/>
    </row>
    <row r="77" spans="1:35">
      <c r="A77" s="105" t="s">
        <v>135</v>
      </c>
      <c r="B77" s="105" t="s">
        <v>894</v>
      </c>
      <c r="C77" s="105" t="s">
        <v>280</v>
      </c>
      <c r="D77" s="293">
        <v>4095.25</v>
      </c>
      <c r="E77" s="293">
        <v>4095.25</v>
      </c>
      <c r="F77" s="293">
        <v>4095.25</v>
      </c>
      <c r="G77" s="293">
        <v>4095.25</v>
      </c>
      <c r="H77" s="293">
        <v>4095.25</v>
      </c>
      <c r="I77" s="293">
        <v>4095.25</v>
      </c>
      <c r="J77" s="293">
        <v>4095.25</v>
      </c>
      <c r="K77" s="293">
        <v>4095.25</v>
      </c>
      <c r="L77" s="293">
        <v>4095.25</v>
      </c>
      <c r="M77" s="293">
        <v>4095.25</v>
      </c>
      <c r="N77" s="293">
        <v>4095.25</v>
      </c>
      <c r="O77" s="293">
        <v>4095.25</v>
      </c>
      <c r="P77" s="227">
        <f t="shared" si="22"/>
        <v>49143</v>
      </c>
      <c r="Q77" s="231">
        <v>319.06</v>
      </c>
      <c r="R77" s="231">
        <v>247.13</v>
      </c>
      <c r="S77" s="231">
        <v>356.06</v>
      </c>
      <c r="T77" s="231">
        <v>245.06</v>
      </c>
      <c r="U77" s="231">
        <v>255.77</v>
      </c>
      <c r="V77" s="231">
        <v>296.39999999999998</v>
      </c>
      <c r="W77" s="141">
        <v>239.76</v>
      </c>
      <c r="X77" s="141">
        <v>254.65</v>
      </c>
      <c r="Y77" s="141">
        <v>195</v>
      </c>
      <c r="Z77" s="141">
        <v>195</v>
      </c>
      <c r="AA77" s="141">
        <v>195</v>
      </c>
      <c r="AB77" s="141">
        <v>195</v>
      </c>
      <c r="AC77" s="302">
        <f t="shared" si="23"/>
        <v>2993.89</v>
      </c>
      <c r="AD77" s="141">
        <f t="shared" si="25"/>
        <v>-46149.11</v>
      </c>
      <c r="AE77" s="192">
        <f t="shared" si="26"/>
        <v>-15.414430723907692</v>
      </c>
      <c r="AF77" s="228">
        <v>81613.010000000009</v>
      </c>
      <c r="AG77" s="123">
        <f t="shared" si="24"/>
        <v>32470.010000000009</v>
      </c>
      <c r="AI77" s="124"/>
    </row>
    <row r="78" spans="1:35">
      <c r="A78" s="105" t="s">
        <v>281</v>
      </c>
      <c r="B78" s="105" t="s">
        <v>894</v>
      </c>
      <c r="C78" s="105" t="s">
        <v>282</v>
      </c>
      <c r="D78" s="212">
        <v>3539</v>
      </c>
      <c r="E78" s="212">
        <v>3254</v>
      </c>
      <c r="F78" s="212">
        <v>3298</v>
      </c>
      <c r="G78" s="212">
        <v>3718</v>
      </c>
      <c r="H78" s="212">
        <v>3846</v>
      </c>
      <c r="I78" s="212">
        <v>3646</v>
      </c>
      <c r="J78" s="212">
        <v>3664</v>
      </c>
      <c r="K78" s="212">
        <v>3741</v>
      </c>
      <c r="L78" s="212">
        <v>3742</v>
      </c>
      <c r="M78" s="212">
        <v>3759</v>
      </c>
      <c r="N78" s="212">
        <v>3490</v>
      </c>
      <c r="O78" s="212">
        <v>3481</v>
      </c>
      <c r="P78" s="227">
        <f t="shared" si="22"/>
        <v>43178</v>
      </c>
      <c r="Q78" s="231">
        <v>2832.47</v>
      </c>
      <c r="R78" s="231">
        <v>3210.4</v>
      </c>
      <c r="S78" s="231">
        <v>2792.54</v>
      </c>
      <c r="T78" s="231">
        <v>3216.61</v>
      </c>
      <c r="U78" s="231">
        <v>3497.96</v>
      </c>
      <c r="V78" s="231">
        <v>3158.82</v>
      </c>
      <c r="W78" s="141">
        <v>2595.86</v>
      </c>
      <c r="X78" s="141">
        <v>2719.89</v>
      </c>
      <c r="Y78" s="141">
        <v>4791</v>
      </c>
      <c r="Z78" s="141">
        <v>4556</v>
      </c>
      <c r="AA78" s="141">
        <v>4261</v>
      </c>
      <c r="AB78" s="141">
        <v>4262</v>
      </c>
      <c r="AC78" s="302">
        <f t="shared" si="23"/>
        <v>41894.550000000003</v>
      </c>
      <c r="AD78" s="141">
        <f t="shared" si="25"/>
        <v>-1283.4499999999971</v>
      </c>
      <c r="AE78" s="192">
        <f t="shared" si="26"/>
        <v>-3.0635249692382349E-2</v>
      </c>
      <c r="AF78" s="228">
        <v>40073.61</v>
      </c>
      <c r="AG78" s="123">
        <f t="shared" si="24"/>
        <v>-3104.3899999999994</v>
      </c>
      <c r="AI78" s="124"/>
    </row>
    <row r="79" spans="1:35">
      <c r="A79" s="105" t="s">
        <v>137</v>
      </c>
      <c r="B79" s="105" t="s">
        <v>894</v>
      </c>
      <c r="C79" s="105" t="s">
        <v>283</v>
      </c>
      <c r="D79" s="212">
        <v>15844.54</v>
      </c>
      <c r="E79" s="212">
        <v>13482.54</v>
      </c>
      <c r="F79" s="212">
        <v>13488.1</v>
      </c>
      <c r="G79" s="212">
        <v>13656.1</v>
      </c>
      <c r="H79" s="212">
        <v>14644.54</v>
      </c>
      <c r="I79" s="212">
        <v>13685.65</v>
      </c>
      <c r="J79" s="212">
        <v>13612.65</v>
      </c>
      <c r="K79" s="212">
        <v>13602.65</v>
      </c>
      <c r="L79" s="212">
        <v>13677.65</v>
      </c>
      <c r="M79" s="212">
        <v>15689.19</v>
      </c>
      <c r="N79" s="212">
        <v>13620.1</v>
      </c>
      <c r="O79" s="212">
        <v>13610.1</v>
      </c>
      <c r="P79" s="227">
        <f t="shared" si="22"/>
        <v>168613.81</v>
      </c>
      <c r="Q79" s="231">
        <v>11557.6</v>
      </c>
      <c r="R79" s="231">
        <v>16051.12</v>
      </c>
      <c r="S79" s="231">
        <v>15994.26</v>
      </c>
      <c r="T79" s="231">
        <v>14698.51</v>
      </c>
      <c r="U79" s="231">
        <v>11137.33</v>
      </c>
      <c r="V79" s="231">
        <v>14605.93</v>
      </c>
      <c r="W79" s="141">
        <v>11420.88</v>
      </c>
      <c r="X79" s="141">
        <v>12969.28</v>
      </c>
      <c r="Y79" s="141">
        <v>13391</v>
      </c>
      <c r="Z79" s="141">
        <v>14785</v>
      </c>
      <c r="AA79" s="141">
        <v>13561</v>
      </c>
      <c r="AB79" s="141">
        <v>13561</v>
      </c>
      <c r="AC79" s="302">
        <f t="shared" si="23"/>
        <v>163732.91</v>
      </c>
      <c r="AD79" s="141">
        <f t="shared" si="25"/>
        <v>-4880.8999999999942</v>
      </c>
      <c r="AE79" s="192">
        <f t="shared" si="26"/>
        <v>-2.9810134077504602E-2</v>
      </c>
      <c r="AF79" s="228">
        <v>240296.43</v>
      </c>
      <c r="AG79" s="123">
        <f t="shared" si="24"/>
        <v>71682.62</v>
      </c>
      <c r="AI79" s="124"/>
    </row>
    <row r="80" spans="1:35">
      <c r="A80" s="105" t="s">
        <v>138</v>
      </c>
      <c r="B80" s="105" t="s">
        <v>894</v>
      </c>
      <c r="C80" s="105" t="s">
        <v>881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>
        <v>0</v>
      </c>
      <c r="J80" s="124">
        <v>0</v>
      </c>
      <c r="K80" s="124">
        <v>0</v>
      </c>
      <c r="L80" s="124">
        <v>0</v>
      </c>
      <c r="M80" s="124">
        <v>0</v>
      </c>
      <c r="N80" s="124">
        <v>0</v>
      </c>
      <c r="O80" s="124">
        <v>0</v>
      </c>
      <c r="P80" s="227"/>
      <c r="Q80" s="231"/>
      <c r="R80" s="231"/>
      <c r="S80" s="231"/>
      <c r="T80" s="231"/>
      <c r="U80" s="231"/>
      <c r="V80" s="231"/>
      <c r="W80" s="141">
        <v>0</v>
      </c>
      <c r="X80" s="141">
        <v>0</v>
      </c>
      <c r="Y80" s="141">
        <v>0</v>
      </c>
      <c r="Z80" s="141">
        <v>0</v>
      </c>
      <c r="AA80" s="141">
        <v>0</v>
      </c>
      <c r="AB80" s="141">
        <v>0</v>
      </c>
      <c r="AC80" s="302">
        <f t="shared" si="23"/>
        <v>0</v>
      </c>
      <c r="AD80" s="141"/>
      <c r="AF80" s="228">
        <v>0</v>
      </c>
      <c r="AG80" s="123">
        <f t="shared" si="24"/>
        <v>0</v>
      </c>
      <c r="AI80" s="124"/>
    </row>
    <row r="81" spans="1:35">
      <c r="A81" s="105" t="s">
        <v>140</v>
      </c>
      <c r="B81" s="105" t="s">
        <v>894</v>
      </c>
      <c r="C81" s="105" t="s">
        <v>882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227"/>
      <c r="Q81" s="231"/>
      <c r="R81" s="231"/>
      <c r="S81" s="231"/>
      <c r="T81" s="231"/>
      <c r="U81" s="231"/>
      <c r="V81" s="231"/>
      <c r="W81" s="141">
        <v>0</v>
      </c>
      <c r="X81" s="141">
        <v>0</v>
      </c>
      <c r="Y81" s="141">
        <v>0</v>
      </c>
      <c r="Z81" s="141">
        <v>0</v>
      </c>
      <c r="AA81" s="141">
        <v>0</v>
      </c>
      <c r="AB81" s="141">
        <v>0</v>
      </c>
      <c r="AC81" s="302">
        <f t="shared" si="23"/>
        <v>0</v>
      </c>
      <c r="AD81" s="141"/>
      <c r="AF81" s="228">
        <v>0</v>
      </c>
      <c r="AG81" s="123">
        <f t="shared" si="24"/>
        <v>0</v>
      </c>
      <c r="AI81" s="124"/>
    </row>
    <row r="82" spans="1:35">
      <c r="C82" s="109" t="s">
        <v>286</v>
      </c>
      <c r="D82" s="133">
        <f t="shared" ref="D82:I82" si="27">SUM(D73:D79)</f>
        <v>25245.45</v>
      </c>
      <c r="E82" s="133">
        <f t="shared" si="27"/>
        <v>22598.45</v>
      </c>
      <c r="F82" s="133">
        <f t="shared" si="27"/>
        <v>22648.010000000002</v>
      </c>
      <c r="G82" s="133">
        <f t="shared" si="27"/>
        <v>23236.010000000002</v>
      </c>
      <c r="H82" s="133">
        <f t="shared" si="27"/>
        <v>24352.45</v>
      </c>
      <c r="I82" s="133">
        <f t="shared" si="27"/>
        <v>23193.559999999998</v>
      </c>
      <c r="J82" s="133">
        <f t="shared" ref="J82:P82" si="28">SUM(J73:J81)</f>
        <v>23138.559999999998</v>
      </c>
      <c r="K82" s="133">
        <f t="shared" si="28"/>
        <v>23205.559999999998</v>
      </c>
      <c r="L82" s="133">
        <f t="shared" si="28"/>
        <v>23281.559999999998</v>
      </c>
      <c r="M82" s="133">
        <f t="shared" si="28"/>
        <v>25310.1</v>
      </c>
      <c r="N82" s="133">
        <f t="shared" si="28"/>
        <v>22972.010000000002</v>
      </c>
      <c r="O82" s="133">
        <f t="shared" si="28"/>
        <v>22953.010000000002</v>
      </c>
      <c r="P82" s="227">
        <f t="shared" si="28"/>
        <v>282134.73</v>
      </c>
      <c r="Q82" s="145">
        <f t="shared" ref="Q82:AC82" si="29">SUM(Q73:Q79)</f>
        <v>21116.82</v>
      </c>
      <c r="R82" s="145">
        <f t="shared" si="29"/>
        <v>21008.65</v>
      </c>
      <c r="S82" s="145">
        <f t="shared" si="29"/>
        <v>20798.86</v>
      </c>
      <c r="T82" s="145">
        <f t="shared" si="29"/>
        <v>19896.18</v>
      </c>
      <c r="U82" s="145">
        <f t="shared" si="29"/>
        <v>16683.059999999998</v>
      </c>
      <c r="V82" s="145">
        <f t="shared" si="29"/>
        <v>19797.150000000001</v>
      </c>
      <c r="W82" s="145">
        <f t="shared" si="29"/>
        <v>16048.5</v>
      </c>
      <c r="X82" s="145">
        <f t="shared" si="29"/>
        <v>17735.82</v>
      </c>
      <c r="Y82" s="145">
        <f t="shared" si="29"/>
        <v>19977</v>
      </c>
      <c r="Z82" s="145">
        <f t="shared" si="29"/>
        <v>21136</v>
      </c>
      <c r="AA82" s="145">
        <f t="shared" si="29"/>
        <v>19617</v>
      </c>
      <c r="AB82" s="145">
        <f t="shared" si="29"/>
        <v>19618</v>
      </c>
      <c r="AC82" s="306">
        <f t="shared" si="29"/>
        <v>233433.04</v>
      </c>
      <c r="AD82" s="142">
        <f t="shared" si="25"/>
        <v>-48701.689999999973</v>
      </c>
      <c r="AE82" s="132">
        <f t="shared" si="26"/>
        <v>-0.20863237697628395</v>
      </c>
      <c r="AF82" s="228">
        <v>379816.08</v>
      </c>
      <c r="AG82" s="123">
        <f t="shared" si="24"/>
        <v>97681.350000000035</v>
      </c>
      <c r="AI82" s="124"/>
    </row>
    <row r="83" spans="1:35">
      <c r="C83" s="109" t="s">
        <v>287</v>
      </c>
      <c r="D83" s="133">
        <f t="shared" ref="D83:AC83" si="30">D82+D71+D61+D54</f>
        <v>186127.79</v>
      </c>
      <c r="E83" s="133">
        <f t="shared" si="30"/>
        <v>183480.79</v>
      </c>
      <c r="F83" s="133">
        <f t="shared" si="30"/>
        <v>186413.85</v>
      </c>
      <c r="G83" s="133">
        <f t="shared" si="30"/>
        <v>187001.85</v>
      </c>
      <c r="H83" s="133">
        <f t="shared" si="30"/>
        <v>188118.29</v>
      </c>
      <c r="I83" s="133">
        <f t="shared" si="30"/>
        <v>186959.4</v>
      </c>
      <c r="J83" s="133">
        <f t="shared" si="30"/>
        <v>187938.94</v>
      </c>
      <c r="K83" s="133">
        <f t="shared" si="30"/>
        <v>188954.78</v>
      </c>
      <c r="L83" s="133">
        <f t="shared" si="30"/>
        <v>189030.78</v>
      </c>
      <c r="M83" s="133">
        <f t="shared" si="30"/>
        <v>191297.08000000002</v>
      </c>
      <c r="N83" s="133">
        <f t="shared" si="30"/>
        <v>189100.69</v>
      </c>
      <c r="O83" s="133">
        <f t="shared" si="30"/>
        <v>188939.99</v>
      </c>
      <c r="P83" s="227">
        <f t="shared" si="30"/>
        <v>2253364.23</v>
      </c>
      <c r="Q83" s="145">
        <f t="shared" si="30"/>
        <v>190114.75</v>
      </c>
      <c r="R83" s="145">
        <f t="shared" si="30"/>
        <v>188583.26</v>
      </c>
      <c r="S83" s="145">
        <f t="shared" si="30"/>
        <v>190845.15</v>
      </c>
      <c r="T83" s="145">
        <f t="shared" si="30"/>
        <v>172791.09</v>
      </c>
      <c r="U83" s="145">
        <f t="shared" si="30"/>
        <v>169993.39999999997</v>
      </c>
      <c r="V83" s="145">
        <f t="shared" si="30"/>
        <v>187358.71000000002</v>
      </c>
      <c r="W83" s="145">
        <f t="shared" si="30"/>
        <v>164945.46000000002</v>
      </c>
      <c r="X83" s="145">
        <f t="shared" si="30"/>
        <v>171956.2</v>
      </c>
      <c r="Y83" s="145">
        <f t="shared" si="30"/>
        <v>170213.66999999998</v>
      </c>
      <c r="Z83" s="145">
        <f t="shared" si="30"/>
        <v>171462.66999999998</v>
      </c>
      <c r="AA83" s="145">
        <f t="shared" si="30"/>
        <v>170033.66999999998</v>
      </c>
      <c r="AB83" s="145">
        <f t="shared" si="30"/>
        <v>170034.66999999998</v>
      </c>
      <c r="AC83" s="306">
        <f t="shared" si="30"/>
        <v>2118332.7000000002</v>
      </c>
      <c r="AD83" s="142">
        <f t="shared" si="25"/>
        <v>-135031.5299999998</v>
      </c>
      <c r="AE83" s="132">
        <f t="shared" si="26"/>
        <v>-6.3744250372002376E-2</v>
      </c>
      <c r="AF83" s="228">
        <v>2240660.42</v>
      </c>
      <c r="AG83" s="123">
        <f t="shared" si="24"/>
        <v>-12703.810000000056</v>
      </c>
      <c r="AI83" s="124"/>
    </row>
    <row r="84" spans="1:35">
      <c r="C84" s="105" t="s">
        <v>154</v>
      </c>
      <c r="AC84" s="227"/>
      <c r="AF84" s="228"/>
      <c r="AG84" s="123">
        <f t="shared" si="24"/>
        <v>0</v>
      </c>
      <c r="AI84" s="124"/>
    </row>
    <row r="85" spans="1:35" s="256" customFormat="1">
      <c r="A85" s="109" t="s">
        <v>141</v>
      </c>
      <c r="B85" s="256" t="s">
        <v>894</v>
      </c>
      <c r="C85" s="256" t="s">
        <v>288</v>
      </c>
      <c r="D85" s="215">
        <v>13</v>
      </c>
      <c r="E85" s="215">
        <v>13</v>
      </c>
      <c r="F85" s="215">
        <v>13</v>
      </c>
      <c r="G85" s="215">
        <v>13</v>
      </c>
      <c r="H85" s="215">
        <v>13</v>
      </c>
      <c r="I85" s="215">
        <v>13</v>
      </c>
      <c r="J85" s="215">
        <v>13</v>
      </c>
      <c r="K85" s="215">
        <v>13</v>
      </c>
      <c r="L85" s="215">
        <v>13</v>
      </c>
      <c r="M85" s="215">
        <v>13</v>
      </c>
      <c r="N85" s="215">
        <v>13</v>
      </c>
      <c r="O85" s="215">
        <v>13</v>
      </c>
      <c r="P85" s="224">
        <f>SUM(D85:O85)/12</f>
        <v>13</v>
      </c>
      <c r="Q85" s="256">
        <v>13</v>
      </c>
      <c r="R85" s="256">
        <v>13</v>
      </c>
      <c r="S85" s="256">
        <v>13</v>
      </c>
      <c r="T85" s="256">
        <v>13</v>
      </c>
      <c r="U85" s="256">
        <v>13</v>
      </c>
      <c r="V85" s="256">
        <v>15</v>
      </c>
      <c r="W85" s="142">
        <v>12</v>
      </c>
      <c r="X85" s="142">
        <v>13</v>
      </c>
      <c r="Y85" s="142">
        <v>14</v>
      </c>
      <c r="Z85" s="142">
        <v>14</v>
      </c>
      <c r="AA85" s="142">
        <v>14</v>
      </c>
      <c r="AB85" s="142">
        <v>14</v>
      </c>
      <c r="AC85" s="308">
        <f>SUM(Q85:AB85)/12</f>
        <v>13.416666666666666</v>
      </c>
      <c r="AD85" s="294">
        <f>AC85-P85</f>
        <v>0.41666666666666607</v>
      </c>
      <c r="AE85" s="295"/>
      <c r="AF85" s="308">
        <v>13.583333333333334</v>
      </c>
      <c r="AG85" s="296">
        <f t="shared" si="24"/>
        <v>0.58333333333333393</v>
      </c>
      <c r="AI85" s="124"/>
    </row>
    <row r="86" spans="1:35">
      <c r="AC86" s="227"/>
      <c r="AI86" s="124"/>
    </row>
    <row r="87" spans="1:35">
      <c r="AI87" s="124"/>
    </row>
    <row r="88" spans="1:35">
      <c r="C88" s="105" t="s">
        <v>883</v>
      </c>
      <c r="D88" s="141">
        <f>'2025 Summay'!E16</f>
        <v>39233149</v>
      </c>
      <c r="E88" s="141">
        <f>'2025 Summay'!F16</f>
        <v>43452422</v>
      </c>
      <c r="F88" s="141">
        <f>'2025 Summay'!G16</f>
        <v>27030377</v>
      </c>
      <c r="G88" s="141">
        <f>'2025 Summay'!H16</f>
        <v>25027257</v>
      </c>
      <c r="H88" s="141">
        <f>'2025 Summay'!I16</f>
        <v>23807640</v>
      </c>
      <c r="I88" s="141">
        <f>'2025 Summay'!J16</f>
        <v>21296011</v>
      </c>
      <c r="J88" s="141">
        <f>'2025 Summay'!K16</f>
        <v>30906188</v>
      </c>
      <c r="K88" s="141">
        <f>'2025 Summay'!L16</f>
        <v>34819289</v>
      </c>
      <c r="L88" s="141">
        <f>'2025 Summay'!M16</f>
        <v>20076077</v>
      </c>
      <c r="M88" s="141">
        <f>'2025 Summay'!N16</f>
        <v>25381394</v>
      </c>
      <c r="N88" s="141">
        <f>'2025 Summay'!O16</f>
        <v>21936590</v>
      </c>
      <c r="O88" s="141">
        <f>'2025 Summay'!P16</f>
        <v>27659550</v>
      </c>
      <c r="P88" s="309">
        <f>SUM(D88:O88)</f>
        <v>340625944</v>
      </c>
      <c r="Q88" s="284" t="e">
        <f>SUM(#REF!)</f>
        <v>#REF!</v>
      </c>
      <c r="R88" s="284" t="e">
        <f>SUM(#REF!)</f>
        <v>#REF!</v>
      </c>
      <c r="S88" s="284" t="e">
        <f>SUM(#REF!)</f>
        <v>#REF!</v>
      </c>
      <c r="T88" s="284">
        <f>SUM(A88:L88)</f>
        <v>265648410</v>
      </c>
      <c r="U88" s="284">
        <f>SUM(B88:M88)</f>
        <v>291029804</v>
      </c>
      <c r="V88" s="284">
        <f>SUM(C88:N88)</f>
        <v>312966394</v>
      </c>
      <c r="W88" s="284">
        <f>SUM(D88:O88)</f>
        <v>340625944</v>
      </c>
      <c r="X88" s="284">
        <f>SUM(E88:P88)</f>
        <v>642018739</v>
      </c>
      <c r="Y88" s="284"/>
    </row>
    <row r="90" spans="1:35">
      <c r="C90" s="151" t="s">
        <v>292</v>
      </c>
      <c r="D90" s="124">
        <v>161</v>
      </c>
      <c r="E90" s="124">
        <v>161</v>
      </c>
      <c r="F90" s="124">
        <v>161</v>
      </c>
      <c r="G90" s="124">
        <v>161</v>
      </c>
      <c r="H90" s="124">
        <v>161</v>
      </c>
      <c r="I90" s="124">
        <v>161</v>
      </c>
      <c r="J90" s="124">
        <v>161</v>
      </c>
      <c r="K90" s="124">
        <v>161</v>
      </c>
      <c r="L90" s="124">
        <v>161</v>
      </c>
      <c r="M90" s="124">
        <v>161</v>
      </c>
      <c r="N90" s="124">
        <v>161</v>
      </c>
      <c r="O90" s="124">
        <v>161</v>
      </c>
      <c r="P90" s="227">
        <f t="shared" ref="P90:P92" si="31">SUM(D90:O90)</f>
        <v>1932</v>
      </c>
    </row>
    <row r="91" spans="1:35">
      <c r="C91" s="152" t="s">
        <v>366</v>
      </c>
      <c r="D91" s="136">
        <v>0</v>
      </c>
      <c r="E91" s="136">
        <v>0</v>
      </c>
      <c r="F91" s="136">
        <v>0</v>
      </c>
      <c r="G91" s="136">
        <v>0</v>
      </c>
      <c r="H91" s="136">
        <v>0</v>
      </c>
      <c r="I91" s="136">
        <v>0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227">
        <f t="shared" si="31"/>
        <v>0</v>
      </c>
    </row>
    <row r="92" spans="1:35">
      <c r="C92" s="151" t="s">
        <v>367</v>
      </c>
      <c r="D92" s="136">
        <v>4609.41</v>
      </c>
      <c r="E92" s="136">
        <v>4500.41</v>
      </c>
      <c r="F92" s="136">
        <v>4513.41</v>
      </c>
      <c r="G92" s="136">
        <v>4588.41</v>
      </c>
      <c r="H92" s="136">
        <v>4632.41</v>
      </c>
      <c r="I92" s="136">
        <v>4573.41</v>
      </c>
      <c r="J92" s="136">
        <v>4571.41</v>
      </c>
      <c r="K92" s="136">
        <v>4581.41</v>
      </c>
      <c r="L92" s="136">
        <v>4586.41</v>
      </c>
      <c r="M92" s="136">
        <v>4668.41</v>
      </c>
      <c r="N92" s="136">
        <v>4551.41</v>
      </c>
      <c r="O92" s="136">
        <v>4549.33</v>
      </c>
      <c r="P92" s="227">
        <f t="shared" si="31"/>
        <v>54925.840000000011</v>
      </c>
    </row>
    <row r="93" spans="1:35">
      <c r="C93" s="109" t="s">
        <v>476</v>
      </c>
      <c r="D93" s="117">
        <f>SUM(D90:D92)</f>
        <v>4770.41</v>
      </c>
      <c r="E93" s="117">
        <f t="shared" ref="E93:P93" si="32">SUM(E90:E92)</f>
        <v>4661.41</v>
      </c>
      <c r="F93" s="117">
        <f t="shared" si="32"/>
        <v>4674.41</v>
      </c>
      <c r="G93" s="117">
        <f t="shared" si="32"/>
        <v>4749.41</v>
      </c>
      <c r="H93" s="117">
        <f t="shared" si="32"/>
        <v>4793.41</v>
      </c>
      <c r="I93" s="117">
        <f t="shared" si="32"/>
        <v>4734.41</v>
      </c>
      <c r="J93" s="117">
        <f t="shared" si="32"/>
        <v>4732.41</v>
      </c>
      <c r="K93" s="117">
        <f t="shared" si="32"/>
        <v>4742.41</v>
      </c>
      <c r="L93" s="117">
        <f t="shared" si="32"/>
        <v>4747.41</v>
      </c>
      <c r="M93" s="117">
        <f t="shared" si="32"/>
        <v>4829.41</v>
      </c>
      <c r="N93" s="117">
        <f t="shared" si="32"/>
        <v>4712.41</v>
      </c>
      <c r="O93" s="117">
        <f t="shared" si="32"/>
        <v>4710.33</v>
      </c>
      <c r="P93" s="117">
        <f t="shared" si="32"/>
        <v>56857.840000000011</v>
      </c>
    </row>
  </sheetData>
  <phoneticPr fontId="7" type="noConversion"/>
  <dataValidations count="224">
    <dataValidation type="textLength" errorStyle="information" allowBlank="1" showInputMessage="1" showErrorMessage="1" error="XLBVal:6=1656_x000d__x000a_" sqref="S76">
      <formula1>0</formula1>
      <formula2>300</formula2>
    </dataValidation>
    <dataValidation type="textLength" errorStyle="information" allowBlank="1" showInputMessage="1" showErrorMessage="1" error="XLBVal:6=6407.69_x000d__x000a_" sqref="Q76">
      <formula1>0</formula1>
      <formula2>300</formula2>
    </dataValidation>
    <dataValidation type="textLength" errorStyle="information" allowBlank="1" showInputMessage="1" showErrorMessage="1" error="XLBVal:6=5053_x000d__x000a_" sqref="T68:U68">
      <formula1>0</formula1>
      <formula2>300</formula2>
    </dataValidation>
    <dataValidation type="textLength" errorStyle="information" allowBlank="1" showInputMessage="1" showErrorMessage="1" error="XLBVal:6=120.14_x000d__x000a_" sqref="U66">
      <formula1>0</formula1>
      <formula2>300</formula2>
    </dataValidation>
    <dataValidation type="textLength" errorStyle="information" allowBlank="1" showInputMessage="1" showErrorMessage="1" error="XLBVal:6=120.94_x000d__x000a_" sqref="T66">
      <formula1>0</formula1>
      <formula2>300</formula2>
    </dataValidation>
    <dataValidation type="textLength" errorStyle="information" allowBlank="1" showInputMessage="1" showErrorMessage="1" error="XLBVal:6=500.48_x000d__x000a_" sqref="U65">
      <formula1>0</formula1>
      <formula2>300</formula2>
    </dataValidation>
    <dataValidation type="textLength" errorStyle="information" allowBlank="1" showInputMessage="1" showErrorMessage="1" error="XLBVal:6=503.83_x000d__x000a_" sqref="T65">
      <formula1>0</formula1>
      <formula2>300</formula2>
    </dataValidation>
    <dataValidation type="textLength" errorStyle="information" allowBlank="1" showInputMessage="1" showErrorMessage="1" error="XLBVal:6=8507.96_x000d__x000a_" sqref="U64">
      <formula1>0</formula1>
      <formula2>300</formula2>
    </dataValidation>
    <dataValidation type="textLength" errorStyle="information" allowBlank="1" showInputMessage="1" showErrorMessage="1" error="XLBVal:6=8564.91_x000d__x000a_" sqref="T64">
      <formula1>0</formula1>
      <formula2>300</formula2>
    </dataValidation>
    <dataValidation type="textLength" errorStyle="information" allowBlank="1" showInputMessage="1" showErrorMessage="1" error="XLBVal:6=16014.97_x000d__x000a_" sqref="U63">
      <formula1>0</formula1>
      <formula2>300</formula2>
    </dataValidation>
    <dataValidation type="textLength" errorStyle="information" allowBlank="1" showInputMessage="1" showErrorMessage="1" error="XLBVal:6=16122.17_x000d__x000a_" sqref="T63">
      <formula1>0</formula1>
      <formula2>300</formula2>
    </dataValidation>
    <dataValidation type="textLength" errorStyle="information" allowBlank="1" showInputMessage="1" showErrorMessage="1" error="XLBVal:6=2763.75_x000d__x000a_" sqref="T60">
      <formula1>0</formula1>
      <formula2>300</formula2>
    </dataValidation>
    <dataValidation type="textLength" errorStyle="information" allowBlank="1" showInputMessage="1" showErrorMessage="1" error="XLBVal:6=236.25_x000d__x000a_" sqref="S60">
      <formula1>0</formula1>
      <formula2>300</formula2>
    </dataValidation>
    <dataValidation type="textLength" errorStyle="information" allowBlank="1" showInputMessage="1" showErrorMessage="1" error="XLBVal:6=2500_x000d__x000a_" sqref="T41">
      <formula1>0</formula1>
      <formula2>300</formula2>
    </dataValidation>
    <dataValidation type="textLength" errorStyle="information" allowBlank="1" showInputMessage="1" showErrorMessage="1" error="XLBVal:6=4716.98_x000d__x000a_" sqref="V32">
      <formula1>0</formula1>
      <formula2>300</formula2>
    </dataValidation>
    <dataValidation type="textLength" errorStyle="information" allowBlank="1" showInputMessage="1" showErrorMessage="1" error="XLBVal:6=3773.58_x000d__x000a_" sqref="S32">
      <formula1>0</formula1>
      <formula2>300</formula2>
    </dataValidation>
    <dataValidation type="textLength" errorStyle="information" allowBlank="1" showInputMessage="1" showErrorMessage="1" error="XLBVal:6=916.58_x000d__x000a_" sqref="R24">
      <formula1>0</formula1>
      <formula2>300</formula2>
    </dataValidation>
    <dataValidation type="textLength" errorStyle="information" allowBlank="1" showInputMessage="1" showErrorMessage="1" error="XLBVal:6=564.68_x000d__x000a_" sqref="V20">
      <formula1>0</formula1>
      <formula2>300</formula2>
    </dataValidation>
    <dataValidation type="textLength" errorStyle="information" allowBlank="1" showInputMessage="1" showErrorMessage="1" error="XLBVal:6=326.42_x000d__x000a_" sqref="S20">
      <formula1>0</formula1>
      <formula2>300</formula2>
    </dataValidation>
    <dataValidation type="textLength" errorStyle="information" allowBlank="1" showInputMessage="1" showErrorMessage="1" error="XLBVal:6=305.66_x000d__x000a_" sqref="Q20">
      <formula1>0</formula1>
      <formula2>300</formula2>
    </dataValidation>
    <dataValidation type="textLength" errorStyle="information" allowBlank="1" showInputMessage="1" showErrorMessage="1" error="XLBVal:6=2163_x000d__x000a_" sqref="Q18:S18">
      <formula1>0</formula1>
      <formula2>300</formula2>
    </dataValidation>
    <dataValidation type="textLength" errorStyle="information" allowBlank="1" showInputMessage="1" showErrorMessage="1" error="XLBVal:6=4388.62_x000d__x000a_" sqref="U12">
      <formula1>0</formula1>
      <formula2>300</formula2>
    </dataValidation>
    <dataValidation type="textLength" errorStyle="information" allowBlank="1" showInputMessage="1" showErrorMessage="1" error="XLBVal:6=3576.76_x000d__x000a_" sqref="T12">
      <formula1>0</formula1>
      <formula2>300</formula2>
    </dataValidation>
    <dataValidation type="textLength" errorStyle="information" allowBlank="1" showInputMessage="1" showErrorMessage="1" error="XLBVal:6=6393.47_x000d__x000a_" sqref="S12">
      <formula1>0</formula1>
      <formula2>300</formula2>
    </dataValidation>
    <dataValidation type="textLength" errorStyle="information" allowBlank="1" showInputMessage="1" showErrorMessage="1" error="XLBVal:6=2124.67_x000d__x000a_" sqref="Q12">
      <formula1>0</formula1>
      <formula2>300</formula2>
    </dataValidation>
    <dataValidation type="textLength" errorStyle="information" allowBlank="1" showInputMessage="1" showErrorMessage="1" error="XLBVal:6=34143_x000d__x000a_" sqref="D52:D53 D56:O60 D63:O70 D73:O77 D85:O85">
      <formula1>0</formula1>
      <formula2>300</formula2>
    </dataValidation>
    <dataValidation type="textLength" errorStyle="information" allowBlank="1" showInputMessage="1" showErrorMessage="1" error="XLBVal:6=356.06_x000d__x000a_" sqref="S77">
      <formula1>0</formula1>
      <formula2>300</formula2>
    </dataValidation>
    <dataValidation type="textLength" errorStyle="information" allowBlank="1" showInputMessage="1" showErrorMessage="1" error="XLBVal:6=18618.91_x000d__x000a_" sqref="V57">
      <formula1>0</formula1>
      <formula2>300</formula2>
    </dataValidation>
    <dataValidation type="textLength" errorStyle="information" allowBlank="1" showInputMessage="1" showErrorMessage="1" error="XLBVal:6=16887.37_x000d__x000a_" sqref="U57">
      <formula1>0</formula1>
      <formula2>300</formula2>
    </dataValidation>
    <dataValidation type="textLength" errorStyle="information" allowBlank="1" showInputMessage="1" showErrorMessage="1" error="XLBVal:6=15688.97_x000d__x000a_" sqref="T57">
      <formula1>0</formula1>
      <formula2>300</formula2>
    </dataValidation>
    <dataValidation type="textLength" errorStyle="information" allowBlank="1" showInputMessage="1" showErrorMessage="1" error="XLBVal:6=25658.11_x000d__x000a_" sqref="S57">
      <formula1>0</formula1>
      <formula2>300</formula2>
    </dataValidation>
    <dataValidation type="textLength" errorStyle="information" allowBlank="1" showInputMessage="1" showErrorMessage="1" error="XLBVal:6=-1269.96_x000d__x000a_" sqref="S45">
      <formula1>0</formula1>
      <formula2>300</formula2>
    </dataValidation>
    <dataValidation type="textLength" errorStyle="information" allowBlank="1" showInputMessage="1" showErrorMessage="1" error="XLBVal:6=8719.44_x000d__x000a_" sqref="Q40">
      <formula1>0</formula1>
      <formula2>300</formula2>
    </dataValidation>
    <dataValidation type="textLength" errorStyle="information" allowBlank="1" showInputMessage="1" showErrorMessage="1" error="XLBVal:6=38275_x000d__x000a_" sqref="V39">
      <formula1>0</formula1>
      <formula2>300</formula2>
    </dataValidation>
    <dataValidation type="textLength" errorStyle="information" allowBlank="1" showInputMessage="1" showErrorMessage="1" error="XLBVal:6=42500_x000d__x000a_" sqref="U39">
      <formula1>0</formula1>
      <formula2>300</formula2>
    </dataValidation>
    <dataValidation type="textLength" errorStyle="information" allowBlank="1" showInputMessage="1" showErrorMessage="1" error="XLBVal:6=39317.76_x000d__x000a_" sqref="T39">
      <formula1>0</formula1>
      <formula2>300</formula2>
    </dataValidation>
    <dataValidation type="textLength" errorStyle="information" allowBlank="1" showInputMessage="1" showErrorMessage="1" error="XLBVal:6=23025.77_x000d__x000a_" sqref="R39">
      <formula1>0</formula1>
      <formula2>300</formula2>
    </dataValidation>
    <dataValidation type="textLength" errorStyle="information" allowBlank="1" showInputMessage="1" showErrorMessage="1" error="XLBVal:6=6300_x000d__x000a_" sqref="Q39">
      <formula1>0</formula1>
      <formula2>300</formula2>
    </dataValidation>
    <dataValidation type="textLength" errorStyle="information" allowBlank="1" showInputMessage="1" showErrorMessage="1" error="XLBVal:6=74891.74_x000d__x000a_" sqref="V38">
      <formula1>0</formula1>
      <formula2>300</formula2>
    </dataValidation>
    <dataValidation type="textLength" errorStyle="information" allowBlank="1" showInputMessage="1" showErrorMessage="1" error="XLBVal:6=4100_x000d__x000a_" sqref="U38">
      <formula1>0</formula1>
      <formula2>300</formula2>
    </dataValidation>
    <dataValidation type="textLength" errorStyle="information" allowBlank="1" showInputMessage="1" showErrorMessage="1" error="XLBVal:6=241800_x000d__x000a_" sqref="T38">
      <formula1>0</formula1>
      <formula2>300</formula2>
    </dataValidation>
    <dataValidation type="textLength" errorStyle="information" allowBlank="1" showInputMessage="1" showErrorMessage="1" error="XLBVal:6=37752.6_x000d__x000a_" sqref="S38">
      <formula1>0</formula1>
      <formula2>300</formula2>
    </dataValidation>
    <dataValidation type="textLength" errorStyle="information" allowBlank="1" showInputMessage="1" showErrorMessage="1" error="XLBVal:6=288831.96_x000d__x000a_" sqref="R38">
      <formula1>0</formula1>
      <formula2>300</formula2>
    </dataValidation>
    <dataValidation type="textLength" errorStyle="information" allowBlank="1" showInputMessage="1" showErrorMessage="1" error="XLBVal:6=124786.77_x000d__x000a_" sqref="Q38">
      <formula1>0</formula1>
      <formula2>300</formula2>
    </dataValidation>
    <dataValidation type="textLength" errorStyle="information" allowBlank="1" showInputMessage="1" showErrorMessage="1" error="XLBVal:6=80.63_x000d__x000a_" sqref="U22">
      <formula1>0</formula1>
      <formula2>300</formula2>
    </dataValidation>
    <dataValidation type="textLength" errorStyle="information" allowBlank="1" showInputMessage="1" showErrorMessage="1" error="XLBVal:6=215.53_x000d__x000a_" sqref="T22">
      <formula1>0</formula1>
      <formula2>300</formula2>
    </dataValidation>
    <dataValidation type="textLength" errorStyle="information" allowBlank="1" showInputMessage="1" showErrorMessage="1" error="XLBVal:6=3123.06_x000d__x000a_" sqref="AB45">
      <formula1>0</formula1>
      <formula2>300</formula2>
    </dataValidation>
    <dataValidation type="textLength" errorStyle="information" allowBlank="1" showInputMessage="1" showErrorMessage="1" error="XLBVal:6=2131.74_x000d__x000a_" sqref="AB40">
      <formula1>0</formula1>
      <formula2>300</formula2>
    </dataValidation>
    <dataValidation type="textLength" errorStyle="information" allowBlank="1" showInputMessage="1" showErrorMessage="1" error="XLBVal:6=237.17_x000d__x000a_" sqref="AB39">
      <formula1>0</formula1>
      <formula2>300</formula2>
    </dataValidation>
    <dataValidation type="textLength" errorStyle="information" allowBlank="1" showInputMessage="1" showErrorMessage="1" error="XLBVal:6=11364.78_x000d__x000a_" sqref="AB38">
      <formula1>0</formula1>
      <formula2>300</formula2>
    </dataValidation>
    <dataValidation type="textLength" errorStyle="information" allowBlank="1" showInputMessage="1" showErrorMessage="1" error="XLBVal:6=1542.48_x000d__x000a_" sqref="AB26">
      <formula1>0</formula1>
      <formula2>300</formula2>
    </dataValidation>
    <dataValidation type="textLength" errorStyle="information" allowBlank="1" showInputMessage="1" showErrorMessage="1" error="XLBVal:6=4215.14_x000d__x000a_" sqref="AB25">
      <formula1>0</formula1>
      <formula2>300</formula2>
    </dataValidation>
    <dataValidation type="textLength" errorStyle="information" allowBlank="1" showInputMessage="1" showErrorMessage="1" error="XLBVal:6=618.01_x000d__x000a_" sqref="AB24">
      <formula1>0</formula1>
      <formula2>300</formula2>
    </dataValidation>
    <dataValidation type="textLength" errorStyle="information" allowBlank="1" showInputMessage="1" showErrorMessage="1" error="XLBVal:6=318.02_x000d__x000a_" sqref="AB22">
      <formula1>0</formula1>
      <formula2>300</formula2>
    </dataValidation>
    <dataValidation type="textLength" errorStyle="information" allowBlank="1" showInputMessage="1" showErrorMessage="1" error="XLBVal:6=4319.43_x000d__x000a_" sqref="AB21">
      <formula1>0</formula1>
      <formula2>300</formula2>
    </dataValidation>
    <dataValidation type="textLength" errorStyle="information" allowBlank="1" showInputMessage="1" showErrorMessage="1" error="XLBVal:6=77_x000d__x000a_" sqref="AB20">
      <formula1>0</formula1>
      <formula2>300</formula2>
    </dataValidation>
    <dataValidation type="textLength" errorStyle="information" allowBlank="1" showInputMessage="1" showErrorMessage="1" error="XLBVal:6=270.19_x000d__x000a_" sqref="AB19">
      <formula1>0</formula1>
      <formula2>300</formula2>
    </dataValidation>
    <dataValidation type="textLength" errorStyle="information" allowBlank="1" showInputMessage="1" showErrorMessage="1" error="XLBVal:6=5549.77_x000d__x000a_" sqref="AB15">
      <formula1>0</formula1>
      <formula2>300</formula2>
    </dataValidation>
    <dataValidation type="textLength" errorStyle="information" allowBlank="1" showInputMessage="1" showErrorMessage="1" error="XLBVal:6=6419.3_x000d__x000a_" sqref="AA45">
      <formula1>0</formula1>
      <formula2>300</formula2>
    </dataValidation>
    <dataValidation type="textLength" errorStyle="information" allowBlank="1" showInputMessage="1" showErrorMessage="1" error="XLBVal:6=-473_x000d__x000a_" sqref="Z45">
      <formula1>0</formula1>
      <formula2>300</formula2>
    </dataValidation>
    <dataValidation type="textLength" errorStyle="information" allowBlank="1" showInputMessage="1" showErrorMessage="1" error="XLBVal:6=7171.92_x000d__x000a_" sqref="AA40">
      <formula1>0</formula1>
      <formula2>300</formula2>
    </dataValidation>
    <dataValidation type="textLength" errorStyle="information" allowBlank="1" showInputMessage="1" showErrorMessage="1" error="XLBVal:6=3668.78_x000d__x000a_" sqref="Z40">
      <formula1>0</formula1>
      <formula2>300</formula2>
    </dataValidation>
    <dataValidation type="textLength" errorStyle="information" allowBlank="1" showInputMessage="1" showErrorMessage="1" error="XLBVal:6=7647.98_x000d__x000a_" sqref="AA39">
      <formula1>0</formula1>
      <formula2>300</formula2>
    </dataValidation>
    <dataValidation type="textLength" errorStyle="information" allowBlank="1" showInputMessage="1" showErrorMessage="1" error="XLBVal:6=446.5_x000d__x000a_" sqref="AA38">
      <formula1>0</formula1>
      <formula2>300</formula2>
    </dataValidation>
    <dataValidation type="textLength" errorStyle="information" allowBlank="1" showInputMessage="1" showErrorMessage="1" error="XLBVal:6=4631.27_x000d__x000a_" sqref="AA25">
      <formula1>0</formula1>
      <formula2>300</formula2>
    </dataValidation>
    <dataValidation type="textLength" errorStyle="information" allowBlank="1" showInputMessage="1" showErrorMessage="1" error="XLBVal:6=7362.83_x000d__x000a_" sqref="Z25">
      <formula1>0</formula1>
      <formula2>300</formula2>
    </dataValidation>
    <dataValidation type="textLength" errorStyle="information" allowBlank="1" showInputMessage="1" showErrorMessage="1" error="XLBVal:6=617.56_x000d__x000a_" sqref="AA24">
      <formula1>0</formula1>
      <formula2>300</formula2>
    </dataValidation>
    <dataValidation type="textLength" errorStyle="information" allowBlank="1" showInputMessage="1" showErrorMessage="1" error="XLBVal:6=627.12_x000d__x000a_" sqref="Z24">
      <formula1>0</formula1>
      <formula2>300</formula2>
    </dataValidation>
    <dataValidation type="textLength" errorStyle="information" allowBlank="1" showInputMessage="1" showErrorMessage="1" error="XLBVal:6=266.01_x000d__x000a_" sqref="AA22">
      <formula1>0</formula1>
      <formula2>300</formula2>
    </dataValidation>
    <dataValidation type="textLength" errorStyle="information" allowBlank="1" showInputMessage="1" showErrorMessage="1" error="XLBVal:6=165.21_x000d__x000a_" sqref="Z22">
      <formula1>0</formula1>
      <formula2>300</formula2>
    </dataValidation>
    <dataValidation type="textLength" errorStyle="information" allowBlank="1" showInputMessage="1" showErrorMessage="1" error="XLBVal:6=5089.3_x000d__x000a_" sqref="AA21">
      <formula1>0</formula1>
      <formula2>300</formula2>
    </dataValidation>
    <dataValidation type="textLength" errorStyle="information" allowBlank="1" showInputMessage="1" showErrorMessage="1" error="XLBVal:6=1038.53_x000d__x000a_" sqref="Z21">
      <formula1>0</formula1>
      <formula2>300</formula2>
    </dataValidation>
    <dataValidation type="textLength" errorStyle="information" allowBlank="1" showInputMessage="1" showErrorMessage="1" error="XLBVal:6=215.56_x000d__x000a_" sqref="AA20">
      <formula1>0</formula1>
      <formula2>300</formula2>
    </dataValidation>
    <dataValidation type="textLength" errorStyle="information" allowBlank="1" showInputMessage="1" showErrorMessage="1" error="XLBVal:6=225.18_x000d__x000a_" sqref="AA19">
      <formula1>0</formula1>
      <formula2>300</formula2>
    </dataValidation>
    <dataValidation type="textLength" errorStyle="information" allowBlank="1" showInputMessage="1" showErrorMessage="1" error="XLBVal:6=84.07_x000d__x000a_" sqref="Z19">
      <formula1>0</formula1>
      <formula2>300</formula2>
    </dataValidation>
    <dataValidation type="textLength" errorStyle="information" allowBlank="1" showInputMessage="1" showErrorMessage="1" error="XLBVal:6=6873.08_x000d__x000a_" sqref="AA15">
      <formula1>0</formula1>
      <formula2>300</formula2>
    </dataValidation>
    <dataValidation type="textLength" errorStyle="information" allowBlank="1" showInputMessage="1" showErrorMessage="1" error="XLBVal:6=1836.05_x000d__x000a_" sqref="Z15">
      <formula1>0</formula1>
      <formula2>300</formula2>
    </dataValidation>
    <dataValidation type="textLength" errorStyle="information" allowBlank="1" showInputMessage="1" showErrorMessage="1" error="XLBVal:6=2100_x000d__x000a_" sqref="AA12">
      <formula1>0</formula1>
      <formula2>300</formula2>
    </dataValidation>
    <dataValidation type="textLength" errorStyle="information" allowBlank="1" showInputMessage="1" showErrorMessage="1" error="XLBVal:6=1192.44_x000d__x000a_" sqref="Z12">
      <formula1>0</formula1>
      <formula2>300</formula2>
    </dataValidation>
    <dataValidation type="textLength" errorStyle="information" allowBlank="1" showInputMessage="1" showErrorMessage="1" error="XLBVal:6=-1238.44_x000d__x000a_" sqref="Y45">
      <formula1>0</formula1>
      <formula2>300</formula2>
    </dataValidation>
    <dataValidation type="textLength" errorStyle="information" allowBlank="1" showInputMessage="1" showErrorMessage="1" error="XLBVal:6=1261.57_x000d__x000a_" sqref="Y25">
      <formula1>0</formula1>
      <formula2>300</formula2>
    </dataValidation>
    <dataValidation type="textLength" errorStyle="information" allowBlank="1" showInputMessage="1" showErrorMessage="1" error="XLBVal:6=641.88_x000d__x000a_" sqref="Y24">
      <formula1>0</formula1>
      <formula2>300</formula2>
    </dataValidation>
    <dataValidation type="textLength" errorStyle="information" allowBlank="1" showInputMessage="1" showErrorMessage="1" error="XLBVal:6=26.38_x000d__x000a_" sqref="Y22">
      <formula1>0</formula1>
      <formula2>300</formula2>
    </dataValidation>
    <dataValidation type="textLength" errorStyle="information" allowBlank="1" showInputMessage="1" showErrorMessage="1" error="XLBVal:6=1428.81_x000d__x000a_" sqref="Y21">
      <formula1>0</formula1>
      <formula2>300</formula2>
    </dataValidation>
    <dataValidation type="textLength" errorStyle="information" allowBlank="1" showInputMessage="1" showErrorMessage="1" error="XLBVal:6=266_x000d__x000a_" sqref="Y20">
      <formula1>0</formula1>
      <formula2>300</formula2>
    </dataValidation>
    <dataValidation type="textLength" errorStyle="information" allowBlank="1" showInputMessage="1" showErrorMessage="1" error="XLBVal:6=4073.17_x000d__x000a_" sqref="Y16">
      <formula1>0</formula1>
      <formula2>300</formula2>
    </dataValidation>
    <dataValidation type="textLength" errorStyle="information" allowBlank="1" showInputMessage="1" showErrorMessage="1" error="XLBVal:6=825.53_x000d__x000a_" sqref="Y15">
      <formula1>0</formula1>
      <formula2>300</formula2>
    </dataValidation>
    <dataValidation type="textLength" errorStyle="information" allowBlank="1" showInputMessage="1" showErrorMessage="1" error="XLBVal:6=526_x000d__x000a_" sqref="Y12">
      <formula1>0</formula1>
      <formula2>300</formula2>
    </dataValidation>
    <dataValidation type="textLength" errorStyle="information" allowBlank="1" showInputMessage="1" showErrorMessage="1" error="XLBVal:6=829.6_x000d__x000a_" sqref="X45">
      <formula1>0</formula1>
      <formula2>300</formula2>
    </dataValidation>
    <dataValidation type="textLength" errorStyle="information" allowBlank="1" showInputMessage="1" showErrorMessage="1" error="XLBVal:6=1458.78_x000d__x000a_" sqref="X40:Y40">
      <formula1>0</formula1>
      <formula2>300</formula2>
    </dataValidation>
    <dataValidation type="textLength" errorStyle="information" allowBlank="1" showInputMessage="1" showErrorMessage="1" error="XLBVal:6=3417.66_x000d__x000a_" sqref="X25">
      <formula1>0</formula1>
      <formula2>300</formula2>
    </dataValidation>
    <dataValidation type="textLength" errorStyle="information" allowBlank="1" showInputMessage="1" showErrorMessage="1" error="XLBVal:6=642.06_x000d__x000a_" sqref="X24">
      <formula1>0</formula1>
      <formula2>300</formula2>
    </dataValidation>
    <dataValidation type="textLength" errorStyle="information" allowBlank="1" showInputMessage="1" showErrorMessage="1" error="XLBVal:6=133.94_x000d__x000a_" sqref="X22">
      <formula1>0</formula1>
      <formula2>300</formula2>
    </dataValidation>
    <dataValidation type="textLength" errorStyle="information" allowBlank="1" showInputMessage="1" showErrorMessage="1" error="XLBVal:6=1269.58_x000d__x000a_" sqref="X21">
      <formula1>0</formula1>
      <formula2>300</formula2>
    </dataValidation>
    <dataValidation type="textLength" errorStyle="information" allowBlank="1" showInputMessage="1" showErrorMessage="1" error="XLBVal:6=327_x000d__x000a_" sqref="X20">
      <formula1>0</formula1>
      <formula2>300</formula2>
    </dataValidation>
    <dataValidation type="textLength" errorStyle="information" allowBlank="1" showInputMessage="1" showErrorMessage="1" error="XLBVal:6=461.82_x000d__x000a_" sqref="X15">
      <formula1>0</formula1>
      <formula2>300</formula2>
    </dataValidation>
    <dataValidation type="textLength" errorStyle="information" allowBlank="1" showInputMessage="1" showErrorMessage="1" error="XLBVal:6=1736_x000d__x000a_" sqref="V76 T76">
      <formula1>0</formula1>
      <formula2>300</formula2>
    </dataValidation>
    <dataValidation type="textLength" errorStyle="information" allowBlank="1" showInputMessage="1" showErrorMessage="1" error="XLBVal:6=3810.64_x000d__x000a_" sqref="V58">
      <formula1>0</formula1>
      <formula2>300</formula2>
    </dataValidation>
    <dataValidation type="textLength" errorStyle="information" allowBlank="1" showInputMessage="1" showErrorMessage="1" error="XLBVal:6=25679.24_x000d__x000a_" sqref="R57">
      <formula1>0</formula1>
      <formula2>300</formula2>
    </dataValidation>
    <dataValidation type="textLength" errorStyle="information" allowBlank="1" showInputMessage="1" showErrorMessage="1" error="XLBVal:6=444.28_x000d__x000a_" sqref="W19">
      <formula1>0</formula1>
      <formula2>300</formula2>
    </dataValidation>
    <dataValidation type="textLength" errorStyle="information" allowBlank="1" showInputMessage="1" showErrorMessage="1" error="XLBVal:6=438.05_x000d__x000a_" sqref="Q19:T19">
      <formula1>0</formula1>
      <formula2>300</formula2>
    </dataValidation>
    <dataValidation type="textLength" errorStyle="information" allowBlank="1" showInputMessage="1" showErrorMessage="1" error="XLBVal:6=4796.32_x000d__x000a_" sqref="R12">
      <formula1>0</formula1>
      <formula2>300</formula2>
    </dataValidation>
    <dataValidation type="textLength" errorStyle="information" allowBlank="1" showInputMessage="1" showErrorMessage="1" error="XLBVal:6=1400_x000d__x000a_" sqref="AA18:AB18 W18">
      <formula1>0</formula1>
      <formula2>300</formula2>
    </dataValidation>
    <dataValidation type="textLength" errorStyle="information" allowBlank="1" showInputMessage="1" showErrorMessage="1" error="XLBVal:6=300_x000d__x000a_" sqref="X12 AB12">
      <formula1>0</formula1>
      <formula2>300</formula2>
    </dataValidation>
    <dataValidation type="textLength" errorStyle="information" allowBlank="1" showInputMessage="1" showErrorMessage="1" error="XLBVal:6=1272.38_x000d__x000a_" sqref="W45">
      <formula1>0</formula1>
      <formula2>300</formula2>
    </dataValidation>
    <dataValidation type="textLength" errorStyle="information" allowBlank="1" showInputMessage="1" showErrorMessage="1" error="XLBVal:6=6369.78_x000d__x000a_" sqref="W40">
      <formula1>0</formula1>
      <formula2>300</formula2>
    </dataValidation>
    <dataValidation type="textLength" errorStyle="information" allowBlank="1" showInputMessage="1" showErrorMessage="1" error="XLBVal:6=4911.04_x000d__x000a_" sqref="W25">
      <formula1>0</formula1>
      <formula2>300</formula2>
    </dataValidation>
    <dataValidation type="textLength" errorStyle="information" allowBlank="1" showInputMessage="1" showErrorMessage="1" error="XLBVal:6=579.56_x000d__x000a_" sqref="W24">
      <formula1>0</formula1>
      <formula2>300</formula2>
    </dataValidation>
    <dataValidation type="textLength" errorStyle="information" allowBlank="1" showInputMessage="1" showErrorMessage="1" error="XLBVal:6=297.58_x000d__x000a_" sqref="W22">
      <formula1>0</formula1>
      <formula2>300</formula2>
    </dataValidation>
    <dataValidation type="textLength" errorStyle="information" allowBlank="1" showInputMessage="1" showErrorMessage="1" error="XLBVal:6=1381.13_x000d__x000a_" sqref="W21">
      <formula1>0</formula1>
      <formula2>300</formula2>
    </dataValidation>
    <dataValidation type="textLength" errorStyle="information" allowBlank="1" showInputMessage="1" showErrorMessage="1" error="XLBVal:6=222_x000d__x000a_" sqref="W20">
      <formula1>0</formula1>
      <formula2>300</formula2>
    </dataValidation>
    <dataValidation type="textLength" errorStyle="information" allowBlank="1" showInputMessage="1" showErrorMessage="1" error="XLBVal:6=278.76_x000d__x000a_" sqref="U19:V19">
      <formula1>0</formula1>
      <formula2>300</formula2>
    </dataValidation>
    <dataValidation type="textLength" errorStyle="information" allowBlank="1" showInputMessage="1" showErrorMessage="1" error="XLBVal:6=5875.39_x000d__x000a_" sqref="W15">
      <formula1>0</formula1>
      <formula2>300</formula2>
    </dataValidation>
    <dataValidation type="textLength" errorStyle="information" allowBlank="1" showInputMessage="1" showErrorMessage="1" error="XLBVal:6=125.81_x000d__x000a_" sqref="W12">
      <formula1>0</formula1>
      <formula2>300</formula2>
    </dataValidation>
    <dataValidation type="textLength" errorStyle="information" allowBlank="1" showInputMessage="1" showErrorMessage="1" error="XLBVal:6=164_x000d__x000a_" sqref="G20">
      <formula1>0</formula1>
      <formula2>300</formula2>
    </dataValidation>
    <dataValidation type="textLength" errorStyle="information" allowBlank="1" showInputMessage="1" showErrorMessage="1" error="XLBVal:6=25644.39_x000d__x000a_" sqref="Q57">
      <formula1>0</formula1>
      <formula2>300</formula2>
    </dataValidation>
    <dataValidation type="textLength" errorStyle="information" allowBlank="1" showInputMessage="1" showErrorMessage="1" error="XLBVal:6=66559.47_x000d__x000a_" sqref="E52:O53">
      <formula1>0</formula1>
      <formula2>300</formula2>
    </dataValidation>
    <dataValidation type="textLength" errorStyle="information" allowBlank="1" showInputMessage="1" showErrorMessage="1" error="XLBVal:6=3584.91_x000d__x000a_" sqref="E32">
      <formula1>0</formula1>
      <formula2>300</formula2>
    </dataValidation>
    <dataValidation type="textLength" errorStyle="information" allowBlank="1" showInputMessage="1" showErrorMessage="1" error="XLBVal:6=4032.49_x000d__x000a_" sqref="D25:O25">
      <formula1>0</formula1>
      <formula2>300</formula2>
    </dataValidation>
    <dataValidation type="textLength" errorStyle="information" allowBlank="1" showInputMessage="1" showErrorMessage="1" error="XLBVal:6=1551.96_x000d__x000a_" sqref="D24:O24">
      <formula1>0</formula1>
      <formula2>300</formula2>
    </dataValidation>
    <dataValidation type="textLength" errorStyle="information" allowBlank="1" showInputMessage="1" showErrorMessage="1" error="XLBVal:6=2140.54_x000d__x000a_" sqref="D21:O21">
      <formula1>0</formula1>
      <formula2>300</formula2>
    </dataValidation>
    <dataValidation type="textLength" errorStyle="information" allowBlank="1" showInputMessage="1" showErrorMessage="1" error="XLBVal:6=271_x000d__x000a_" sqref="F20">
      <formula1>0</formula1>
      <formula2>300</formula2>
    </dataValidation>
    <dataValidation type="textLength" errorStyle="information" allowBlank="1" showInputMessage="1" showErrorMessage="1" error="XLBVal:6=430_x000d__x000a_" sqref="D20">
      <formula1>0</formula1>
      <formula2>300</formula2>
    </dataValidation>
    <dataValidation type="textLength" errorStyle="information" allowBlank="1" showInputMessage="1" showErrorMessage="1" error="XLBVal:6=5355.25_x000d__x000a_" sqref="D18:O18">
      <formula1>0</formula1>
      <formula2>300</formula2>
    </dataValidation>
    <dataValidation type="textLength" errorStyle="information" allowBlank="1" showInputMessage="1" showErrorMessage="1" error="XLBVal:6=16088.34_x000d__x000a_" sqref="D15:O15">
      <formula1>0</formula1>
      <formula2>300</formula2>
    </dataValidation>
    <dataValidation type="textLength" errorStyle="information" allowBlank="1" showInputMessage="1" showErrorMessage="1" error="XLBVal:6=1074.24_x000d__x000a_" sqref="G16">
      <formula1>0</formula1>
      <formula2>300</formula2>
    </dataValidation>
    <dataValidation type="textLength" errorStyle="information" allowBlank="1" showInputMessage="1" showErrorMessage="1" error="XLBVal:6=15_x000d__x000a_" sqref="V85">
      <formula1>0</formula1>
      <formula2>300</formula2>
    </dataValidation>
    <dataValidation type="textLength" errorStyle="information" allowBlank="1" showInputMessage="1" showErrorMessage="1" error="XLBVal:6=4208.97_x000d__x000a_" sqref="R58">
      <formula1>0</formula1>
      <formula2>300</formula2>
    </dataValidation>
    <dataValidation type="textLength" errorStyle="information" allowBlank="1" showInputMessage="1" showErrorMessage="1" error="XLBVal:6=4198.62_x000d__x000a_" sqref="Q58">
      <formula1>0</formula1>
      <formula2>300</formula2>
    </dataValidation>
    <dataValidation type="textLength" errorStyle="information" allowBlank="1" showInputMessage="1" showErrorMessage="1" error="XLBVal:6=71591.29_x000d__x000a_" sqref="S52">
      <formula1>0</formula1>
      <formula2>300</formula2>
    </dataValidation>
    <dataValidation type="textLength" errorStyle="information" allowBlank="1" showInputMessage="1" showErrorMessage="1" error="XLBVal:6=71000_x000d__x000a_" sqref="Q52:R52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4605.93_x000d__x000a_" sqref="V79">
      <formula1>0</formula1>
      <formula2>300</formula2>
    </dataValidation>
    <dataValidation type="textLength" errorStyle="information" allowBlank="1" showInputMessage="1" showErrorMessage="1" error="XLBVal:6=11137.33_x000d__x000a_" sqref="U79">
      <formula1>0</formula1>
      <formula2>300</formula2>
    </dataValidation>
    <dataValidation type="textLength" errorStyle="information" allowBlank="1" showInputMessage="1" showErrorMessage="1" error="XLBVal:6=14698.51_x000d__x000a_" sqref="T79">
      <formula1>0</formula1>
      <formula2>300</formula2>
    </dataValidation>
    <dataValidation type="textLength" errorStyle="information" allowBlank="1" showInputMessage="1" showErrorMessage="1" error="XLBVal:6=15994.26_x000d__x000a_" sqref="S79">
      <formula1>0</formula1>
      <formula2>300</formula2>
    </dataValidation>
    <dataValidation type="textLength" errorStyle="information" allowBlank="1" showInputMessage="1" showErrorMessage="1" error="XLBVal:6=16051.12_x000d__x000a_" sqref="R79">
      <formula1>0</formula1>
      <formula2>300</formula2>
    </dataValidation>
    <dataValidation type="textLength" errorStyle="information" allowBlank="1" showInputMessage="1" showErrorMessage="1" error="XLBVal:6=11557.6_x000d__x000a_" sqref="Q79">
      <formula1>0</formula1>
      <formula2>300</formula2>
    </dataValidation>
    <dataValidation type="textLength" errorStyle="information" allowBlank="1" showInputMessage="1" showErrorMessage="1" error="XLBVal:6=3158.82_x000d__x000a_" sqref="V78">
      <formula1>0</formula1>
      <formula2>300</formula2>
    </dataValidation>
    <dataValidation type="textLength" errorStyle="information" allowBlank="1" showInputMessage="1" showErrorMessage="1" error="XLBVal:6=3497.96_x000d__x000a_" sqref="U78">
      <formula1>0</formula1>
      <formula2>300</formula2>
    </dataValidation>
    <dataValidation type="textLength" errorStyle="information" allowBlank="1" showInputMessage="1" showErrorMessage="1" error="XLBVal:6=3216.61_x000d__x000a_" sqref="T78">
      <formula1>0</formula1>
      <formula2>300</formula2>
    </dataValidation>
    <dataValidation type="textLength" errorStyle="information" allowBlank="1" showInputMessage="1" showErrorMessage="1" error="XLBVal:6=2792.54_x000d__x000a_" sqref="S78">
      <formula1>0</formula1>
      <formula2>300</formula2>
    </dataValidation>
    <dataValidation type="textLength" errorStyle="information" allowBlank="1" showInputMessage="1" showErrorMessage="1" error="XLBVal:6=3210.4_x000d__x000a_" sqref="R78">
      <formula1>0</formula1>
      <formula2>300</formula2>
    </dataValidation>
    <dataValidation type="textLength" errorStyle="information" allowBlank="1" showInputMessage="1" showErrorMessage="1" error="XLBVal:6=2832.47_x000d__x000a_" sqref="Q78">
      <formula1>0</formula1>
      <formula2>300</formula2>
    </dataValidation>
    <dataValidation type="textLength" errorStyle="information" allowBlank="1" showInputMessage="1" showErrorMessage="1" error="XLBVal:6=296.4_x000d__x000a_" sqref="V77">
      <formula1>0</formula1>
      <formula2>300</formula2>
    </dataValidation>
    <dataValidation type="textLength" errorStyle="information" allowBlank="1" showInputMessage="1" showErrorMessage="1" error="XLBVal:6=255.77_x000d__x000a_" sqref="U77">
      <formula1>0</formula1>
      <formula2>300</formula2>
    </dataValidation>
    <dataValidation type="textLength" errorStyle="information" allowBlank="1" showInputMessage="1" showErrorMessage="1" error="XLBVal:6=245.06_x000d__x000a_" sqref="T77">
      <formula1>0</formula1>
      <formula2>300</formula2>
    </dataValidation>
    <dataValidation type="textLength" errorStyle="information" allowBlank="1" showInputMessage="1" showErrorMessage="1" error="XLBVal:6=247.13_x000d__x000a_" sqref="R77">
      <formula1>0</formula1>
      <formula2>300</formula2>
    </dataValidation>
    <dataValidation type="textLength" errorStyle="information" allowBlank="1" showInputMessage="1" showErrorMessage="1" error="XLBVal:6=319.06_x000d__x000a_" sqref="Q77">
      <formula1>0</formula1>
      <formula2>300</formula2>
    </dataValidation>
    <dataValidation type="textLength" errorStyle="information" allowBlank="1" showInputMessage="1" showErrorMessage="1" error="XLBVal:6=1792_x000d__x000a_" sqref="U76">
      <formula1>0</formula1>
      <formula2>300</formula2>
    </dataValidation>
    <dataValidation type="textLength" errorStyle="information" allowBlank="1" showInputMessage="1" showErrorMessage="1" error="XLBVal:6=2270.7_x000d__x000a_" sqref="V69">
      <formula1>0</formula1>
      <formula2>300</formula2>
    </dataValidation>
    <dataValidation type="textLength" errorStyle="information" allowBlank="1" showInputMessage="1" showErrorMessage="1" error="XLBVal:6=2028.12_x000d__x000a_" sqref="U69">
      <formula1>0</formula1>
      <formula2>300</formula2>
    </dataValidation>
    <dataValidation type="textLength" errorStyle="information" allowBlank="1" showInputMessage="1" showErrorMessage="1" error="XLBVal:6=2924.23_x000d__x000a_" sqref="T69">
      <formula1>0</formula1>
      <formula2>300</formula2>
    </dataValidation>
    <dataValidation type="textLength" errorStyle="information" allowBlank="1" showInputMessage="1" showErrorMessage="1" error="XLBVal:6=4592.48_x000d__x000a_" sqref="S69">
      <formula1>0</formula1>
      <formula2>300</formula2>
    </dataValidation>
    <dataValidation type="textLength" errorStyle="information" allowBlank="1" showInputMessage="1" showErrorMessage="1" error="XLBVal:6=2180.08_x000d__x000a_" sqref="R69">
      <formula1>0</formula1>
      <formula2>300</formula2>
    </dataValidation>
    <dataValidation type="textLength" errorStyle="information" allowBlank="1" showInputMessage="1" showErrorMessage="1" error="XLBVal:6=2176.31_x000d__x000a_" sqref="Q69">
      <formula1>0</formula1>
      <formula2>300</formula2>
    </dataValidation>
    <dataValidation type="textLength" errorStyle="information" allowBlank="1" showInputMessage="1" showErrorMessage="1" error="XLBVal:6=0_x000d__x000a_" sqref="W26 G26:H26 E20 U41 T18">
      <formula1>0</formula1>
      <formula2>300</formula2>
    </dataValidation>
    <dataValidation type="textLength" errorStyle="information" allowBlank="1" showInputMessage="1" showErrorMessage="1" error="XLBVal:6=5349_x000d__x000a_" sqref="V68">
      <formula1>0</formula1>
      <formula2>300</formula2>
    </dataValidation>
    <dataValidation type="textLength" errorStyle="information" allowBlank="1" showInputMessage="1" showErrorMessage="1" error="XLBVal:6=5484_x000d__x000a_" sqref="Q68:S68">
      <formula1>0</formula1>
      <formula2>300</formula2>
    </dataValidation>
    <dataValidation type="textLength" errorStyle="information" allowBlank="1" showInputMessage="1" showErrorMessage="1" error="XLBVal:6=128.22_x000d__x000a_" sqref="V66">
      <formula1>0</formula1>
      <formula2>300</formula2>
    </dataValidation>
    <dataValidation type="textLength" errorStyle="information" allowBlank="1" showInputMessage="1" showErrorMessage="1" error="XLBVal:6=131.29_x000d__x000a_" sqref="Q66:S66">
      <formula1>0</formula1>
      <formula2>300</formula2>
    </dataValidation>
    <dataValidation type="textLength" errorStyle="information" allowBlank="1" showInputMessage="1" showErrorMessage="1" error="XLBVal:6=534.15_x000d__x000a_" sqref="V65">
      <formula1>0</formula1>
      <formula2>300</formula2>
    </dataValidation>
    <dataValidation type="textLength" errorStyle="information" allowBlank="1" showInputMessage="1" showErrorMessage="1" error="XLBVal:6=546.94_x000d__x000a_" sqref="Q65:S65">
      <formula1>0</formula1>
      <formula2>300</formula2>
    </dataValidation>
    <dataValidation type="textLength" errorStyle="information" allowBlank="1" showInputMessage="1" showErrorMessage="1" error="XLBVal:6=9080.35_x000d__x000a_" sqref="V64">
      <formula1>0</formula1>
      <formula2>300</formula2>
    </dataValidation>
    <dataValidation type="textLength" errorStyle="information" allowBlank="1" showInputMessage="1" showErrorMessage="1" error="XLBVal:6=9297.72_x000d__x000a_" sqref="Q64:S64">
      <formula1>0</formula1>
      <formula2>300</formula2>
    </dataValidation>
    <dataValidation type="textLength" errorStyle="information" allowBlank="1" showInputMessage="1" showErrorMessage="1" error="XLBVal:6=17092.41_x000d__x000a_" sqref="V63">
      <formula1>0</formula1>
      <formula2>300</formula2>
    </dataValidation>
    <dataValidation type="textLength" errorStyle="information" allowBlank="1" showInputMessage="1" showErrorMessage="1" error="XLBVal:6=17501.57_x000d__x000a_" sqref="Q63:S63">
      <formula1>0</formula1>
      <formula2>300</formula2>
    </dataValidation>
    <dataValidation type="textLength" errorStyle="information" allowBlank="1" showInputMessage="1" showErrorMessage="1" error="XLBVal:6=3306.64_x000d__x000a_" sqref="S58">
      <formula1>0</formula1>
      <formula2>300</formula2>
    </dataValidation>
    <dataValidation type="textLength" errorStyle="information" allowBlank="1" showInputMessage="1" showErrorMessage="1" error="XLBVal:6=3824.75_x000d__x000a_" sqref="U58">
      <formula1>0</formula1>
      <formula2>300</formula2>
    </dataValidation>
    <dataValidation type="textLength" errorStyle="information" allowBlank="1" showInputMessage="1" showErrorMessage="1" error="XLBVal:6=30300.16_x000d__x000a_" sqref="V53">
      <formula1>0</formula1>
      <formula2>300</formula2>
    </dataValidation>
    <dataValidation type="textLength" errorStyle="information" allowBlank="1" showInputMessage="1" showErrorMessage="1" error="XLBVal:6=27678.15_x000d__x000a_" sqref="U53">
      <formula1>0</formula1>
      <formula2>300</formula2>
    </dataValidation>
    <dataValidation type="textLength" errorStyle="information" allowBlank="1" showInputMessage="1" showErrorMessage="1" error="XLBVal:6=28338.97_x000d__x000a_" sqref="T53">
      <formula1>0</formula1>
      <formula2>300</formula2>
    </dataValidation>
    <dataValidation type="textLength" errorStyle="information" allowBlank="1" showInputMessage="1" showErrorMessage="1" error="XLBVal:6=31700_x000d__x000a_" sqref="S53">
      <formula1>0</formula1>
      <formula2>300</formula2>
    </dataValidation>
    <dataValidation type="textLength" errorStyle="information" allowBlank="1" showInputMessage="1" showErrorMessage="1" error="XLBVal:6=30044.8_x000d__x000a_" sqref="R53">
      <formula1>0</formula1>
      <formula2>300</formula2>
    </dataValidation>
    <dataValidation type="textLength" errorStyle="information" allowBlank="1" showInputMessage="1" showErrorMessage="1" error="XLBVal:6=31517.09_x000d__x000a_" sqref="Q53">
      <formula1>0</formula1>
      <formula2>300</formula2>
    </dataValidation>
    <dataValidation type="textLength" errorStyle="information" allowBlank="1" showInputMessage="1" showErrorMessage="1" error="XLBVal:6=78877.02_x000d__x000a_" sqref="V52">
      <formula1>0</formula1>
      <formula2>300</formula2>
    </dataValidation>
    <dataValidation type="textLength" errorStyle="information" allowBlank="1" showInputMessage="1" showErrorMessage="1" error="XLBVal:6=71195.4_x000d__x000a_" sqref="U52">
      <formula1>0</formula1>
      <formula2>300</formula2>
    </dataValidation>
    <dataValidation type="textLength" errorStyle="information" allowBlank="1" showInputMessage="1" showErrorMessage="1" error="XLBVal:6=69051.72_x000d__x000a_" sqref="T52">
      <formula1>0</formula1>
      <formula2>300</formula2>
    </dataValidation>
    <dataValidation type="textLength" errorStyle="information" allowBlank="1" showInputMessage="1" showErrorMessage="1" error="XLBVal:6=-761.72_x000d__x000a_" sqref="V45">
      <formula1>0</formula1>
      <formula2>300</formula2>
    </dataValidation>
    <dataValidation type="textLength" errorStyle="information" allowBlank="1" showInputMessage="1" showErrorMessage="1" error="XLBVal:6=-1018.26_x000d__x000a_" sqref="U45">
      <formula1>0</formula1>
      <formula2>300</formula2>
    </dataValidation>
    <dataValidation type="textLength" errorStyle="information" allowBlank="1" showInputMessage="1" showErrorMessage="1" error="XLBVal:6=-1795.7_x000d__x000a_" sqref="T45">
      <formula1>0</formula1>
      <formula2>300</formula2>
    </dataValidation>
    <dataValidation type="textLength" errorStyle="information" allowBlank="1" showInputMessage="1" showErrorMessage="1" error="XLBVal:6=-1143_x000d__x000a_" sqref="R45">
      <formula1>0</formula1>
      <formula2>300</formula2>
    </dataValidation>
    <dataValidation type="textLength" errorStyle="information" allowBlank="1" showInputMessage="1" showErrorMessage="1" error="XLBVal:6=-493.26_x000d__x000a_" sqref="Q45">
      <formula1>0</formula1>
      <formula2>300</formula2>
    </dataValidation>
    <dataValidation type="textLength" errorStyle="information" allowBlank="1" showInputMessage="1" showErrorMessage="1" error="XLBVal:6=-438.64_x000d__x000a_" sqref="V40">
      <formula1>0</formula1>
      <formula2>300</formula2>
    </dataValidation>
    <dataValidation type="textLength" errorStyle="information" allowBlank="1" showInputMessage="1" showErrorMessage="1" error="XLBVal:6=30818.98_x000d__x000a_" sqref="U40">
      <formula1>0</formula1>
      <formula2>300</formula2>
    </dataValidation>
    <dataValidation type="textLength" errorStyle="information" allowBlank="1" showInputMessage="1" showErrorMessage="1" error="XLBVal:6=5614.76_x000d__x000a_" sqref="S40">
      <formula1>0</formula1>
      <formula2>300</formula2>
    </dataValidation>
    <dataValidation type="textLength" errorStyle="information" allowBlank="1" showInputMessage="1" showErrorMessage="1" error="XLBVal:6=6011.25_x000d__x000a_" sqref="R40">
      <formula1>0</formula1>
      <formula2>300</formula2>
    </dataValidation>
    <dataValidation type="textLength" errorStyle="information" allowBlank="1" showInputMessage="1" showErrorMessage="1" error="XLBVal:6=14988.09_x000d__x000a_" sqref="T40">
      <formula1>0</formula1>
      <formula2>300</formula2>
    </dataValidation>
    <dataValidation type="textLength" errorStyle="information" allowBlank="1" showInputMessage="1" showErrorMessage="1" error="XLBVal:6=73735.07_x000d__x000a_" sqref="S39">
      <formula1>0</formula1>
      <formula2>300</formula2>
    </dataValidation>
    <dataValidation type="textLength" errorStyle="information" allowBlank="1" showInputMessage="1" showErrorMessage="1" error="XLBVal:6=5105.19_x000d__x000a_" sqref="V25">
      <formula1>0</formula1>
      <formula2>300</formula2>
    </dataValidation>
    <dataValidation type="textLength" errorStyle="information" allowBlank="1" showInputMessage="1" showErrorMessage="1" error="XLBVal:6=5829.6_x000d__x000a_" sqref="U25">
      <formula1>0</formula1>
      <formula2>300</formula2>
    </dataValidation>
    <dataValidation type="textLength" errorStyle="information" allowBlank="1" showInputMessage="1" showErrorMessage="1" error="XLBVal:6=5744.57_x000d__x000a_" sqref="T25">
      <formula1>0</formula1>
      <formula2>300</formula2>
    </dataValidation>
    <dataValidation type="textLength" errorStyle="information" allowBlank="1" showInputMessage="1" showErrorMessage="1" error="XLBVal:6=1664.98_x000d__x000a_" sqref="S25">
      <formula1>0</formula1>
      <formula2>300</formula2>
    </dataValidation>
    <dataValidation type="textLength" errorStyle="information" allowBlank="1" showInputMessage="1" showErrorMessage="1" error="XLBVal:6=5818.99_x000d__x000a_" sqref="R25">
      <formula1>0</formula1>
      <formula2>300</formula2>
    </dataValidation>
    <dataValidation type="textLength" errorStyle="information" allowBlank="1" showInputMessage="1" showErrorMessage="1" error="XLBVal:6=5542.47_x000d__x000a_" sqref="Q25">
      <formula1>0</formula1>
      <formula2>300</formula2>
    </dataValidation>
    <dataValidation type="textLength" errorStyle="information" allowBlank="1" showInputMessage="1" showErrorMessage="1" error="XLBVal:6=627.76_x000d__x000a_" sqref="V24">
      <formula1>0</formula1>
      <formula2>300</formula2>
    </dataValidation>
    <dataValidation type="textLength" errorStyle="information" allowBlank="1" showInputMessage="1" showErrorMessage="1" error="XLBVal:6=1398.82_x000d__x000a_" sqref="U24">
      <formula1>0</formula1>
      <formula2>300</formula2>
    </dataValidation>
    <dataValidation type="textLength" errorStyle="information" allowBlank="1" showInputMessage="1" showErrorMessage="1" error="XLBVal:6=930.14_x000d__x000a_" sqref="T24">
      <formula1>0</formula1>
      <formula2>300</formula2>
    </dataValidation>
    <dataValidation type="textLength" errorStyle="information" allowBlank="1" showInputMessage="1" showErrorMessage="1" error="XLBVal:6=1135.66_x000d__x000a_" sqref="S24">
      <formula1>0</formula1>
      <formula2>300</formula2>
    </dataValidation>
    <dataValidation type="textLength" errorStyle="information" allowBlank="1" showInputMessage="1" showErrorMessage="1" error="XLBVal:6=1500_x000d__x000a_" sqref="R76 Q60:R60 U60:V60">
      <formula1>0</formula1>
      <formula2>300</formula2>
    </dataValidation>
    <dataValidation type="textLength" errorStyle="information" allowBlank="1" showInputMessage="1" showErrorMessage="1" error="XLBVal:6=1069.56_x000d__x000a_" sqref="Q24">
      <formula1>0</formula1>
      <formula2>300</formula2>
    </dataValidation>
    <dataValidation type="textLength" errorStyle="information" allowBlank="1" showInputMessage="1" showErrorMessage="1" error="XLBVal:6=270.95_x000d__x000a_" sqref="V22">
      <formula1>0</formula1>
      <formula2>300</formula2>
    </dataValidation>
    <dataValidation type="textLength" errorStyle="information" allowBlank="1" showInputMessage="1" showErrorMessage="1" error="XLBVal:6=230.4_x000d__x000a_" sqref="S22">
      <formula1>0</formula1>
      <formula2>300</formula2>
    </dataValidation>
    <dataValidation type="textLength" errorStyle="information" allowBlank="1" showInputMessage="1" showErrorMessage="1" error="XLBVal:6=292.03_x000d__x000a_" sqref="R22">
      <formula1>0</formula1>
      <formula2>300</formula2>
    </dataValidation>
    <dataValidation type="textLength" errorStyle="information" allowBlank="1" showInputMessage="1" showErrorMessage="1" error="XLBVal:6=330.19_x000d__x000a_" sqref="Q22">
      <formula1>0</formula1>
      <formula2>300</formula2>
    </dataValidation>
    <dataValidation type="textLength" errorStyle="information" allowBlank="1" showInputMessage="1" showErrorMessage="1" error="XLBVal:6=1288.61_x000d__x000a_" sqref="V21">
      <formula1>0</formula1>
      <formula2>300</formula2>
    </dataValidation>
    <dataValidation type="textLength" errorStyle="information" allowBlank="1" showInputMessage="1" showErrorMessage="1" error="XLBVal:6=482.64_x000d__x000a_" sqref="U21">
      <formula1>0</formula1>
      <formula2>300</formula2>
    </dataValidation>
    <dataValidation type="textLength" errorStyle="information" allowBlank="1" showInputMessage="1" showErrorMessage="1" error="XLBVal:6=721.77_x000d__x000a_" sqref="T21">
      <formula1>0</formula1>
      <formula2>300</formula2>
    </dataValidation>
    <dataValidation type="textLength" errorStyle="information" allowBlank="1" showInputMessage="1" showErrorMessage="1" error="XLBVal:6=1739.34_x000d__x000a_" sqref="S21">
      <formula1>0</formula1>
      <formula2>300</formula2>
    </dataValidation>
    <dataValidation type="textLength" errorStyle="information" allowBlank="1" showInputMessage="1" showErrorMessage="1" error="XLBVal:6=3478.89_x000d__x000a_" sqref="R21">
      <formula1>0</formula1>
      <formula2>300</formula2>
    </dataValidation>
    <dataValidation type="textLength" errorStyle="information" allowBlank="1" showInputMessage="1" showErrorMessage="1" error="XLBVal:6=228.68_x000d__x000a_" sqref="Q21">
      <formula1>0</formula1>
      <formula2>300</formula2>
    </dataValidation>
    <dataValidation type="textLength" errorStyle="information" allowBlank="1" showInputMessage="1" showErrorMessage="1" error="XLBVal:6=833.96_x000d__x000a_" sqref="T20">
      <formula1>0</formula1>
      <formula2>300</formula2>
    </dataValidation>
    <dataValidation type="textLength" errorStyle="information" allowBlank="1" showInputMessage="1" showErrorMessage="1" error="XLBVal:6=958_x000d__x000a_" sqref="V15">
      <formula1>0</formula1>
      <formula2>300</formula2>
    </dataValidation>
    <dataValidation type="textLength" errorStyle="information" allowBlank="1" showInputMessage="1" showErrorMessage="1" error="XLBVal:6=2063.83_x000d__x000a_" sqref="U15">
      <formula1>0</formula1>
      <formula2>300</formula2>
    </dataValidation>
    <dataValidation type="textLength" errorStyle="information" allowBlank="1" showInputMessage="1" showErrorMessage="1" error="XLBVal:6=1759.16_x000d__x000a_" sqref="T15">
      <formula1>0</formula1>
      <formula2>300</formula2>
    </dataValidation>
    <dataValidation type="textLength" errorStyle="information" allowBlank="1" showInputMessage="1" showErrorMessage="1" error="XLBVal:6=3482_x000d__x000a_" sqref="S15">
      <formula1>0</formula1>
      <formula2>300</formula2>
    </dataValidation>
    <dataValidation type="textLength" errorStyle="information" allowBlank="1" showInputMessage="1" showErrorMessage="1" error="XLBVal:6=349.46_x000d__x000a_" sqref="R15">
      <formula1>0</formula1>
      <formula2>300</formula2>
    </dataValidation>
    <dataValidation type="textLength" errorStyle="information" allowBlank="1" showInputMessage="1" showErrorMessage="1" error="XLBVal:6=6355.82_x000d__x000a_" sqref="Q15">
      <formula1>0</formula1>
      <formula2>300</formula2>
    </dataValidation>
    <dataValidation type="textLength" errorStyle="information" allowBlank="1" showInputMessage="1" showErrorMessage="1" error="XLBVal:6=18.17_x000d__x000a_" sqref="V12">
      <formula1>0</formula1>
      <formula2>300</formula2>
    </dataValidation>
    <dataValidation type="textLength" errorStyle="information" allowBlank="1" showInputMessage="1" showErrorMessage="1" error="XLBVal:6=163.72_x000d__x000a_" sqref="D19:O19">
      <formula1>0</formula1>
      <formula2>300</formula2>
    </dataValidation>
    <dataValidation type="textLength" errorStyle="information" allowBlank="1" showInputMessage="1" showErrorMessage="1" error="XLBVal:6=13_x000d__x000a_" sqref="Q85:U85">
      <formula1>0</formula1>
      <formula2>300</formula2>
    </dataValidation>
    <dataValidation type="textLength" errorStyle="information" allowBlank="1" showInputMessage="1" showErrorMessage="1" error="XLBVal:6=3762.42_x000d__x000a_" sqref="T58">
      <formula1>0</formula1>
      <formula2>300</formula2>
    </dataValidation>
    <dataValidation type="textLength" errorStyle="information" allowBlank="1" showInputMessage="1" showErrorMessage="1" error="XLBVal:6=1132415.79_x000d__x000a_" sqref="D80:I81 Q80:V81">
      <formula1>0</formula1>
      <formula2>300</formula2>
    </dataValidation>
    <dataValidation type="textLength" errorStyle="information" allowBlank="1" showInputMessage="1" showErrorMessage="1" error="XLBVal:2=0_x000d__x000a_" sqref="H16:I16 I26 H20:I20 G27:I37 D41:I44 D23:I23 D13:I14 R20 W85:AB85 G17:I17 E26:E31 D16:F17 Q59:AB59 V33:V37 W63:AB66 X26:AA26 Q56:AB56 AA27:AB37 Q41:R44 Q13:AB14 W27:Z39 Q23:AB23 Y17:AB17 Z20 W60:AB60 Z16:AB16 Z18 X18:Y19 W52:AB53 Q26:V26 W57:AB58 Q67:AB67 D45:O45 W68:AB70 W73:AB81 S42:U44 S33:S37 S27:S31 T27:U37 V27:V31 V41:AB44 U18:V18 S41 Q27:R37 Q16:X17 U20 D26:D37 F26:F37 E33:E37 D39:O40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4"/>
  <dimension ref="A1:AG95"/>
  <sheetViews>
    <sheetView view="pageBreakPreview" zoomScaleNormal="100" zoomScaleSheetLayoutView="100" workbookViewId="0">
      <pane xSplit="4" ySplit="7" topLeftCell="K26" activePane="bottomRight" state="frozen"/>
      <selection activeCell="AP43" sqref="AP43"/>
      <selection pane="topRight" activeCell="AP43" sqref="AP43"/>
      <selection pane="bottomLeft" activeCell="AP43" sqref="AP43"/>
      <selection pane="bottomRight" activeCell="P76" sqref="P76"/>
    </sheetView>
  </sheetViews>
  <sheetFormatPr defaultColWidth="9" defaultRowHeight="14.25" outlineLevelCol="2"/>
  <cols>
    <col min="1" max="2" width="9" style="105" hidden="1" customWidth="1" outlineLevel="1"/>
    <col min="3" max="3" width="47.375" style="105" customWidth="1" collapsed="1"/>
    <col min="4" max="15" width="15.875" style="105" bestFit="1" customWidth="1"/>
    <col min="16" max="16" width="18.375" style="224" bestFit="1" customWidth="1"/>
    <col min="17" max="23" width="18.25" style="105" hidden="1" customWidth="1" outlineLevel="1"/>
    <col min="24" max="28" width="15.75" style="105" hidden="1" customWidth="1" outlineLevel="2"/>
    <col min="29" max="29" width="18.25" style="228" bestFit="1" customWidth="1" collapsed="1"/>
    <col min="30" max="30" width="13.25" style="105" customWidth="1"/>
    <col min="31" max="31" width="10.5" style="192" customWidth="1"/>
    <col min="32" max="32" width="18.25" style="224" hidden="1" customWidth="1"/>
    <col min="33" max="33" width="18.375" style="105" hidden="1" customWidth="1"/>
    <col min="34" max="16384" width="9" style="105"/>
  </cols>
  <sheetData>
    <row r="1" spans="1:33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297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98"/>
      <c r="AE1" s="186"/>
      <c r="AF1" s="297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297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98"/>
      <c r="AE2" s="186"/>
      <c r="AF2" s="297"/>
    </row>
    <row r="3" spans="1:33">
      <c r="C3" s="105" t="s">
        <v>896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300"/>
      <c r="AE3" s="279"/>
    </row>
    <row r="4" spans="1:33" s="100" customFormat="1" ht="18">
      <c r="C4" s="18">
        <f>+'2025 Summay'!$D$7</f>
        <v>2025</v>
      </c>
      <c r="D4" s="183"/>
      <c r="P4" s="297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298"/>
      <c r="AE4" s="186"/>
      <c r="AF4" s="297"/>
    </row>
    <row r="5" spans="1:33" s="100" customFormat="1">
      <c r="C5" s="100" t="s">
        <v>154</v>
      </c>
      <c r="P5" s="297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298"/>
      <c r="AE5" s="186"/>
      <c r="AF5" s="297"/>
    </row>
    <row r="6" spans="1:33" s="100" customFormat="1">
      <c r="C6" s="100" t="s">
        <v>154</v>
      </c>
      <c r="D6" s="100">
        <f>'A&amp;G'!D6</f>
        <v>1</v>
      </c>
      <c r="E6" s="100">
        <f>'A&amp;G'!E6</f>
        <v>2</v>
      </c>
      <c r="F6" s="100">
        <f>'A&amp;G'!F6</f>
        <v>3</v>
      </c>
      <c r="G6" s="100">
        <f>'A&amp;G'!G6</f>
        <v>4</v>
      </c>
      <c r="H6" s="100">
        <f>'A&amp;G'!H6</f>
        <v>5</v>
      </c>
      <c r="I6" s="100">
        <f>'A&amp;G'!I6</f>
        <v>6</v>
      </c>
      <c r="J6" s="100">
        <f>'A&amp;G'!J6</f>
        <v>7</v>
      </c>
      <c r="K6" s="100">
        <f>'A&amp;G'!K6</f>
        <v>8</v>
      </c>
      <c r="L6" s="100">
        <f>'A&amp;G'!L6</f>
        <v>9</v>
      </c>
      <c r="M6" s="100">
        <f>'A&amp;G'!M6</f>
        <v>10</v>
      </c>
      <c r="N6" s="100">
        <f>'A&amp;G'!N6</f>
        <v>11</v>
      </c>
      <c r="O6" s="100">
        <f>'A&amp;G'!O6</f>
        <v>12</v>
      </c>
      <c r="P6" s="301">
        <f>'A&amp;G'!P6</f>
        <v>2025</v>
      </c>
      <c r="Q6" s="114">
        <f>'A&amp;G'!Q6</f>
        <v>202401</v>
      </c>
      <c r="R6" s="114">
        <f>'A&amp;G'!R6</f>
        <v>202402</v>
      </c>
      <c r="S6" s="114">
        <f>'A&amp;G'!S6</f>
        <v>202403</v>
      </c>
      <c r="T6" s="114">
        <f>'A&amp;G'!T6</f>
        <v>202404</v>
      </c>
      <c r="U6" s="114">
        <f>'A&amp;G'!U6</f>
        <v>202405</v>
      </c>
      <c r="V6" s="114">
        <f>'A&amp;G'!V6</f>
        <v>202406</v>
      </c>
      <c r="W6" s="114">
        <f>'A&amp;G'!W6</f>
        <v>202407</v>
      </c>
      <c r="X6" s="114">
        <f>'A&amp;G'!X6</f>
        <v>202408</v>
      </c>
      <c r="Y6" s="114">
        <f>'A&amp;G'!Y6</f>
        <v>202409</v>
      </c>
      <c r="Z6" s="114">
        <f>'A&amp;G'!Z6</f>
        <v>202410</v>
      </c>
      <c r="AA6" s="114">
        <f>'A&amp;G'!AA6</f>
        <v>202411</v>
      </c>
      <c r="AB6" s="114">
        <f>'A&amp;G'!AB6</f>
        <v>202412</v>
      </c>
      <c r="AC6" s="115">
        <f>'A&amp;G'!AC6</f>
        <v>2024</v>
      </c>
      <c r="AD6" s="188" t="s">
        <v>6</v>
      </c>
      <c r="AE6" s="177" t="s">
        <v>156</v>
      </c>
      <c r="AF6" s="298">
        <v>2019</v>
      </c>
    </row>
    <row r="7" spans="1:33">
      <c r="C7" s="105" t="s">
        <v>154</v>
      </c>
      <c r="D7" s="105" t="str">
        <f>'A&amp;G'!D7</f>
        <v>Budget</v>
      </c>
      <c r="E7" s="105" t="str">
        <f>'A&amp;G'!E7</f>
        <v>Budget</v>
      </c>
      <c r="F7" s="105" t="str">
        <f>'A&amp;G'!F7</f>
        <v>Budget</v>
      </c>
      <c r="G7" s="105" t="str">
        <f>'A&amp;G'!G7</f>
        <v>Budget</v>
      </c>
      <c r="H7" s="105" t="str">
        <f>'A&amp;G'!H7</f>
        <v>Budget</v>
      </c>
      <c r="I7" s="105" t="str">
        <f>'A&amp;G'!I7</f>
        <v>Budget</v>
      </c>
      <c r="J7" s="105" t="str">
        <f>'A&amp;G'!J7</f>
        <v>Budget</v>
      </c>
      <c r="K7" s="105" t="str">
        <f>'A&amp;G'!K7</f>
        <v>Budget</v>
      </c>
      <c r="L7" s="105" t="str">
        <f>'A&amp;G'!L7</f>
        <v>Budget</v>
      </c>
      <c r="M7" s="105" t="str">
        <f>'A&amp;G'!M7</f>
        <v>Budget</v>
      </c>
      <c r="N7" s="105" t="str">
        <f>'A&amp;G'!N7</f>
        <v>Budget</v>
      </c>
      <c r="O7" s="105" t="str">
        <f>'A&amp;G'!O7</f>
        <v>Budget</v>
      </c>
      <c r="P7" s="224" t="str">
        <f>'A&amp;G'!P7</f>
        <v>Budget</v>
      </c>
      <c r="Q7" s="244" t="str">
        <f>'A&amp;G'!Q7</f>
        <v>Actual</v>
      </c>
      <c r="R7" s="244" t="str">
        <f>'A&amp;G'!R7</f>
        <v>Actual</v>
      </c>
      <c r="S7" s="244" t="str">
        <f>'A&amp;G'!S7</f>
        <v>Actual</v>
      </c>
      <c r="T7" s="244" t="str">
        <f>'A&amp;G'!T7</f>
        <v>Actual</v>
      </c>
      <c r="U7" s="244" t="str">
        <f>'A&amp;G'!U7</f>
        <v>Actual</v>
      </c>
      <c r="V7" s="244" t="str">
        <f>'A&amp;G'!V7</f>
        <v>Actual</v>
      </c>
      <c r="W7" s="244" t="str">
        <f>'A&amp;G'!W7</f>
        <v>Actual</v>
      </c>
      <c r="X7" s="244" t="str">
        <f>'A&amp;G'!X7</f>
        <v>Actual</v>
      </c>
      <c r="Y7" s="244" t="str">
        <f>'A&amp;G'!Y7</f>
        <v>Forecast</v>
      </c>
      <c r="Z7" s="244" t="str">
        <f>'A&amp;G'!Z7</f>
        <v>Forecast</v>
      </c>
      <c r="AA7" s="244" t="str">
        <f>'A&amp;G'!AA7</f>
        <v>Forecast</v>
      </c>
      <c r="AB7" s="244" t="str">
        <f>'A&amp;G'!AB7</f>
        <v>Forecast</v>
      </c>
      <c r="AC7" s="245" t="str">
        <f>'A&amp;G'!AC7</f>
        <v>Forecast</v>
      </c>
      <c r="AD7" s="189"/>
      <c r="AE7" s="132"/>
      <c r="AF7" s="228" t="s">
        <v>12</v>
      </c>
    </row>
    <row r="8" spans="1:33">
      <c r="C8" s="105" t="s">
        <v>154</v>
      </c>
      <c r="L8" s="105" t="s">
        <v>831</v>
      </c>
      <c r="M8" s="105" t="s">
        <v>831</v>
      </c>
      <c r="O8" s="105" t="s">
        <v>831</v>
      </c>
      <c r="P8" s="224" t="s">
        <v>831</v>
      </c>
      <c r="AF8" s="228"/>
    </row>
    <row r="9" spans="1:33">
      <c r="A9" s="105" t="s">
        <v>832</v>
      </c>
      <c r="B9" s="105" t="s">
        <v>897</v>
      </c>
      <c r="C9" s="109" t="s">
        <v>175</v>
      </c>
      <c r="D9" s="129">
        <f t="shared" ref="D9:O9" si="0">D83</f>
        <v>222450.33</v>
      </c>
      <c r="E9" s="129">
        <f t="shared" si="0"/>
        <v>192397.15</v>
      </c>
      <c r="F9" s="129">
        <f t="shared" si="0"/>
        <v>196480.3</v>
      </c>
      <c r="G9" s="129">
        <f t="shared" si="0"/>
        <v>203921.53999999998</v>
      </c>
      <c r="H9" s="129">
        <f t="shared" si="0"/>
        <v>211147.44999999998</v>
      </c>
      <c r="I9" s="129">
        <f t="shared" si="0"/>
        <v>197375.35999999999</v>
      </c>
      <c r="J9" s="129">
        <f t="shared" si="0"/>
        <v>198959.77999999997</v>
      </c>
      <c r="K9" s="129">
        <f t="shared" si="0"/>
        <v>198601</v>
      </c>
      <c r="L9" s="129">
        <f t="shared" si="0"/>
        <v>198722</v>
      </c>
      <c r="M9" s="129">
        <f t="shared" si="0"/>
        <v>230030.78</v>
      </c>
      <c r="N9" s="129">
        <f t="shared" si="0"/>
        <v>198693.71999999997</v>
      </c>
      <c r="O9" s="129">
        <f t="shared" si="0"/>
        <v>198187.94</v>
      </c>
      <c r="P9" s="228">
        <f>SUM(D9:O9)</f>
        <v>2446967.35</v>
      </c>
      <c r="Q9" s="142">
        <f t="shared" ref="Q9:AB9" si="1">Q83</f>
        <v>227197.8</v>
      </c>
      <c r="R9" s="142">
        <f t="shared" si="1"/>
        <v>253591.61000000002</v>
      </c>
      <c r="S9" s="142">
        <f t="shared" si="1"/>
        <v>229380.40999999997</v>
      </c>
      <c r="T9" s="142">
        <f t="shared" si="1"/>
        <v>217288.01</v>
      </c>
      <c r="U9" s="142">
        <f t="shared" si="1"/>
        <v>212928</v>
      </c>
      <c r="V9" s="142">
        <f t="shared" si="1"/>
        <v>191798.92</v>
      </c>
      <c r="W9" s="142">
        <f t="shared" si="1"/>
        <v>193126.37000000002</v>
      </c>
      <c r="X9" s="142">
        <f t="shared" si="1"/>
        <v>196772.35</v>
      </c>
      <c r="Y9" s="142">
        <f t="shared" si="1"/>
        <v>220028.65</v>
      </c>
      <c r="Z9" s="142">
        <f t="shared" si="1"/>
        <v>241062.43</v>
      </c>
      <c r="AA9" s="142">
        <f t="shared" si="1"/>
        <v>239844.88</v>
      </c>
      <c r="AB9" s="142">
        <f t="shared" si="1"/>
        <v>209823.35</v>
      </c>
      <c r="AC9" s="302">
        <f>SUM(Q9:AB9)</f>
        <v>2632842.7800000003</v>
      </c>
      <c r="AD9" s="142">
        <f>AC9-P9</f>
        <v>185875.43000000017</v>
      </c>
      <c r="AE9" s="132">
        <f>AD9/AC9</f>
        <v>7.0598757894689085E-2</v>
      </c>
      <c r="AF9" s="228">
        <v>3311578.459999999</v>
      </c>
      <c r="AG9" s="123">
        <f t="shared" ref="AG9:AG72" si="2">AF9-P9</f>
        <v>864611.10999999894</v>
      </c>
    </row>
    <row r="10" spans="1:33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 t="s">
        <v>831</v>
      </c>
      <c r="M10" s="124" t="s">
        <v>831</v>
      </c>
      <c r="N10" s="124"/>
      <c r="O10" s="124" t="s">
        <v>831</v>
      </c>
      <c r="P10" s="228" t="s">
        <v>831</v>
      </c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302"/>
      <c r="AD10" s="141"/>
      <c r="AF10" s="228"/>
      <c r="AG10" s="123" t="e">
        <f t="shared" si="2"/>
        <v>#VALUE!</v>
      </c>
    </row>
    <row r="11" spans="1:33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228" t="s">
        <v>831</v>
      </c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302"/>
      <c r="AD11" s="141"/>
      <c r="AF11" s="228"/>
      <c r="AG11" s="123" t="e">
        <f t="shared" si="2"/>
        <v>#VALUE!</v>
      </c>
    </row>
    <row r="12" spans="1:33">
      <c r="A12" s="105" t="s">
        <v>687</v>
      </c>
      <c r="B12" s="105" t="s">
        <v>897</v>
      </c>
      <c r="C12" s="105" t="s">
        <v>144</v>
      </c>
      <c r="D12" s="212">
        <f>+D90+D91+D92</f>
        <v>59951</v>
      </c>
      <c r="E12" s="212">
        <f t="shared" ref="E12:O12" si="3">+E90+E91+E92</f>
        <v>59951</v>
      </c>
      <c r="F12" s="212">
        <f t="shared" si="3"/>
        <v>59951</v>
      </c>
      <c r="G12" s="212">
        <f t="shared" si="3"/>
        <v>59951</v>
      </c>
      <c r="H12" s="212">
        <f t="shared" si="3"/>
        <v>59951</v>
      </c>
      <c r="I12" s="212">
        <f t="shared" si="3"/>
        <v>59951</v>
      </c>
      <c r="J12" s="212">
        <f t="shared" si="3"/>
        <v>59951</v>
      </c>
      <c r="K12" s="212">
        <f t="shared" si="3"/>
        <v>59951</v>
      </c>
      <c r="L12" s="212">
        <f t="shared" si="3"/>
        <v>59951</v>
      </c>
      <c r="M12" s="212">
        <f t="shared" si="3"/>
        <v>59951</v>
      </c>
      <c r="N12" s="212">
        <f t="shared" si="3"/>
        <v>59951</v>
      </c>
      <c r="O12" s="212">
        <f t="shared" si="3"/>
        <v>59951</v>
      </c>
      <c r="P12" s="228">
        <f>SUM(D12:O12)</f>
        <v>719412</v>
      </c>
      <c r="Q12" s="141">
        <v>74040.91</v>
      </c>
      <c r="R12" s="141">
        <v>70129.710000000006</v>
      </c>
      <c r="S12" s="141">
        <v>34306.519999999997</v>
      </c>
      <c r="T12" s="141">
        <v>59813.87</v>
      </c>
      <c r="U12" s="141">
        <v>71367.31</v>
      </c>
      <c r="V12" s="141">
        <v>78332.91</v>
      </c>
      <c r="W12" s="141">
        <v>75296.69</v>
      </c>
      <c r="X12" s="141">
        <v>77517.100000000006</v>
      </c>
      <c r="Y12" s="141">
        <v>51693.68</v>
      </c>
      <c r="Z12" s="141">
        <v>50697.9</v>
      </c>
      <c r="AA12" s="141">
        <v>20437.449999999997</v>
      </c>
      <c r="AB12" s="141">
        <v>50460.979999999989</v>
      </c>
      <c r="AC12" s="302">
        <f t="shared" ref="AC12:AC45" si="4">SUM(Q12:AB12)</f>
        <v>714095.03</v>
      </c>
      <c r="AD12" s="141">
        <f t="shared" ref="AD12:AD47" si="5">AC12-P12</f>
        <v>-5316.9699999999721</v>
      </c>
      <c r="AE12" s="192">
        <f t="shared" ref="AE12:AE47" si="6">AD12/AC12</f>
        <v>-7.4457457013809101E-3</v>
      </c>
      <c r="AF12" s="228">
        <v>32402.91</v>
      </c>
      <c r="AG12" s="123">
        <f t="shared" si="2"/>
        <v>-687009.09</v>
      </c>
    </row>
    <row r="13" spans="1:33">
      <c r="A13" s="105">
        <v>60010060</v>
      </c>
      <c r="B13" s="105" t="s">
        <v>897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228">
        <f t="shared" ref="P13:P45" si="7">SUM(D13:O13)</f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302">
        <f t="shared" si="4"/>
        <v>0</v>
      </c>
      <c r="AD13" s="141"/>
      <c r="AF13" s="228">
        <v>0</v>
      </c>
      <c r="AG13" s="123">
        <f t="shared" si="2"/>
        <v>0</v>
      </c>
    </row>
    <row r="14" spans="1:33">
      <c r="A14" s="105" t="s">
        <v>834</v>
      </c>
      <c r="B14" s="105" t="s">
        <v>897</v>
      </c>
      <c r="C14" s="105" t="s">
        <v>431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228">
        <f t="shared" si="7"/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302">
        <f t="shared" si="4"/>
        <v>0</v>
      </c>
      <c r="AD14" s="141">
        <f t="shared" si="5"/>
        <v>0</v>
      </c>
      <c r="AE14" s="192" t="e">
        <f t="shared" si="6"/>
        <v>#DIV/0!</v>
      </c>
      <c r="AF14" s="228">
        <v>0</v>
      </c>
      <c r="AG14" s="123">
        <f t="shared" si="2"/>
        <v>0</v>
      </c>
    </row>
    <row r="15" spans="1:33">
      <c r="A15" s="105" t="s">
        <v>688</v>
      </c>
      <c r="B15" s="105" t="s">
        <v>897</v>
      </c>
      <c r="C15" s="105" t="s">
        <v>184</v>
      </c>
      <c r="D15" s="124">
        <v>2000</v>
      </c>
      <c r="E15" s="124">
        <v>1000</v>
      </c>
      <c r="F15" s="124">
        <v>500</v>
      </c>
      <c r="G15" s="124">
        <v>500</v>
      </c>
      <c r="H15" s="124">
        <v>500</v>
      </c>
      <c r="I15" s="124">
        <v>500</v>
      </c>
      <c r="J15" s="124">
        <v>500</v>
      </c>
      <c r="K15" s="124">
        <v>1000</v>
      </c>
      <c r="L15" s="124">
        <v>2000</v>
      </c>
      <c r="M15" s="124">
        <v>1000</v>
      </c>
      <c r="N15" s="124">
        <v>500</v>
      </c>
      <c r="O15" s="124">
        <v>500</v>
      </c>
      <c r="P15" s="228">
        <f t="shared" si="7"/>
        <v>10500</v>
      </c>
      <c r="Q15" s="141">
        <v>551.07000000000005</v>
      </c>
      <c r="R15" s="141">
        <v>240.69</v>
      </c>
      <c r="S15" s="141">
        <v>0</v>
      </c>
      <c r="T15" s="141">
        <v>0</v>
      </c>
      <c r="U15" s="141">
        <v>220.43</v>
      </c>
      <c r="V15" s="141">
        <v>296.98</v>
      </c>
      <c r="W15" s="141">
        <v>497.96</v>
      </c>
      <c r="X15" s="141">
        <v>1545.27</v>
      </c>
      <c r="Y15" s="141">
        <v>2000</v>
      </c>
      <c r="Z15" s="141">
        <v>2000</v>
      </c>
      <c r="AA15" s="141">
        <v>2000</v>
      </c>
      <c r="AB15" s="141">
        <v>2000</v>
      </c>
      <c r="AC15" s="302">
        <f t="shared" si="4"/>
        <v>11352.4</v>
      </c>
      <c r="AD15" s="141">
        <f t="shared" si="5"/>
        <v>852.39999999999964</v>
      </c>
      <c r="AE15" s="192">
        <f t="shared" si="6"/>
        <v>7.5085444487509215E-2</v>
      </c>
      <c r="AF15" s="228">
        <v>23409.43</v>
      </c>
      <c r="AG15" s="123">
        <f t="shared" si="2"/>
        <v>12909.43</v>
      </c>
    </row>
    <row r="16" spans="1:33">
      <c r="A16" s="105" t="s">
        <v>835</v>
      </c>
      <c r="B16" s="105" t="s">
        <v>897</v>
      </c>
      <c r="C16" s="105" t="s">
        <v>305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228">
        <f t="shared" si="7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302">
        <f t="shared" si="4"/>
        <v>0</v>
      </c>
      <c r="AD16" s="141">
        <f t="shared" si="5"/>
        <v>0</v>
      </c>
      <c r="AE16" s="192" t="e">
        <f t="shared" si="6"/>
        <v>#DIV/0!</v>
      </c>
      <c r="AF16" s="228">
        <v>0</v>
      </c>
      <c r="AG16" s="123">
        <f t="shared" si="2"/>
        <v>0</v>
      </c>
    </row>
    <row r="17" spans="1:33">
      <c r="A17" s="105" t="s">
        <v>689</v>
      </c>
      <c r="B17" s="105" t="s">
        <v>897</v>
      </c>
      <c r="C17" s="105" t="s">
        <v>202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228">
        <f t="shared" si="7"/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302">
        <f t="shared" si="4"/>
        <v>0</v>
      </c>
      <c r="AD17" s="141"/>
      <c r="AF17" s="228">
        <v>0</v>
      </c>
      <c r="AG17" s="123">
        <f t="shared" si="2"/>
        <v>0</v>
      </c>
    </row>
    <row r="18" spans="1:33">
      <c r="A18" s="105" t="s">
        <v>692</v>
      </c>
      <c r="B18" s="105" t="s">
        <v>897</v>
      </c>
      <c r="C18" s="105" t="s">
        <v>204</v>
      </c>
      <c r="D18" s="123">
        <v>1600</v>
      </c>
      <c r="E18" s="123">
        <v>1600</v>
      </c>
      <c r="F18" s="123">
        <v>1600</v>
      </c>
      <c r="G18" s="123">
        <v>1600</v>
      </c>
      <c r="H18" s="123">
        <v>1600</v>
      </c>
      <c r="I18" s="123">
        <v>1600</v>
      </c>
      <c r="J18" s="123">
        <v>1600</v>
      </c>
      <c r="K18" s="123">
        <v>1600</v>
      </c>
      <c r="L18" s="123">
        <v>1600</v>
      </c>
      <c r="M18" s="123">
        <v>1600</v>
      </c>
      <c r="N18" s="123">
        <v>1600</v>
      </c>
      <c r="O18" s="123">
        <v>1600</v>
      </c>
      <c r="P18" s="227">
        <f t="shared" si="7"/>
        <v>19200</v>
      </c>
      <c r="Q18" s="231">
        <v>6425</v>
      </c>
      <c r="R18" s="231">
        <v>6425</v>
      </c>
      <c r="S18" s="231">
        <v>6425</v>
      </c>
      <c r="T18" s="231">
        <v>0</v>
      </c>
      <c r="U18" s="231">
        <v>0</v>
      </c>
      <c r="V18" s="231">
        <v>0</v>
      </c>
      <c r="W18" s="231">
        <v>0</v>
      </c>
      <c r="X18" s="231">
        <v>0</v>
      </c>
      <c r="Y18" s="231">
        <v>0</v>
      </c>
      <c r="Z18" s="231">
        <v>0</v>
      </c>
      <c r="AA18" s="231">
        <v>0</v>
      </c>
      <c r="AB18" s="231">
        <v>0</v>
      </c>
      <c r="AC18" s="306">
        <f t="shared" si="4"/>
        <v>19275</v>
      </c>
      <c r="AD18" s="231">
        <f t="shared" si="5"/>
        <v>75</v>
      </c>
      <c r="AE18" s="196">
        <f t="shared" si="6"/>
        <v>3.8910505836575876E-3</v>
      </c>
      <c r="AF18" s="227">
        <v>9622.7799999999988</v>
      </c>
      <c r="AG18" s="123">
        <f t="shared" si="2"/>
        <v>-9577.2200000000012</v>
      </c>
    </row>
    <row r="19" spans="1:33">
      <c r="A19" s="105" t="s">
        <v>717</v>
      </c>
      <c r="B19" s="105" t="s">
        <v>897</v>
      </c>
      <c r="C19" s="105" t="s">
        <v>208</v>
      </c>
      <c r="D19" s="124">
        <v>180</v>
      </c>
      <c r="E19" s="124">
        <v>180</v>
      </c>
      <c r="F19" s="124">
        <v>180</v>
      </c>
      <c r="G19" s="124">
        <v>180</v>
      </c>
      <c r="H19" s="124">
        <v>180</v>
      </c>
      <c r="I19" s="124">
        <v>180</v>
      </c>
      <c r="J19" s="124">
        <v>180</v>
      </c>
      <c r="K19" s="124">
        <v>180</v>
      </c>
      <c r="L19" s="124">
        <v>180</v>
      </c>
      <c r="M19" s="124">
        <v>180</v>
      </c>
      <c r="N19" s="124">
        <v>180</v>
      </c>
      <c r="O19" s="124">
        <v>180</v>
      </c>
      <c r="P19" s="228">
        <f t="shared" si="7"/>
        <v>2160</v>
      </c>
      <c r="Q19" s="141">
        <v>176.99</v>
      </c>
      <c r="R19" s="141">
        <v>176.99</v>
      </c>
      <c r="S19" s="141">
        <v>176.99</v>
      </c>
      <c r="T19" s="141">
        <v>176.99</v>
      </c>
      <c r="U19" s="141">
        <v>176.99</v>
      </c>
      <c r="V19" s="141">
        <v>176.99</v>
      </c>
      <c r="W19" s="141">
        <v>176.99</v>
      </c>
      <c r="X19" s="141">
        <v>176.99</v>
      </c>
      <c r="Y19" s="141">
        <v>180</v>
      </c>
      <c r="Z19" s="141">
        <v>180</v>
      </c>
      <c r="AA19" s="141">
        <v>180</v>
      </c>
      <c r="AB19" s="141">
        <v>180</v>
      </c>
      <c r="AC19" s="302">
        <f t="shared" si="4"/>
        <v>2135.92</v>
      </c>
      <c r="AD19" s="141">
        <f t="shared" si="5"/>
        <v>-24.079999999999927</v>
      </c>
      <c r="AE19" s="192">
        <f t="shared" si="6"/>
        <v>-1.1273830480542308E-2</v>
      </c>
      <c r="AF19" s="228">
        <v>2599.1499999999992</v>
      </c>
      <c r="AG19" s="123">
        <f t="shared" si="2"/>
        <v>439.14999999999918</v>
      </c>
    </row>
    <row r="20" spans="1:33">
      <c r="A20" s="105" t="s">
        <v>690</v>
      </c>
      <c r="B20" s="105" t="s">
        <v>897</v>
      </c>
      <c r="C20" s="105" t="s">
        <v>210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228">
        <f t="shared" si="7"/>
        <v>0</v>
      </c>
      <c r="Q20" s="141">
        <v>0</v>
      </c>
      <c r="R20" s="141">
        <v>0</v>
      </c>
      <c r="S20" s="141">
        <v>0</v>
      </c>
      <c r="T20" s="141">
        <v>0</v>
      </c>
      <c r="U20" s="141">
        <v>0</v>
      </c>
      <c r="V20" s="141">
        <v>0</v>
      </c>
      <c r="W20" s="141">
        <v>0</v>
      </c>
      <c r="X20" s="141">
        <v>0</v>
      </c>
      <c r="Y20" s="141">
        <v>0</v>
      </c>
      <c r="Z20" s="141">
        <v>0</v>
      </c>
      <c r="AA20" s="141">
        <v>0</v>
      </c>
      <c r="AB20" s="141">
        <v>0</v>
      </c>
      <c r="AC20" s="302">
        <f t="shared" si="4"/>
        <v>0</v>
      </c>
      <c r="AD20" s="141">
        <f t="shared" si="5"/>
        <v>0</v>
      </c>
      <c r="AE20" s="192" t="e">
        <f t="shared" si="6"/>
        <v>#DIV/0!</v>
      </c>
      <c r="AF20" s="228">
        <v>0</v>
      </c>
      <c r="AG20" s="123">
        <f t="shared" si="2"/>
        <v>0</v>
      </c>
    </row>
    <row r="21" spans="1:33">
      <c r="A21" s="105" t="s">
        <v>694</v>
      </c>
      <c r="B21" s="105" t="s">
        <v>897</v>
      </c>
      <c r="C21" s="105" t="s">
        <v>212</v>
      </c>
      <c r="D21" s="124">
        <v>700</v>
      </c>
      <c r="E21" s="124">
        <v>700</v>
      </c>
      <c r="F21" s="124">
        <v>700</v>
      </c>
      <c r="G21" s="124">
        <v>700</v>
      </c>
      <c r="H21" s="124">
        <v>700</v>
      </c>
      <c r="I21" s="124">
        <v>700</v>
      </c>
      <c r="J21" s="124">
        <v>700</v>
      </c>
      <c r="K21" s="124">
        <v>700</v>
      </c>
      <c r="L21" s="124">
        <v>700</v>
      </c>
      <c r="M21" s="124">
        <v>700</v>
      </c>
      <c r="N21" s="124">
        <v>700</v>
      </c>
      <c r="O21" s="124">
        <v>700</v>
      </c>
      <c r="P21" s="228">
        <f t="shared" si="7"/>
        <v>8400</v>
      </c>
      <c r="Q21" s="141">
        <v>3162.45</v>
      </c>
      <c r="R21" s="141">
        <v>355.4</v>
      </c>
      <c r="S21" s="141">
        <v>0</v>
      </c>
      <c r="T21" s="141">
        <v>552.54</v>
      </c>
      <c r="U21" s="141">
        <v>13.6</v>
      </c>
      <c r="V21" s="141">
        <v>375.15</v>
      </c>
      <c r="W21" s="141">
        <v>4.62</v>
      </c>
      <c r="X21" s="141">
        <v>808.94</v>
      </c>
      <c r="Y21" s="141">
        <v>700</v>
      </c>
      <c r="Z21" s="141">
        <v>700</v>
      </c>
      <c r="AA21" s="141">
        <v>700</v>
      </c>
      <c r="AB21" s="141">
        <v>700</v>
      </c>
      <c r="AC21" s="302">
        <f t="shared" si="4"/>
        <v>8072.6999999999989</v>
      </c>
      <c r="AD21" s="141">
        <f t="shared" si="5"/>
        <v>-327.30000000000109</v>
      </c>
      <c r="AE21" s="192">
        <f t="shared" si="6"/>
        <v>-4.0544055892080856E-2</v>
      </c>
      <c r="AF21" s="228">
        <v>9172.7999999999993</v>
      </c>
      <c r="AG21" s="123">
        <f t="shared" si="2"/>
        <v>772.79999999999927</v>
      </c>
    </row>
    <row r="22" spans="1:33">
      <c r="A22" s="105" t="s">
        <v>709</v>
      </c>
      <c r="B22" s="105" t="s">
        <v>897</v>
      </c>
      <c r="C22" s="105" t="s">
        <v>214</v>
      </c>
      <c r="D22" s="212">
        <f>Laundry!E158</f>
        <v>542</v>
      </c>
      <c r="E22" s="212">
        <f>Laundry!F158</f>
        <v>495</v>
      </c>
      <c r="F22" s="212">
        <f>Laundry!G158</f>
        <v>500</v>
      </c>
      <c r="G22" s="212">
        <f>Laundry!H158</f>
        <v>514</v>
      </c>
      <c r="H22" s="212">
        <f>Laundry!I158</f>
        <v>528</v>
      </c>
      <c r="I22" s="212">
        <f>Laundry!J158</f>
        <v>505</v>
      </c>
      <c r="J22" s="212">
        <f>Laundry!K158</f>
        <v>538</v>
      </c>
      <c r="K22" s="212">
        <f>Laundry!L158</f>
        <v>536</v>
      </c>
      <c r="L22" s="212">
        <f>Laundry!M158</f>
        <v>517</v>
      </c>
      <c r="M22" s="212">
        <f>Laundry!N158</f>
        <v>589</v>
      </c>
      <c r="N22" s="212">
        <f>Laundry!O158</f>
        <v>520</v>
      </c>
      <c r="O22" s="212">
        <f>Laundry!P158</f>
        <v>517</v>
      </c>
      <c r="P22" s="228">
        <f t="shared" si="7"/>
        <v>6301</v>
      </c>
      <c r="Q22" s="141">
        <v>550.30999999999995</v>
      </c>
      <c r="R22" s="141">
        <v>542.33000000000004</v>
      </c>
      <c r="S22" s="141">
        <v>403.2</v>
      </c>
      <c r="T22" s="141">
        <v>350.23</v>
      </c>
      <c r="U22" s="141">
        <v>141.09</v>
      </c>
      <c r="V22" s="141">
        <v>602.08000000000004</v>
      </c>
      <c r="W22" s="141">
        <v>528.74</v>
      </c>
      <c r="X22" s="141">
        <v>428.63</v>
      </c>
      <c r="Y22" s="141">
        <v>564</v>
      </c>
      <c r="Z22" s="141">
        <v>631</v>
      </c>
      <c r="AA22" s="141">
        <v>530</v>
      </c>
      <c r="AB22" s="141">
        <v>542</v>
      </c>
      <c r="AC22" s="302">
        <f t="shared" si="4"/>
        <v>5813.61</v>
      </c>
      <c r="AD22" s="141">
        <f t="shared" si="5"/>
        <v>-487.39000000000033</v>
      </c>
      <c r="AE22" s="192">
        <f t="shared" si="6"/>
        <v>-8.3836033032831644E-2</v>
      </c>
      <c r="AF22" s="228">
        <v>5320.1500000000005</v>
      </c>
      <c r="AG22" s="123">
        <f t="shared" si="2"/>
        <v>-980.84999999999945</v>
      </c>
    </row>
    <row r="23" spans="1:33">
      <c r="A23" s="105" t="s">
        <v>306</v>
      </c>
      <c r="B23" s="105" t="s">
        <v>897</v>
      </c>
      <c r="C23" s="105" t="s">
        <v>206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228">
        <f t="shared" si="7"/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  <c r="AA23" s="141">
        <v>0</v>
      </c>
      <c r="AB23" s="141">
        <v>0</v>
      </c>
      <c r="AC23" s="302">
        <f t="shared" si="4"/>
        <v>0</v>
      </c>
      <c r="AD23" s="141"/>
      <c r="AF23" s="228">
        <v>0</v>
      </c>
      <c r="AG23" s="123">
        <f t="shared" si="2"/>
        <v>0</v>
      </c>
    </row>
    <row r="24" spans="1:33">
      <c r="A24" s="105" t="s">
        <v>696</v>
      </c>
      <c r="B24" s="105" t="s">
        <v>897</v>
      </c>
      <c r="C24" s="105" t="s">
        <v>216</v>
      </c>
      <c r="D24" s="124">
        <f>928-226</f>
        <v>702</v>
      </c>
      <c r="E24" s="124">
        <f t="shared" ref="E24:O24" si="8">928-226</f>
        <v>702</v>
      </c>
      <c r="F24" s="124">
        <f t="shared" si="8"/>
        <v>702</v>
      </c>
      <c r="G24" s="124">
        <f t="shared" si="8"/>
        <v>702</v>
      </c>
      <c r="H24" s="124">
        <f t="shared" si="8"/>
        <v>702</v>
      </c>
      <c r="I24" s="124">
        <f t="shared" si="8"/>
        <v>702</v>
      </c>
      <c r="J24" s="124">
        <f t="shared" si="8"/>
        <v>702</v>
      </c>
      <c r="K24" s="124">
        <f t="shared" si="8"/>
        <v>702</v>
      </c>
      <c r="L24" s="124">
        <f t="shared" si="8"/>
        <v>702</v>
      </c>
      <c r="M24" s="124">
        <f t="shared" si="8"/>
        <v>702</v>
      </c>
      <c r="N24" s="124">
        <f t="shared" si="8"/>
        <v>702</v>
      </c>
      <c r="O24" s="124">
        <f t="shared" si="8"/>
        <v>702</v>
      </c>
      <c r="P24" s="228">
        <f t="shared" si="7"/>
        <v>8424</v>
      </c>
      <c r="Q24" s="141">
        <v>924.96</v>
      </c>
      <c r="R24" s="141">
        <v>911.75</v>
      </c>
      <c r="S24" s="141">
        <v>921.65</v>
      </c>
      <c r="T24" s="141">
        <v>920.3</v>
      </c>
      <c r="U24" s="141">
        <v>498</v>
      </c>
      <c r="V24" s="141">
        <v>705.8</v>
      </c>
      <c r="W24" s="141">
        <v>717.3</v>
      </c>
      <c r="X24" s="141">
        <v>903.5</v>
      </c>
      <c r="Y24" s="141">
        <v>1128</v>
      </c>
      <c r="Z24" s="141">
        <v>1128</v>
      </c>
      <c r="AA24" s="141">
        <v>1128</v>
      </c>
      <c r="AB24" s="141">
        <v>1128</v>
      </c>
      <c r="AC24" s="302">
        <f t="shared" si="4"/>
        <v>11015.26</v>
      </c>
      <c r="AD24" s="141">
        <f t="shared" si="5"/>
        <v>2591.2600000000002</v>
      </c>
      <c r="AE24" s="192">
        <f t="shared" si="6"/>
        <v>0.23524274506457407</v>
      </c>
      <c r="AF24" s="228">
        <v>10443.529999999999</v>
      </c>
      <c r="AG24" s="123">
        <f t="shared" si="2"/>
        <v>2019.5299999999988</v>
      </c>
    </row>
    <row r="25" spans="1:33">
      <c r="A25" s="105" t="s">
        <v>697</v>
      </c>
      <c r="B25" s="105" t="s">
        <v>897</v>
      </c>
      <c r="C25" s="105" t="s">
        <v>218</v>
      </c>
      <c r="D25" s="124">
        <v>300</v>
      </c>
      <c r="E25" s="124">
        <v>300</v>
      </c>
      <c r="F25" s="124">
        <v>300</v>
      </c>
      <c r="G25" s="124">
        <v>300</v>
      </c>
      <c r="H25" s="124">
        <v>300</v>
      </c>
      <c r="I25" s="124">
        <v>300</v>
      </c>
      <c r="J25" s="124">
        <v>300</v>
      </c>
      <c r="K25" s="124">
        <v>300</v>
      </c>
      <c r="L25" s="124">
        <v>300</v>
      </c>
      <c r="M25" s="124">
        <v>300</v>
      </c>
      <c r="N25" s="124">
        <v>300</v>
      </c>
      <c r="O25" s="124">
        <v>300</v>
      </c>
      <c r="P25" s="228">
        <f t="shared" si="7"/>
        <v>3600</v>
      </c>
      <c r="Q25" s="141">
        <v>602.1</v>
      </c>
      <c r="R25" s="141">
        <v>589</v>
      </c>
      <c r="S25" s="141">
        <v>-7441.34</v>
      </c>
      <c r="T25" s="141">
        <v>-6223.97</v>
      </c>
      <c r="U25" s="141">
        <v>0</v>
      </c>
      <c r="V25" s="141">
        <v>0</v>
      </c>
      <c r="W25" s="141">
        <v>257</v>
      </c>
      <c r="X25" s="141">
        <v>281.86</v>
      </c>
      <c r="Y25" s="141">
        <v>700</v>
      </c>
      <c r="Z25" s="141">
        <v>700</v>
      </c>
      <c r="AA25" s="141">
        <v>700</v>
      </c>
      <c r="AB25" s="141">
        <v>700</v>
      </c>
      <c r="AC25" s="302">
        <f t="shared" si="4"/>
        <v>-9135.3499999999985</v>
      </c>
      <c r="AD25" s="141">
        <f t="shared" si="5"/>
        <v>-12735.349999999999</v>
      </c>
      <c r="AE25" s="192">
        <f t="shared" si="6"/>
        <v>1.3940735713464729</v>
      </c>
      <c r="AF25" s="228">
        <v>5445.58</v>
      </c>
      <c r="AG25" s="123">
        <f t="shared" si="2"/>
        <v>1845.58</v>
      </c>
    </row>
    <row r="26" spans="1:33">
      <c r="A26" s="105" t="s">
        <v>836</v>
      </c>
      <c r="B26" s="105" t="s">
        <v>897</v>
      </c>
      <c r="C26" s="105" t="s">
        <v>220</v>
      </c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228">
        <f t="shared" si="7"/>
        <v>0</v>
      </c>
      <c r="Q26" s="141">
        <v>0</v>
      </c>
      <c r="R26" s="141">
        <v>0</v>
      </c>
      <c r="S26" s="141">
        <v>0</v>
      </c>
      <c r="T26" s="141">
        <v>0</v>
      </c>
      <c r="U26" s="141">
        <v>0</v>
      </c>
      <c r="V26" s="141">
        <v>0</v>
      </c>
      <c r="W26" s="141">
        <v>0</v>
      </c>
      <c r="X26" s="141">
        <v>0</v>
      </c>
      <c r="Y26" s="141">
        <v>0</v>
      </c>
      <c r="Z26" s="141">
        <v>0</v>
      </c>
      <c r="AA26" s="141">
        <v>0</v>
      </c>
      <c r="AB26" s="141">
        <v>0</v>
      </c>
      <c r="AC26" s="302">
        <f t="shared" si="4"/>
        <v>0</v>
      </c>
      <c r="AD26" s="141">
        <f t="shared" si="5"/>
        <v>0</v>
      </c>
      <c r="AE26" s="192" t="e">
        <f t="shared" si="6"/>
        <v>#DIV/0!</v>
      </c>
      <c r="AF26" s="228">
        <v>0</v>
      </c>
      <c r="AG26" s="123">
        <f t="shared" si="2"/>
        <v>0</v>
      </c>
    </row>
    <row r="27" spans="1:33">
      <c r="A27" s="105">
        <v>60014101</v>
      </c>
      <c r="B27" s="105" t="s">
        <v>897</v>
      </c>
      <c r="C27" s="105" t="s">
        <v>459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228">
        <f t="shared" si="7"/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0</v>
      </c>
      <c r="AC27" s="302">
        <f t="shared" si="4"/>
        <v>0</v>
      </c>
      <c r="AD27" s="141"/>
      <c r="AF27" s="228">
        <v>0</v>
      </c>
      <c r="AG27" s="123">
        <f t="shared" si="2"/>
        <v>0</v>
      </c>
    </row>
    <row r="28" spans="1:33">
      <c r="A28" s="105" t="s">
        <v>746</v>
      </c>
      <c r="B28" s="105" t="s">
        <v>897</v>
      </c>
      <c r="C28" s="105" t="s">
        <v>678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228">
        <f t="shared" si="7"/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0</v>
      </c>
      <c r="AC28" s="302">
        <f t="shared" si="4"/>
        <v>0</v>
      </c>
      <c r="AD28" s="141">
        <f t="shared" si="5"/>
        <v>0</v>
      </c>
      <c r="AE28" s="192" t="e">
        <f t="shared" si="6"/>
        <v>#DIV/0!</v>
      </c>
      <c r="AF28" s="228">
        <v>0</v>
      </c>
      <c r="AG28" s="123">
        <f t="shared" si="2"/>
        <v>0</v>
      </c>
    </row>
    <row r="29" spans="1:33">
      <c r="A29" s="105" t="s">
        <v>837</v>
      </c>
      <c r="B29" s="105" t="s">
        <v>897</v>
      </c>
      <c r="C29" s="105" t="s">
        <v>888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228">
        <f t="shared" si="7"/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41">
        <v>0</v>
      </c>
      <c r="W29" s="141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302">
        <f t="shared" si="4"/>
        <v>0</v>
      </c>
      <c r="AD29" s="141"/>
      <c r="AF29" s="228">
        <v>0</v>
      </c>
      <c r="AG29" s="123">
        <f t="shared" si="2"/>
        <v>0</v>
      </c>
    </row>
    <row r="30" spans="1:33">
      <c r="A30" s="105">
        <v>60014104</v>
      </c>
      <c r="B30" s="105" t="s">
        <v>897</v>
      </c>
      <c r="C30" s="105" t="s">
        <v>892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228">
        <f t="shared" si="7"/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0</v>
      </c>
      <c r="AC30" s="302">
        <f t="shared" si="4"/>
        <v>0</v>
      </c>
      <c r="AD30" s="141"/>
      <c r="AF30" s="228">
        <v>0</v>
      </c>
      <c r="AG30" s="123">
        <f t="shared" si="2"/>
        <v>0</v>
      </c>
    </row>
    <row r="31" spans="1:33">
      <c r="A31" s="105" t="s">
        <v>841</v>
      </c>
      <c r="B31" s="105" t="s">
        <v>897</v>
      </c>
      <c r="C31" s="105" t="s">
        <v>842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228">
        <f t="shared" si="7"/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302">
        <f t="shared" si="4"/>
        <v>0</v>
      </c>
      <c r="AD31" s="141">
        <f t="shared" si="5"/>
        <v>0</v>
      </c>
      <c r="AE31" s="192" t="e">
        <f t="shared" si="6"/>
        <v>#DIV/0!</v>
      </c>
      <c r="AF31" s="228">
        <v>0</v>
      </c>
      <c r="AG31" s="123">
        <f t="shared" si="2"/>
        <v>0</v>
      </c>
    </row>
    <row r="32" spans="1:33">
      <c r="A32" s="105" t="s">
        <v>843</v>
      </c>
      <c r="B32" s="105" t="s">
        <v>897</v>
      </c>
      <c r="C32" s="105" t="s">
        <v>844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228">
        <f t="shared" si="7"/>
        <v>0</v>
      </c>
      <c r="Q32" s="141">
        <v>0</v>
      </c>
      <c r="R32" s="141">
        <v>0</v>
      </c>
      <c r="S32" s="141">
        <v>0</v>
      </c>
      <c r="T32" s="141">
        <v>0</v>
      </c>
      <c r="U32" s="141">
        <v>0</v>
      </c>
      <c r="V32" s="141">
        <v>0</v>
      </c>
      <c r="W32" s="141">
        <v>0</v>
      </c>
      <c r="X32" s="141">
        <v>0</v>
      </c>
      <c r="Y32" s="141">
        <v>0</v>
      </c>
      <c r="Z32" s="141">
        <v>0</v>
      </c>
      <c r="AA32" s="141">
        <v>0</v>
      </c>
      <c r="AB32" s="141">
        <v>0</v>
      </c>
      <c r="AC32" s="302">
        <f t="shared" si="4"/>
        <v>0</v>
      </c>
      <c r="AD32" s="141">
        <f t="shared" si="5"/>
        <v>0</v>
      </c>
      <c r="AE32" s="192" t="e">
        <f t="shared" si="6"/>
        <v>#DIV/0!</v>
      </c>
      <c r="AF32" s="228">
        <v>0</v>
      </c>
      <c r="AG32" s="123">
        <f t="shared" si="2"/>
        <v>0</v>
      </c>
    </row>
    <row r="33" spans="1:33">
      <c r="A33" s="105">
        <v>60014110</v>
      </c>
      <c r="B33" s="105" t="s">
        <v>897</v>
      </c>
      <c r="C33" s="105" t="s">
        <v>845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228">
        <f t="shared" si="7"/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  <c r="AA33" s="141">
        <v>0</v>
      </c>
      <c r="AB33" s="141">
        <v>0</v>
      </c>
      <c r="AC33" s="302">
        <f t="shared" si="4"/>
        <v>0</v>
      </c>
      <c r="AD33" s="141"/>
      <c r="AF33" s="228">
        <v>0</v>
      </c>
      <c r="AG33" s="123">
        <f t="shared" si="2"/>
        <v>0</v>
      </c>
    </row>
    <row r="34" spans="1:33">
      <c r="A34" s="105">
        <v>60014111</v>
      </c>
      <c r="B34" s="105" t="s">
        <v>897</v>
      </c>
      <c r="C34" s="105" t="s">
        <v>846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228">
        <f t="shared" si="7"/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41">
        <v>0</v>
      </c>
      <c r="W34" s="141">
        <v>0</v>
      </c>
      <c r="X34" s="141">
        <v>0</v>
      </c>
      <c r="Y34" s="141">
        <v>0</v>
      </c>
      <c r="Z34" s="141">
        <v>0</v>
      </c>
      <c r="AA34" s="141">
        <v>0</v>
      </c>
      <c r="AB34" s="141">
        <v>0</v>
      </c>
      <c r="AC34" s="302">
        <f t="shared" si="4"/>
        <v>0</v>
      </c>
      <c r="AD34" s="141"/>
      <c r="AF34" s="228">
        <v>0</v>
      </c>
      <c r="AG34" s="123">
        <f t="shared" si="2"/>
        <v>0</v>
      </c>
    </row>
    <row r="35" spans="1:33">
      <c r="A35" s="105" t="s">
        <v>847</v>
      </c>
      <c r="B35" s="105" t="s">
        <v>897</v>
      </c>
      <c r="C35" s="105" t="s">
        <v>848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228">
        <f t="shared" si="7"/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302">
        <f t="shared" si="4"/>
        <v>0</v>
      </c>
      <c r="AD35" s="141">
        <f t="shared" si="5"/>
        <v>0</v>
      </c>
      <c r="AE35" s="192" t="e">
        <f t="shared" si="6"/>
        <v>#DIV/0!</v>
      </c>
      <c r="AF35" s="228">
        <v>0</v>
      </c>
      <c r="AG35" s="123">
        <f t="shared" si="2"/>
        <v>0</v>
      </c>
    </row>
    <row r="36" spans="1:33">
      <c r="A36" s="105" t="s">
        <v>849</v>
      </c>
      <c r="B36" s="105" t="s">
        <v>897</v>
      </c>
      <c r="C36" s="105" t="s">
        <v>850</v>
      </c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228">
        <f t="shared" si="7"/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302">
        <f t="shared" si="4"/>
        <v>0</v>
      </c>
      <c r="AD36" s="141">
        <f>AC36-P36</f>
        <v>0</v>
      </c>
      <c r="AE36" s="192" t="e">
        <f t="shared" si="6"/>
        <v>#DIV/0!</v>
      </c>
      <c r="AF36" s="228">
        <v>0</v>
      </c>
      <c r="AG36" s="123">
        <f t="shared" si="2"/>
        <v>0</v>
      </c>
    </row>
    <row r="37" spans="1:33">
      <c r="A37" s="105" t="s">
        <v>851</v>
      </c>
      <c r="B37" s="105" t="s">
        <v>897</v>
      </c>
      <c r="C37" s="105" t="s">
        <v>852</v>
      </c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228">
        <f t="shared" si="7"/>
        <v>0</v>
      </c>
      <c r="Q37" s="141">
        <v>0</v>
      </c>
      <c r="R37" s="141">
        <v>0</v>
      </c>
      <c r="S37" s="141">
        <v>0</v>
      </c>
      <c r="T37" s="141">
        <v>0</v>
      </c>
      <c r="U37" s="141">
        <v>0</v>
      </c>
      <c r="V37" s="141">
        <v>0</v>
      </c>
      <c r="W37" s="141">
        <v>0</v>
      </c>
      <c r="X37" s="141">
        <v>0</v>
      </c>
      <c r="Y37" s="141">
        <v>0</v>
      </c>
      <c r="Z37" s="141">
        <v>0</v>
      </c>
      <c r="AA37" s="141">
        <v>0</v>
      </c>
      <c r="AB37" s="141">
        <v>0</v>
      </c>
      <c r="AC37" s="302">
        <f t="shared" si="4"/>
        <v>0</v>
      </c>
      <c r="AD37" s="141">
        <f t="shared" si="5"/>
        <v>0</v>
      </c>
      <c r="AE37" s="192" t="e">
        <f t="shared" si="6"/>
        <v>#DIV/0!</v>
      </c>
      <c r="AF37" s="228">
        <v>0</v>
      </c>
      <c r="AG37" s="123">
        <f t="shared" si="2"/>
        <v>0</v>
      </c>
    </row>
    <row r="38" spans="1:33">
      <c r="A38" s="105" t="s">
        <v>853</v>
      </c>
      <c r="B38" s="105" t="s">
        <v>897</v>
      </c>
      <c r="C38" s="105" t="s">
        <v>854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228">
        <f t="shared" si="7"/>
        <v>0</v>
      </c>
      <c r="Q38" s="141">
        <v>0</v>
      </c>
      <c r="R38" s="141">
        <v>0</v>
      </c>
      <c r="S38" s="141">
        <v>0</v>
      </c>
      <c r="T38" s="141">
        <v>0</v>
      </c>
      <c r="U38" s="141">
        <v>0</v>
      </c>
      <c r="V38" s="141">
        <v>0</v>
      </c>
      <c r="W38" s="141">
        <v>0</v>
      </c>
      <c r="X38" s="141">
        <v>0</v>
      </c>
      <c r="Y38" s="141">
        <v>0</v>
      </c>
      <c r="Z38" s="141">
        <v>0</v>
      </c>
      <c r="AA38" s="141">
        <v>0</v>
      </c>
      <c r="AB38" s="141">
        <v>0</v>
      </c>
      <c r="AC38" s="302">
        <f t="shared" si="4"/>
        <v>0</v>
      </c>
      <c r="AD38" s="141">
        <f t="shared" si="5"/>
        <v>0</v>
      </c>
      <c r="AE38" s="192" t="e">
        <f t="shared" si="6"/>
        <v>#DIV/0!</v>
      </c>
      <c r="AF38" s="228">
        <v>0</v>
      </c>
      <c r="AG38" s="123">
        <f t="shared" si="2"/>
        <v>0</v>
      </c>
    </row>
    <row r="39" spans="1:33">
      <c r="A39" s="105" t="s">
        <v>855</v>
      </c>
      <c r="B39" s="105" t="s">
        <v>897</v>
      </c>
      <c r="C39" s="105" t="s">
        <v>856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228">
        <f t="shared" si="7"/>
        <v>0</v>
      </c>
      <c r="Q39" s="141">
        <v>0</v>
      </c>
      <c r="R39" s="141">
        <v>0</v>
      </c>
      <c r="S39" s="141">
        <v>0</v>
      </c>
      <c r="T39" s="141">
        <v>0</v>
      </c>
      <c r="U39" s="141">
        <v>0</v>
      </c>
      <c r="V39" s="141">
        <v>0</v>
      </c>
      <c r="W39" s="141">
        <v>0</v>
      </c>
      <c r="X39" s="141">
        <v>0</v>
      </c>
      <c r="Y39" s="141">
        <v>0</v>
      </c>
      <c r="Z39" s="141">
        <v>0</v>
      </c>
      <c r="AA39" s="141">
        <v>0</v>
      </c>
      <c r="AB39" s="141">
        <v>0</v>
      </c>
      <c r="AC39" s="302">
        <f t="shared" si="4"/>
        <v>0</v>
      </c>
      <c r="AD39" s="141">
        <f t="shared" si="5"/>
        <v>0</v>
      </c>
      <c r="AE39" s="192" t="e">
        <f t="shared" si="6"/>
        <v>#DIV/0!</v>
      </c>
      <c r="AF39" s="228">
        <v>0</v>
      </c>
      <c r="AG39" s="123">
        <f t="shared" si="2"/>
        <v>0</v>
      </c>
    </row>
    <row r="40" spans="1:33">
      <c r="A40" s="105" t="s">
        <v>857</v>
      </c>
      <c r="B40" s="105" t="s">
        <v>897</v>
      </c>
      <c r="C40" s="105" t="s">
        <v>858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228">
        <f t="shared" si="7"/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41">
        <v>0</v>
      </c>
      <c r="W40" s="141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302">
        <f t="shared" si="4"/>
        <v>0</v>
      </c>
      <c r="AD40" s="141">
        <f t="shared" si="5"/>
        <v>0</v>
      </c>
      <c r="AE40" s="192" t="e">
        <f t="shared" si="6"/>
        <v>#DIV/0!</v>
      </c>
      <c r="AF40" s="228">
        <v>0</v>
      </c>
      <c r="AG40" s="123">
        <f t="shared" si="2"/>
        <v>0</v>
      </c>
    </row>
    <row r="41" spans="1:33">
      <c r="A41" s="105" t="s">
        <v>859</v>
      </c>
      <c r="B41" s="105" t="s">
        <v>897</v>
      </c>
      <c r="C41" s="105" t="s">
        <v>860</v>
      </c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228">
        <f t="shared" si="7"/>
        <v>0</v>
      </c>
      <c r="Q41" s="141">
        <v>0</v>
      </c>
      <c r="R41" s="141">
        <v>0</v>
      </c>
      <c r="S41" s="141">
        <v>0</v>
      </c>
      <c r="T41" s="141">
        <v>0</v>
      </c>
      <c r="U41" s="141">
        <v>0</v>
      </c>
      <c r="V41" s="141">
        <v>0</v>
      </c>
      <c r="W41" s="141">
        <v>0</v>
      </c>
      <c r="X41" s="141">
        <v>0</v>
      </c>
      <c r="Y41" s="141">
        <v>0</v>
      </c>
      <c r="Z41" s="141">
        <v>0</v>
      </c>
      <c r="AA41" s="141">
        <v>0</v>
      </c>
      <c r="AB41" s="141">
        <v>0</v>
      </c>
      <c r="AC41" s="302">
        <f t="shared" si="4"/>
        <v>0</v>
      </c>
      <c r="AD41" s="141">
        <f t="shared" si="5"/>
        <v>0</v>
      </c>
      <c r="AF41" s="228">
        <v>0</v>
      </c>
      <c r="AG41" s="123">
        <f t="shared" si="2"/>
        <v>0</v>
      </c>
    </row>
    <row r="42" spans="1:33">
      <c r="A42" s="105" t="s">
        <v>861</v>
      </c>
      <c r="B42" s="105" t="s">
        <v>897</v>
      </c>
      <c r="C42" s="105" t="s">
        <v>862</v>
      </c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228">
        <f t="shared" si="7"/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141">
        <v>0</v>
      </c>
      <c r="W42" s="141">
        <v>0</v>
      </c>
      <c r="X42" s="141">
        <v>0</v>
      </c>
      <c r="Y42" s="141">
        <v>0</v>
      </c>
      <c r="Z42" s="141">
        <v>0</v>
      </c>
      <c r="AA42" s="141">
        <v>0</v>
      </c>
      <c r="AB42" s="141">
        <v>0</v>
      </c>
      <c r="AC42" s="302">
        <f t="shared" si="4"/>
        <v>0</v>
      </c>
      <c r="AD42" s="141">
        <f t="shared" si="5"/>
        <v>0</v>
      </c>
      <c r="AE42" s="192" t="e">
        <f t="shared" si="6"/>
        <v>#DIV/0!</v>
      </c>
      <c r="AF42" s="228">
        <v>0</v>
      </c>
      <c r="AG42" s="123">
        <f t="shared" si="2"/>
        <v>0</v>
      </c>
    </row>
    <row r="43" spans="1:33">
      <c r="A43" s="105" t="s">
        <v>863</v>
      </c>
      <c r="B43" s="105" t="s">
        <v>897</v>
      </c>
      <c r="C43" s="105" t="s">
        <v>864</v>
      </c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228">
        <f t="shared" si="7"/>
        <v>0</v>
      </c>
      <c r="Q43" s="141">
        <v>0</v>
      </c>
      <c r="R43" s="141">
        <v>0</v>
      </c>
      <c r="S43" s="141">
        <v>0</v>
      </c>
      <c r="T43" s="141">
        <v>0</v>
      </c>
      <c r="U43" s="141">
        <v>0</v>
      </c>
      <c r="V43" s="141">
        <v>0</v>
      </c>
      <c r="W43" s="141">
        <v>0</v>
      </c>
      <c r="X43" s="141">
        <v>0</v>
      </c>
      <c r="Y43" s="141">
        <v>0</v>
      </c>
      <c r="Z43" s="141">
        <v>0</v>
      </c>
      <c r="AA43" s="141">
        <v>0</v>
      </c>
      <c r="AB43" s="141">
        <v>0</v>
      </c>
      <c r="AC43" s="302">
        <f t="shared" si="4"/>
        <v>0</v>
      </c>
      <c r="AD43" s="141">
        <f t="shared" si="5"/>
        <v>0</v>
      </c>
      <c r="AE43" s="192" t="e">
        <f t="shared" si="6"/>
        <v>#DIV/0!</v>
      </c>
      <c r="AF43" s="228">
        <v>0</v>
      </c>
      <c r="AG43" s="123">
        <f t="shared" si="2"/>
        <v>0</v>
      </c>
    </row>
    <row r="44" spans="1:33">
      <c r="A44" s="105" t="s">
        <v>865</v>
      </c>
      <c r="B44" s="105" t="s">
        <v>897</v>
      </c>
      <c r="C44" s="105" t="s">
        <v>866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228">
        <f t="shared" si="7"/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41">
        <v>0</v>
      </c>
      <c r="W44" s="141">
        <v>0</v>
      </c>
      <c r="X44" s="141">
        <v>0</v>
      </c>
      <c r="Y44" s="141">
        <v>0</v>
      </c>
      <c r="Z44" s="141">
        <v>0</v>
      </c>
      <c r="AA44" s="141">
        <v>0</v>
      </c>
      <c r="AB44" s="141">
        <v>0</v>
      </c>
      <c r="AC44" s="302">
        <f t="shared" si="4"/>
        <v>0</v>
      </c>
      <c r="AD44" s="141">
        <f t="shared" si="5"/>
        <v>0</v>
      </c>
      <c r="AE44" s="192" t="e">
        <f t="shared" si="6"/>
        <v>#DIV/0!</v>
      </c>
      <c r="AF44" s="228">
        <v>0</v>
      </c>
      <c r="AG44" s="123">
        <f t="shared" si="2"/>
        <v>0</v>
      </c>
    </row>
    <row r="45" spans="1:33">
      <c r="A45" s="105" t="s">
        <v>698</v>
      </c>
      <c r="B45" s="105" t="s">
        <v>897</v>
      </c>
      <c r="C45" s="105" t="s">
        <v>222</v>
      </c>
      <c r="D45" s="124">
        <f t="shared" ref="D45:O45" si="9">5000-2500</f>
        <v>2500</v>
      </c>
      <c r="E45" s="124">
        <f t="shared" si="9"/>
        <v>2500</v>
      </c>
      <c r="F45" s="124">
        <f t="shared" si="9"/>
        <v>2500</v>
      </c>
      <c r="G45" s="124">
        <f t="shared" si="9"/>
        <v>2500</v>
      </c>
      <c r="H45" s="124">
        <f t="shared" si="9"/>
        <v>2500</v>
      </c>
      <c r="I45" s="124">
        <f t="shared" si="9"/>
        <v>2500</v>
      </c>
      <c r="J45" s="124">
        <f t="shared" si="9"/>
        <v>2500</v>
      </c>
      <c r="K45" s="124">
        <f t="shared" si="9"/>
        <v>2500</v>
      </c>
      <c r="L45" s="124">
        <f t="shared" si="9"/>
        <v>2500</v>
      </c>
      <c r="M45" s="124">
        <f t="shared" si="9"/>
        <v>2500</v>
      </c>
      <c r="N45" s="124">
        <f t="shared" si="9"/>
        <v>2500</v>
      </c>
      <c r="O45" s="124">
        <f t="shared" si="9"/>
        <v>2500</v>
      </c>
      <c r="P45" s="228">
        <f t="shared" si="7"/>
        <v>30000</v>
      </c>
      <c r="Q45" s="141">
        <v>4941.2299999999996</v>
      </c>
      <c r="R45" s="141">
        <v>802.99</v>
      </c>
      <c r="S45" s="141">
        <v>5362</v>
      </c>
      <c r="T45" s="141">
        <v>595.61</v>
      </c>
      <c r="U45" s="141">
        <v>8604.68</v>
      </c>
      <c r="V45" s="141">
        <v>5495.58</v>
      </c>
      <c r="W45" s="141">
        <v>-475.37</v>
      </c>
      <c r="X45" s="141">
        <v>3598.24</v>
      </c>
      <c r="Y45" s="141">
        <v>5000</v>
      </c>
      <c r="Z45" s="141">
        <v>5000</v>
      </c>
      <c r="AA45" s="141">
        <v>5000</v>
      </c>
      <c r="AB45" s="141">
        <v>5000</v>
      </c>
      <c r="AC45" s="302">
        <f t="shared" si="4"/>
        <v>48924.960000000006</v>
      </c>
      <c r="AD45" s="141">
        <f t="shared" si="5"/>
        <v>18924.960000000006</v>
      </c>
      <c r="AE45" s="192">
        <f t="shared" si="6"/>
        <v>0.38681605462733143</v>
      </c>
      <c r="AF45" s="228">
        <v>26072.14</v>
      </c>
      <c r="AG45" s="123">
        <f t="shared" si="2"/>
        <v>-3927.8600000000006</v>
      </c>
    </row>
    <row r="46" spans="1:33">
      <c r="C46" s="109" t="s">
        <v>867</v>
      </c>
      <c r="D46" s="129">
        <f t="shared" ref="D46:AC46" si="10">SUM(D12:D45)</f>
        <v>68475</v>
      </c>
      <c r="E46" s="129">
        <f t="shared" si="10"/>
        <v>67428</v>
      </c>
      <c r="F46" s="129">
        <f t="shared" si="10"/>
        <v>66933</v>
      </c>
      <c r="G46" s="129">
        <f t="shared" si="10"/>
        <v>66947</v>
      </c>
      <c r="H46" s="129">
        <f t="shared" si="10"/>
        <v>66961</v>
      </c>
      <c r="I46" s="129">
        <f t="shared" si="10"/>
        <v>66938</v>
      </c>
      <c r="J46" s="129">
        <f t="shared" si="10"/>
        <v>66971</v>
      </c>
      <c r="K46" s="129">
        <f t="shared" si="10"/>
        <v>67469</v>
      </c>
      <c r="L46" s="129">
        <f t="shared" si="10"/>
        <v>68450</v>
      </c>
      <c r="M46" s="129">
        <f t="shared" si="10"/>
        <v>67522</v>
      </c>
      <c r="N46" s="129">
        <f t="shared" si="10"/>
        <v>66953</v>
      </c>
      <c r="O46" s="129">
        <f t="shared" si="10"/>
        <v>66950</v>
      </c>
      <c r="P46" s="228">
        <f t="shared" si="10"/>
        <v>807997</v>
      </c>
      <c r="Q46" s="142">
        <f t="shared" si="10"/>
        <v>91375.020000000019</v>
      </c>
      <c r="R46" s="142">
        <f t="shared" si="10"/>
        <v>80173.860000000015</v>
      </c>
      <c r="S46" s="142">
        <f t="shared" si="10"/>
        <v>40154.01999999999</v>
      </c>
      <c r="T46" s="142">
        <f t="shared" si="10"/>
        <v>56185.570000000007</v>
      </c>
      <c r="U46" s="142">
        <f t="shared" si="10"/>
        <v>81022.100000000006</v>
      </c>
      <c r="V46" s="142">
        <f t="shared" si="10"/>
        <v>85985.49</v>
      </c>
      <c r="W46" s="142">
        <f t="shared" si="10"/>
        <v>77003.930000000022</v>
      </c>
      <c r="X46" s="142">
        <f t="shared" si="10"/>
        <v>85260.530000000028</v>
      </c>
      <c r="Y46" s="142">
        <f t="shared" si="10"/>
        <v>61965.68</v>
      </c>
      <c r="Z46" s="142">
        <f t="shared" si="10"/>
        <v>61036.9</v>
      </c>
      <c r="AA46" s="142">
        <f t="shared" si="10"/>
        <v>30675.449999999997</v>
      </c>
      <c r="AB46" s="142">
        <f t="shared" si="10"/>
        <v>60710.979999999989</v>
      </c>
      <c r="AC46" s="302">
        <f t="shared" si="10"/>
        <v>811549.53</v>
      </c>
      <c r="AD46" s="142">
        <f t="shared" si="5"/>
        <v>3552.5300000000279</v>
      </c>
      <c r="AE46" s="132">
        <f t="shared" si="6"/>
        <v>4.3774654148342959E-3</v>
      </c>
      <c r="AF46" s="228">
        <v>124488.46999999999</v>
      </c>
      <c r="AG46" s="123">
        <f t="shared" si="2"/>
        <v>-683508.53</v>
      </c>
    </row>
    <row r="47" spans="1:33">
      <c r="C47" s="109" t="s">
        <v>868</v>
      </c>
      <c r="D47" s="129">
        <f t="shared" ref="D47:AC47" si="11">D46+D83</f>
        <v>290925.32999999996</v>
      </c>
      <c r="E47" s="129">
        <f t="shared" si="11"/>
        <v>259825.15</v>
      </c>
      <c r="F47" s="129">
        <f t="shared" si="11"/>
        <v>263413.3</v>
      </c>
      <c r="G47" s="129">
        <f t="shared" si="11"/>
        <v>270868.53999999998</v>
      </c>
      <c r="H47" s="129">
        <f t="shared" si="11"/>
        <v>278108.44999999995</v>
      </c>
      <c r="I47" s="129">
        <f t="shared" si="11"/>
        <v>264313.36</v>
      </c>
      <c r="J47" s="129">
        <f t="shared" si="11"/>
        <v>265930.77999999997</v>
      </c>
      <c r="K47" s="129">
        <f t="shared" si="11"/>
        <v>266070</v>
      </c>
      <c r="L47" s="129">
        <f t="shared" si="11"/>
        <v>267172</v>
      </c>
      <c r="M47" s="129">
        <f t="shared" si="11"/>
        <v>297552.78000000003</v>
      </c>
      <c r="N47" s="129">
        <f t="shared" si="11"/>
        <v>265646.71999999997</v>
      </c>
      <c r="O47" s="129">
        <f t="shared" si="11"/>
        <v>265137.94</v>
      </c>
      <c r="P47" s="228">
        <f t="shared" si="11"/>
        <v>3254964.3499999996</v>
      </c>
      <c r="Q47" s="142">
        <f t="shared" si="11"/>
        <v>318572.82</v>
      </c>
      <c r="R47" s="142">
        <f t="shared" si="11"/>
        <v>333765.47000000003</v>
      </c>
      <c r="S47" s="142">
        <f t="shared" si="11"/>
        <v>269534.42999999993</v>
      </c>
      <c r="T47" s="142">
        <f t="shared" si="11"/>
        <v>273473.58</v>
      </c>
      <c r="U47" s="142">
        <f t="shared" si="11"/>
        <v>293950.09999999998</v>
      </c>
      <c r="V47" s="142">
        <f t="shared" si="11"/>
        <v>277784.41000000003</v>
      </c>
      <c r="W47" s="142">
        <f t="shared" si="11"/>
        <v>270130.30000000005</v>
      </c>
      <c r="X47" s="142">
        <f t="shared" si="11"/>
        <v>282032.88</v>
      </c>
      <c r="Y47" s="142">
        <f t="shared" si="11"/>
        <v>281994.33</v>
      </c>
      <c r="Z47" s="142">
        <f t="shared" si="11"/>
        <v>302099.33</v>
      </c>
      <c r="AA47" s="142">
        <f t="shared" si="11"/>
        <v>270520.33</v>
      </c>
      <c r="AB47" s="142">
        <f t="shared" si="11"/>
        <v>270534.33</v>
      </c>
      <c r="AC47" s="302">
        <f t="shared" si="11"/>
        <v>3444392.3100000005</v>
      </c>
      <c r="AD47" s="142">
        <f t="shared" si="5"/>
        <v>189427.96000000089</v>
      </c>
      <c r="AE47" s="132">
        <f t="shared" si="6"/>
        <v>5.4996046603065625E-2</v>
      </c>
      <c r="AF47" s="228">
        <v>3436066.93</v>
      </c>
      <c r="AG47" s="123">
        <f t="shared" si="2"/>
        <v>181102.58000000054</v>
      </c>
    </row>
    <row r="48" spans="1:33">
      <c r="C48" s="105" t="s">
        <v>154</v>
      </c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228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302"/>
      <c r="AD48" s="141"/>
      <c r="AF48" s="228"/>
      <c r="AG48" s="123">
        <f t="shared" si="2"/>
        <v>0</v>
      </c>
    </row>
    <row r="49" spans="1:33">
      <c r="C49" s="105" t="s">
        <v>154</v>
      </c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228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302"/>
      <c r="AD49" s="141"/>
      <c r="AF49" s="228"/>
      <c r="AG49" s="123">
        <f t="shared" si="2"/>
        <v>0</v>
      </c>
    </row>
    <row r="50" spans="1:33">
      <c r="C50" s="105" t="s">
        <v>869</v>
      </c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228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302"/>
      <c r="AD50" s="141"/>
      <c r="AF50" s="228"/>
      <c r="AG50" s="123">
        <f t="shared" si="2"/>
        <v>0</v>
      </c>
    </row>
    <row r="51" spans="1:33">
      <c r="C51" s="105" t="s">
        <v>465</v>
      </c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228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302"/>
      <c r="AD51" s="141"/>
      <c r="AF51" s="228"/>
      <c r="AG51" s="123">
        <f t="shared" si="2"/>
        <v>0</v>
      </c>
    </row>
    <row r="52" spans="1:33">
      <c r="A52" s="105" t="s">
        <v>248</v>
      </c>
      <c r="B52" s="105" t="s">
        <v>897</v>
      </c>
      <c r="C52" s="105" t="s">
        <v>250</v>
      </c>
      <c r="D52" s="293">
        <v>35000</v>
      </c>
      <c r="E52" s="123">
        <v>35000</v>
      </c>
      <c r="F52" s="123">
        <v>36165</v>
      </c>
      <c r="G52" s="123">
        <v>36165</v>
      </c>
      <c r="H52" s="123">
        <v>36165</v>
      </c>
      <c r="I52" s="123">
        <v>36165</v>
      </c>
      <c r="J52" s="123">
        <v>36165</v>
      </c>
      <c r="K52" s="123">
        <v>36165</v>
      </c>
      <c r="L52" s="123">
        <v>36165</v>
      </c>
      <c r="M52" s="123">
        <v>36165</v>
      </c>
      <c r="N52" s="123">
        <v>36165</v>
      </c>
      <c r="O52" s="123">
        <v>36165</v>
      </c>
      <c r="P52" s="227">
        <f>SUM(D52:O52)</f>
        <v>431650</v>
      </c>
      <c r="Q52" s="231">
        <v>37500</v>
      </c>
      <c r="R52" s="231">
        <v>37500</v>
      </c>
      <c r="S52" s="231">
        <v>37500</v>
      </c>
      <c r="T52" s="231">
        <v>34741.379999999997</v>
      </c>
      <c r="U52" s="231">
        <v>38994.26</v>
      </c>
      <c r="V52" s="231">
        <v>27500</v>
      </c>
      <c r="W52" s="141">
        <v>33362.07</v>
      </c>
      <c r="X52" s="141">
        <v>35000</v>
      </c>
      <c r="Y52" s="141">
        <v>37500</v>
      </c>
      <c r="Z52" s="141">
        <v>37500</v>
      </c>
      <c r="AA52" s="141">
        <v>37500</v>
      </c>
      <c r="AB52" s="141">
        <v>37500</v>
      </c>
      <c r="AC52" s="228">
        <f>SUM(Q52:AB52)</f>
        <v>432097.71</v>
      </c>
      <c r="AD52" s="141">
        <f>AC52-P52</f>
        <v>447.71000000002095</v>
      </c>
      <c r="AE52" s="192">
        <f>AD52/AC52</f>
        <v>1.03613138796783E-3</v>
      </c>
      <c r="AF52" s="228">
        <v>408101.15</v>
      </c>
      <c r="AG52" s="123">
        <f t="shared" si="2"/>
        <v>-23548.849999999977</v>
      </c>
    </row>
    <row r="53" spans="1:33">
      <c r="A53" s="105" t="s">
        <v>251</v>
      </c>
      <c r="B53" s="105" t="s">
        <v>897</v>
      </c>
      <c r="C53" s="105" t="s">
        <v>468</v>
      </c>
      <c r="D53" s="293">
        <v>54708</v>
      </c>
      <c r="E53" s="123">
        <v>54708</v>
      </c>
      <c r="F53" s="123">
        <v>57443.4</v>
      </c>
      <c r="G53" s="123">
        <v>57443.4</v>
      </c>
      <c r="H53" s="123">
        <v>57443.4</v>
      </c>
      <c r="I53" s="123">
        <v>57443.4</v>
      </c>
      <c r="J53" s="123">
        <v>57443.4</v>
      </c>
      <c r="K53" s="123">
        <v>57443.4</v>
      </c>
      <c r="L53" s="123">
        <v>57443.4</v>
      </c>
      <c r="M53" s="123">
        <v>57443.4</v>
      </c>
      <c r="N53" s="123">
        <v>57443.4</v>
      </c>
      <c r="O53" s="123">
        <v>57443.4</v>
      </c>
      <c r="P53" s="227">
        <f>SUM(D53:O53)</f>
        <v>683850.00000000012</v>
      </c>
      <c r="Q53" s="231">
        <v>61046</v>
      </c>
      <c r="R53" s="231">
        <v>61000</v>
      </c>
      <c r="S53" s="231">
        <v>60802.67</v>
      </c>
      <c r="T53" s="231">
        <v>58400</v>
      </c>
      <c r="U53" s="231">
        <v>59200</v>
      </c>
      <c r="V53" s="231">
        <v>56271.26</v>
      </c>
      <c r="W53" s="141">
        <v>56400</v>
      </c>
      <c r="X53" s="141">
        <v>56400</v>
      </c>
      <c r="Y53" s="141">
        <v>74776</v>
      </c>
      <c r="Z53" s="124">
        <v>74776</v>
      </c>
      <c r="AA53" s="124">
        <v>104776</v>
      </c>
      <c r="AB53" s="124">
        <v>74776</v>
      </c>
      <c r="AC53" s="228">
        <f>SUM(Q53:AB53)</f>
        <v>798623.92999999993</v>
      </c>
      <c r="AD53" s="141">
        <f>AC53-P53</f>
        <v>114773.92999999982</v>
      </c>
      <c r="AE53" s="192">
        <f>AD53/AC53</f>
        <v>0.14371461421147225</v>
      </c>
      <c r="AF53" s="228">
        <v>1028165.4399999998</v>
      </c>
      <c r="AG53" s="123">
        <f t="shared" si="2"/>
        <v>344315.43999999971</v>
      </c>
    </row>
    <row r="54" spans="1:33">
      <c r="C54" s="109" t="s">
        <v>471</v>
      </c>
      <c r="D54" s="133">
        <f t="shared" ref="D54:AC54" si="12">SUM(D52:D53)</f>
        <v>89708</v>
      </c>
      <c r="E54" s="133">
        <f t="shared" si="12"/>
        <v>89708</v>
      </c>
      <c r="F54" s="133">
        <f t="shared" si="12"/>
        <v>93608.4</v>
      </c>
      <c r="G54" s="133">
        <f t="shared" si="12"/>
        <v>93608.4</v>
      </c>
      <c r="H54" s="133">
        <f t="shared" si="12"/>
        <v>93608.4</v>
      </c>
      <c r="I54" s="133">
        <f t="shared" si="12"/>
        <v>93608.4</v>
      </c>
      <c r="J54" s="133">
        <f t="shared" si="12"/>
        <v>93608.4</v>
      </c>
      <c r="K54" s="133">
        <f t="shared" si="12"/>
        <v>93608.4</v>
      </c>
      <c r="L54" s="133">
        <f t="shared" si="12"/>
        <v>93608.4</v>
      </c>
      <c r="M54" s="133">
        <f t="shared" si="12"/>
        <v>93608.4</v>
      </c>
      <c r="N54" s="133">
        <f t="shared" si="12"/>
        <v>93608.4</v>
      </c>
      <c r="O54" s="133">
        <f t="shared" si="12"/>
        <v>93608.4</v>
      </c>
      <c r="P54" s="227">
        <f t="shared" si="12"/>
        <v>1115500</v>
      </c>
      <c r="Q54" s="145">
        <f t="shared" si="12"/>
        <v>98546</v>
      </c>
      <c r="R54" s="145">
        <f t="shared" si="12"/>
        <v>98500</v>
      </c>
      <c r="S54" s="145">
        <f t="shared" si="12"/>
        <v>98302.67</v>
      </c>
      <c r="T54" s="145">
        <f t="shared" si="12"/>
        <v>93141.38</v>
      </c>
      <c r="U54" s="145">
        <f t="shared" si="12"/>
        <v>98194.260000000009</v>
      </c>
      <c r="V54" s="145">
        <f t="shared" si="12"/>
        <v>83771.260000000009</v>
      </c>
      <c r="W54" s="145">
        <f t="shared" si="12"/>
        <v>89762.07</v>
      </c>
      <c r="X54" s="145">
        <f t="shared" si="12"/>
        <v>91400</v>
      </c>
      <c r="Y54" s="145">
        <f t="shared" si="12"/>
        <v>112276</v>
      </c>
      <c r="Z54" s="145">
        <f t="shared" si="12"/>
        <v>112276</v>
      </c>
      <c r="AA54" s="145">
        <f t="shared" si="12"/>
        <v>142276</v>
      </c>
      <c r="AB54" s="145">
        <f t="shared" si="12"/>
        <v>112276</v>
      </c>
      <c r="AC54" s="227">
        <f t="shared" si="12"/>
        <v>1230721.6399999999</v>
      </c>
      <c r="AD54" s="142">
        <f>AC54-P54</f>
        <v>115221.6399999999</v>
      </c>
      <c r="AE54" s="132">
        <f>AD54/AC54</f>
        <v>9.362120259785138E-2</v>
      </c>
      <c r="AF54" s="228">
        <v>1436266.5899999999</v>
      </c>
      <c r="AG54" s="123">
        <f t="shared" si="2"/>
        <v>320766.58999999985</v>
      </c>
    </row>
    <row r="55" spans="1:33"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227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306"/>
      <c r="AD55" s="141"/>
      <c r="AF55" s="228"/>
      <c r="AG55" s="123">
        <f t="shared" si="2"/>
        <v>0</v>
      </c>
    </row>
    <row r="56" spans="1:33">
      <c r="A56" s="105" t="s">
        <v>870</v>
      </c>
      <c r="B56" s="105" t="s">
        <v>897</v>
      </c>
      <c r="C56" s="105" t="s">
        <v>260</v>
      </c>
      <c r="D56" s="293">
        <v>25655.18</v>
      </c>
      <c r="E56" s="293">
        <v>0</v>
      </c>
      <c r="F56" s="293">
        <v>0</v>
      </c>
      <c r="G56" s="293">
        <v>6317.2399999999989</v>
      </c>
      <c r="H56" s="293">
        <v>11806.9</v>
      </c>
      <c r="I56" s="293">
        <v>0</v>
      </c>
      <c r="J56" s="293">
        <v>0</v>
      </c>
      <c r="K56" s="293">
        <v>0</v>
      </c>
      <c r="L56" s="293">
        <v>0</v>
      </c>
      <c r="M56" s="293">
        <v>27751.72</v>
      </c>
      <c r="N56" s="293">
        <v>0</v>
      </c>
      <c r="O56" s="293">
        <v>0</v>
      </c>
      <c r="P56" s="227">
        <f>SUM(D56:O56)</f>
        <v>71531.040000000008</v>
      </c>
      <c r="Q56" s="231">
        <v>5365.62</v>
      </c>
      <c r="R56" s="231">
        <v>23517.51</v>
      </c>
      <c r="S56" s="231">
        <v>0</v>
      </c>
      <c r="T56" s="231">
        <v>10213.870000000001</v>
      </c>
      <c r="U56" s="231">
        <v>5727.63</v>
      </c>
      <c r="V56" s="231">
        <v>5755.2</v>
      </c>
      <c r="W56" s="141">
        <v>0</v>
      </c>
      <c r="X56" s="141">
        <v>0</v>
      </c>
      <c r="Y56" s="141">
        <v>9690</v>
      </c>
      <c r="Z56" s="141">
        <v>29071</v>
      </c>
      <c r="AA56" s="141">
        <v>0</v>
      </c>
      <c r="AB56" s="141">
        <v>0</v>
      </c>
      <c r="AC56" s="302">
        <f>SUM(Q56:AB56)</f>
        <v>89340.829999999987</v>
      </c>
      <c r="AD56" s="141">
        <f t="shared" ref="AD56:AD61" si="13">AC56-P56</f>
        <v>17809.789999999979</v>
      </c>
      <c r="AE56" s="192">
        <f t="shared" ref="AE56:AE61" si="14">AD56/AC56</f>
        <v>0.19934659214605441</v>
      </c>
      <c r="AF56" s="228">
        <v>108521.93</v>
      </c>
      <c r="AG56" s="123">
        <f t="shared" si="2"/>
        <v>36990.889999999985</v>
      </c>
    </row>
    <row r="57" spans="1:33">
      <c r="A57" s="105" t="s">
        <v>120</v>
      </c>
      <c r="B57" s="105" t="s">
        <v>897</v>
      </c>
      <c r="C57" s="105" t="s">
        <v>261</v>
      </c>
      <c r="D57" s="293">
        <v>15180.58</v>
      </c>
      <c r="E57" s="293">
        <v>15180.58</v>
      </c>
      <c r="F57" s="293">
        <v>15180.58</v>
      </c>
      <c r="G57" s="293">
        <v>15180.58</v>
      </c>
      <c r="H57" s="293">
        <v>15180.58</v>
      </c>
      <c r="I57" s="293">
        <v>15180.58</v>
      </c>
      <c r="J57" s="293">
        <v>15180.58</v>
      </c>
      <c r="K57" s="293">
        <v>15180.58</v>
      </c>
      <c r="L57" s="293">
        <v>15180.58</v>
      </c>
      <c r="M57" s="293">
        <v>15180.58</v>
      </c>
      <c r="N57" s="293">
        <v>15180.58</v>
      </c>
      <c r="O57" s="293">
        <v>15180.58</v>
      </c>
      <c r="P57" s="227">
        <f>SUM(D57:O57)</f>
        <v>182166.95999999996</v>
      </c>
      <c r="Q57" s="231">
        <v>24601.94</v>
      </c>
      <c r="R57" s="231">
        <v>24592.29</v>
      </c>
      <c r="S57" s="231">
        <v>24642.62</v>
      </c>
      <c r="T57" s="231">
        <v>15415.68</v>
      </c>
      <c r="U57" s="231">
        <v>14437.39</v>
      </c>
      <c r="V57" s="231">
        <v>13997.19</v>
      </c>
      <c r="W57" s="141">
        <v>15232.76</v>
      </c>
      <c r="X57" s="141">
        <v>15213.88</v>
      </c>
      <c r="Y57" s="141">
        <v>15379.33</v>
      </c>
      <c r="Z57" s="141">
        <v>15379.33</v>
      </c>
      <c r="AA57" s="141">
        <v>15379.33</v>
      </c>
      <c r="AB57" s="141">
        <v>15379.33</v>
      </c>
      <c r="AC57" s="302">
        <f>SUM(Q57:AB57)</f>
        <v>209651.06999999995</v>
      </c>
      <c r="AD57" s="141">
        <f t="shared" si="13"/>
        <v>27484.109999999986</v>
      </c>
      <c r="AE57" s="192">
        <f t="shared" si="14"/>
        <v>0.13109453722320613</v>
      </c>
      <c r="AF57" s="228">
        <v>196484.69</v>
      </c>
      <c r="AG57" s="123">
        <f t="shared" si="2"/>
        <v>14317.73000000004</v>
      </c>
    </row>
    <row r="58" spans="1:33">
      <c r="A58" s="105" t="s">
        <v>871</v>
      </c>
      <c r="B58" s="105" t="s">
        <v>897</v>
      </c>
      <c r="C58" s="105" t="s">
        <v>262</v>
      </c>
      <c r="D58" s="293">
        <v>17970</v>
      </c>
      <c r="E58" s="293">
        <v>17970</v>
      </c>
      <c r="F58" s="293">
        <v>17970</v>
      </c>
      <c r="G58" s="293">
        <v>17970</v>
      </c>
      <c r="H58" s="293">
        <v>17970</v>
      </c>
      <c r="I58" s="293">
        <v>17970</v>
      </c>
      <c r="J58" s="293">
        <v>17970</v>
      </c>
      <c r="K58" s="293">
        <v>17970</v>
      </c>
      <c r="L58" s="293">
        <v>17970</v>
      </c>
      <c r="M58" s="293">
        <v>17970</v>
      </c>
      <c r="N58" s="293">
        <v>17970</v>
      </c>
      <c r="O58" s="293">
        <v>17970</v>
      </c>
      <c r="P58" s="227">
        <f>SUM(D58:O58)</f>
        <v>215640</v>
      </c>
      <c r="Q58" s="231">
        <v>17007.419999999998</v>
      </c>
      <c r="R58" s="231">
        <v>16898.96</v>
      </c>
      <c r="S58" s="231">
        <v>16984.82</v>
      </c>
      <c r="T58" s="231">
        <v>17158.060000000001</v>
      </c>
      <c r="U58" s="231">
        <v>18753.61</v>
      </c>
      <c r="V58" s="231">
        <v>15160.03</v>
      </c>
      <c r="W58" s="141">
        <v>16388</v>
      </c>
      <c r="X58" s="141">
        <v>16557.41</v>
      </c>
      <c r="Y58" s="141">
        <v>20601</v>
      </c>
      <c r="Z58" s="141">
        <v>19701</v>
      </c>
      <c r="AA58" s="141">
        <v>19801</v>
      </c>
      <c r="AB58" s="141">
        <v>19801</v>
      </c>
      <c r="AC58" s="302">
        <f>SUM(Q58:AB58)</f>
        <v>214812.31</v>
      </c>
      <c r="AD58" s="141">
        <f t="shared" si="13"/>
        <v>-827.69000000000233</v>
      </c>
      <c r="AE58" s="192">
        <f t="shared" si="14"/>
        <v>-3.853084583467318E-3</v>
      </c>
      <c r="AF58" s="228">
        <v>144676</v>
      </c>
      <c r="AG58" s="123">
        <f t="shared" si="2"/>
        <v>-70964</v>
      </c>
    </row>
    <row r="59" spans="1:33">
      <c r="A59" s="105" t="s">
        <v>872</v>
      </c>
      <c r="B59" s="105" t="s">
        <v>897</v>
      </c>
      <c r="C59" s="105" t="s">
        <v>263</v>
      </c>
      <c r="D59" s="293">
        <v>0</v>
      </c>
      <c r="E59" s="293">
        <v>0</v>
      </c>
      <c r="F59" s="293">
        <v>0</v>
      </c>
      <c r="G59" s="293">
        <v>0</v>
      </c>
      <c r="H59" s="293">
        <v>0</v>
      </c>
      <c r="I59" s="293">
        <v>0</v>
      </c>
      <c r="J59" s="293">
        <v>0</v>
      </c>
      <c r="K59" s="293">
        <v>0</v>
      </c>
      <c r="L59" s="293">
        <v>0</v>
      </c>
      <c r="M59" s="293">
        <v>0</v>
      </c>
      <c r="N59" s="293">
        <v>0</v>
      </c>
      <c r="O59" s="293">
        <v>0</v>
      </c>
      <c r="P59" s="227">
        <f>SUM(D59:O59)</f>
        <v>0</v>
      </c>
      <c r="Q59" s="231">
        <v>0</v>
      </c>
      <c r="R59" s="231">
        <v>0</v>
      </c>
      <c r="S59" s="231">
        <v>0</v>
      </c>
      <c r="T59" s="231">
        <v>0</v>
      </c>
      <c r="U59" s="231">
        <v>0</v>
      </c>
      <c r="V59" s="231">
        <v>0</v>
      </c>
      <c r="W59" s="141">
        <v>0</v>
      </c>
      <c r="X59" s="141">
        <v>0</v>
      </c>
      <c r="Y59" s="141">
        <v>0</v>
      </c>
      <c r="Z59" s="141">
        <v>0</v>
      </c>
      <c r="AA59" s="141">
        <v>0</v>
      </c>
      <c r="AB59" s="141">
        <v>0</v>
      </c>
      <c r="AC59" s="302">
        <f>SUM(Q59:AB59)</f>
        <v>0</v>
      </c>
      <c r="AD59" s="141">
        <f t="shared" si="13"/>
        <v>0</v>
      </c>
      <c r="AE59" s="192" t="e">
        <f t="shared" si="14"/>
        <v>#DIV/0!</v>
      </c>
      <c r="AF59" s="228">
        <v>0</v>
      </c>
      <c r="AG59" s="123">
        <f t="shared" si="2"/>
        <v>0</v>
      </c>
    </row>
    <row r="60" spans="1:33">
      <c r="A60" s="105" t="s">
        <v>873</v>
      </c>
      <c r="B60" s="105" t="s">
        <v>897</v>
      </c>
      <c r="C60" s="105" t="s">
        <v>264</v>
      </c>
      <c r="D60" s="293">
        <v>3000</v>
      </c>
      <c r="E60" s="293">
        <v>3000</v>
      </c>
      <c r="F60" s="293">
        <v>3000</v>
      </c>
      <c r="G60" s="293">
        <v>3000</v>
      </c>
      <c r="H60" s="293">
        <v>3000</v>
      </c>
      <c r="I60" s="293">
        <v>3000</v>
      </c>
      <c r="J60" s="293">
        <v>3000</v>
      </c>
      <c r="K60" s="293">
        <v>3000</v>
      </c>
      <c r="L60" s="293">
        <v>3000</v>
      </c>
      <c r="M60" s="293">
        <v>3000</v>
      </c>
      <c r="N60" s="293">
        <v>3000</v>
      </c>
      <c r="O60" s="293">
        <v>3000</v>
      </c>
      <c r="P60" s="227">
        <f>SUM(D60:O60)</f>
        <v>36000</v>
      </c>
      <c r="Q60" s="231">
        <v>3000</v>
      </c>
      <c r="R60" s="231">
        <v>3000</v>
      </c>
      <c r="S60" s="231">
        <v>3000</v>
      </c>
      <c r="T60" s="231">
        <v>3000</v>
      </c>
      <c r="U60" s="231">
        <v>3000</v>
      </c>
      <c r="V60" s="231">
        <v>3000</v>
      </c>
      <c r="W60" s="141">
        <v>3000</v>
      </c>
      <c r="X60" s="141">
        <v>3000</v>
      </c>
      <c r="Y60" s="141">
        <v>1000</v>
      </c>
      <c r="Z60" s="141">
        <v>1000</v>
      </c>
      <c r="AA60" s="141">
        <v>1000</v>
      </c>
      <c r="AB60" s="141">
        <v>1000</v>
      </c>
      <c r="AC60" s="302">
        <f>SUM(Q60:AB60)</f>
        <v>28000</v>
      </c>
      <c r="AD60" s="141">
        <f t="shared" si="13"/>
        <v>-8000</v>
      </c>
      <c r="AE60" s="192">
        <f t="shared" si="14"/>
        <v>-0.2857142857142857</v>
      </c>
      <c r="AF60" s="228">
        <v>0</v>
      </c>
      <c r="AG60" s="123">
        <f t="shared" si="2"/>
        <v>-36000</v>
      </c>
    </row>
    <row r="61" spans="1:33">
      <c r="C61" s="109" t="s">
        <v>265</v>
      </c>
      <c r="D61" s="133">
        <f t="shared" ref="D61:AC61" si="15">SUM(D56:D60)</f>
        <v>61805.760000000002</v>
      </c>
      <c r="E61" s="133">
        <f t="shared" si="15"/>
        <v>36150.58</v>
      </c>
      <c r="F61" s="133">
        <f t="shared" si="15"/>
        <v>36150.58</v>
      </c>
      <c r="G61" s="133">
        <f t="shared" si="15"/>
        <v>42467.82</v>
      </c>
      <c r="H61" s="133">
        <f t="shared" si="15"/>
        <v>47957.479999999996</v>
      </c>
      <c r="I61" s="133">
        <f t="shared" si="15"/>
        <v>36150.58</v>
      </c>
      <c r="J61" s="133">
        <f t="shared" si="15"/>
        <v>36150.58</v>
      </c>
      <c r="K61" s="133">
        <f t="shared" si="15"/>
        <v>36150.58</v>
      </c>
      <c r="L61" s="133">
        <f t="shared" si="15"/>
        <v>36150.58</v>
      </c>
      <c r="M61" s="133">
        <f t="shared" si="15"/>
        <v>63902.3</v>
      </c>
      <c r="N61" s="133">
        <f t="shared" si="15"/>
        <v>36150.58</v>
      </c>
      <c r="O61" s="133">
        <f t="shared" si="15"/>
        <v>36150.58</v>
      </c>
      <c r="P61" s="227">
        <f t="shared" si="15"/>
        <v>505338</v>
      </c>
      <c r="Q61" s="145">
        <f t="shared" si="15"/>
        <v>49974.979999999996</v>
      </c>
      <c r="R61" s="145">
        <f t="shared" si="15"/>
        <v>68008.760000000009</v>
      </c>
      <c r="S61" s="145">
        <f t="shared" si="15"/>
        <v>44627.44</v>
      </c>
      <c r="T61" s="145">
        <f t="shared" si="15"/>
        <v>45787.61</v>
      </c>
      <c r="U61" s="145">
        <f t="shared" si="15"/>
        <v>41918.630000000005</v>
      </c>
      <c r="V61" s="145">
        <f t="shared" si="15"/>
        <v>37912.42</v>
      </c>
      <c r="W61" s="145">
        <f t="shared" si="15"/>
        <v>34620.76</v>
      </c>
      <c r="X61" s="145">
        <f t="shared" si="15"/>
        <v>34771.29</v>
      </c>
      <c r="Y61" s="145">
        <f t="shared" si="15"/>
        <v>46670.33</v>
      </c>
      <c r="Z61" s="145">
        <f t="shared" si="15"/>
        <v>65151.33</v>
      </c>
      <c r="AA61" s="145">
        <f t="shared" si="15"/>
        <v>36180.33</v>
      </c>
      <c r="AB61" s="145">
        <f t="shared" si="15"/>
        <v>36180.33</v>
      </c>
      <c r="AC61" s="306">
        <f t="shared" si="15"/>
        <v>541804.21</v>
      </c>
      <c r="AD61" s="142">
        <f t="shared" si="13"/>
        <v>36466.209999999963</v>
      </c>
      <c r="AE61" s="132">
        <f t="shared" si="14"/>
        <v>6.7305143309979013E-2</v>
      </c>
      <c r="AF61" s="228">
        <v>449682.62</v>
      </c>
      <c r="AG61" s="123">
        <f t="shared" si="2"/>
        <v>-55655.380000000005</v>
      </c>
    </row>
    <row r="62" spans="1:33">
      <c r="C62" s="105" t="s">
        <v>154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227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306"/>
      <c r="AD62" s="141"/>
      <c r="AF62" s="228"/>
      <c r="AG62" s="123">
        <f t="shared" si="2"/>
        <v>0</v>
      </c>
    </row>
    <row r="63" spans="1:33">
      <c r="A63" s="105" t="s">
        <v>874</v>
      </c>
      <c r="B63" s="105" t="s">
        <v>897</v>
      </c>
      <c r="C63" s="105" t="s">
        <v>266</v>
      </c>
      <c r="D63" s="293">
        <v>21325.519999999997</v>
      </c>
      <c r="E63" s="293">
        <v>21325.519999999997</v>
      </c>
      <c r="F63" s="293">
        <v>21325.519999999997</v>
      </c>
      <c r="G63" s="293">
        <v>21325.519999999997</v>
      </c>
      <c r="H63" s="293">
        <v>21325.519999999997</v>
      </c>
      <c r="I63" s="293">
        <v>21325.519999999997</v>
      </c>
      <c r="J63" s="293">
        <v>22188.940000000002</v>
      </c>
      <c r="K63" s="293">
        <v>22188.940000000002</v>
      </c>
      <c r="L63" s="293">
        <v>22188.940000000002</v>
      </c>
      <c r="M63" s="293">
        <v>22188.940000000002</v>
      </c>
      <c r="N63" s="293">
        <v>22188.940000000002</v>
      </c>
      <c r="O63" s="293">
        <v>22188.940000000002</v>
      </c>
      <c r="P63" s="227">
        <f t="shared" ref="P63:P70" si="16">SUM(D63:O63)</f>
        <v>261086.75999999998</v>
      </c>
      <c r="Q63" s="231">
        <v>26036.07</v>
      </c>
      <c r="R63" s="231">
        <v>26036.07</v>
      </c>
      <c r="S63" s="231">
        <v>26036.07</v>
      </c>
      <c r="T63" s="231">
        <v>23102.28</v>
      </c>
      <c r="U63" s="231">
        <v>24194.32</v>
      </c>
      <c r="V63" s="231">
        <v>22204.23</v>
      </c>
      <c r="W63" s="141">
        <v>23404.23</v>
      </c>
      <c r="X63" s="141">
        <v>23404.23</v>
      </c>
      <c r="Y63" s="141">
        <v>24011</v>
      </c>
      <c r="Z63" s="313">
        <v>24011</v>
      </c>
      <c r="AA63" s="313">
        <v>24011</v>
      </c>
      <c r="AB63" s="313">
        <v>24011</v>
      </c>
      <c r="AC63" s="302">
        <f t="shared" ref="AC63:AC70" si="17">SUM(Q63:AB63)</f>
        <v>290461.5</v>
      </c>
      <c r="AD63" s="141">
        <f t="shared" ref="AD63:AD69" si="18">AC63-P63</f>
        <v>29374.74000000002</v>
      </c>
      <c r="AE63" s="192">
        <f t="shared" ref="AE63:AE69" si="19">AD63/AC63</f>
        <v>0.10113126868793289</v>
      </c>
      <c r="AF63" s="228">
        <v>340677.44</v>
      </c>
      <c r="AG63" s="123">
        <f t="shared" si="2"/>
        <v>79590.680000000022</v>
      </c>
    </row>
    <row r="64" spans="1:33">
      <c r="A64" s="105" t="s">
        <v>875</v>
      </c>
      <c r="B64" s="105" t="s">
        <v>897</v>
      </c>
      <c r="C64" s="105" t="s">
        <v>267</v>
      </c>
      <c r="D64" s="293">
        <v>8623.3399999999983</v>
      </c>
      <c r="E64" s="293">
        <v>8623.3399999999983</v>
      </c>
      <c r="F64" s="293">
        <v>8623.3399999999983</v>
      </c>
      <c r="G64" s="293">
        <v>8623.3399999999983</v>
      </c>
      <c r="H64" s="293">
        <v>8623.3399999999983</v>
      </c>
      <c r="I64" s="293">
        <v>8623.3399999999983</v>
      </c>
      <c r="J64" s="293">
        <v>8926.56</v>
      </c>
      <c r="K64" s="293">
        <v>8926.56</v>
      </c>
      <c r="L64" s="293">
        <v>8926.56</v>
      </c>
      <c r="M64" s="293">
        <v>8926.56</v>
      </c>
      <c r="N64" s="293">
        <v>8926.56</v>
      </c>
      <c r="O64" s="293">
        <v>8926.56</v>
      </c>
      <c r="P64" s="227">
        <f t="shared" si="16"/>
        <v>105299.39999999998</v>
      </c>
      <c r="Q64" s="231">
        <v>13831.65</v>
      </c>
      <c r="R64" s="231">
        <v>13831.65</v>
      </c>
      <c r="S64" s="231">
        <v>13831.65</v>
      </c>
      <c r="T64" s="231">
        <v>12273.08</v>
      </c>
      <c r="U64" s="231">
        <v>12819.1</v>
      </c>
      <c r="V64" s="231">
        <v>11795.99</v>
      </c>
      <c r="W64" s="141">
        <v>9507.9599999999991</v>
      </c>
      <c r="X64" s="141">
        <v>9507.9599999999991</v>
      </c>
      <c r="Y64" s="141">
        <v>12046</v>
      </c>
      <c r="Z64" s="313">
        <v>12046</v>
      </c>
      <c r="AA64" s="313">
        <v>12046</v>
      </c>
      <c r="AB64" s="313">
        <v>12046</v>
      </c>
      <c r="AC64" s="302">
        <f t="shared" si="17"/>
        <v>145583.04000000001</v>
      </c>
      <c r="AD64" s="141">
        <f t="shared" si="18"/>
        <v>40283.640000000029</v>
      </c>
      <c r="AE64" s="192">
        <f t="shared" si="19"/>
        <v>0.27670558328772382</v>
      </c>
      <c r="AF64" s="228">
        <v>165665.51</v>
      </c>
      <c r="AG64" s="123">
        <f t="shared" si="2"/>
        <v>60366.11000000003</v>
      </c>
    </row>
    <row r="65" spans="1:33">
      <c r="A65" s="105" t="s">
        <v>876</v>
      </c>
      <c r="B65" s="105" t="s">
        <v>897</v>
      </c>
      <c r="C65" s="105" t="s">
        <v>268</v>
      </c>
      <c r="D65" s="293">
        <v>663.34999999999991</v>
      </c>
      <c r="E65" s="293">
        <v>663.34999999999991</v>
      </c>
      <c r="F65" s="293">
        <v>663.34999999999991</v>
      </c>
      <c r="G65" s="293">
        <v>663.34999999999991</v>
      </c>
      <c r="H65" s="293">
        <v>663.34999999999991</v>
      </c>
      <c r="I65" s="293">
        <v>663.34999999999991</v>
      </c>
      <c r="J65" s="293">
        <v>686.69999999999993</v>
      </c>
      <c r="K65" s="293">
        <v>686.69999999999993</v>
      </c>
      <c r="L65" s="293">
        <v>686.69999999999993</v>
      </c>
      <c r="M65" s="293">
        <v>686.69999999999993</v>
      </c>
      <c r="N65" s="293">
        <v>686.69999999999993</v>
      </c>
      <c r="O65" s="293">
        <v>686.69999999999993</v>
      </c>
      <c r="P65" s="227">
        <f t="shared" si="16"/>
        <v>8100.2999999999984</v>
      </c>
      <c r="Q65" s="231">
        <v>813.61</v>
      </c>
      <c r="R65" s="231">
        <v>813.61</v>
      </c>
      <c r="S65" s="231">
        <v>813.61</v>
      </c>
      <c r="T65" s="231">
        <v>721.93</v>
      </c>
      <c r="U65" s="231">
        <v>769.71</v>
      </c>
      <c r="V65" s="231">
        <v>693.87</v>
      </c>
      <c r="W65" s="141">
        <v>731.37</v>
      </c>
      <c r="X65" s="141">
        <v>731.37</v>
      </c>
      <c r="Y65" s="141">
        <v>753</v>
      </c>
      <c r="Z65" s="141">
        <v>753</v>
      </c>
      <c r="AA65" s="141">
        <v>753</v>
      </c>
      <c r="AB65" s="141">
        <v>753</v>
      </c>
      <c r="AC65" s="302">
        <f t="shared" si="17"/>
        <v>9101.08</v>
      </c>
      <c r="AD65" s="141">
        <f t="shared" si="18"/>
        <v>1000.7800000000016</v>
      </c>
      <c r="AE65" s="192">
        <f t="shared" si="19"/>
        <v>0.10996277364884186</v>
      </c>
      <c r="AF65" s="228">
        <v>10148.009999999998</v>
      </c>
      <c r="AG65" s="123">
        <f t="shared" si="2"/>
        <v>2047.71</v>
      </c>
    </row>
    <row r="66" spans="1:33">
      <c r="A66" s="105" t="s">
        <v>877</v>
      </c>
      <c r="B66" s="105" t="s">
        <v>897</v>
      </c>
      <c r="C66" s="105" t="s">
        <v>269</v>
      </c>
      <c r="D66" s="293">
        <v>159.19000000000003</v>
      </c>
      <c r="E66" s="293">
        <v>159.19000000000003</v>
      </c>
      <c r="F66" s="293">
        <v>159.19000000000003</v>
      </c>
      <c r="G66" s="293">
        <v>159.19000000000003</v>
      </c>
      <c r="H66" s="293">
        <v>159.19000000000003</v>
      </c>
      <c r="I66" s="293">
        <v>159.19000000000003</v>
      </c>
      <c r="J66" s="293">
        <v>164.84000000000003</v>
      </c>
      <c r="K66" s="293">
        <v>164.84000000000003</v>
      </c>
      <c r="L66" s="293">
        <v>164.84000000000003</v>
      </c>
      <c r="M66" s="293">
        <v>164.84000000000003</v>
      </c>
      <c r="N66" s="293">
        <v>164.84000000000003</v>
      </c>
      <c r="O66" s="293">
        <v>164.84000000000003</v>
      </c>
      <c r="P66" s="227">
        <f t="shared" si="16"/>
        <v>1944.1800000000007</v>
      </c>
      <c r="Q66" s="231">
        <v>195.29</v>
      </c>
      <c r="R66" s="231">
        <v>195.29</v>
      </c>
      <c r="S66" s="231">
        <v>195.29</v>
      </c>
      <c r="T66" s="231">
        <v>173.29</v>
      </c>
      <c r="U66" s="231">
        <v>200.59</v>
      </c>
      <c r="V66" s="231">
        <v>166.55</v>
      </c>
      <c r="W66" s="141">
        <v>175.55</v>
      </c>
      <c r="X66" s="141">
        <v>175.55</v>
      </c>
      <c r="Y66" s="141">
        <v>195</v>
      </c>
      <c r="Z66" s="141">
        <v>195</v>
      </c>
      <c r="AA66" s="141">
        <v>195</v>
      </c>
      <c r="AB66" s="141">
        <v>195</v>
      </c>
      <c r="AC66" s="302">
        <f t="shared" si="17"/>
        <v>2257.3999999999996</v>
      </c>
      <c r="AD66" s="141">
        <f t="shared" si="18"/>
        <v>313.21999999999889</v>
      </c>
      <c r="AE66" s="192">
        <f t="shared" si="19"/>
        <v>0.13875254717816909</v>
      </c>
      <c r="AF66" s="228">
        <v>3247.2400000000002</v>
      </c>
      <c r="AG66" s="123">
        <f t="shared" si="2"/>
        <v>1303.0599999999995</v>
      </c>
    </row>
    <row r="67" spans="1:33">
      <c r="A67" s="105" t="s">
        <v>878</v>
      </c>
      <c r="B67" s="105" t="s">
        <v>897</v>
      </c>
      <c r="C67" s="105" t="s">
        <v>270</v>
      </c>
      <c r="D67" s="293">
        <v>0</v>
      </c>
      <c r="E67" s="293">
        <v>0</v>
      </c>
      <c r="F67" s="293">
        <v>0</v>
      </c>
      <c r="G67" s="293">
        <v>0</v>
      </c>
      <c r="H67" s="293">
        <v>0</v>
      </c>
      <c r="I67" s="293">
        <v>0</v>
      </c>
      <c r="J67" s="293">
        <v>0</v>
      </c>
      <c r="K67" s="293">
        <v>0</v>
      </c>
      <c r="L67" s="293">
        <v>0</v>
      </c>
      <c r="M67" s="293">
        <v>0</v>
      </c>
      <c r="N67" s="293">
        <v>0</v>
      </c>
      <c r="O67" s="293">
        <v>0</v>
      </c>
      <c r="P67" s="227">
        <f t="shared" si="16"/>
        <v>0</v>
      </c>
      <c r="Q67" s="231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141">
        <v>0</v>
      </c>
      <c r="X67" s="141">
        <v>0</v>
      </c>
      <c r="Y67" s="141">
        <v>0</v>
      </c>
      <c r="Z67" s="141">
        <v>0</v>
      </c>
      <c r="AA67" s="141">
        <v>0</v>
      </c>
      <c r="AB67" s="141">
        <v>0</v>
      </c>
      <c r="AC67" s="302">
        <f t="shared" si="17"/>
        <v>0</v>
      </c>
      <c r="AD67" s="141">
        <f t="shared" si="18"/>
        <v>0</v>
      </c>
      <c r="AE67" s="192" t="e">
        <f t="shared" si="19"/>
        <v>#DIV/0!</v>
      </c>
      <c r="AF67" s="228">
        <v>6851.21</v>
      </c>
      <c r="AG67" s="123">
        <f t="shared" si="2"/>
        <v>6851.21</v>
      </c>
    </row>
    <row r="68" spans="1:33">
      <c r="A68" s="105" t="s">
        <v>879</v>
      </c>
      <c r="B68" s="105" t="s">
        <v>897</v>
      </c>
      <c r="C68" s="105" t="s">
        <v>271</v>
      </c>
      <c r="D68" s="293">
        <v>6391.8799999999992</v>
      </c>
      <c r="E68" s="293">
        <v>6391.8799999999992</v>
      </c>
      <c r="F68" s="293">
        <v>6391.8799999999992</v>
      </c>
      <c r="G68" s="293">
        <v>6391.8799999999992</v>
      </c>
      <c r="H68" s="293">
        <v>6391.8799999999992</v>
      </c>
      <c r="I68" s="293">
        <v>6391.8799999999992</v>
      </c>
      <c r="J68" s="293">
        <v>6866.66</v>
      </c>
      <c r="K68" s="293">
        <v>6391.8799999999992</v>
      </c>
      <c r="L68" s="293">
        <v>6391.8799999999992</v>
      </c>
      <c r="M68" s="293">
        <v>6391.8799999999992</v>
      </c>
      <c r="N68" s="293">
        <v>6866.66</v>
      </c>
      <c r="O68" s="293">
        <v>6391.8799999999992</v>
      </c>
      <c r="P68" s="227">
        <f t="shared" si="16"/>
        <v>77652.119999999981</v>
      </c>
      <c r="Q68" s="231">
        <v>8154</v>
      </c>
      <c r="R68" s="231">
        <v>8154</v>
      </c>
      <c r="S68" s="231">
        <v>8154</v>
      </c>
      <c r="T68" s="231">
        <v>7237</v>
      </c>
      <c r="U68" s="231">
        <v>8041.6</v>
      </c>
      <c r="V68" s="231">
        <v>6956</v>
      </c>
      <c r="W68" s="141">
        <v>7352</v>
      </c>
      <c r="X68" s="141">
        <v>7352</v>
      </c>
      <c r="Y68" s="141">
        <v>7101</v>
      </c>
      <c r="Z68" s="141">
        <v>7101</v>
      </c>
      <c r="AA68" s="141">
        <v>7101</v>
      </c>
      <c r="AB68" s="141">
        <v>7101</v>
      </c>
      <c r="AC68" s="302">
        <f t="shared" si="17"/>
        <v>89804.6</v>
      </c>
      <c r="AD68" s="141">
        <f t="shared" si="18"/>
        <v>12152.480000000025</v>
      </c>
      <c r="AE68" s="192">
        <f t="shared" si="19"/>
        <v>0.13532135324916569</v>
      </c>
      <c r="AF68" s="228">
        <v>94661</v>
      </c>
      <c r="AG68" s="123">
        <f t="shared" si="2"/>
        <v>17008.880000000019</v>
      </c>
    </row>
    <row r="69" spans="1:33">
      <c r="A69" s="105" t="s">
        <v>880</v>
      </c>
      <c r="B69" s="105" t="s">
        <v>897</v>
      </c>
      <c r="C69" s="105" t="s">
        <v>272</v>
      </c>
      <c r="D69" s="293">
        <v>3030</v>
      </c>
      <c r="E69" s="293">
        <v>2517</v>
      </c>
      <c r="F69" s="293">
        <v>2595</v>
      </c>
      <c r="G69" s="293">
        <v>2722</v>
      </c>
      <c r="H69" s="293">
        <v>2831</v>
      </c>
      <c r="I69" s="293">
        <v>2595</v>
      </c>
      <c r="J69" s="293">
        <v>2595</v>
      </c>
      <c r="K69" s="293">
        <v>2595</v>
      </c>
      <c r="L69" s="293">
        <v>2595</v>
      </c>
      <c r="M69" s="293">
        <v>3150</v>
      </c>
      <c r="N69" s="293">
        <v>2595</v>
      </c>
      <c r="O69" s="293">
        <v>2595</v>
      </c>
      <c r="P69" s="227">
        <f t="shared" si="16"/>
        <v>32415</v>
      </c>
      <c r="Q69" s="231">
        <v>2430.38</v>
      </c>
      <c r="R69" s="231">
        <v>2818.21</v>
      </c>
      <c r="S69" s="231">
        <v>5095.83</v>
      </c>
      <c r="T69" s="231">
        <v>4175.38</v>
      </c>
      <c r="U69" s="231">
        <v>2210.75</v>
      </c>
      <c r="V69" s="231">
        <v>2112.63</v>
      </c>
      <c r="W69" s="141">
        <v>2133</v>
      </c>
      <c r="X69" s="141">
        <v>2163.15</v>
      </c>
      <c r="Y69" s="141">
        <v>-14195.680000000008</v>
      </c>
      <c r="Z69" s="141">
        <v>-13199.900000000009</v>
      </c>
      <c r="AA69" s="141">
        <v>-12939.449999999997</v>
      </c>
      <c r="AB69" s="141">
        <v>-12962.979999999996</v>
      </c>
      <c r="AC69" s="302">
        <f t="shared" si="17"/>
        <v>-30158.680000000008</v>
      </c>
      <c r="AD69" s="141">
        <f t="shared" si="18"/>
        <v>-62573.680000000008</v>
      </c>
      <c r="AE69" s="192">
        <f t="shared" si="19"/>
        <v>2.0748149454816986</v>
      </c>
      <c r="AF69" s="228">
        <v>42318.12</v>
      </c>
      <c r="AG69" s="123">
        <f t="shared" si="2"/>
        <v>9903.1200000000026</v>
      </c>
    </row>
    <row r="70" spans="1:33">
      <c r="A70" s="105" t="s">
        <v>273</v>
      </c>
      <c r="B70" s="105" t="s">
        <v>897</v>
      </c>
      <c r="C70" s="105" t="s">
        <v>274</v>
      </c>
      <c r="D70" s="293">
        <v>0</v>
      </c>
      <c r="E70" s="293">
        <v>0</v>
      </c>
      <c r="F70" s="293">
        <v>0</v>
      </c>
      <c r="G70" s="293">
        <v>0</v>
      </c>
      <c r="H70" s="293">
        <v>0</v>
      </c>
      <c r="I70" s="293">
        <v>0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227">
        <f t="shared" si="16"/>
        <v>0</v>
      </c>
      <c r="Q70" s="231"/>
      <c r="R70" s="231"/>
      <c r="S70" s="231"/>
      <c r="T70" s="231"/>
      <c r="U70" s="231"/>
      <c r="V70" s="231"/>
      <c r="W70" s="141">
        <v>0</v>
      </c>
      <c r="X70" s="141">
        <v>0</v>
      </c>
      <c r="Y70" s="141">
        <v>0</v>
      </c>
      <c r="Z70" s="141">
        <v>0</v>
      </c>
      <c r="AA70" s="141">
        <v>0</v>
      </c>
      <c r="AB70" s="141">
        <v>0</v>
      </c>
      <c r="AC70" s="302">
        <f t="shared" si="17"/>
        <v>0</v>
      </c>
      <c r="AD70" s="141"/>
      <c r="AF70" s="228">
        <v>0</v>
      </c>
      <c r="AG70" s="123">
        <f t="shared" si="2"/>
        <v>0</v>
      </c>
    </row>
    <row r="71" spans="1:33">
      <c r="C71" s="109" t="s">
        <v>275</v>
      </c>
      <c r="D71" s="133">
        <f t="shared" ref="D71:AC71" si="20">SUM(D63:D70)</f>
        <v>40193.279999999992</v>
      </c>
      <c r="E71" s="133">
        <f t="shared" si="20"/>
        <v>39680.279999999992</v>
      </c>
      <c r="F71" s="133">
        <f t="shared" si="20"/>
        <v>39758.279999999992</v>
      </c>
      <c r="G71" s="133">
        <f t="shared" si="20"/>
        <v>39885.279999999992</v>
      </c>
      <c r="H71" s="133">
        <f t="shared" si="20"/>
        <v>39994.279999999992</v>
      </c>
      <c r="I71" s="133">
        <f t="shared" si="20"/>
        <v>39758.279999999992</v>
      </c>
      <c r="J71" s="133">
        <f t="shared" si="20"/>
        <v>41428.699999999997</v>
      </c>
      <c r="K71" s="133">
        <f t="shared" si="20"/>
        <v>40953.919999999998</v>
      </c>
      <c r="L71" s="133">
        <f t="shared" si="20"/>
        <v>40953.919999999998</v>
      </c>
      <c r="M71" s="133">
        <f t="shared" si="20"/>
        <v>41508.92</v>
      </c>
      <c r="N71" s="133">
        <f t="shared" si="20"/>
        <v>41428.699999999997</v>
      </c>
      <c r="O71" s="133">
        <f t="shared" si="20"/>
        <v>40953.919999999998</v>
      </c>
      <c r="P71" s="227">
        <f t="shared" si="20"/>
        <v>486497.75999999995</v>
      </c>
      <c r="Q71" s="145">
        <f t="shared" si="20"/>
        <v>51461</v>
      </c>
      <c r="R71" s="145">
        <f t="shared" si="20"/>
        <v>51848.83</v>
      </c>
      <c r="S71" s="145">
        <f t="shared" si="20"/>
        <v>54126.450000000004</v>
      </c>
      <c r="T71" s="145">
        <f t="shared" si="20"/>
        <v>47682.96</v>
      </c>
      <c r="U71" s="145">
        <f t="shared" si="20"/>
        <v>48236.069999999992</v>
      </c>
      <c r="V71" s="145">
        <f t="shared" si="20"/>
        <v>43929.270000000004</v>
      </c>
      <c r="W71" s="145">
        <f t="shared" si="20"/>
        <v>43304.110000000008</v>
      </c>
      <c r="X71" s="145">
        <f t="shared" si="20"/>
        <v>43334.260000000009</v>
      </c>
      <c r="Y71" s="145">
        <f t="shared" si="20"/>
        <v>29910.319999999992</v>
      </c>
      <c r="Z71" s="145">
        <f t="shared" si="20"/>
        <v>30906.099999999991</v>
      </c>
      <c r="AA71" s="145">
        <f t="shared" si="20"/>
        <v>31166.550000000003</v>
      </c>
      <c r="AB71" s="145">
        <f t="shared" si="20"/>
        <v>31143.020000000004</v>
      </c>
      <c r="AC71" s="306">
        <f t="shared" si="20"/>
        <v>507048.94000000012</v>
      </c>
      <c r="AD71" s="142">
        <f>AC71-P71</f>
        <v>20551.180000000168</v>
      </c>
      <c r="AE71" s="132">
        <f>AD71/AC71</f>
        <v>4.053095939812075E-2</v>
      </c>
      <c r="AF71" s="228">
        <v>663568.53</v>
      </c>
      <c r="AG71" s="123">
        <f t="shared" si="2"/>
        <v>177070.77000000008</v>
      </c>
    </row>
    <row r="72" spans="1:33">
      <c r="C72" s="105" t="s">
        <v>154</v>
      </c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227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306"/>
      <c r="AD72" s="141"/>
      <c r="AF72" s="228"/>
      <c r="AG72" s="123">
        <f t="shared" si="2"/>
        <v>0</v>
      </c>
    </row>
    <row r="73" spans="1:33">
      <c r="A73" s="105" t="s">
        <v>131</v>
      </c>
      <c r="B73" s="105" t="s">
        <v>897</v>
      </c>
      <c r="C73" s="105" t="s">
        <v>276</v>
      </c>
      <c r="D73" s="293">
        <v>0</v>
      </c>
      <c r="E73" s="293">
        <v>0</v>
      </c>
      <c r="F73" s="293">
        <v>0</v>
      </c>
      <c r="G73" s="293">
        <v>0</v>
      </c>
      <c r="H73" s="293">
        <v>0</v>
      </c>
      <c r="I73" s="293">
        <v>0</v>
      </c>
      <c r="J73" s="293">
        <v>0</v>
      </c>
      <c r="K73" s="293">
        <v>0</v>
      </c>
      <c r="L73" s="293">
        <v>0</v>
      </c>
      <c r="M73" s="293">
        <v>0</v>
      </c>
      <c r="N73" s="293">
        <v>0</v>
      </c>
      <c r="O73" s="293">
        <v>0</v>
      </c>
      <c r="P73" s="227">
        <f t="shared" ref="P73:P79" si="21">SUM(D73:O73)</f>
        <v>0</v>
      </c>
      <c r="Q73" s="231"/>
      <c r="R73" s="231"/>
      <c r="S73" s="231"/>
      <c r="T73" s="231"/>
      <c r="U73" s="231"/>
      <c r="V73" s="231"/>
      <c r="W73" s="141">
        <v>0</v>
      </c>
      <c r="X73" s="141">
        <v>0</v>
      </c>
      <c r="Y73" s="141">
        <v>0</v>
      </c>
      <c r="Z73" s="141">
        <v>0</v>
      </c>
      <c r="AA73" s="141">
        <v>0</v>
      </c>
      <c r="AB73" s="141">
        <v>0</v>
      </c>
      <c r="AC73" s="302">
        <f t="shared" ref="AC73:AC81" si="22">SUM(Q73:AB73)</f>
        <v>0</v>
      </c>
      <c r="AD73" s="141"/>
      <c r="AF73" s="228">
        <v>0</v>
      </c>
      <c r="AG73" s="123">
        <f t="shared" ref="AG73:AG85" si="23">AF73-P73</f>
        <v>0</v>
      </c>
    </row>
    <row r="74" spans="1:33">
      <c r="A74" s="105" t="s">
        <v>132</v>
      </c>
      <c r="B74" s="105" t="s">
        <v>897</v>
      </c>
      <c r="C74" s="105" t="s">
        <v>277</v>
      </c>
      <c r="D74" s="293">
        <v>0</v>
      </c>
      <c r="E74" s="293">
        <v>0</v>
      </c>
      <c r="F74" s="293">
        <v>0</v>
      </c>
      <c r="G74" s="293">
        <v>0</v>
      </c>
      <c r="H74" s="293">
        <v>0</v>
      </c>
      <c r="I74" s="293">
        <v>0</v>
      </c>
      <c r="J74" s="293">
        <v>0</v>
      </c>
      <c r="K74" s="293">
        <v>0</v>
      </c>
      <c r="L74" s="293">
        <v>0</v>
      </c>
      <c r="M74" s="293">
        <v>0</v>
      </c>
      <c r="N74" s="293">
        <v>0</v>
      </c>
      <c r="O74" s="293">
        <v>0</v>
      </c>
      <c r="P74" s="227">
        <f t="shared" si="21"/>
        <v>0</v>
      </c>
      <c r="Q74" s="231"/>
      <c r="R74" s="231"/>
      <c r="S74" s="231"/>
      <c r="T74" s="231"/>
      <c r="U74" s="231"/>
      <c r="V74" s="231"/>
      <c r="W74" s="141">
        <v>0</v>
      </c>
      <c r="X74" s="141">
        <v>0</v>
      </c>
      <c r="Y74" s="141">
        <v>0</v>
      </c>
      <c r="Z74" s="141">
        <v>0</v>
      </c>
      <c r="AA74" s="141">
        <v>0</v>
      </c>
      <c r="AB74" s="141">
        <v>0</v>
      </c>
      <c r="AC74" s="302">
        <f t="shared" si="22"/>
        <v>0</v>
      </c>
      <c r="AD74" s="141"/>
      <c r="AF74" s="228">
        <v>0</v>
      </c>
      <c r="AG74" s="123">
        <f t="shared" si="23"/>
        <v>0</v>
      </c>
    </row>
    <row r="75" spans="1:33">
      <c r="A75" s="105" t="s">
        <v>133</v>
      </c>
      <c r="B75" s="105" t="s">
        <v>897</v>
      </c>
      <c r="C75" s="105" t="s">
        <v>278</v>
      </c>
      <c r="D75" s="293">
        <v>0</v>
      </c>
      <c r="E75" s="293">
        <v>0</v>
      </c>
      <c r="F75" s="293">
        <v>0</v>
      </c>
      <c r="G75" s="293">
        <v>0</v>
      </c>
      <c r="H75" s="293">
        <v>0</v>
      </c>
      <c r="I75" s="293">
        <v>0</v>
      </c>
      <c r="J75" s="293">
        <v>0</v>
      </c>
      <c r="K75" s="293">
        <v>0</v>
      </c>
      <c r="L75" s="293">
        <v>0</v>
      </c>
      <c r="M75" s="293">
        <v>0</v>
      </c>
      <c r="N75" s="293">
        <v>0</v>
      </c>
      <c r="O75" s="293">
        <v>0</v>
      </c>
      <c r="P75" s="227">
        <f t="shared" si="21"/>
        <v>0</v>
      </c>
      <c r="Q75" s="231"/>
      <c r="R75" s="231"/>
      <c r="S75" s="231"/>
      <c r="T75" s="231"/>
      <c r="U75" s="231"/>
      <c r="V75" s="231"/>
      <c r="W75" s="141">
        <v>0</v>
      </c>
      <c r="X75" s="141">
        <v>0</v>
      </c>
      <c r="Y75" s="141">
        <v>0</v>
      </c>
      <c r="Z75" s="141">
        <v>0</v>
      </c>
      <c r="AA75" s="141">
        <v>0</v>
      </c>
      <c r="AB75" s="141">
        <v>0</v>
      </c>
      <c r="AC75" s="302">
        <f t="shared" si="22"/>
        <v>0</v>
      </c>
      <c r="AD75" s="141"/>
      <c r="AF75" s="228">
        <v>0</v>
      </c>
      <c r="AG75" s="123">
        <f t="shared" si="23"/>
        <v>0</v>
      </c>
    </row>
    <row r="76" spans="1:33">
      <c r="A76" s="105" t="s">
        <v>134</v>
      </c>
      <c r="B76" s="105" t="s">
        <v>897</v>
      </c>
      <c r="C76" s="105" t="s">
        <v>279</v>
      </c>
      <c r="D76" s="293">
        <v>133.33000000000001</v>
      </c>
      <c r="E76" s="293">
        <v>133.33000000000001</v>
      </c>
      <c r="F76" s="293">
        <v>133.33000000000001</v>
      </c>
      <c r="G76" s="293">
        <v>133.33000000000001</v>
      </c>
      <c r="H76" s="293">
        <v>133.33000000000001</v>
      </c>
      <c r="I76" s="293">
        <v>133.33000000000001</v>
      </c>
      <c r="J76" s="293">
        <v>133.33000000000001</v>
      </c>
      <c r="K76" s="293">
        <v>133.33000000000001</v>
      </c>
      <c r="L76" s="293">
        <v>133.33000000000001</v>
      </c>
      <c r="M76" s="293">
        <v>133.33000000000001</v>
      </c>
      <c r="N76" s="293">
        <v>133.33000000000001</v>
      </c>
      <c r="O76" s="293">
        <v>133.33000000000001</v>
      </c>
      <c r="P76" s="227">
        <f t="shared" si="21"/>
        <v>1599.9599999999998</v>
      </c>
      <c r="Q76" s="231">
        <v>266</v>
      </c>
      <c r="R76" s="231">
        <v>254</v>
      </c>
      <c r="S76" s="231">
        <v>272</v>
      </c>
      <c r="T76" s="231">
        <v>171.47</v>
      </c>
      <c r="U76" s="231">
        <v>136</v>
      </c>
      <c r="V76" s="231">
        <v>132</v>
      </c>
      <c r="W76" s="141">
        <v>136</v>
      </c>
      <c r="X76" s="141">
        <v>136</v>
      </c>
      <c r="Y76" s="141">
        <v>267</v>
      </c>
      <c r="Z76" s="141">
        <v>267</v>
      </c>
      <c r="AA76" s="141">
        <v>267</v>
      </c>
      <c r="AB76" s="141">
        <v>267</v>
      </c>
      <c r="AC76" s="306">
        <f t="shared" si="22"/>
        <v>2571.4700000000003</v>
      </c>
      <c r="AD76" s="231">
        <f t="shared" ref="AD76:AD83" si="24">AC76-P76</f>
        <v>971.51000000000045</v>
      </c>
      <c r="AE76" s="196">
        <f t="shared" ref="AE76:AE83" si="25">AD76/AC76</f>
        <v>0.37780335761257194</v>
      </c>
      <c r="AF76" s="227">
        <v>3200</v>
      </c>
      <c r="AG76" s="123">
        <f t="shared" si="23"/>
        <v>1600.0400000000002</v>
      </c>
    </row>
    <row r="77" spans="1:33">
      <c r="A77" s="105" t="s">
        <v>135</v>
      </c>
      <c r="B77" s="105" t="s">
        <v>897</v>
      </c>
      <c r="C77" s="105" t="s">
        <v>280</v>
      </c>
      <c r="D77" s="293">
        <v>2354.2399999999998</v>
      </c>
      <c r="E77" s="293">
        <v>2354.2399999999998</v>
      </c>
      <c r="F77" s="293">
        <v>2354.2399999999998</v>
      </c>
      <c r="G77" s="293">
        <v>2354.2399999999998</v>
      </c>
      <c r="H77" s="293">
        <v>2354.2399999999998</v>
      </c>
      <c r="I77" s="293">
        <v>2354.2399999999998</v>
      </c>
      <c r="J77" s="293">
        <v>2354.2399999999998</v>
      </c>
      <c r="K77" s="293">
        <v>2354.2399999999998</v>
      </c>
      <c r="L77" s="293">
        <v>2354.2399999999998</v>
      </c>
      <c r="M77" s="293">
        <v>2354.2399999999998</v>
      </c>
      <c r="N77" s="293">
        <v>2354.2399999999998</v>
      </c>
      <c r="O77" s="293">
        <v>2354.2399999999998</v>
      </c>
      <c r="P77" s="227">
        <f t="shared" si="21"/>
        <v>28250.87999999999</v>
      </c>
      <c r="Q77" s="231">
        <v>451.72</v>
      </c>
      <c r="R77" s="231">
        <v>418.22</v>
      </c>
      <c r="S77" s="231">
        <v>566.04999999999995</v>
      </c>
      <c r="T77" s="231">
        <v>395.87</v>
      </c>
      <c r="U77" s="231">
        <v>393.48</v>
      </c>
      <c r="V77" s="231">
        <v>375.45</v>
      </c>
      <c r="W77" s="141">
        <v>399.59</v>
      </c>
      <c r="X77" s="141">
        <v>391.77</v>
      </c>
      <c r="Y77" s="141">
        <v>290</v>
      </c>
      <c r="Z77" s="141">
        <v>290</v>
      </c>
      <c r="AA77" s="141">
        <v>290</v>
      </c>
      <c r="AB77" s="141">
        <v>290</v>
      </c>
      <c r="AC77" s="302">
        <f t="shared" si="22"/>
        <v>4552.1499999999996</v>
      </c>
      <c r="AD77" s="141">
        <f t="shared" si="24"/>
        <v>-23698.729999999989</v>
      </c>
      <c r="AE77" s="192">
        <f t="shared" si="25"/>
        <v>-5.2060520852783831</v>
      </c>
      <c r="AF77" s="228">
        <v>56418.11</v>
      </c>
      <c r="AG77" s="123">
        <f t="shared" si="23"/>
        <v>28167.23000000001</v>
      </c>
    </row>
    <row r="78" spans="1:33">
      <c r="A78" s="105" t="s">
        <v>281</v>
      </c>
      <c r="B78" s="105" t="s">
        <v>897</v>
      </c>
      <c r="C78" s="105" t="s">
        <v>282</v>
      </c>
      <c r="D78" s="212">
        <v>6102</v>
      </c>
      <c r="E78" s="212">
        <v>5610</v>
      </c>
      <c r="F78" s="212">
        <v>5686</v>
      </c>
      <c r="G78" s="212">
        <v>6412</v>
      </c>
      <c r="H78" s="212">
        <v>6631</v>
      </c>
      <c r="I78" s="212">
        <v>6287</v>
      </c>
      <c r="J78" s="212">
        <v>6318</v>
      </c>
      <c r="K78" s="212">
        <v>6451</v>
      </c>
      <c r="L78" s="212">
        <v>6452</v>
      </c>
      <c r="M78" s="212">
        <v>6481</v>
      </c>
      <c r="N78" s="212">
        <v>6016</v>
      </c>
      <c r="O78" s="212">
        <v>6002</v>
      </c>
      <c r="P78" s="227">
        <f t="shared" si="21"/>
        <v>74448</v>
      </c>
      <c r="Q78" s="231">
        <v>8435.07</v>
      </c>
      <c r="R78" s="231">
        <v>7098.34</v>
      </c>
      <c r="S78" s="231">
        <v>5518.51</v>
      </c>
      <c r="T78" s="231">
        <v>6346.16</v>
      </c>
      <c r="U78" s="231">
        <v>6896.72</v>
      </c>
      <c r="V78" s="231">
        <v>7172.87</v>
      </c>
      <c r="W78" s="141">
        <v>6176.44</v>
      </c>
      <c r="X78" s="141">
        <v>7425.2</v>
      </c>
      <c r="Y78" s="141">
        <v>10888</v>
      </c>
      <c r="Z78" s="141">
        <v>10354</v>
      </c>
      <c r="AA78" s="141">
        <v>9684</v>
      </c>
      <c r="AB78" s="141">
        <v>9686</v>
      </c>
      <c r="AC78" s="302">
        <f t="shared" si="22"/>
        <v>95681.31</v>
      </c>
      <c r="AD78" s="141">
        <f t="shared" si="24"/>
        <v>21233.309999999998</v>
      </c>
      <c r="AE78" s="192">
        <f t="shared" si="25"/>
        <v>0.22191700761622096</v>
      </c>
      <c r="AF78" s="228">
        <v>115327.73999999999</v>
      </c>
      <c r="AG78" s="123">
        <f t="shared" si="23"/>
        <v>40879.739999999991</v>
      </c>
    </row>
    <row r="79" spans="1:33">
      <c r="A79" s="105" t="s">
        <v>137</v>
      </c>
      <c r="B79" s="105" t="s">
        <v>897</v>
      </c>
      <c r="C79" s="105" t="s">
        <v>283</v>
      </c>
      <c r="D79" s="212">
        <v>22153.72</v>
      </c>
      <c r="E79" s="212">
        <v>18760.72</v>
      </c>
      <c r="F79" s="212">
        <v>18789.47</v>
      </c>
      <c r="G79" s="212">
        <v>19060.47</v>
      </c>
      <c r="H79" s="212">
        <v>20468.72</v>
      </c>
      <c r="I79" s="212">
        <v>19083.53</v>
      </c>
      <c r="J79" s="212">
        <v>18966.53</v>
      </c>
      <c r="K79" s="212">
        <v>18949.53</v>
      </c>
      <c r="L79" s="212">
        <v>19069.53</v>
      </c>
      <c r="M79" s="212">
        <v>22042.59</v>
      </c>
      <c r="N79" s="212">
        <v>19002.47</v>
      </c>
      <c r="O79" s="212">
        <v>18985.47</v>
      </c>
      <c r="P79" s="227">
        <f t="shared" si="21"/>
        <v>235332.75</v>
      </c>
      <c r="Q79" s="231">
        <v>18063.03</v>
      </c>
      <c r="R79" s="231">
        <v>27463.46</v>
      </c>
      <c r="S79" s="231">
        <v>25967.29</v>
      </c>
      <c r="T79" s="231">
        <v>23762.560000000001</v>
      </c>
      <c r="U79" s="231">
        <v>17152.84</v>
      </c>
      <c r="V79" s="231">
        <v>18505.650000000001</v>
      </c>
      <c r="W79" s="141">
        <v>18727.400000000001</v>
      </c>
      <c r="X79" s="141">
        <v>19313.830000000002</v>
      </c>
      <c r="Y79" s="141">
        <v>19727</v>
      </c>
      <c r="Z79" s="141">
        <v>21818</v>
      </c>
      <c r="AA79" s="141">
        <v>19981</v>
      </c>
      <c r="AB79" s="141">
        <v>19981</v>
      </c>
      <c r="AC79" s="302">
        <f t="shared" si="22"/>
        <v>250463.06</v>
      </c>
      <c r="AD79" s="141">
        <f t="shared" si="24"/>
        <v>15130.309999999998</v>
      </c>
      <c r="AE79" s="192">
        <f t="shared" si="25"/>
        <v>6.0409347390389619E-2</v>
      </c>
      <c r="AF79" s="228">
        <v>587114.87000000011</v>
      </c>
      <c r="AG79" s="123">
        <f t="shared" si="23"/>
        <v>351782.12000000011</v>
      </c>
    </row>
    <row r="80" spans="1:33">
      <c r="A80" s="105" t="s">
        <v>138</v>
      </c>
      <c r="B80" s="105" t="s">
        <v>897</v>
      </c>
      <c r="C80" s="105" t="s">
        <v>881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>
        <v>0</v>
      </c>
      <c r="J80" s="124">
        <v>0</v>
      </c>
      <c r="K80" s="124">
        <v>0</v>
      </c>
      <c r="L80" s="124">
        <v>0</v>
      </c>
      <c r="M80" s="124">
        <v>0</v>
      </c>
      <c r="N80" s="124">
        <v>0</v>
      </c>
      <c r="O80" s="124">
        <v>0</v>
      </c>
      <c r="P80" s="227"/>
      <c r="Q80" s="231"/>
      <c r="R80" s="231"/>
      <c r="S80" s="231"/>
      <c r="T80" s="231"/>
      <c r="U80" s="231"/>
      <c r="V80" s="231"/>
      <c r="W80" s="141">
        <v>0</v>
      </c>
      <c r="X80" s="141">
        <v>0</v>
      </c>
      <c r="Y80" s="141">
        <v>0</v>
      </c>
      <c r="Z80" s="141">
        <v>0</v>
      </c>
      <c r="AA80" s="141">
        <v>0</v>
      </c>
      <c r="AB80" s="141">
        <v>0</v>
      </c>
      <c r="AC80" s="302">
        <f t="shared" si="22"/>
        <v>0</v>
      </c>
      <c r="AD80" s="141"/>
      <c r="AF80" s="228">
        <v>0</v>
      </c>
      <c r="AG80" s="123">
        <f t="shared" si="23"/>
        <v>0</v>
      </c>
    </row>
    <row r="81" spans="1:33">
      <c r="A81" s="105" t="s">
        <v>140</v>
      </c>
      <c r="B81" s="105" t="s">
        <v>897</v>
      </c>
      <c r="C81" s="105" t="s">
        <v>882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227"/>
      <c r="Q81" s="231"/>
      <c r="R81" s="231"/>
      <c r="S81" s="231"/>
      <c r="T81" s="231"/>
      <c r="U81" s="231"/>
      <c r="V81" s="231"/>
      <c r="W81" s="141">
        <v>0</v>
      </c>
      <c r="X81" s="141">
        <v>0</v>
      </c>
      <c r="Y81" s="141">
        <v>0</v>
      </c>
      <c r="Z81" s="141">
        <v>0</v>
      </c>
      <c r="AA81" s="141">
        <v>0</v>
      </c>
      <c r="AB81" s="141">
        <v>0</v>
      </c>
      <c r="AC81" s="302">
        <f t="shared" si="22"/>
        <v>0</v>
      </c>
      <c r="AD81" s="141"/>
      <c r="AF81" s="228">
        <v>0</v>
      </c>
      <c r="AG81" s="123">
        <f t="shared" si="23"/>
        <v>0</v>
      </c>
    </row>
    <row r="82" spans="1:33">
      <c r="C82" s="109" t="s">
        <v>286</v>
      </c>
      <c r="D82" s="133">
        <f t="shared" ref="D82:I82" si="26">SUM(D73:D79)</f>
        <v>30743.29</v>
      </c>
      <c r="E82" s="133">
        <f t="shared" si="26"/>
        <v>26858.29</v>
      </c>
      <c r="F82" s="133">
        <f t="shared" si="26"/>
        <v>26963.040000000001</v>
      </c>
      <c r="G82" s="133">
        <f t="shared" si="26"/>
        <v>27960.04</v>
      </c>
      <c r="H82" s="133">
        <f t="shared" si="26"/>
        <v>29587.29</v>
      </c>
      <c r="I82" s="133">
        <f t="shared" si="26"/>
        <v>27858.1</v>
      </c>
      <c r="J82" s="133">
        <f t="shared" ref="J82:P82" si="27">SUM(J73:J81)</f>
        <v>27772.1</v>
      </c>
      <c r="K82" s="133">
        <f t="shared" si="27"/>
        <v>27888.1</v>
      </c>
      <c r="L82" s="133">
        <f t="shared" si="27"/>
        <v>28009.1</v>
      </c>
      <c r="M82" s="133">
        <f t="shared" si="27"/>
        <v>31011.16</v>
      </c>
      <c r="N82" s="133">
        <f t="shared" si="27"/>
        <v>27506.04</v>
      </c>
      <c r="O82" s="133">
        <f t="shared" si="27"/>
        <v>27475.040000000001</v>
      </c>
      <c r="P82" s="227">
        <f t="shared" si="27"/>
        <v>339631.58999999997</v>
      </c>
      <c r="Q82" s="145">
        <f t="shared" ref="Q82:AC82" si="28">SUM(Q73:Q79)</f>
        <v>27215.82</v>
      </c>
      <c r="R82" s="145">
        <f t="shared" si="28"/>
        <v>35234.019999999997</v>
      </c>
      <c r="S82" s="145">
        <f t="shared" si="28"/>
        <v>32323.850000000002</v>
      </c>
      <c r="T82" s="145">
        <f t="shared" si="28"/>
        <v>30676.06</v>
      </c>
      <c r="U82" s="145">
        <f t="shared" si="28"/>
        <v>24579.040000000001</v>
      </c>
      <c r="V82" s="145">
        <f t="shared" si="28"/>
        <v>26185.97</v>
      </c>
      <c r="W82" s="145">
        <f t="shared" si="28"/>
        <v>25439.43</v>
      </c>
      <c r="X82" s="145">
        <f t="shared" si="28"/>
        <v>27266.800000000003</v>
      </c>
      <c r="Y82" s="145">
        <f t="shared" si="28"/>
        <v>31172</v>
      </c>
      <c r="Z82" s="145">
        <f t="shared" si="28"/>
        <v>32729</v>
      </c>
      <c r="AA82" s="145">
        <f t="shared" si="28"/>
        <v>30222</v>
      </c>
      <c r="AB82" s="145">
        <f t="shared" si="28"/>
        <v>30224</v>
      </c>
      <c r="AC82" s="306">
        <f t="shared" si="28"/>
        <v>353267.99</v>
      </c>
      <c r="AD82" s="142">
        <f t="shared" si="24"/>
        <v>13636.400000000023</v>
      </c>
      <c r="AE82" s="132">
        <f t="shared" si="25"/>
        <v>3.8600723490401785E-2</v>
      </c>
      <c r="AF82" s="228">
        <v>762060.72000000009</v>
      </c>
      <c r="AG82" s="123">
        <f t="shared" si="23"/>
        <v>422429.13000000012</v>
      </c>
    </row>
    <row r="83" spans="1:33">
      <c r="C83" s="109" t="s">
        <v>287</v>
      </c>
      <c r="D83" s="133">
        <f t="shared" ref="D83:AC83" si="29">D82+D71+D61+D54</f>
        <v>222450.33</v>
      </c>
      <c r="E83" s="133">
        <f t="shared" si="29"/>
        <v>192397.15</v>
      </c>
      <c r="F83" s="133">
        <f t="shared" si="29"/>
        <v>196480.3</v>
      </c>
      <c r="G83" s="133">
        <f t="shared" si="29"/>
        <v>203921.53999999998</v>
      </c>
      <c r="H83" s="133">
        <f t="shared" si="29"/>
        <v>211147.44999999998</v>
      </c>
      <c r="I83" s="133">
        <f t="shared" si="29"/>
        <v>197375.35999999999</v>
      </c>
      <c r="J83" s="133">
        <f t="shared" si="29"/>
        <v>198959.77999999997</v>
      </c>
      <c r="K83" s="133">
        <f t="shared" si="29"/>
        <v>198601</v>
      </c>
      <c r="L83" s="133">
        <f t="shared" si="29"/>
        <v>198722</v>
      </c>
      <c r="M83" s="133">
        <f t="shared" si="29"/>
        <v>230030.78</v>
      </c>
      <c r="N83" s="133">
        <f t="shared" si="29"/>
        <v>198693.71999999997</v>
      </c>
      <c r="O83" s="133">
        <f t="shared" si="29"/>
        <v>198187.94</v>
      </c>
      <c r="P83" s="227">
        <f t="shared" si="29"/>
        <v>2446967.3499999996</v>
      </c>
      <c r="Q83" s="145">
        <f t="shared" si="29"/>
        <v>227197.8</v>
      </c>
      <c r="R83" s="145">
        <f t="shared" si="29"/>
        <v>253591.61000000002</v>
      </c>
      <c r="S83" s="145">
        <f t="shared" si="29"/>
        <v>229380.40999999997</v>
      </c>
      <c r="T83" s="145">
        <f t="shared" si="29"/>
        <v>217288.01</v>
      </c>
      <c r="U83" s="145">
        <f t="shared" si="29"/>
        <v>212928</v>
      </c>
      <c r="V83" s="145">
        <f t="shared" si="29"/>
        <v>191798.92</v>
      </c>
      <c r="W83" s="145">
        <f t="shared" si="29"/>
        <v>193126.37000000002</v>
      </c>
      <c r="X83" s="145">
        <f t="shared" si="29"/>
        <v>196772.35</v>
      </c>
      <c r="Y83" s="145">
        <f t="shared" si="29"/>
        <v>220028.65</v>
      </c>
      <c r="Z83" s="145">
        <f t="shared" si="29"/>
        <v>241062.43</v>
      </c>
      <c r="AA83" s="145">
        <f t="shared" si="29"/>
        <v>239844.88</v>
      </c>
      <c r="AB83" s="145">
        <f t="shared" si="29"/>
        <v>209823.35</v>
      </c>
      <c r="AC83" s="306">
        <f t="shared" si="29"/>
        <v>2632842.7800000003</v>
      </c>
      <c r="AD83" s="142">
        <f t="shared" si="24"/>
        <v>185875.43000000063</v>
      </c>
      <c r="AE83" s="132">
        <f t="shared" si="25"/>
        <v>7.0598757894689265E-2</v>
      </c>
      <c r="AF83" s="228">
        <v>3311578.46</v>
      </c>
      <c r="AG83" s="123">
        <f t="shared" si="23"/>
        <v>864611.11000000034</v>
      </c>
    </row>
    <row r="84" spans="1:33">
      <c r="C84" s="105" t="s">
        <v>154</v>
      </c>
      <c r="AC84" s="227"/>
      <c r="AF84" s="228"/>
      <c r="AG84" s="123">
        <f t="shared" si="23"/>
        <v>0</v>
      </c>
    </row>
    <row r="85" spans="1:33" s="256" customFormat="1">
      <c r="A85" s="109" t="s">
        <v>141</v>
      </c>
      <c r="B85" s="256" t="s">
        <v>897</v>
      </c>
      <c r="C85" s="256" t="s">
        <v>288</v>
      </c>
      <c r="D85" s="215">
        <v>20</v>
      </c>
      <c r="E85" s="215">
        <v>20</v>
      </c>
      <c r="F85" s="215">
        <v>20</v>
      </c>
      <c r="G85" s="215">
        <v>20</v>
      </c>
      <c r="H85" s="215">
        <v>20</v>
      </c>
      <c r="I85" s="215">
        <v>20</v>
      </c>
      <c r="J85" s="215">
        <v>20</v>
      </c>
      <c r="K85" s="215">
        <v>20</v>
      </c>
      <c r="L85" s="215">
        <v>20</v>
      </c>
      <c r="M85" s="215">
        <v>20</v>
      </c>
      <c r="N85" s="215">
        <v>20</v>
      </c>
      <c r="O85" s="215">
        <v>20</v>
      </c>
      <c r="P85" s="224">
        <f>SUM(D85:O85)/12</f>
        <v>20</v>
      </c>
      <c r="Q85" s="256">
        <v>22</v>
      </c>
      <c r="R85" s="256">
        <v>22</v>
      </c>
      <c r="S85" s="256">
        <v>22</v>
      </c>
      <c r="T85" s="256">
        <v>21</v>
      </c>
      <c r="U85" s="256">
        <v>20</v>
      </c>
      <c r="V85" s="256">
        <v>19</v>
      </c>
      <c r="W85" s="142">
        <v>20</v>
      </c>
      <c r="X85" s="142">
        <v>20</v>
      </c>
      <c r="Y85" s="142">
        <v>20</v>
      </c>
      <c r="Z85" s="142">
        <v>20</v>
      </c>
      <c r="AA85" s="142">
        <v>20</v>
      </c>
      <c r="AB85" s="142">
        <v>20</v>
      </c>
      <c r="AC85" s="308">
        <f>SUM(Q85:AB85)/12</f>
        <v>20.5</v>
      </c>
      <c r="AD85" s="294">
        <f>AC85-P85</f>
        <v>0.5</v>
      </c>
      <c r="AE85" s="295"/>
      <c r="AF85" s="308">
        <v>34.75</v>
      </c>
      <c r="AG85" s="296">
        <f t="shared" si="23"/>
        <v>14.75</v>
      </c>
    </row>
    <row r="86" spans="1:33">
      <c r="AC86" s="227"/>
    </row>
    <row r="88" spans="1:33">
      <c r="C88" s="105" t="s">
        <v>883</v>
      </c>
      <c r="D88" s="141">
        <f>'2025 Summay'!E16</f>
        <v>39233149</v>
      </c>
      <c r="E88" s="141">
        <f>'2025 Summay'!F16</f>
        <v>43452422</v>
      </c>
      <c r="F88" s="141">
        <f>'2025 Summay'!G16</f>
        <v>27030377</v>
      </c>
      <c r="G88" s="141">
        <f>'2025 Summay'!H16</f>
        <v>25027257</v>
      </c>
      <c r="H88" s="141">
        <f>'2025 Summay'!I16</f>
        <v>23807640</v>
      </c>
      <c r="I88" s="141">
        <f>'2025 Summay'!J16</f>
        <v>21296011</v>
      </c>
      <c r="J88" s="141">
        <f>'2025 Summay'!K16</f>
        <v>30906188</v>
      </c>
      <c r="K88" s="141">
        <f>'2025 Summay'!L16</f>
        <v>34819289</v>
      </c>
      <c r="L88" s="141">
        <f>'2025 Summay'!M16</f>
        <v>20076077</v>
      </c>
      <c r="M88" s="141">
        <f>'2025 Summay'!N16</f>
        <v>25381394</v>
      </c>
      <c r="N88" s="141">
        <f>'2025 Summay'!O16</f>
        <v>21936590</v>
      </c>
      <c r="O88" s="141">
        <f>'2025 Summay'!P16</f>
        <v>27659550</v>
      </c>
      <c r="P88" s="309">
        <f>SUM(D88:O88)</f>
        <v>340625944</v>
      </c>
      <c r="Q88" s="284" t="e">
        <f>SUM(#REF!)</f>
        <v>#REF!</v>
      </c>
      <c r="R88" s="284" t="e">
        <f>SUM(#REF!)</f>
        <v>#REF!</v>
      </c>
      <c r="S88" s="284" t="e">
        <f>SUM(#REF!)</f>
        <v>#REF!</v>
      </c>
      <c r="T88" s="284">
        <f>SUM(A88:L88)</f>
        <v>265648410</v>
      </c>
      <c r="U88" s="284">
        <f>SUM(B88:M88)</f>
        <v>291029804</v>
      </c>
      <c r="V88" s="284">
        <f>SUM(C88:N88)</f>
        <v>312966394</v>
      </c>
      <c r="W88" s="284">
        <f>SUM(D88:O88)</f>
        <v>340625944</v>
      </c>
      <c r="X88" s="284">
        <f>SUM(E88:P88)</f>
        <v>642018739</v>
      </c>
      <c r="Y88" s="284"/>
    </row>
    <row r="90" spans="1:33">
      <c r="C90" s="151" t="s">
        <v>292</v>
      </c>
      <c r="D90" s="124">
        <v>59951</v>
      </c>
      <c r="E90" s="124">
        <v>59951</v>
      </c>
      <c r="F90" s="124">
        <v>59951</v>
      </c>
      <c r="G90" s="124">
        <v>59951</v>
      </c>
      <c r="H90" s="124">
        <v>59951</v>
      </c>
      <c r="I90" s="124">
        <v>59951</v>
      </c>
      <c r="J90" s="124">
        <v>59951</v>
      </c>
      <c r="K90" s="124">
        <v>59951</v>
      </c>
      <c r="L90" s="124">
        <v>59951</v>
      </c>
      <c r="M90" s="124">
        <v>59951</v>
      </c>
      <c r="N90" s="124">
        <v>59951</v>
      </c>
      <c r="O90" s="124">
        <v>59951</v>
      </c>
      <c r="P90" s="227">
        <f t="shared" ref="P90:P92" si="30">SUM(D90:O90)</f>
        <v>719412</v>
      </c>
    </row>
    <row r="91" spans="1:33">
      <c r="C91" s="152" t="s">
        <v>366</v>
      </c>
      <c r="D91" s="136">
        <v>0</v>
      </c>
      <c r="E91" s="136">
        <v>0</v>
      </c>
      <c r="F91" s="136">
        <v>0</v>
      </c>
      <c r="G91" s="136">
        <v>0</v>
      </c>
      <c r="H91" s="136">
        <v>0</v>
      </c>
      <c r="I91" s="136">
        <v>0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227">
        <f t="shared" si="30"/>
        <v>0</v>
      </c>
    </row>
    <row r="92" spans="1:33">
      <c r="C92" s="151" t="s">
        <v>367</v>
      </c>
      <c r="D92" s="136">
        <v>0</v>
      </c>
      <c r="E92" s="136">
        <v>0</v>
      </c>
      <c r="F92" s="136">
        <v>0</v>
      </c>
      <c r="G92" s="136">
        <v>0</v>
      </c>
      <c r="H92" s="136">
        <v>0</v>
      </c>
      <c r="I92" s="136">
        <v>0</v>
      </c>
      <c r="J92" s="136">
        <v>0</v>
      </c>
      <c r="K92" s="136">
        <v>0</v>
      </c>
      <c r="L92" s="136">
        <v>0</v>
      </c>
      <c r="M92" s="136">
        <v>0</v>
      </c>
      <c r="N92" s="136">
        <v>0</v>
      </c>
      <c r="O92" s="136">
        <v>0</v>
      </c>
      <c r="P92" s="227">
        <f t="shared" si="30"/>
        <v>0</v>
      </c>
    </row>
    <row r="93" spans="1:33">
      <c r="C93" s="109" t="s">
        <v>476</v>
      </c>
      <c r="D93" s="117">
        <f>SUM(D90:D92)</f>
        <v>59951</v>
      </c>
      <c r="E93" s="117">
        <f t="shared" ref="E93:P93" si="31">SUM(E90:E92)</f>
        <v>59951</v>
      </c>
      <c r="F93" s="117">
        <f t="shared" si="31"/>
        <v>59951</v>
      </c>
      <c r="G93" s="117">
        <f t="shared" si="31"/>
        <v>59951</v>
      </c>
      <c r="H93" s="117">
        <f t="shared" si="31"/>
        <v>59951</v>
      </c>
      <c r="I93" s="117">
        <f t="shared" si="31"/>
        <v>59951</v>
      </c>
      <c r="J93" s="117">
        <f t="shared" si="31"/>
        <v>59951</v>
      </c>
      <c r="K93" s="117">
        <f t="shared" si="31"/>
        <v>59951</v>
      </c>
      <c r="L93" s="117">
        <f t="shared" si="31"/>
        <v>59951</v>
      </c>
      <c r="M93" s="117">
        <f t="shared" si="31"/>
        <v>59951</v>
      </c>
      <c r="N93" s="117">
        <f t="shared" si="31"/>
        <v>59951</v>
      </c>
      <c r="O93" s="117">
        <f t="shared" si="31"/>
        <v>59951</v>
      </c>
      <c r="P93" s="117">
        <f t="shared" si="31"/>
        <v>719412</v>
      </c>
    </row>
    <row r="95" spans="1:33">
      <c r="D95" s="124"/>
    </row>
  </sheetData>
  <phoneticPr fontId="7" type="noConversion"/>
  <dataValidations count="172">
    <dataValidation type="textLength" errorStyle="information" allowBlank="1" showInputMessage="1" showErrorMessage="1" error="XLBVal:6=19_x000d__x000a_" sqref="V85">
      <formula1>0</formula1>
      <formula2>300</formula2>
    </dataValidation>
    <dataValidation type="textLength" errorStyle="information" allowBlank="1" showInputMessage="1" showErrorMessage="1" error="XLBVal:6=21_x000d__x000a_" sqref="T85">
      <formula1>0</formula1>
      <formula2>300</formula2>
    </dataValidation>
    <dataValidation type="textLength" errorStyle="information" allowBlank="1" showInputMessage="1" showErrorMessage="1" error="XLBVal:6=136_x000d__x000a_" sqref="U76">
      <formula1>0</formula1>
      <formula2>300</formula2>
    </dataValidation>
    <dataValidation type="textLength" errorStyle="information" allowBlank="1" showInputMessage="1" showErrorMessage="1" error="XLBVal:6=8041.6_x000d__x000a_" sqref="U68">
      <formula1>0</formula1>
      <formula2>300</formula2>
    </dataValidation>
    <dataValidation type="textLength" errorStyle="information" allowBlank="1" showInputMessage="1" showErrorMessage="1" error="XLBVal:6=7237_x000d__x000a_" sqref="T68">
      <formula1>0</formula1>
      <formula2>300</formula2>
    </dataValidation>
    <dataValidation type="textLength" errorStyle="information" allowBlank="1" showInputMessage="1" showErrorMessage="1" error="XLBVal:6=200.59_x000d__x000a_" sqref="U66">
      <formula1>0</formula1>
      <formula2>300</formula2>
    </dataValidation>
    <dataValidation type="textLength" errorStyle="information" allowBlank="1" showInputMessage="1" showErrorMessage="1" error="XLBVal:6=173.29_x000d__x000a_" sqref="T66">
      <formula1>0</formula1>
      <formula2>300</formula2>
    </dataValidation>
    <dataValidation type="textLength" errorStyle="information" allowBlank="1" showInputMessage="1" showErrorMessage="1" error="XLBVal:6=769.71_x000d__x000a_" sqref="U65">
      <formula1>0</formula1>
      <formula2>300</formula2>
    </dataValidation>
    <dataValidation type="textLength" errorStyle="information" allowBlank="1" showInputMessage="1" showErrorMessage="1" error="XLBVal:6=721.93_x000d__x000a_" sqref="T65">
      <formula1>0</formula1>
      <formula2>300</formula2>
    </dataValidation>
    <dataValidation type="textLength" errorStyle="information" allowBlank="1" showInputMessage="1" showErrorMessage="1" error="XLBVal:6=12819.1_x000d__x000a_" sqref="U64">
      <formula1>0</formula1>
      <formula2>300</formula2>
    </dataValidation>
    <dataValidation type="textLength" errorStyle="information" allowBlank="1" showInputMessage="1" showErrorMessage="1" error="XLBVal:6=12273.08_x000d__x000a_" sqref="T64">
      <formula1>0</formula1>
      <formula2>300</formula2>
    </dataValidation>
    <dataValidation type="textLength" errorStyle="information" allowBlank="1" showInputMessage="1" showErrorMessage="1" error="XLBVal:6=24194.32_x000d__x000a_" sqref="U63">
      <formula1>0</formula1>
      <formula2>300</formula2>
    </dataValidation>
    <dataValidation type="textLength" errorStyle="information" allowBlank="1" showInputMessage="1" showErrorMessage="1" error="XLBVal:6=23102.28_x000d__x000a_" sqref="T63">
      <formula1>0</formula1>
      <formula2>300</formula2>
    </dataValidation>
    <dataValidation type="textLength" errorStyle="information" allowBlank="1" showInputMessage="1" showErrorMessage="1" error="XLBVal:6=59200_x000d__x000a_" sqref="U53">
      <formula1>0</formula1>
      <formula2>300</formula2>
    </dataValidation>
    <dataValidation type="textLength" errorStyle="information" allowBlank="1" showInputMessage="1" showErrorMessage="1" error="XLBVal:6=38994.26_x000d__x000a_" sqref="U52">
      <formula1>0</formula1>
      <formula2>300</formula2>
    </dataValidation>
    <dataValidation type="textLength" errorStyle="information" allowBlank="1" showInputMessage="1" showErrorMessage="1" error="XLBVal:6=589_x000d__x000a_" sqref="R25">
      <formula1>0</formula1>
      <formula2>300</formula2>
    </dataValidation>
    <dataValidation type="textLength" errorStyle="information" allowBlank="1" showInputMessage="1" showErrorMessage="1" error="XLBVal:6=602.1_x000d__x000a_" sqref="Q25">
      <formula1>0</formula1>
      <formula2>300</formula2>
    </dataValidation>
    <dataValidation type="textLength" errorStyle="information" allowBlank="1" showInputMessage="1" showErrorMessage="1" error="XLBVal:6=13.6_x000d__x000a_" sqref="U21">
      <formula1>0</formula1>
      <formula2>300</formula2>
    </dataValidation>
    <dataValidation type="textLength" errorStyle="information" allowBlank="1" showInputMessage="1" showErrorMessage="1" error="XLBVal:6=6425_x000d__x000a_" sqref="Q18:S18">
      <formula1>0</formula1>
      <formula2>300</formula2>
    </dataValidation>
    <dataValidation type="textLength" errorStyle="information" allowBlank="1" showInputMessage="1" showErrorMessage="1" error="XLBVal:6=296.98_x000d__x000a_" sqref="V15">
      <formula1>0</formula1>
      <formula2>300</formula2>
    </dataValidation>
    <dataValidation type="textLength" errorStyle="information" allowBlank="1" showInputMessage="1" showErrorMessage="1" error="XLBVal:6=34143_x000d__x000a_" sqref="D52:D53 D56:O60 D63:O70 D73:O77 D85:O85">
      <formula1>0</formula1>
      <formula2>300</formula2>
    </dataValidation>
    <dataValidation type="textLength" errorStyle="information" allowBlank="1" showInputMessage="1" showErrorMessage="1" error="XLBVal:6=566.05_x000d__x000a_" sqref="S77">
      <formula1>0</formula1>
      <formula2>300</formula2>
    </dataValidation>
    <dataValidation type="textLength" errorStyle="information" allowBlank="1" showInputMessage="1" showErrorMessage="1" error="XLBVal:6=171.47_x000d__x000a_" sqref="T76">
      <formula1>0</formula1>
      <formula2>300</formula2>
    </dataValidation>
    <dataValidation type="textLength" errorStyle="information" allowBlank="1" showInputMessage="1" showErrorMessage="1" error="XLBVal:6=13997.19_x000d__x000a_" sqref="V57">
      <formula1>0</formula1>
      <formula2>300</formula2>
    </dataValidation>
    <dataValidation type="textLength" errorStyle="information" allowBlank="1" showInputMessage="1" showErrorMessage="1" error="XLBVal:6=14437.39_x000d__x000a_" sqref="U57">
      <formula1>0</formula1>
      <formula2>300</formula2>
    </dataValidation>
    <dataValidation type="textLength" errorStyle="information" allowBlank="1" showInputMessage="1" showErrorMessage="1" error="XLBVal:6=15415.68_x000d__x000a_" sqref="T57">
      <formula1>0</formula1>
      <formula2>300</formula2>
    </dataValidation>
    <dataValidation type="textLength" errorStyle="information" allowBlank="1" showInputMessage="1" showErrorMessage="1" error="XLBVal:6=24642.62_x000d__x000a_" sqref="S57">
      <formula1>0</formula1>
      <formula2>300</formula2>
    </dataValidation>
    <dataValidation type="textLength" errorStyle="information" allowBlank="1" showInputMessage="1" showErrorMessage="1" error="XLBVal:6=5365.62_x000d__x000a_" sqref="Q56">
      <formula1>0</formula1>
      <formula2>300</formula2>
    </dataValidation>
    <dataValidation type="textLength" errorStyle="information" allowBlank="1" showInputMessage="1" showErrorMessage="1" error="XLBVal:6=552.54_x000d__x000a_" sqref="T21">
      <formula1>0</formula1>
      <formula2>300</formula2>
    </dataValidation>
    <dataValidation type="textLength" errorStyle="information" allowBlank="1" showInputMessage="1" showErrorMessage="1" error="XLBVal:6=0_x000d__x000a_" sqref="T18">
      <formula1>0</formula1>
      <formula2>300</formula2>
    </dataValidation>
    <dataValidation type="textLength" errorStyle="information" allowBlank="1" showInputMessage="1" showErrorMessage="1" error="XLBVal:6=22_x000d__x000a_" sqref="Q85:S85">
      <formula1>0</formula1>
      <formula2>300</formula2>
    </dataValidation>
    <dataValidation type="textLength" errorStyle="information" allowBlank="1" showInputMessage="1" showErrorMessage="1" error="XLBVal:6=30770.58_x000d__x000a_" sqref="AB45">
      <formula1>0</formula1>
      <formula2>300</formula2>
    </dataValidation>
    <dataValidation type="textLength" errorStyle="information" allowBlank="1" showInputMessage="1" showErrorMessage="1" error="XLBVal:6=646_x000d__x000a_" sqref="AB25">
      <formula1>0</formula1>
      <formula2>300</formula2>
    </dataValidation>
    <dataValidation type="textLength" errorStyle="information" allowBlank="1" showInputMessage="1" showErrorMessage="1" error="XLBVal:6=930.14_x000d__x000a_" sqref="AB24">
      <formula1>0</formula1>
      <formula2>300</formula2>
    </dataValidation>
    <dataValidation type="textLength" errorStyle="information" allowBlank="1" showInputMessage="1" showErrorMessage="1" error="XLBVal:6=704.17_x000d__x000a_" sqref="AB22">
      <formula1>0</formula1>
      <formula2>300</formula2>
    </dataValidation>
    <dataValidation type="textLength" errorStyle="information" allowBlank="1" showInputMessage="1" showErrorMessage="1" error="XLBVal:6=621.33_x000d__x000a_" sqref="AB21">
      <formula1>0</formula1>
      <formula2>300</formula2>
    </dataValidation>
    <dataValidation type="textLength" errorStyle="information" allowBlank="1" showInputMessage="1" showErrorMessage="1" error="XLBVal:6=468.13_x000d__x000a_" sqref="AB15">
      <formula1>0</formula1>
      <formula2>300</formula2>
    </dataValidation>
    <dataValidation type="textLength" errorStyle="information" allowBlank="1" showInputMessage="1" showErrorMessage="1" error="XLBVal:6=68920.07_x000d__x000a_" sqref="AB12">
      <formula1>0</formula1>
      <formula2>300</formula2>
    </dataValidation>
    <dataValidation type="textLength" errorStyle="information" allowBlank="1" showInputMessage="1" showErrorMessage="1" error="XLBVal:6=28825.53_x000d__x000a_" sqref="AA45">
      <formula1>0</formula1>
      <formula2>300</formula2>
    </dataValidation>
    <dataValidation type="textLength" errorStyle="information" allowBlank="1" showInputMessage="1" showErrorMessage="1" error="XLBVal:6=27810.54_x000d__x000a_" sqref="Z45">
      <formula1>0</formula1>
      <formula2>300</formula2>
    </dataValidation>
    <dataValidation type="textLength" errorStyle="information" allowBlank="1" showInputMessage="1" showErrorMessage="1" error="XLBVal:6=-1369_x000d__x000a_" sqref="Z25">
      <formula1>0</formula1>
      <formula2>300</formula2>
    </dataValidation>
    <dataValidation type="textLength" errorStyle="information" allowBlank="1" showInputMessage="1" showErrorMessage="1" error="XLBVal:6=851.26_x000d__x000a_" sqref="AA24">
      <formula1>0</formula1>
      <formula2>300</formula2>
    </dataValidation>
    <dataValidation type="textLength" errorStyle="information" allowBlank="1" showInputMessage="1" showErrorMessage="1" error="XLBVal:6=933.25_x000d__x000a_" sqref="Z24">
      <formula1>0</formula1>
      <formula2>300</formula2>
    </dataValidation>
    <dataValidation type="textLength" errorStyle="information" allowBlank="1" showInputMessage="1" showErrorMessage="1" error="XLBVal:6=749.64_x000d__x000a_" sqref="AA22">
      <formula1>0</formula1>
      <formula2>300</formula2>
    </dataValidation>
    <dataValidation type="textLength" errorStyle="information" allowBlank="1" showInputMessage="1" showErrorMessage="1" error="XLBVal:6=715.89_x000d__x000a_" sqref="Z22">
      <formula1>0</formula1>
      <formula2>300</formula2>
    </dataValidation>
    <dataValidation type="textLength" errorStyle="information" allowBlank="1" showInputMessage="1" showErrorMessage="1" error="XLBVal:6=1391.39_x000d__x000a_" sqref="AA21">
      <formula1>0</formula1>
      <formula2>300</formula2>
    </dataValidation>
    <dataValidation type="textLength" errorStyle="information" allowBlank="1" showInputMessage="1" showErrorMessage="1" error="XLBVal:6=204_x000d__x000a_" sqref="Z21">
      <formula1>0</formula1>
      <formula2>300</formula2>
    </dataValidation>
    <dataValidation type="textLength" errorStyle="information" allowBlank="1" showInputMessage="1" showErrorMessage="1" error="XLBVal:6=1854.04_x000d__x000a_" sqref="AA15">
      <formula1>0</formula1>
      <formula2>300</formula2>
    </dataValidation>
    <dataValidation type="textLength" errorStyle="information" allowBlank="1" showInputMessage="1" showErrorMessage="1" error="XLBVal:6=40792.84_x000d__x000a_" sqref="AA12">
      <formula1>0</formula1>
      <formula2>300</formula2>
    </dataValidation>
    <dataValidation type="textLength" errorStyle="information" allowBlank="1" showInputMessage="1" showErrorMessage="1" error="XLBVal:6=68439.24_x000d__x000a_" sqref="Z12">
      <formula1>0</formula1>
      <formula2>300</formula2>
    </dataValidation>
    <dataValidation type="textLength" errorStyle="information" allowBlank="1" showInputMessage="1" showErrorMessage="1" error="XLBVal:6=39294.3_x000d__x000a_" sqref="Y45">
      <formula1>0</formula1>
      <formula2>300</formula2>
    </dataValidation>
    <dataValidation type="textLength" errorStyle="information" allowBlank="1" showInputMessage="1" showErrorMessage="1" error="XLBVal:6=786.86_x000d__x000a_" sqref="Y25">
      <formula1>0</formula1>
      <formula2>300</formula2>
    </dataValidation>
    <dataValidation type="textLength" errorStyle="information" allowBlank="1" showInputMessage="1" showErrorMessage="1" error="XLBVal:6=995.95_x000d__x000a_" sqref="Y24">
      <formula1>0</formula1>
      <formula2>300</formula2>
    </dataValidation>
    <dataValidation type="textLength" errorStyle="information" allowBlank="1" showInputMessage="1" showErrorMessage="1" error="XLBVal:6=883.57_x000d__x000a_" sqref="Y22">
      <formula1>0</formula1>
      <formula2>300</formula2>
    </dataValidation>
    <dataValidation type="textLength" errorStyle="information" allowBlank="1" showInputMessage="1" showErrorMessage="1" error="XLBVal:6=2579.78_x000d__x000a_" sqref="Y15">
      <formula1>0</formula1>
      <formula2>300</formula2>
    </dataValidation>
    <dataValidation type="textLength" errorStyle="information" allowBlank="1" showInputMessage="1" showErrorMessage="1" error="XLBVal:6=48991.93_x000d__x000a_" sqref="Y12">
      <formula1>0</formula1>
      <formula2>300</formula2>
    </dataValidation>
    <dataValidation type="textLength" errorStyle="information" allowBlank="1" showInputMessage="1" showErrorMessage="1" error="XLBVal:6=27521.9_x000d__x000a_" sqref="X45">
      <formula1>0</formula1>
      <formula2>300</formula2>
    </dataValidation>
    <dataValidation type="textLength" errorStyle="information" allowBlank="1" showInputMessage="1" showErrorMessage="1" error="XLBVal:6=839.17_x000d__x000a_" sqref="X25">
      <formula1>0</formula1>
      <formula2>300</formula2>
    </dataValidation>
    <dataValidation type="textLength" errorStyle="information" allowBlank="1" showInputMessage="1" showErrorMessage="1" error="XLBVal:6=1055.95_x000d__x000a_" sqref="X24">
      <formula1>0</formula1>
      <formula2>300</formula2>
    </dataValidation>
    <dataValidation type="textLength" errorStyle="information" allowBlank="1" showInputMessage="1" showErrorMessage="1" error="XLBVal:6=554.87_x000d__x000a_" sqref="X22">
      <formula1>0</formula1>
      <formula2>300</formula2>
    </dataValidation>
    <dataValidation type="textLength" errorStyle="information" allowBlank="1" showInputMessage="1" showErrorMessage="1" error="XLBVal:6=450.95_x000d__x000a_" sqref="X21">
      <formula1>0</formula1>
      <formula2>300</formula2>
    </dataValidation>
    <dataValidation type="textLength" errorStyle="information" allowBlank="1" showInputMessage="1" showErrorMessage="1" error="XLBVal:6=12_x000d__x000a_" sqref="X20">
      <formula1>0</formula1>
      <formula2>300</formula2>
    </dataValidation>
    <dataValidation type="textLength" errorStyle="information" allowBlank="1" showInputMessage="1" showErrorMessage="1" error="XLBVal:6=52574.15_x000d__x000a_" sqref="X12">
      <formula1>0</formula1>
      <formula2>300</formula2>
    </dataValidation>
    <dataValidation type="textLength" errorStyle="information" allowBlank="1" showInputMessage="1" showErrorMessage="1" error="XLBVal:6=132_x000d__x000a_" sqref="V76">
      <formula1>0</formula1>
      <formula2>300</formula2>
    </dataValidation>
    <dataValidation type="textLength" errorStyle="information" allowBlank="1" showInputMessage="1" showErrorMessage="1" error="XLBVal:6=24592.29_x000d__x000a_" sqref="R57">
      <formula1>0</formula1>
      <formula2>300</formula2>
    </dataValidation>
    <dataValidation type="textLength" errorStyle="information" allowBlank="1" showInputMessage="1" showErrorMessage="1" error="XLBVal:6=37500_x000d__x000a_" sqref="Q52:S52">
      <formula1>0</formula1>
      <formula2>300</formula2>
    </dataValidation>
    <dataValidation type="textLength" errorStyle="information" allowBlank="1" showInputMessage="1" showErrorMessage="1" error="XLBVal:6=-7441.34_x000d__x000a_" sqref="S25">
      <formula1>0</formula1>
      <formula2>300</formula2>
    </dataValidation>
    <dataValidation type="textLength" errorStyle="information" allowBlank="1" showInputMessage="1" showErrorMessage="1" error="XLBVal:6=3000_x000d__x000a_" sqref="Q60:V60">
      <formula1>0</formula1>
      <formula2>300</formula2>
    </dataValidation>
    <dataValidation type="textLength" errorStyle="information" allowBlank="1" showInputMessage="1" showErrorMessage="1" error="XLBVal:6=29431.32_x000d__x000a_" sqref="W45">
      <formula1>0</formula1>
      <formula2>300</formula2>
    </dataValidation>
    <dataValidation type="textLength" errorStyle="information" allowBlank="1" showInputMessage="1" showErrorMessage="1" error="XLBVal:6=588.68_x000d__x000a_" sqref="W24">
      <formula1>0</formula1>
      <formula2>300</formula2>
    </dataValidation>
    <dataValidation type="textLength" errorStyle="information" allowBlank="1" showInputMessage="1" showErrorMessage="1" error="XLBVal:6=495.96_x000d__x000a_" sqref="W22">
      <formula1>0</formula1>
      <formula2>300</formula2>
    </dataValidation>
    <dataValidation type="textLength" errorStyle="information" allowBlank="1" showInputMessage="1" showErrorMessage="1" error="XLBVal:6=581.44_x000d__x000a_" sqref="W21">
      <formula1>0</formula1>
      <formula2>300</formula2>
    </dataValidation>
    <dataValidation type="textLength" errorStyle="information" allowBlank="1" showInputMessage="1" showErrorMessage="1" error="XLBVal:6=3216.41_x000d__x000a_" sqref="W15">
      <formula1>0</formula1>
      <formula2>300</formula2>
    </dataValidation>
    <dataValidation type="textLength" errorStyle="information" allowBlank="1" showInputMessage="1" showErrorMessage="1" error="XLBVal:6=15911.47_x000d__x000a_" sqref="W12">
      <formula1>0</formula1>
      <formula2>300</formula2>
    </dataValidation>
    <dataValidation type="textLength" errorStyle="information" allowBlank="1" showInputMessage="1" showErrorMessage="1" error="XLBVal:6=71367.31_x000d__x000a_" sqref="U12">
      <formula1>0</formula1>
      <formula2>300</formula2>
    </dataValidation>
    <dataValidation type="textLength" errorStyle="information" allowBlank="1" showInputMessage="1" showErrorMessage="1" error="XLBVal:6=1840_x000d__x000a_" sqref="AA18:AB18 W18">
      <formula1>0</formula1>
      <formula2>300</formula2>
    </dataValidation>
    <dataValidation type="textLength" errorStyle="information" allowBlank="1" showInputMessage="1" showErrorMessage="1" error="XLBVal:6=24601.94_x000d__x000a_" sqref="Q57">
      <formula1>0</formula1>
      <formula2>300</formula2>
    </dataValidation>
    <dataValidation type="textLength" errorStyle="information" allowBlank="1" showInputMessage="1" showErrorMessage="1" error="XLBVal:6=43734.48_x000d__x000a_" sqref="E52:O53">
      <formula1>0</formula1>
      <formula2>300</formula2>
    </dataValidation>
    <dataValidation type="textLength" errorStyle="information" allowBlank="1" showInputMessage="1" showErrorMessage="1" error="XLBVal:6=3639.99_x000d__x000a_" sqref="D45:O45">
      <formula1>0</formula1>
      <formula2>300</formula2>
    </dataValidation>
    <dataValidation type="textLength" errorStyle="information" allowBlank="1" showInputMessage="1" showErrorMessage="1" error="XLBVal:6=977.98_x000d__x000a_" sqref="D24:O24">
      <formula1>0</formula1>
      <formula2>300</formula2>
    </dataValidation>
    <dataValidation type="textLength" errorStyle="information" allowBlank="1" showInputMessage="1" showErrorMessage="1" error="XLBVal:6=42.33_x000d__x000a_" sqref="D21:O21">
      <formula1>0</formula1>
      <formula2>300</formula2>
    </dataValidation>
    <dataValidation type="textLength" errorStyle="information" allowBlank="1" showInputMessage="1" showErrorMessage="1" error="XLBVal:6=440_x000d__x000a_" sqref="D18:O18">
      <formula1>0</formula1>
      <formula2>300</formula2>
    </dataValidation>
    <dataValidation type="textLength" errorStyle="information" allowBlank="1" showInputMessage="1" showErrorMessage="1" error="XLBVal:6=1916.4_x000d__x000a_" sqref="D15:O15">
      <formula1>0</formula1>
      <formula2>300</formula2>
    </dataValidation>
    <dataValidation type="textLength" errorStyle="information" allowBlank="1" showInputMessage="1" showErrorMessage="1" error="XLBVal:6=70129.71_x000d__x000a_" sqref="R12">
      <formula1>0</formula1>
      <formula2>300</formula2>
    </dataValidation>
    <dataValidation type="textLength" errorStyle="information" allowBlank="1" showInputMessage="1" showErrorMessage="1" error="XLBVal:6=693.87_x000d__x000a_" sqref="V65">
      <formula1>0</formula1>
      <formula2>300</formula2>
    </dataValidation>
    <dataValidation type="textLength" errorStyle="information" allowBlank="1" showInputMessage="1" showErrorMessage="1" error="XLBVal:6=813.61_x000d__x000a_" sqref="Q65:S65">
      <formula1>0</formula1>
      <formula2>300</formula2>
    </dataValidation>
    <dataValidation type="textLength" errorStyle="information" allowBlank="1" showInputMessage="1" showErrorMessage="1" error="XLBVal:6=16984.82_x000d__x000a_" sqref="S58">
      <formula1>0</formula1>
      <formula2>300</formula2>
    </dataValidation>
    <dataValidation type="textLength" errorStyle="information" allowBlank="1" showInputMessage="1" showErrorMessage="1" error="XLBVal:6=27500_x000d__x000a_" sqref="V52">
      <formula1>0</formula1>
      <formula2>300</formula2>
    </dataValidation>
    <dataValidation type="textLength" errorStyle="information" allowBlank="1" showInputMessage="1" showErrorMessage="1" error="XLBVal:6=34741.38_x000d__x000a_" sqref="T52">
      <formula1>0</formula1>
      <formula2>300</formula2>
    </dataValidation>
    <dataValidation type="textLength" errorStyle="information" allowBlank="1" showInputMessage="1" showErrorMessage="1" error="XLBVal:6=911.75_x000d__x000a_" sqref="R24">
      <formula1>0</formula1>
      <formula2>300</formula2>
    </dataValidation>
    <dataValidation type="textLength" errorStyle="information" allowBlank="1" showInputMessage="1" showErrorMessage="1" error="XLBVal:6=355.4_x000d__x000a_" sqref="R21">
      <formula1>0</formula1>
      <formula2>300</formula2>
    </dataValidation>
    <dataValidation type="textLength" errorStyle="information" allowBlank="1" showInputMessage="1" showErrorMessage="1" error="XLBVal:6=78332.91_x000d__x000a_" sqref="V12">
      <formula1>0</formula1>
      <formula2>300</formula2>
    </dataValidation>
    <dataValidation type="textLength" errorStyle="information" allowBlank="1" showInputMessage="1" showErrorMessage="1" error="XLBVal:6=34306.52_x000d__x000a_" sqref="S12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8505.65_x000d__x000a_" sqref="V79">
      <formula1>0</formula1>
      <formula2>300</formula2>
    </dataValidation>
    <dataValidation type="textLength" errorStyle="information" allowBlank="1" showInputMessage="1" showErrorMessage="1" error="XLBVal:6=17152.84_x000d__x000a_" sqref="U79">
      <formula1>0</formula1>
      <formula2>300</formula2>
    </dataValidation>
    <dataValidation type="textLength" errorStyle="information" allowBlank="1" showInputMessage="1" showErrorMessage="1" error="XLBVal:6=23762.56_x000d__x000a_" sqref="T79">
      <formula1>0</formula1>
      <formula2>300</formula2>
    </dataValidation>
    <dataValidation type="textLength" errorStyle="information" allowBlank="1" showInputMessage="1" showErrorMessage="1" error="XLBVal:6=25967.29_x000d__x000a_" sqref="S79">
      <formula1>0</formula1>
      <formula2>300</formula2>
    </dataValidation>
    <dataValidation type="textLength" errorStyle="information" allowBlank="1" showInputMessage="1" showErrorMessage="1" error="XLBVal:6=27463.46_x000d__x000a_" sqref="R79">
      <formula1>0</formula1>
      <formula2>300</formula2>
    </dataValidation>
    <dataValidation type="textLength" errorStyle="information" allowBlank="1" showInputMessage="1" showErrorMessage="1" error="XLBVal:6=18063.03_x000d__x000a_" sqref="Q79">
      <formula1>0</formula1>
      <formula2>300</formula2>
    </dataValidation>
    <dataValidation type="textLength" errorStyle="information" allowBlank="1" showInputMessage="1" showErrorMessage="1" error="XLBVal:6=7172.87_x000d__x000a_" sqref="V78">
      <formula1>0</formula1>
      <formula2>300</formula2>
    </dataValidation>
    <dataValidation type="textLength" errorStyle="information" allowBlank="1" showInputMessage="1" showErrorMessage="1" error="XLBVal:6=6896.72_x000d__x000a_" sqref="U78">
      <formula1>0</formula1>
      <formula2>300</formula2>
    </dataValidation>
    <dataValidation type="textLength" errorStyle="information" allowBlank="1" showInputMessage="1" showErrorMessage="1" error="XLBVal:6=6346.16_x000d__x000a_" sqref="T78">
      <formula1>0</formula1>
      <formula2>300</formula2>
    </dataValidation>
    <dataValidation type="textLength" errorStyle="information" allowBlank="1" showInputMessage="1" showErrorMessage="1" error="XLBVal:6=5518.51_x000d__x000a_" sqref="S78">
      <formula1>0</formula1>
      <formula2>300</formula2>
    </dataValidation>
    <dataValidation type="textLength" errorStyle="information" allowBlank="1" showInputMessage="1" showErrorMessage="1" error="XLBVal:6=7098.34_x000d__x000a_" sqref="R78">
      <formula1>0</formula1>
      <formula2>300</formula2>
    </dataValidation>
    <dataValidation type="textLength" errorStyle="information" allowBlank="1" showInputMessage="1" showErrorMessage="1" error="XLBVal:6=8435.07_x000d__x000a_" sqref="Q78">
      <formula1>0</formula1>
      <formula2>300</formula2>
    </dataValidation>
    <dataValidation type="textLength" errorStyle="information" allowBlank="1" showInputMessage="1" showErrorMessage="1" error="XLBVal:6=375.45_x000d__x000a_" sqref="V77">
      <formula1>0</formula1>
      <formula2>300</formula2>
    </dataValidation>
    <dataValidation type="textLength" errorStyle="information" allowBlank="1" showInputMessage="1" showErrorMessage="1" error="XLBVal:6=393.48_x000d__x000a_" sqref="U77">
      <formula1>0</formula1>
      <formula2>300</formula2>
    </dataValidation>
    <dataValidation type="textLength" errorStyle="information" allowBlank="1" showInputMessage="1" showErrorMessage="1" error="XLBVal:6=395.87_x000d__x000a_" sqref="T77">
      <formula1>0</formula1>
      <formula2>300</formula2>
    </dataValidation>
    <dataValidation type="textLength" errorStyle="information" allowBlank="1" showInputMessage="1" showErrorMessage="1" error="XLBVal:6=418.22_x000d__x000a_" sqref="R77">
      <formula1>0</formula1>
      <formula2>300</formula2>
    </dataValidation>
    <dataValidation type="textLength" errorStyle="information" allowBlank="1" showInputMessage="1" showErrorMessage="1" error="XLBVal:6=451.72_x000d__x000a_" sqref="Q77">
      <formula1>0</formula1>
      <formula2>300</formula2>
    </dataValidation>
    <dataValidation type="textLength" errorStyle="information" allowBlank="1" showInputMessage="1" showErrorMessage="1" error="XLBVal:6=254_x000d__x000a_" sqref="R76">
      <formula1>0</formula1>
      <formula2>300</formula2>
    </dataValidation>
    <dataValidation type="textLength" errorStyle="information" allowBlank="1" showInputMessage="1" showErrorMessage="1" error="XLBVal:6=266_x000d__x000a_" sqref="Q76">
      <formula1>0</formula1>
      <formula2>300</formula2>
    </dataValidation>
    <dataValidation type="textLength" errorStyle="information" allowBlank="1" showInputMessage="1" showErrorMessage="1" error="XLBVal:6=2112.63_x000d__x000a_" sqref="V69">
      <formula1>0</formula1>
      <formula2>300</formula2>
    </dataValidation>
    <dataValidation type="textLength" errorStyle="information" allowBlank="1" showInputMessage="1" showErrorMessage="1" error="XLBVal:6=2210.75_x000d__x000a_" sqref="U69">
      <formula1>0</formula1>
      <formula2>300</formula2>
    </dataValidation>
    <dataValidation type="textLength" errorStyle="information" allowBlank="1" showInputMessage="1" showErrorMessage="1" error="XLBVal:6=4175.38_x000d__x000a_" sqref="T69">
      <formula1>0</formula1>
      <formula2>300</formula2>
    </dataValidation>
    <dataValidation type="textLength" errorStyle="information" allowBlank="1" showInputMessage="1" showErrorMessage="1" error="XLBVal:6=5095.83_x000d__x000a_" sqref="S69">
      <formula1>0</formula1>
      <formula2>300</formula2>
    </dataValidation>
    <dataValidation type="textLength" errorStyle="information" allowBlank="1" showInputMessage="1" showErrorMessage="1" error="XLBVal:6=2818.21_x000d__x000a_" sqref="R69">
      <formula1>0</formula1>
      <formula2>300</formula2>
    </dataValidation>
    <dataValidation type="textLength" errorStyle="information" allowBlank="1" showInputMessage="1" showErrorMessage="1" error="XLBVal:6=2430.38_x000d__x000a_" sqref="Q69">
      <formula1>0</formula1>
      <formula2>300</formula2>
    </dataValidation>
    <dataValidation type="textLength" errorStyle="information" allowBlank="1" showInputMessage="1" showErrorMessage="1" error="XLBVal:6=6956_x000d__x000a_" sqref="V68">
      <formula1>0</formula1>
      <formula2>300</formula2>
    </dataValidation>
    <dataValidation type="textLength" errorStyle="information" allowBlank="1" showInputMessage="1" showErrorMessage="1" error="XLBVal:6=8154_x000d__x000a_" sqref="Q68:S68">
      <formula1>0</formula1>
      <formula2>300</formula2>
    </dataValidation>
    <dataValidation type="textLength" errorStyle="information" allowBlank="1" showInputMessage="1" showErrorMessage="1" error="XLBVal:6=166.55_x000d__x000a_" sqref="V66">
      <formula1>0</formula1>
      <formula2>300</formula2>
    </dataValidation>
    <dataValidation type="textLength" errorStyle="information" allowBlank="1" showInputMessage="1" showErrorMessage="1" error="XLBVal:6=195.29_x000d__x000a_" sqref="Q66:S66">
      <formula1>0</formula1>
      <formula2>300</formula2>
    </dataValidation>
    <dataValidation type="textLength" errorStyle="information" allowBlank="1" showInputMessage="1" showErrorMessage="1" error="XLBVal:6=11795.99_x000d__x000a_" sqref="V64">
      <formula1>0</formula1>
      <formula2>300</formula2>
    </dataValidation>
    <dataValidation type="textLength" errorStyle="information" allowBlank="1" showInputMessage="1" showErrorMessage="1" error="XLBVal:6=13831.65_x000d__x000a_" sqref="Q64:S64">
      <formula1>0</formula1>
      <formula2>300</formula2>
    </dataValidation>
    <dataValidation type="textLength" errorStyle="information" allowBlank="1" showInputMessage="1" showErrorMessage="1" error="XLBVal:6=22204.23_x000d__x000a_" sqref="V63">
      <formula1>0</formula1>
      <formula2>300</formula2>
    </dataValidation>
    <dataValidation type="textLength" errorStyle="information" allowBlank="1" showInputMessage="1" showErrorMessage="1" error="XLBVal:6=26036.07_x000d__x000a_" sqref="Q63:S63">
      <formula1>0</formula1>
      <formula2>300</formula2>
    </dataValidation>
    <dataValidation type="textLength" errorStyle="information" allowBlank="1" showInputMessage="1" showErrorMessage="1" error="XLBVal:6=15160.03_x000d__x000a_" sqref="V58">
      <formula1>0</formula1>
      <formula2>300</formula2>
    </dataValidation>
    <dataValidation type="textLength" errorStyle="information" allowBlank="1" showInputMessage="1" showErrorMessage="1" error="XLBVal:6=18753.61_x000d__x000a_" sqref="U58">
      <formula1>0</formula1>
      <formula2>300</formula2>
    </dataValidation>
    <dataValidation type="textLength" errorStyle="information" allowBlank="1" showInputMessage="1" showErrorMessage="1" error="XLBVal:6=17158.06_x000d__x000a_" sqref="T58">
      <formula1>0</formula1>
      <formula2>300</formula2>
    </dataValidation>
    <dataValidation type="textLength" errorStyle="information" allowBlank="1" showInputMessage="1" showErrorMessage="1" error="XLBVal:6=16898.96_x000d__x000a_" sqref="R58">
      <formula1>0</formula1>
      <formula2>300</formula2>
    </dataValidation>
    <dataValidation type="textLength" errorStyle="information" allowBlank="1" showInputMessage="1" showErrorMessage="1" error="XLBVal:6=17007.42_x000d__x000a_" sqref="Q58">
      <formula1>0</formula1>
      <formula2>300</formula2>
    </dataValidation>
    <dataValidation type="textLength" errorStyle="information" allowBlank="1" showInputMessage="1" showErrorMessage="1" error="XLBVal:6=5755.2_x000d__x000a_" sqref="V56">
      <formula1>0</formula1>
      <formula2>300</formula2>
    </dataValidation>
    <dataValidation type="textLength" errorStyle="information" allowBlank="1" showInputMessage="1" showErrorMessage="1" error="XLBVal:6=5727.63_x000d__x000a_" sqref="U56">
      <formula1>0</formula1>
      <formula2>300</formula2>
    </dataValidation>
    <dataValidation type="textLength" errorStyle="information" allowBlank="1" showInputMessage="1" showErrorMessage="1" error="XLBVal:6=10213.87_x000d__x000a_" sqref="T56">
      <formula1>0</formula1>
      <formula2>300</formula2>
    </dataValidation>
    <dataValidation type="textLength" errorStyle="information" allowBlank="1" showInputMessage="1" showErrorMessage="1" error="XLBVal:6=23517.51_x000d__x000a_" sqref="R56">
      <formula1>0</formula1>
      <formula2>300</formula2>
    </dataValidation>
    <dataValidation type="textLength" errorStyle="information" allowBlank="1" showInputMessage="1" showErrorMessage="1" error="XLBVal:6=56271.26_x000d__x000a_" sqref="V53">
      <formula1>0</formula1>
      <formula2>300</formula2>
    </dataValidation>
    <dataValidation type="textLength" errorStyle="information" allowBlank="1" showInputMessage="1" showErrorMessage="1" error="XLBVal:6=58400_x000d__x000a_" sqref="T53">
      <formula1>0</formula1>
      <formula2>300</formula2>
    </dataValidation>
    <dataValidation type="textLength" errorStyle="information" allowBlank="1" showInputMessage="1" showErrorMessage="1" error="XLBVal:6=60802.67_x000d__x000a_" sqref="S53">
      <formula1>0</formula1>
      <formula2>300</formula2>
    </dataValidation>
    <dataValidation type="textLength" errorStyle="information" allowBlank="1" showInputMessage="1" showErrorMessage="1" error="XLBVal:6=61000_x000d__x000a_" sqref="R53">
      <formula1>0</formula1>
      <formula2>300</formula2>
    </dataValidation>
    <dataValidation type="textLength" errorStyle="information" allowBlank="1" showInputMessage="1" showErrorMessage="1" error="XLBVal:6=61046_x000d__x000a_" sqref="Q53">
      <formula1>0</formula1>
      <formula2>300</formula2>
    </dataValidation>
    <dataValidation type="textLength" errorStyle="information" allowBlank="1" showInputMessage="1" showErrorMessage="1" error="XLBVal:6=5495.58_x000d__x000a_" sqref="V45">
      <formula1>0</formula1>
      <formula2>300</formula2>
    </dataValidation>
    <dataValidation type="textLength" errorStyle="information" allowBlank="1" showInputMessage="1" showErrorMessage="1" error="XLBVal:6=8604.68_x000d__x000a_" sqref="U45">
      <formula1>0</formula1>
      <formula2>300</formula2>
    </dataValidation>
    <dataValidation type="textLength" errorStyle="information" allowBlank="1" showInputMessage="1" showErrorMessage="1" error="XLBVal:6=595.61_x000d__x000a_" sqref="T45">
      <formula1>0</formula1>
      <formula2>300</formula2>
    </dataValidation>
    <dataValidation type="textLength" errorStyle="information" allowBlank="1" showInputMessage="1" showErrorMessage="1" error="XLBVal:6=5362_x000d__x000a_" sqref="S45">
      <formula1>0</formula1>
      <formula2>300</formula2>
    </dataValidation>
    <dataValidation type="textLength" errorStyle="information" allowBlank="1" showInputMessage="1" showErrorMessage="1" error="XLBVal:6=802.99_x000d__x000a_" sqref="R45">
      <formula1>0</formula1>
      <formula2>300</formula2>
    </dataValidation>
    <dataValidation type="textLength" errorStyle="information" allowBlank="1" showInputMessage="1" showErrorMessage="1" error="XLBVal:6=4941.23_x000d__x000a_" sqref="Q45">
      <formula1>0</formula1>
      <formula2>300</formula2>
    </dataValidation>
    <dataValidation type="textLength" errorStyle="information" allowBlank="1" showInputMessage="1" showErrorMessage="1" error="XLBVal:6=640_x000d__x000a_" sqref="AA25 W25 D25:O25">
      <formula1>0</formula1>
      <formula2>300</formula2>
    </dataValidation>
    <dataValidation type="textLength" errorStyle="information" allowBlank="1" showInputMessage="1" showErrorMessage="1" error="XLBVal:6=-6223.97_x000d__x000a_" sqref="T25">
      <formula1>0</formula1>
      <formula2>300</formula2>
    </dataValidation>
    <dataValidation type="textLength" errorStyle="information" allowBlank="1" showInputMessage="1" showErrorMessage="1" error="XLBVal:6=705.8_x000d__x000a_" sqref="V24">
      <formula1>0</formula1>
      <formula2>300</formula2>
    </dataValidation>
    <dataValidation type="textLength" errorStyle="information" allowBlank="1" showInputMessage="1" showErrorMessage="1" error="XLBVal:6=498_x000d__x000a_" sqref="U24">
      <formula1>0</formula1>
      <formula2>300</formula2>
    </dataValidation>
    <dataValidation type="textLength" errorStyle="information" allowBlank="1" showInputMessage="1" showErrorMessage="1" error="XLBVal:6=920.3_x000d__x000a_" sqref="T24">
      <formula1>0</formula1>
      <formula2>300</formula2>
    </dataValidation>
    <dataValidation type="textLength" errorStyle="information" allowBlank="1" showInputMessage="1" showErrorMessage="1" error="XLBVal:6=921.65_x000d__x000a_" sqref="S24">
      <formula1>0</formula1>
      <formula2>300</formula2>
    </dataValidation>
    <dataValidation type="textLength" errorStyle="information" allowBlank="1" showInputMessage="1" showErrorMessage="1" error="XLBVal:6=924.96_x000d__x000a_" sqref="Q24">
      <formula1>0</formula1>
      <formula2>300</formula2>
    </dataValidation>
    <dataValidation type="textLength" errorStyle="information" allowBlank="1" showInputMessage="1" showErrorMessage="1" error="XLBVal:6=602.08_x000d__x000a_" sqref="V22">
      <formula1>0</formula1>
      <formula2>300</formula2>
    </dataValidation>
    <dataValidation type="textLength" errorStyle="information" allowBlank="1" showInputMessage="1" showErrorMessage="1" error="XLBVal:6=141.09_x000d__x000a_" sqref="U22">
      <formula1>0</formula1>
      <formula2>300</formula2>
    </dataValidation>
    <dataValidation type="textLength" errorStyle="information" allowBlank="1" showInputMessage="1" showErrorMessage="1" error="XLBVal:6=350.23_x000d__x000a_" sqref="T22">
      <formula1>0</formula1>
      <formula2>300</formula2>
    </dataValidation>
    <dataValidation type="textLength" errorStyle="information" allowBlank="1" showInputMessage="1" showErrorMessage="1" error="XLBVal:6=403.2_x000d__x000a_" sqref="S22">
      <formula1>0</formula1>
      <formula2>300</formula2>
    </dataValidation>
    <dataValidation type="textLength" errorStyle="information" allowBlank="1" showInputMessage="1" showErrorMessage="1" error="XLBVal:6=542.33_x000d__x000a_" sqref="R22">
      <formula1>0</formula1>
      <formula2>300</formula2>
    </dataValidation>
    <dataValidation type="textLength" errorStyle="information" allowBlank="1" showInputMessage="1" showErrorMessage="1" error="XLBVal:6=550.31_x000d__x000a_" sqref="Q22">
      <formula1>0</formula1>
      <formula2>300</formula2>
    </dataValidation>
    <dataValidation type="textLength" errorStyle="information" allowBlank="1" showInputMessage="1" showErrorMessage="1" error="XLBVal:6=375.15_x000d__x000a_" sqref="V21">
      <formula1>0</formula1>
      <formula2>300</formula2>
    </dataValidation>
    <dataValidation type="textLength" errorStyle="information" allowBlank="1" showInputMessage="1" showErrorMessage="1" error="XLBVal:6=3162.45_x000d__x000a_" sqref="Q21">
      <formula1>0</formula1>
      <formula2>300</formula2>
    </dataValidation>
    <dataValidation type="textLength" errorStyle="information" allowBlank="1" showInputMessage="1" showErrorMessage="1" error="XLBVal:6=176.99_x000d__x000a_" sqref="D19:O19 Z19:AB19 Q19:W19">
      <formula1>0</formula1>
      <formula2>300</formula2>
    </dataValidation>
    <dataValidation type="textLength" errorStyle="information" allowBlank="1" showInputMessage="1" showErrorMessage="1" error="XLBVal:6=220.43_x000d__x000a_" sqref="U15">
      <formula1>0</formula1>
      <formula2>300</formula2>
    </dataValidation>
    <dataValidation type="textLength" errorStyle="information" allowBlank="1" showInputMessage="1" showErrorMessage="1" error="XLBVal:6=240.69_x000d__x000a_" sqref="R15">
      <formula1>0</formula1>
      <formula2>300</formula2>
    </dataValidation>
    <dataValidation type="textLength" errorStyle="information" allowBlank="1" showInputMessage="1" showErrorMessage="1" error="XLBVal:6=551.07_x000d__x000a_" sqref="Q15">
      <formula1>0</formula1>
      <formula2>300</formula2>
    </dataValidation>
    <dataValidation type="textLength" errorStyle="information" allowBlank="1" showInputMessage="1" showErrorMessage="1" error="XLBVal:6=59813.87_x000d__x000a_" sqref="T12">
      <formula1>0</formula1>
      <formula2>300</formula2>
    </dataValidation>
    <dataValidation type="textLength" errorStyle="information" allowBlank="1" showInputMessage="1" showErrorMessage="1" error="XLBVal:6=20_x000d__x000a_" sqref="U85">
      <formula1>0</formula1>
      <formula2>300</formula2>
    </dataValidation>
    <dataValidation type="textLength" errorStyle="information" allowBlank="1" showInputMessage="1" showErrorMessage="1" error="XLBVal:6=74040.91_x000d__x000a_" sqref="Q12">
      <formula1>0</formula1>
      <formula2>300</formula2>
    </dataValidation>
    <dataValidation type="textLength" errorStyle="information" allowBlank="1" showInputMessage="1" showErrorMessage="1" error="XLBVal:6=272_x000d__x000a_" sqref="S76">
      <formula1>0</formula1>
      <formula2>300</formula2>
    </dataValidation>
    <dataValidation type="textLength" errorStyle="information" allowBlank="1" showInputMessage="1" showErrorMessage="1" error="XLBVal:6=1132415.79_x000d__x000a_" sqref="D80:I81 Q80:V81">
      <formula1>0</formula1>
      <formula2>300</formula2>
    </dataValidation>
    <dataValidation type="textLength" errorStyle="information" allowBlank="1" showInputMessage="1" showErrorMessage="1" error="XLBVal:2=0_x000d__x000a_" sqref="D23:I23 W85:AB85 Q59:AB59 D20:I20 Q23:AB23 W73:AB81 D26:I44 D13:I14 D16:I17 Q26:AB44 Z15 Q20:W20 X15 Z20:AB20 W60:AB60 W63:AB66 Y20:Y21 X18:Y19 Z18 Q13:AB14 Q16:AB17 W56:AB58 Q67:AB67 W52:AB53 W68:AB70 S56 S21 U25:V25 U18:V18 S15:T15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H93"/>
  <sheetViews>
    <sheetView view="pageBreakPreview" zoomScaleNormal="100" zoomScaleSheetLayoutView="100" workbookViewId="0">
      <pane xSplit="4" ySplit="7" topLeftCell="J29" activePane="bottomRight" state="frozen"/>
      <selection activeCell="AP43" sqref="AP43"/>
      <selection pane="topRight" activeCell="AP43" sqref="AP43"/>
      <selection pane="bottomLeft" activeCell="AP43" sqref="AP43"/>
      <selection pane="bottomRight" activeCell="O71" sqref="O71"/>
    </sheetView>
  </sheetViews>
  <sheetFormatPr defaultColWidth="9" defaultRowHeight="14.25" outlineLevelCol="2"/>
  <cols>
    <col min="1" max="2" width="9" style="105" hidden="1" customWidth="1" outlineLevel="1"/>
    <col min="3" max="3" width="51" style="105" customWidth="1" collapsed="1"/>
    <col min="4" max="15" width="14.75" style="105" bestFit="1" customWidth="1"/>
    <col min="16" max="16" width="20.875" style="224" bestFit="1" customWidth="1"/>
    <col min="17" max="23" width="18.25" style="105" hidden="1" customWidth="1" outlineLevel="1"/>
    <col min="24" max="28" width="15.75" style="105" hidden="1" customWidth="1" outlineLevel="2"/>
    <col min="29" max="29" width="14.5" style="228" customWidth="1" collapsed="1"/>
    <col min="30" max="30" width="15.75" style="105" customWidth="1"/>
    <col min="31" max="31" width="10.5" style="192" customWidth="1"/>
    <col min="32" max="32" width="18.25" style="224" hidden="1" customWidth="1"/>
    <col min="33" max="33" width="18.375" style="105" hidden="1" customWidth="1"/>
    <col min="34" max="16384" width="9" style="105"/>
  </cols>
  <sheetData>
    <row r="1" spans="1:33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297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298"/>
      <c r="AE1" s="186"/>
      <c r="AF1" s="297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297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298"/>
      <c r="AE2" s="186"/>
      <c r="AF2" s="297"/>
    </row>
    <row r="3" spans="1:33">
      <c r="C3" s="105" t="s">
        <v>898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300"/>
      <c r="AE3" s="279"/>
    </row>
    <row r="4" spans="1:33" s="100" customFormat="1" ht="18">
      <c r="C4" s="18">
        <f>+'2025 Summay'!$D$7</f>
        <v>2025</v>
      </c>
      <c r="P4" s="297"/>
      <c r="Q4" s="101"/>
      <c r="R4" s="101"/>
      <c r="S4" s="101"/>
      <c r="T4" s="101"/>
      <c r="U4" s="101"/>
      <c r="V4" s="101"/>
      <c r="W4" s="101"/>
      <c r="X4" s="183"/>
      <c r="Y4" s="101"/>
      <c r="Z4" s="101"/>
      <c r="AA4" s="101"/>
      <c r="AB4" s="101"/>
      <c r="AC4" s="298"/>
      <c r="AE4" s="186"/>
      <c r="AF4" s="297"/>
    </row>
    <row r="5" spans="1:33" s="100" customFormat="1">
      <c r="C5" s="100" t="s">
        <v>154</v>
      </c>
      <c r="P5" s="297"/>
      <c r="Q5" s="101"/>
      <c r="R5" s="101"/>
      <c r="S5" s="101"/>
      <c r="T5" s="101"/>
      <c r="U5" s="101"/>
      <c r="V5" s="101"/>
      <c r="W5" s="101"/>
      <c r="X5" s="183"/>
      <c r="Y5" s="101"/>
      <c r="Z5" s="101"/>
      <c r="AA5" s="101"/>
      <c r="AB5" s="101"/>
      <c r="AC5" s="298"/>
      <c r="AE5" s="186"/>
      <c r="AF5" s="297"/>
    </row>
    <row r="6" spans="1:33" s="100" customFormat="1">
      <c r="C6" s="100" t="s">
        <v>154</v>
      </c>
      <c r="D6" s="100">
        <f>'A&amp;G'!D6</f>
        <v>1</v>
      </c>
      <c r="E6" s="100">
        <f>'A&amp;G'!E6</f>
        <v>2</v>
      </c>
      <c r="F6" s="100">
        <f>'A&amp;G'!F6</f>
        <v>3</v>
      </c>
      <c r="G6" s="100">
        <f>'A&amp;G'!G6</f>
        <v>4</v>
      </c>
      <c r="H6" s="100">
        <f>'A&amp;G'!H6</f>
        <v>5</v>
      </c>
      <c r="I6" s="100">
        <f>'A&amp;G'!I6</f>
        <v>6</v>
      </c>
      <c r="J6" s="100">
        <f>'A&amp;G'!J6</f>
        <v>7</v>
      </c>
      <c r="K6" s="100">
        <f>'A&amp;G'!K6</f>
        <v>8</v>
      </c>
      <c r="L6" s="100">
        <f>'A&amp;G'!L6</f>
        <v>9</v>
      </c>
      <c r="M6" s="100">
        <f>'A&amp;G'!M6</f>
        <v>10</v>
      </c>
      <c r="N6" s="100">
        <f>'A&amp;G'!N6</f>
        <v>11</v>
      </c>
      <c r="O6" s="100">
        <f>'A&amp;G'!O6</f>
        <v>12</v>
      </c>
      <c r="P6" s="301">
        <f>'A&amp;G'!P6</f>
        <v>2025</v>
      </c>
      <c r="Q6" s="114">
        <f>'A&amp;G'!Q6</f>
        <v>202401</v>
      </c>
      <c r="R6" s="114">
        <f>'A&amp;G'!R6</f>
        <v>202402</v>
      </c>
      <c r="S6" s="114">
        <f>'A&amp;G'!S6</f>
        <v>202403</v>
      </c>
      <c r="T6" s="114">
        <f>'A&amp;G'!T6</f>
        <v>202404</v>
      </c>
      <c r="U6" s="114">
        <f>'A&amp;G'!U6</f>
        <v>202405</v>
      </c>
      <c r="V6" s="114">
        <f>'A&amp;G'!V6</f>
        <v>202406</v>
      </c>
      <c r="W6" s="114">
        <f>'A&amp;G'!W6</f>
        <v>202407</v>
      </c>
      <c r="X6" s="114">
        <f>'A&amp;G'!X6</f>
        <v>202408</v>
      </c>
      <c r="Y6" s="114">
        <f>'A&amp;G'!Y6</f>
        <v>202409</v>
      </c>
      <c r="Z6" s="114">
        <f>'A&amp;G'!Z6</f>
        <v>202410</v>
      </c>
      <c r="AA6" s="114">
        <f>'A&amp;G'!AA6</f>
        <v>202411</v>
      </c>
      <c r="AB6" s="114">
        <f>'A&amp;G'!AB6</f>
        <v>202412</v>
      </c>
      <c r="AC6" s="115">
        <f>'A&amp;G'!AC6</f>
        <v>2024</v>
      </c>
      <c r="AD6" s="188" t="s">
        <v>6</v>
      </c>
      <c r="AE6" s="177" t="s">
        <v>156</v>
      </c>
      <c r="AF6" s="298">
        <v>2019</v>
      </c>
    </row>
    <row r="7" spans="1:33">
      <c r="C7" s="105" t="s">
        <v>154</v>
      </c>
      <c r="D7" s="105" t="str">
        <f>'A&amp;G'!D7</f>
        <v>Budget</v>
      </c>
      <c r="E7" s="105" t="str">
        <f>'A&amp;G'!E7</f>
        <v>Budget</v>
      </c>
      <c r="F7" s="105" t="str">
        <f>'A&amp;G'!F7</f>
        <v>Budget</v>
      </c>
      <c r="G7" s="105" t="str">
        <f>'A&amp;G'!G7</f>
        <v>Budget</v>
      </c>
      <c r="H7" s="105" t="str">
        <f>'A&amp;G'!H7</f>
        <v>Budget</v>
      </c>
      <c r="I7" s="105" t="str">
        <f>'A&amp;G'!I7</f>
        <v>Budget</v>
      </c>
      <c r="J7" s="105" t="str">
        <f>'A&amp;G'!J7</f>
        <v>Budget</v>
      </c>
      <c r="K7" s="105" t="str">
        <f>'A&amp;G'!K7</f>
        <v>Budget</v>
      </c>
      <c r="L7" s="105" t="str">
        <f>'A&amp;G'!L7</f>
        <v>Budget</v>
      </c>
      <c r="M7" s="105" t="str">
        <f>'A&amp;G'!M7</f>
        <v>Budget</v>
      </c>
      <c r="N7" s="105" t="str">
        <f>'A&amp;G'!N7</f>
        <v>Budget</v>
      </c>
      <c r="O7" s="105" t="str">
        <f>'A&amp;G'!O7</f>
        <v>Budget</v>
      </c>
      <c r="P7" s="224" t="str">
        <f>'A&amp;G'!P7</f>
        <v>Budget</v>
      </c>
      <c r="Q7" s="244" t="str">
        <f>'A&amp;G'!Q7</f>
        <v>Actual</v>
      </c>
      <c r="R7" s="244" t="str">
        <f>'A&amp;G'!R7</f>
        <v>Actual</v>
      </c>
      <c r="S7" s="244" t="str">
        <f>'A&amp;G'!S7</f>
        <v>Actual</v>
      </c>
      <c r="T7" s="244" t="str">
        <f>'A&amp;G'!T7</f>
        <v>Actual</v>
      </c>
      <c r="U7" s="244" t="str">
        <f>'A&amp;G'!U7</f>
        <v>Actual</v>
      </c>
      <c r="V7" s="244" t="str">
        <f>'A&amp;G'!V7</f>
        <v>Actual</v>
      </c>
      <c r="W7" s="244" t="str">
        <f>'A&amp;G'!W7</f>
        <v>Actual</v>
      </c>
      <c r="X7" s="244" t="str">
        <f>'A&amp;G'!X7</f>
        <v>Actual</v>
      </c>
      <c r="Y7" s="244" t="str">
        <f>'A&amp;G'!Y7</f>
        <v>Forecast</v>
      </c>
      <c r="Z7" s="244" t="str">
        <f>'A&amp;G'!Z7</f>
        <v>Forecast</v>
      </c>
      <c r="AA7" s="244" t="str">
        <f>'A&amp;G'!AA7</f>
        <v>Forecast</v>
      </c>
      <c r="AB7" s="244" t="str">
        <f>'A&amp;G'!AB7</f>
        <v>Forecast</v>
      </c>
      <c r="AC7" s="245" t="str">
        <f>'A&amp;G'!AC7</f>
        <v>Forecast</v>
      </c>
      <c r="AD7" s="314"/>
      <c r="AE7" s="132"/>
      <c r="AF7" s="228" t="s">
        <v>12</v>
      </c>
    </row>
    <row r="8" spans="1:33">
      <c r="C8" s="105" t="s">
        <v>154</v>
      </c>
      <c r="L8" s="105" t="s">
        <v>831</v>
      </c>
      <c r="M8" s="105" t="s">
        <v>831</v>
      </c>
      <c r="O8" s="105" t="s">
        <v>831</v>
      </c>
      <c r="P8" s="224" t="s">
        <v>831</v>
      </c>
      <c r="AF8" s="228"/>
    </row>
    <row r="9" spans="1:33">
      <c r="A9" s="105" t="s">
        <v>832</v>
      </c>
      <c r="B9" s="105" t="s">
        <v>899</v>
      </c>
      <c r="C9" s="109" t="s">
        <v>175</v>
      </c>
      <c r="D9" s="129">
        <f t="shared" ref="D9:O9" si="0">D83</f>
        <v>35955.120000000003</v>
      </c>
      <c r="E9" s="129">
        <f t="shared" si="0"/>
        <v>34464.050000000003</v>
      </c>
      <c r="F9" s="129">
        <f t="shared" si="0"/>
        <v>34808.400000000001</v>
      </c>
      <c r="G9" s="129">
        <f t="shared" si="0"/>
        <v>35590.99</v>
      </c>
      <c r="H9" s="129">
        <f t="shared" si="0"/>
        <v>35590.99</v>
      </c>
      <c r="I9" s="129">
        <f t="shared" si="0"/>
        <v>34808.400000000001</v>
      </c>
      <c r="J9" s="129">
        <f t="shared" si="0"/>
        <v>34808.400000000001</v>
      </c>
      <c r="K9" s="129">
        <f t="shared" si="0"/>
        <v>34808.400000000001</v>
      </c>
      <c r="L9" s="129">
        <f t="shared" si="0"/>
        <v>34808.400000000001</v>
      </c>
      <c r="M9" s="129">
        <f t="shared" si="0"/>
        <v>35590.99</v>
      </c>
      <c r="N9" s="129">
        <f t="shared" si="0"/>
        <v>34808.400000000001</v>
      </c>
      <c r="O9" s="129">
        <f t="shared" si="0"/>
        <v>34808.400000000001</v>
      </c>
      <c r="P9" s="228">
        <f>SUM(D9:O9)</f>
        <v>420850.94000000006</v>
      </c>
      <c r="Q9" s="142">
        <f t="shared" ref="Q9:AB9" si="1">Q83</f>
        <v>36760.06</v>
      </c>
      <c r="R9" s="142">
        <f t="shared" si="1"/>
        <v>39052.479999999996</v>
      </c>
      <c r="S9" s="142">
        <f t="shared" si="1"/>
        <v>37108.92</v>
      </c>
      <c r="T9" s="142">
        <f t="shared" si="1"/>
        <v>39528.57</v>
      </c>
      <c r="U9" s="142">
        <f t="shared" si="1"/>
        <v>36437.339999999997</v>
      </c>
      <c r="V9" s="142">
        <f t="shared" si="1"/>
        <v>37022.61</v>
      </c>
      <c r="W9" s="142">
        <f t="shared" si="1"/>
        <v>34134.17</v>
      </c>
      <c r="X9" s="142">
        <f t="shared" si="1"/>
        <v>34109.200000000004</v>
      </c>
      <c r="Y9" s="142">
        <f t="shared" si="1"/>
        <v>35544.33</v>
      </c>
      <c r="Z9" s="142">
        <f t="shared" si="1"/>
        <v>35678.33</v>
      </c>
      <c r="AA9" s="142">
        <f t="shared" si="1"/>
        <v>35423.33</v>
      </c>
      <c r="AB9" s="142">
        <f t="shared" si="1"/>
        <v>35423.33</v>
      </c>
      <c r="AC9" s="302">
        <f>SUM(Q9:AB9)</f>
        <v>436222.67000000004</v>
      </c>
      <c r="AD9" s="142">
        <f>AC9-P9</f>
        <v>15371.729999999981</v>
      </c>
      <c r="AE9" s="132">
        <f>AD9/AC9</f>
        <v>3.523826489806222E-2</v>
      </c>
      <c r="AF9" s="228">
        <v>472339.40000000008</v>
      </c>
      <c r="AG9" s="123">
        <f t="shared" ref="AG9:AG72" si="2">AF9-P9</f>
        <v>51488.460000000021</v>
      </c>
    </row>
    <row r="10" spans="1:33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 t="s">
        <v>831</v>
      </c>
      <c r="M10" s="124" t="s">
        <v>831</v>
      </c>
      <c r="N10" s="124"/>
      <c r="O10" s="124" t="s">
        <v>831</v>
      </c>
      <c r="P10" s="228" t="s">
        <v>831</v>
      </c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302"/>
      <c r="AD10" s="141"/>
      <c r="AF10" s="228"/>
      <c r="AG10" s="123" t="e">
        <f t="shared" si="2"/>
        <v>#VALUE!</v>
      </c>
    </row>
    <row r="11" spans="1:33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228" t="s">
        <v>831</v>
      </c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302"/>
      <c r="AD11" s="141"/>
      <c r="AF11" s="228"/>
      <c r="AG11" s="123" t="e">
        <f t="shared" si="2"/>
        <v>#VALUE!</v>
      </c>
    </row>
    <row r="12" spans="1:33">
      <c r="A12" s="105" t="s">
        <v>687</v>
      </c>
      <c r="B12" s="105" t="s">
        <v>899</v>
      </c>
      <c r="C12" s="105" t="s">
        <v>144</v>
      </c>
      <c r="D12" s="212">
        <f>+D90+D91+D92</f>
        <v>0</v>
      </c>
      <c r="E12" s="212">
        <f t="shared" ref="E12:O12" si="3">+E90+E91+E92</f>
        <v>0</v>
      </c>
      <c r="F12" s="212">
        <f t="shared" si="3"/>
        <v>0</v>
      </c>
      <c r="G12" s="212">
        <f t="shared" si="3"/>
        <v>0</v>
      </c>
      <c r="H12" s="212">
        <f t="shared" si="3"/>
        <v>0</v>
      </c>
      <c r="I12" s="212">
        <f t="shared" si="3"/>
        <v>0</v>
      </c>
      <c r="J12" s="212">
        <f t="shared" si="3"/>
        <v>0</v>
      </c>
      <c r="K12" s="212">
        <f t="shared" si="3"/>
        <v>0</v>
      </c>
      <c r="L12" s="212">
        <f t="shared" si="3"/>
        <v>0</v>
      </c>
      <c r="M12" s="212">
        <f t="shared" si="3"/>
        <v>0</v>
      </c>
      <c r="N12" s="212">
        <f t="shared" si="3"/>
        <v>0</v>
      </c>
      <c r="O12" s="212">
        <f t="shared" si="3"/>
        <v>0</v>
      </c>
      <c r="P12" s="228">
        <f>SUM(D12:O12)</f>
        <v>0</v>
      </c>
      <c r="Q12" s="141">
        <v>0</v>
      </c>
      <c r="R12" s="141">
        <v>1224.54</v>
      </c>
      <c r="S12" s="141">
        <v>1070.46</v>
      </c>
      <c r="T12" s="141">
        <v>-2295</v>
      </c>
      <c r="U12" s="141">
        <v>0</v>
      </c>
      <c r="V12" s="141">
        <v>0</v>
      </c>
      <c r="W12" s="141">
        <v>0</v>
      </c>
      <c r="X12" s="141">
        <v>0</v>
      </c>
      <c r="Y12" s="141">
        <v>0</v>
      </c>
      <c r="Z12" s="141">
        <v>0</v>
      </c>
      <c r="AA12" s="141">
        <v>0</v>
      </c>
      <c r="AB12" s="141">
        <v>0</v>
      </c>
      <c r="AC12" s="302">
        <f t="shared" ref="AC12:AC45" si="4">SUM(Q12:AB12)</f>
        <v>0</v>
      </c>
      <c r="AD12" s="141">
        <f t="shared" ref="AD12:AD47" si="5">AC12-P12</f>
        <v>0</v>
      </c>
      <c r="AE12" s="192" t="e">
        <f t="shared" ref="AE12:AE47" si="6">AD12/AC12</f>
        <v>#DIV/0!</v>
      </c>
      <c r="AF12" s="228">
        <v>276</v>
      </c>
      <c r="AG12" s="123">
        <f t="shared" si="2"/>
        <v>276</v>
      </c>
    </row>
    <row r="13" spans="1:33">
      <c r="A13" s="105">
        <v>60010060</v>
      </c>
      <c r="B13" s="105" t="s">
        <v>899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228">
        <f t="shared" ref="P13:P45" si="7">SUM(D13:O13)</f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302">
        <f t="shared" si="4"/>
        <v>0</v>
      </c>
      <c r="AD13" s="141"/>
      <c r="AF13" s="228">
        <v>0</v>
      </c>
      <c r="AG13" s="123">
        <f t="shared" si="2"/>
        <v>0</v>
      </c>
    </row>
    <row r="14" spans="1:33">
      <c r="A14" s="105" t="s">
        <v>834</v>
      </c>
      <c r="B14" s="105" t="s">
        <v>899</v>
      </c>
      <c r="C14" s="105" t="s">
        <v>431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228">
        <f t="shared" si="7"/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302">
        <f t="shared" si="4"/>
        <v>0</v>
      </c>
      <c r="AD14" s="141">
        <f t="shared" si="5"/>
        <v>0</v>
      </c>
      <c r="AE14" s="192" t="e">
        <f t="shared" si="6"/>
        <v>#DIV/0!</v>
      </c>
      <c r="AF14" s="228">
        <v>0</v>
      </c>
      <c r="AG14" s="123">
        <f t="shared" si="2"/>
        <v>0</v>
      </c>
    </row>
    <row r="15" spans="1:33">
      <c r="A15" s="105" t="s">
        <v>688</v>
      </c>
      <c r="B15" s="105" t="s">
        <v>899</v>
      </c>
      <c r="C15" s="105" t="s">
        <v>184</v>
      </c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228">
        <f t="shared" si="7"/>
        <v>0</v>
      </c>
      <c r="Q15" s="141">
        <v>0</v>
      </c>
      <c r="R15" s="141">
        <v>0</v>
      </c>
      <c r="S15" s="141">
        <v>0</v>
      </c>
      <c r="T15" s="141">
        <v>0</v>
      </c>
      <c r="U15" s="141">
        <v>0</v>
      </c>
      <c r="V15" s="141">
        <v>0</v>
      </c>
      <c r="W15" s="141">
        <v>0</v>
      </c>
      <c r="X15" s="141">
        <v>0</v>
      </c>
      <c r="Y15" s="141">
        <v>0</v>
      </c>
      <c r="Z15" s="141">
        <v>0</v>
      </c>
      <c r="AA15" s="141">
        <v>0</v>
      </c>
      <c r="AB15" s="141">
        <v>0</v>
      </c>
      <c r="AC15" s="302">
        <f t="shared" si="4"/>
        <v>0</v>
      </c>
      <c r="AD15" s="141">
        <f t="shared" si="5"/>
        <v>0</v>
      </c>
      <c r="AE15" s="192" t="e">
        <f t="shared" si="6"/>
        <v>#DIV/0!</v>
      </c>
      <c r="AF15" s="228">
        <v>212</v>
      </c>
      <c r="AG15" s="123">
        <f t="shared" si="2"/>
        <v>212</v>
      </c>
    </row>
    <row r="16" spans="1:33">
      <c r="A16" s="105" t="s">
        <v>835</v>
      </c>
      <c r="B16" s="105" t="s">
        <v>899</v>
      </c>
      <c r="C16" s="105" t="s">
        <v>305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228">
        <f t="shared" si="7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302">
        <f t="shared" si="4"/>
        <v>0</v>
      </c>
      <c r="AD16" s="141">
        <f t="shared" si="5"/>
        <v>0</v>
      </c>
      <c r="AE16" s="192" t="e">
        <f t="shared" si="6"/>
        <v>#DIV/0!</v>
      </c>
      <c r="AF16" s="228">
        <v>0</v>
      </c>
      <c r="AG16" s="123">
        <f t="shared" si="2"/>
        <v>0</v>
      </c>
    </row>
    <row r="17" spans="1:34">
      <c r="A17" s="105" t="s">
        <v>689</v>
      </c>
      <c r="B17" s="105" t="s">
        <v>899</v>
      </c>
      <c r="C17" s="105" t="s">
        <v>202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228">
        <f t="shared" si="7"/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302">
        <f t="shared" si="4"/>
        <v>0</v>
      </c>
      <c r="AD17" s="141"/>
      <c r="AF17" s="228">
        <v>0</v>
      </c>
      <c r="AG17" s="123">
        <f t="shared" si="2"/>
        <v>0</v>
      </c>
    </row>
    <row r="18" spans="1:34">
      <c r="A18" s="105" t="s">
        <v>692</v>
      </c>
      <c r="B18" s="105" t="s">
        <v>899</v>
      </c>
      <c r="C18" s="105" t="s">
        <v>204</v>
      </c>
      <c r="D18" s="124">
        <v>200</v>
      </c>
      <c r="E18" s="124">
        <v>200</v>
      </c>
      <c r="F18" s="124">
        <v>200</v>
      </c>
      <c r="G18" s="124">
        <v>200</v>
      </c>
      <c r="H18" s="124">
        <v>200</v>
      </c>
      <c r="I18" s="124">
        <v>200</v>
      </c>
      <c r="J18" s="124">
        <v>200</v>
      </c>
      <c r="K18" s="124">
        <v>200</v>
      </c>
      <c r="L18" s="124">
        <v>200</v>
      </c>
      <c r="M18" s="124">
        <v>200</v>
      </c>
      <c r="N18" s="124">
        <v>200</v>
      </c>
      <c r="O18" s="124">
        <v>200</v>
      </c>
      <c r="P18" s="228">
        <f t="shared" si="7"/>
        <v>2400</v>
      </c>
      <c r="Q18" s="141">
        <v>971</v>
      </c>
      <c r="R18" s="141">
        <v>971</v>
      </c>
      <c r="S18" s="141">
        <v>971</v>
      </c>
      <c r="T18" s="141">
        <v>0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  <c r="AA18" s="141">
        <v>0</v>
      </c>
      <c r="AB18" s="141">
        <v>0</v>
      </c>
      <c r="AC18" s="302">
        <f t="shared" si="4"/>
        <v>2913</v>
      </c>
      <c r="AD18" s="141">
        <f t="shared" si="5"/>
        <v>513</v>
      </c>
      <c r="AE18" s="192">
        <f t="shared" si="6"/>
        <v>0.17610710607621008</v>
      </c>
      <c r="AF18" s="228">
        <v>1123.8800000000001</v>
      </c>
      <c r="AG18" s="123">
        <f t="shared" si="2"/>
        <v>-1276.1199999999999</v>
      </c>
    </row>
    <row r="19" spans="1:34">
      <c r="A19" s="105" t="s">
        <v>717</v>
      </c>
      <c r="B19" s="105" t="s">
        <v>900</v>
      </c>
      <c r="C19" s="105" t="s">
        <v>208</v>
      </c>
      <c r="D19" s="124">
        <v>40</v>
      </c>
      <c r="E19" s="124">
        <v>40</v>
      </c>
      <c r="F19" s="124">
        <v>40</v>
      </c>
      <c r="G19" s="124">
        <v>40</v>
      </c>
      <c r="H19" s="124">
        <v>40</v>
      </c>
      <c r="I19" s="124">
        <v>40</v>
      </c>
      <c r="J19" s="124">
        <v>40</v>
      </c>
      <c r="K19" s="124">
        <v>40</v>
      </c>
      <c r="L19" s="124">
        <v>40</v>
      </c>
      <c r="M19" s="124">
        <v>40</v>
      </c>
      <c r="N19" s="124">
        <v>40</v>
      </c>
      <c r="O19" s="124">
        <v>40</v>
      </c>
      <c r="P19" s="228">
        <f t="shared" si="7"/>
        <v>480</v>
      </c>
      <c r="Q19" s="141">
        <v>39.82</v>
      </c>
      <c r="R19" s="141">
        <v>39.82</v>
      </c>
      <c r="S19" s="141">
        <v>39.82</v>
      </c>
      <c r="T19" s="141">
        <v>39.82</v>
      </c>
      <c r="U19" s="141">
        <v>39.82</v>
      </c>
      <c r="V19" s="141">
        <v>39.82</v>
      </c>
      <c r="W19" s="141">
        <v>39.82</v>
      </c>
      <c r="X19" s="141">
        <v>39.82</v>
      </c>
      <c r="Y19" s="141">
        <v>40</v>
      </c>
      <c r="Z19" s="141">
        <v>40</v>
      </c>
      <c r="AA19" s="141">
        <v>40</v>
      </c>
      <c r="AB19" s="141">
        <v>40</v>
      </c>
      <c r="AC19" s="302">
        <f t="shared" si="4"/>
        <v>478.56</v>
      </c>
      <c r="AD19" s="141">
        <f t="shared" si="5"/>
        <v>-1.4399999999999977</v>
      </c>
      <c r="AE19" s="192">
        <f t="shared" si="6"/>
        <v>-3.0090270812437262E-3</v>
      </c>
      <c r="AF19" s="228">
        <v>1106.5</v>
      </c>
      <c r="AG19" s="123">
        <f t="shared" si="2"/>
        <v>626.5</v>
      </c>
    </row>
    <row r="20" spans="1:34">
      <c r="A20" s="105" t="s">
        <v>690</v>
      </c>
      <c r="B20" s="105" t="s">
        <v>900</v>
      </c>
      <c r="C20" s="105" t="s">
        <v>210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228">
        <f t="shared" si="7"/>
        <v>0</v>
      </c>
      <c r="Q20" s="141">
        <v>0</v>
      </c>
      <c r="R20" s="141">
        <v>0</v>
      </c>
      <c r="S20" s="141">
        <v>0</v>
      </c>
      <c r="T20" s="141">
        <v>0</v>
      </c>
      <c r="U20" s="141">
        <v>0</v>
      </c>
      <c r="V20" s="141">
        <v>0</v>
      </c>
      <c r="W20" s="141">
        <v>0</v>
      </c>
      <c r="X20" s="141">
        <v>0</v>
      </c>
      <c r="Y20" s="141">
        <v>0</v>
      </c>
      <c r="Z20" s="141">
        <v>0</v>
      </c>
      <c r="AA20" s="141">
        <v>0</v>
      </c>
      <c r="AB20" s="141">
        <v>0</v>
      </c>
      <c r="AC20" s="302">
        <f t="shared" si="4"/>
        <v>0</v>
      </c>
      <c r="AD20" s="141">
        <f t="shared" si="5"/>
        <v>0</v>
      </c>
      <c r="AE20" s="192" t="e">
        <f t="shared" si="6"/>
        <v>#DIV/0!</v>
      </c>
      <c r="AF20" s="228">
        <v>24</v>
      </c>
      <c r="AG20" s="123">
        <f t="shared" si="2"/>
        <v>24</v>
      </c>
    </row>
    <row r="21" spans="1:34">
      <c r="A21" s="105" t="s">
        <v>694</v>
      </c>
      <c r="B21" s="105" t="s">
        <v>899</v>
      </c>
      <c r="C21" s="105" t="s">
        <v>212</v>
      </c>
      <c r="D21" s="124">
        <v>200</v>
      </c>
      <c r="E21" s="124">
        <v>200</v>
      </c>
      <c r="F21" s="124">
        <v>200</v>
      </c>
      <c r="G21" s="124">
        <v>200</v>
      </c>
      <c r="H21" s="124">
        <v>200</v>
      </c>
      <c r="I21" s="124">
        <v>200</v>
      </c>
      <c r="J21" s="124">
        <v>200</v>
      </c>
      <c r="K21" s="124">
        <v>200</v>
      </c>
      <c r="L21" s="124">
        <v>200</v>
      </c>
      <c r="M21" s="124">
        <v>200</v>
      </c>
      <c r="N21" s="124">
        <v>200</v>
      </c>
      <c r="O21" s="124">
        <v>200</v>
      </c>
      <c r="P21" s="228">
        <f t="shared" si="7"/>
        <v>2400</v>
      </c>
      <c r="Q21" s="141">
        <v>269</v>
      </c>
      <c r="R21" s="141">
        <v>0</v>
      </c>
      <c r="S21" s="141">
        <v>0</v>
      </c>
      <c r="T21" s="141">
        <v>56281</v>
      </c>
      <c r="U21" s="141">
        <v>0</v>
      </c>
      <c r="V21" s="141">
        <v>0</v>
      </c>
      <c r="W21" s="141">
        <v>0</v>
      </c>
      <c r="X21" s="141">
        <v>0</v>
      </c>
      <c r="Y21" s="141">
        <v>0</v>
      </c>
      <c r="Z21" s="141">
        <v>0</v>
      </c>
      <c r="AA21" s="141">
        <v>0</v>
      </c>
      <c r="AB21" s="141">
        <v>0</v>
      </c>
      <c r="AC21" s="302">
        <f t="shared" si="4"/>
        <v>56550</v>
      </c>
      <c r="AD21" s="141">
        <f t="shared" si="5"/>
        <v>54150</v>
      </c>
      <c r="AE21" s="192">
        <f t="shared" si="6"/>
        <v>0.95755968169761274</v>
      </c>
      <c r="AF21" s="228">
        <v>3330</v>
      </c>
      <c r="AG21" s="123">
        <f t="shared" si="2"/>
        <v>930</v>
      </c>
    </row>
    <row r="22" spans="1:34">
      <c r="A22" s="105" t="s">
        <v>709</v>
      </c>
      <c r="B22" s="105" t="s">
        <v>899</v>
      </c>
      <c r="C22" s="105" t="s">
        <v>214</v>
      </c>
      <c r="D22" s="212">
        <f>Laundry!E157</f>
        <v>89</v>
      </c>
      <c r="E22" s="212">
        <f>Laundry!F157</f>
        <v>81</v>
      </c>
      <c r="F22" s="212">
        <f>Laundry!G157</f>
        <v>82</v>
      </c>
      <c r="G22" s="212">
        <f>Laundry!H157</f>
        <v>84</v>
      </c>
      <c r="H22" s="212">
        <f>Laundry!I157</f>
        <v>87</v>
      </c>
      <c r="I22" s="212">
        <f>Laundry!J157</f>
        <v>83</v>
      </c>
      <c r="J22" s="212">
        <f>Laundry!K157</f>
        <v>88</v>
      </c>
      <c r="K22" s="212">
        <f>Laundry!L157</f>
        <v>88</v>
      </c>
      <c r="L22" s="212">
        <f>Laundry!M157</f>
        <v>85</v>
      </c>
      <c r="M22" s="212">
        <f>Laundry!N157</f>
        <v>96</v>
      </c>
      <c r="N22" s="212">
        <f>Laundry!O157</f>
        <v>85</v>
      </c>
      <c r="O22" s="212">
        <f>Laundry!P157</f>
        <v>85</v>
      </c>
      <c r="P22" s="228">
        <f t="shared" si="7"/>
        <v>1033</v>
      </c>
      <c r="Q22" s="141">
        <v>73.38</v>
      </c>
      <c r="R22" s="141">
        <v>83.44</v>
      </c>
      <c r="S22" s="141">
        <v>86.4</v>
      </c>
      <c r="T22" s="141">
        <v>80.819999999999993</v>
      </c>
      <c r="U22" s="141">
        <v>30.24</v>
      </c>
      <c r="V22" s="141">
        <v>120.42</v>
      </c>
      <c r="W22" s="141">
        <v>111.32</v>
      </c>
      <c r="X22" s="141">
        <v>90.24</v>
      </c>
      <c r="Y22" s="141">
        <v>61</v>
      </c>
      <c r="Z22" s="141">
        <v>68</v>
      </c>
      <c r="AA22" s="141">
        <v>58</v>
      </c>
      <c r="AB22" s="141">
        <v>59</v>
      </c>
      <c r="AC22" s="302">
        <f t="shared" si="4"/>
        <v>922.26</v>
      </c>
      <c r="AD22" s="141">
        <f t="shared" si="5"/>
        <v>-110.74000000000001</v>
      </c>
      <c r="AE22" s="192">
        <f t="shared" si="6"/>
        <v>-0.12007459935376143</v>
      </c>
      <c r="AF22" s="228">
        <v>548.37999999999988</v>
      </c>
      <c r="AG22" s="123">
        <f t="shared" si="2"/>
        <v>-484.62000000000012</v>
      </c>
    </row>
    <row r="23" spans="1:34">
      <c r="A23" s="105" t="s">
        <v>306</v>
      </c>
      <c r="B23" s="105" t="s">
        <v>899</v>
      </c>
      <c r="C23" s="105" t="s">
        <v>206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228">
        <f t="shared" si="7"/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  <c r="AA23" s="141">
        <v>0</v>
      </c>
      <c r="AB23" s="141">
        <v>0</v>
      </c>
      <c r="AC23" s="302">
        <f t="shared" si="4"/>
        <v>0</v>
      </c>
      <c r="AD23" s="141"/>
      <c r="AF23" s="228">
        <v>0</v>
      </c>
      <c r="AG23" s="123">
        <f t="shared" si="2"/>
        <v>0</v>
      </c>
    </row>
    <row r="24" spans="1:34">
      <c r="A24" s="105" t="s">
        <v>696</v>
      </c>
      <c r="B24" s="105" t="s">
        <v>899</v>
      </c>
      <c r="C24" s="105" t="s">
        <v>216</v>
      </c>
      <c r="D24" s="124">
        <f>3500-222</f>
        <v>3278</v>
      </c>
      <c r="E24" s="124">
        <f t="shared" ref="E24:O24" si="8">3500-222</f>
        <v>3278</v>
      </c>
      <c r="F24" s="124">
        <f t="shared" si="8"/>
        <v>3278</v>
      </c>
      <c r="G24" s="124">
        <f t="shared" si="8"/>
        <v>3278</v>
      </c>
      <c r="H24" s="124">
        <f t="shared" si="8"/>
        <v>3278</v>
      </c>
      <c r="I24" s="124">
        <f t="shared" si="8"/>
        <v>3278</v>
      </c>
      <c r="J24" s="124">
        <f t="shared" si="8"/>
        <v>3278</v>
      </c>
      <c r="K24" s="124">
        <f t="shared" si="8"/>
        <v>3278</v>
      </c>
      <c r="L24" s="124">
        <f t="shared" si="8"/>
        <v>3278</v>
      </c>
      <c r="M24" s="124">
        <f t="shared" si="8"/>
        <v>3278</v>
      </c>
      <c r="N24" s="124">
        <f t="shared" si="8"/>
        <v>3278</v>
      </c>
      <c r="O24" s="124">
        <f t="shared" si="8"/>
        <v>3278</v>
      </c>
      <c r="P24" s="228">
        <f t="shared" si="7"/>
        <v>39336</v>
      </c>
      <c r="Q24" s="141">
        <v>2673.25</v>
      </c>
      <c r="R24" s="141">
        <v>2988.1</v>
      </c>
      <c r="S24" s="141">
        <v>3820.52</v>
      </c>
      <c r="T24" s="141">
        <v>3891.4</v>
      </c>
      <c r="U24" s="141">
        <v>2855.1</v>
      </c>
      <c r="V24" s="141">
        <v>3917.89</v>
      </c>
      <c r="W24" s="141">
        <v>3476.11</v>
      </c>
      <c r="X24" s="141">
        <v>3467.66</v>
      </c>
      <c r="Y24" s="141">
        <v>3900</v>
      </c>
      <c r="Z24" s="141">
        <v>3900</v>
      </c>
      <c r="AA24" s="141">
        <v>3900</v>
      </c>
      <c r="AB24" s="141">
        <v>3900</v>
      </c>
      <c r="AC24" s="302">
        <f t="shared" si="4"/>
        <v>42690.03</v>
      </c>
      <c r="AD24" s="141">
        <f t="shared" si="5"/>
        <v>3354.0299999999988</v>
      </c>
      <c r="AE24" s="192">
        <f t="shared" si="6"/>
        <v>7.8567056523502071E-2</v>
      </c>
      <c r="AF24" s="228">
        <v>91373.760000000024</v>
      </c>
      <c r="AG24" s="123">
        <f t="shared" si="2"/>
        <v>52037.760000000024</v>
      </c>
    </row>
    <row r="25" spans="1:34">
      <c r="A25" s="105" t="s">
        <v>697</v>
      </c>
      <c r="B25" s="105" t="s">
        <v>899</v>
      </c>
      <c r="C25" s="105" t="s">
        <v>218</v>
      </c>
      <c r="D25" s="124">
        <v>460</v>
      </c>
      <c r="E25" s="124">
        <v>460</v>
      </c>
      <c r="F25" s="124">
        <v>460</v>
      </c>
      <c r="G25" s="124">
        <v>460</v>
      </c>
      <c r="H25" s="124">
        <v>460</v>
      </c>
      <c r="I25" s="124">
        <v>460</v>
      </c>
      <c r="J25" s="124">
        <v>460</v>
      </c>
      <c r="K25" s="124">
        <v>460</v>
      </c>
      <c r="L25" s="124">
        <v>460</v>
      </c>
      <c r="M25" s="124">
        <v>460</v>
      </c>
      <c r="N25" s="124">
        <v>460</v>
      </c>
      <c r="O25" s="124">
        <v>460</v>
      </c>
      <c r="P25" s="228">
        <f t="shared" si="7"/>
        <v>5520</v>
      </c>
      <c r="Q25" s="141">
        <v>463</v>
      </c>
      <c r="R25" s="141">
        <v>560</v>
      </c>
      <c r="S25" s="141">
        <v>-6510</v>
      </c>
      <c r="T25" s="141">
        <v>548.70000000000005</v>
      </c>
      <c r="U25" s="141">
        <v>467</v>
      </c>
      <c r="V25" s="141">
        <v>626.15</v>
      </c>
      <c r="W25" s="141">
        <v>467</v>
      </c>
      <c r="X25" s="141">
        <v>545.52</v>
      </c>
      <c r="Y25" s="141">
        <v>350</v>
      </c>
      <c r="Z25" s="141">
        <v>350</v>
      </c>
      <c r="AA25" s="141">
        <v>350</v>
      </c>
      <c r="AB25" s="141">
        <v>350</v>
      </c>
      <c r="AC25" s="302">
        <f t="shared" si="4"/>
        <v>-1432.63</v>
      </c>
      <c r="AD25" s="141">
        <f t="shared" si="5"/>
        <v>-6952.63</v>
      </c>
      <c r="AE25" s="192">
        <f t="shared" si="6"/>
        <v>4.8530534750773047</v>
      </c>
      <c r="AF25" s="228">
        <v>-13258.380000000001</v>
      </c>
      <c r="AG25" s="123">
        <f t="shared" si="2"/>
        <v>-18778.38</v>
      </c>
      <c r="AH25" s="106" t="s">
        <v>901</v>
      </c>
    </row>
    <row r="26" spans="1:34">
      <c r="A26" s="105" t="s">
        <v>836</v>
      </c>
      <c r="B26" s="105" t="s">
        <v>899</v>
      </c>
      <c r="C26" s="105" t="s">
        <v>220</v>
      </c>
      <c r="D26" s="124"/>
      <c r="E26" s="124"/>
      <c r="F26" s="124"/>
      <c r="G26" s="124">
        <v>8000</v>
      </c>
      <c r="H26" s="124"/>
      <c r="I26" s="124"/>
      <c r="J26" s="124"/>
      <c r="K26" s="124"/>
      <c r="L26" s="124"/>
      <c r="M26" s="124"/>
      <c r="N26" s="124"/>
      <c r="O26" s="124"/>
      <c r="P26" s="228">
        <f t="shared" si="7"/>
        <v>8000</v>
      </c>
      <c r="Q26" s="141">
        <v>0</v>
      </c>
      <c r="R26" s="141">
        <v>0</v>
      </c>
      <c r="S26" s="141">
        <v>0</v>
      </c>
      <c r="T26" s="141">
        <v>0</v>
      </c>
      <c r="U26" s="141">
        <v>0</v>
      </c>
      <c r="V26" s="141">
        <v>0</v>
      </c>
      <c r="W26" s="141">
        <v>0</v>
      </c>
      <c r="X26" s="141">
        <v>0</v>
      </c>
      <c r="Y26" s="141">
        <v>0</v>
      </c>
      <c r="Z26" s="141">
        <v>0</v>
      </c>
      <c r="AA26" s="141">
        <v>0</v>
      </c>
      <c r="AB26" s="141">
        <v>0</v>
      </c>
      <c r="AC26" s="302">
        <f t="shared" si="4"/>
        <v>0</v>
      </c>
      <c r="AD26" s="141">
        <f t="shared" si="5"/>
        <v>-8000</v>
      </c>
      <c r="AE26" s="192" t="e">
        <f t="shared" si="6"/>
        <v>#DIV/0!</v>
      </c>
      <c r="AF26" s="228">
        <v>0</v>
      </c>
      <c r="AG26" s="123">
        <f t="shared" si="2"/>
        <v>-8000</v>
      </c>
    </row>
    <row r="27" spans="1:34">
      <c r="A27" s="105">
        <v>60014101</v>
      </c>
      <c r="B27" s="105" t="s">
        <v>899</v>
      </c>
      <c r="C27" s="105" t="s">
        <v>459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228">
        <f t="shared" si="7"/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0</v>
      </c>
      <c r="AC27" s="302">
        <f t="shared" si="4"/>
        <v>0</v>
      </c>
      <c r="AD27" s="141"/>
      <c r="AF27" s="228">
        <v>0</v>
      </c>
      <c r="AG27" s="123">
        <f t="shared" si="2"/>
        <v>0</v>
      </c>
    </row>
    <row r="28" spans="1:34">
      <c r="A28" s="105" t="s">
        <v>746</v>
      </c>
      <c r="B28" s="105" t="s">
        <v>899</v>
      </c>
      <c r="C28" s="105" t="s">
        <v>678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228">
        <f t="shared" si="7"/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0</v>
      </c>
      <c r="AC28" s="302">
        <f t="shared" si="4"/>
        <v>0</v>
      </c>
      <c r="AD28" s="141">
        <f t="shared" si="5"/>
        <v>0</v>
      </c>
      <c r="AE28" s="192" t="e">
        <f t="shared" si="6"/>
        <v>#DIV/0!</v>
      </c>
      <c r="AF28" s="228">
        <v>0</v>
      </c>
      <c r="AG28" s="123">
        <f t="shared" si="2"/>
        <v>0</v>
      </c>
    </row>
    <row r="29" spans="1:34">
      <c r="A29" s="105" t="s">
        <v>837</v>
      </c>
      <c r="B29" s="105" t="s">
        <v>899</v>
      </c>
      <c r="C29" s="106" t="s">
        <v>888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228">
        <f t="shared" si="7"/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41">
        <v>0</v>
      </c>
      <c r="W29" s="141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302">
        <f t="shared" si="4"/>
        <v>0</v>
      </c>
      <c r="AD29" s="141"/>
      <c r="AF29" s="228">
        <v>0</v>
      </c>
      <c r="AG29" s="123">
        <f t="shared" si="2"/>
        <v>0</v>
      </c>
    </row>
    <row r="30" spans="1:34">
      <c r="A30" s="105">
        <v>60014104</v>
      </c>
      <c r="B30" s="105" t="s">
        <v>899</v>
      </c>
      <c r="C30" s="105" t="s">
        <v>892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228">
        <f t="shared" si="7"/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0</v>
      </c>
      <c r="AC30" s="302">
        <f t="shared" si="4"/>
        <v>0</v>
      </c>
      <c r="AD30" s="141"/>
      <c r="AF30" s="228">
        <v>0</v>
      </c>
      <c r="AG30" s="123">
        <f t="shared" si="2"/>
        <v>0</v>
      </c>
    </row>
    <row r="31" spans="1:34">
      <c r="A31" s="105" t="s">
        <v>841</v>
      </c>
      <c r="B31" s="105" t="s">
        <v>899</v>
      </c>
      <c r="C31" s="105" t="s">
        <v>842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228">
        <f t="shared" si="7"/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302">
        <f t="shared" si="4"/>
        <v>0</v>
      </c>
      <c r="AD31" s="141">
        <f t="shared" si="5"/>
        <v>0</v>
      </c>
      <c r="AE31" s="192" t="e">
        <f t="shared" si="6"/>
        <v>#DIV/0!</v>
      </c>
      <c r="AF31" s="228">
        <v>0</v>
      </c>
      <c r="AG31" s="123">
        <f t="shared" si="2"/>
        <v>0</v>
      </c>
    </row>
    <row r="32" spans="1:34">
      <c r="A32" s="105" t="s">
        <v>843</v>
      </c>
      <c r="B32" s="105" t="s">
        <v>899</v>
      </c>
      <c r="C32" s="105" t="s">
        <v>844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228">
        <f t="shared" si="7"/>
        <v>0</v>
      </c>
      <c r="Q32" s="141">
        <v>0</v>
      </c>
      <c r="R32" s="141">
        <v>0</v>
      </c>
      <c r="S32" s="141">
        <v>0</v>
      </c>
      <c r="T32" s="141">
        <v>0</v>
      </c>
      <c r="U32" s="141">
        <v>0</v>
      </c>
      <c r="V32" s="141">
        <v>0</v>
      </c>
      <c r="W32" s="141">
        <v>0</v>
      </c>
      <c r="X32" s="141">
        <v>0</v>
      </c>
      <c r="Y32" s="141">
        <v>0</v>
      </c>
      <c r="Z32" s="141">
        <v>0</v>
      </c>
      <c r="AA32" s="141">
        <v>0</v>
      </c>
      <c r="AB32" s="141">
        <v>0</v>
      </c>
      <c r="AC32" s="302">
        <f t="shared" si="4"/>
        <v>0</v>
      </c>
      <c r="AD32" s="141">
        <f t="shared" si="5"/>
        <v>0</v>
      </c>
      <c r="AE32" s="192" t="e">
        <f t="shared" si="6"/>
        <v>#DIV/0!</v>
      </c>
      <c r="AF32" s="228">
        <v>0</v>
      </c>
      <c r="AG32" s="123">
        <f t="shared" si="2"/>
        <v>0</v>
      </c>
    </row>
    <row r="33" spans="1:33">
      <c r="A33" s="105">
        <v>60014110</v>
      </c>
      <c r="B33" s="105" t="s">
        <v>899</v>
      </c>
      <c r="C33" s="105" t="s">
        <v>845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228">
        <f t="shared" si="7"/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  <c r="AA33" s="141">
        <v>0</v>
      </c>
      <c r="AB33" s="141">
        <v>0</v>
      </c>
      <c r="AC33" s="302">
        <f t="shared" si="4"/>
        <v>0</v>
      </c>
      <c r="AD33" s="141"/>
      <c r="AF33" s="228">
        <v>0</v>
      </c>
      <c r="AG33" s="123">
        <f t="shared" si="2"/>
        <v>0</v>
      </c>
    </row>
    <row r="34" spans="1:33">
      <c r="A34" s="105">
        <v>60014111</v>
      </c>
      <c r="B34" s="105" t="s">
        <v>899</v>
      </c>
      <c r="C34" s="105" t="s">
        <v>846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228">
        <f t="shared" si="7"/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41">
        <v>0</v>
      </c>
      <c r="W34" s="141">
        <v>0</v>
      </c>
      <c r="X34" s="141">
        <v>0</v>
      </c>
      <c r="Y34" s="141">
        <v>0</v>
      </c>
      <c r="Z34" s="141">
        <v>0</v>
      </c>
      <c r="AA34" s="141">
        <v>0</v>
      </c>
      <c r="AB34" s="141">
        <v>0</v>
      </c>
      <c r="AC34" s="302">
        <f t="shared" si="4"/>
        <v>0</v>
      </c>
      <c r="AD34" s="141"/>
      <c r="AF34" s="228">
        <v>0</v>
      </c>
      <c r="AG34" s="123">
        <f t="shared" si="2"/>
        <v>0</v>
      </c>
    </row>
    <row r="35" spans="1:33">
      <c r="A35" s="105" t="s">
        <v>847</v>
      </c>
      <c r="B35" s="105" t="s">
        <v>899</v>
      </c>
      <c r="C35" s="105" t="s">
        <v>848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228">
        <f t="shared" si="7"/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302">
        <f t="shared" si="4"/>
        <v>0</v>
      </c>
      <c r="AD35" s="141">
        <f t="shared" si="5"/>
        <v>0</v>
      </c>
      <c r="AE35" s="192" t="e">
        <f t="shared" si="6"/>
        <v>#DIV/0!</v>
      </c>
      <c r="AF35" s="228">
        <v>0</v>
      </c>
      <c r="AG35" s="123">
        <f t="shared" si="2"/>
        <v>0</v>
      </c>
    </row>
    <row r="36" spans="1:33">
      <c r="A36" s="105" t="s">
        <v>849</v>
      </c>
      <c r="B36" s="105" t="s">
        <v>899</v>
      </c>
      <c r="C36" s="105" t="s">
        <v>850</v>
      </c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228">
        <f t="shared" si="7"/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302">
        <f t="shared" si="4"/>
        <v>0</v>
      </c>
      <c r="AD36" s="141">
        <f>AC36-P36</f>
        <v>0</v>
      </c>
      <c r="AE36" s="192" t="e">
        <f t="shared" si="6"/>
        <v>#DIV/0!</v>
      </c>
      <c r="AF36" s="228">
        <v>0</v>
      </c>
      <c r="AG36" s="123">
        <f t="shared" si="2"/>
        <v>0</v>
      </c>
    </row>
    <row r="37" spans="1:33">
      <c r="A37" s="105" t="s">
        <v>851</v>
      </c>
      <c r="B37" s="105" t="s">
        <v>899</v>
      </c>
      <c r="C37" s="105" t="s">
        <v>852</v>
      </c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228">
        <f t="shared" si="7"/>
        <v>0</v>
      </c>
      <c r="Q37" s="141">
        <v>0</v>
      </c>
      <c r="R37" s="141">
        <v>0</v>
      </c>
      <c r="S37" s="141">
        <v>0</v>
      </c>
      <c r="T37" s="141">
        <v>0</v>
      </c>
      <c r="U37" s="141">
        <v>0</v>
      </c>
      <c r="V37" s="141">
        <v>0</v>
      </c>
      <c r="W37" s="141">
        <v>0</v>
      </c>
      <c r="X37" s="141">
        <v>0</v>
      </c>
      <c r="Y37" s="141">
        <v>0</v>
      </c>
      <c r="Z37" s="141">
        <v>0</v>
      </c>
      <c r="AA37" s="141">
        <v>0</v>
      </c>
      <c r="AB37" s="141">
        <v>0</v>
      </c>
      <c r="AC37" s="302">
        <f t="shared" si="4"/>
        <v>0</v>
      </c>
      <c r="AD37" s="141">
        <f t="shared" si="5"/>
        <v>0</v>
      </c>
      <c r="AE37" s="192" t="e">
        <f t="shared" si="6"/>
        <v>#DIV/0!</v>
      </c>
      <c r="AF37" s="228">
        <v>0</v>
      </c>
      <c r="AG37" s="123">
        <f t="shared" si="2"/>
        <v>0</v>
      </c>
    </row>
    <row r="38" spans="1:33">
      <c r="A38" s="105" t="s">
        <v>853</v>
      </c>
      <c r="B38" s="105" t="s">
        <v>899</v>
      </c>
      <c r="C38" s="105" t="s">
        <v>854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228">
        <f t="shared" si="7"/>
        <v>0</v>
      </c>
      <c r="Q38" s="141">
        <v>0</v>
      </c>
      <c r="R38" s="141">
        <v>0</v>
      </c>
      <c r="S38" s="141">
        <v>0</v>
      </c>
      <c r="T38" s="141">
        <v>0</v>
      </c>
      <c r="U38" s="141">
        <v>0</v>
      </c>
      <c r="V38" s="141">
        <v>0</v>
      </c>
      <c r="W38" s="141">
        <v>0</v>
      </c>
      <c r="X38" s="141">
        <v>0</v>
      </c>
      <c r="Y38" s="141">
        <v>0</v>
      </c>
      <c r="Z38" s="141">
        <v>0</v>
      </c>
      <c r="AA38" s="141">
        <v>0</v>
      </c>
      <c r="AB38" s="141">
        <v>0</v>
      </c>
      <c r="AC38" s="302">
        <f t="shared" si="4"/>
        <v>0</v>
      </c>
      <c r="AD38" s="141">
        <f t="shared" si="5"/>
        <v>0</v>
      </c>
      <c r="AE38" s="192" t="e">
        <f t="shared" si="6"/>
        <v>#DIV/0!</v>
      </c>
      <c r="AF38" s="228">
        <v>0</v>
      </c>
      <c r="AG38" s="123">
        <f t="shared" si="2"/>
        <v>0</v>
      </c>
    </row>
    <row r="39" spans="1:33">
      <c r="A39" s="105" t="s">
        <v>855</v>
      </c>
      <c r="B39" s="105" t="s">
        <v>899</v>
      </c>
      <c r="C39" s="105" t="s">
        <v>856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228">
        <f t="shared" si="7"/>
        <v>0</v>
      </c>
      <c r="Q39" s="141">
        <v>0</v>
      </c>
      <c r="R39" s="141">
        <v>0</v>
      </c>
      <c r="S39" s="141">
        <v>0</v>
      </c>
      <c r="T39" s="141">
        <v>0</v>
      </c>
      <c r="U39" s="141">
        <v>0</v>
      </c>
      <c r="V39" s="141">
        <v>0</v>
      </c>
      <c r="W39" s="141">
        <v>0</v>
      </c>
      <c r="X39" s="141">
        <v>0</v>
      </c>
      <c r="Y39" s="141">
        <v>0</v>
      </c>
      <c r="Z39" s="141">
        <v>0</v>
      </c>
      <c r="AA39" s="141">
        <v>0</v>
      </c>
      <c r="AB39" s="141">
        <v>0</v>
      </c>
      <c r="AC39" s="302">
        <f t="shared" si="4"/>
        <v>0</v>
      </c>
      <c r="AD39" s="141">
        <f t="shared" si="5"/>
        <v>0</v>
      </c>
      <c r="AE39" s="192" t="e">
        <f t="shared" si="6"/>
        <v>#DIV/0!</v>
      </c>
      <c r="AF39" s="228">
        <v>0</v>
      </c>
      <c r="AG39" s="123">
        <f t="shared" si="2"/>
        <v>0</v>
      </c>
    </row>
    <row r="40" spans="1:33">
      <c r="A40" s="105" t="s">
        <v>857</v>
      </c>
      <c r="B40" s="105" t="s">
        <v>899</v>
      </c>
      <c r="C40" s="105" t="s">
        <v>858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228">
        <f t="shared" si="7"/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41">
        <v>0</v>
      </c>
      <c r="W40" s="141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302">
        <f t="shared" si="4"/>
        <v>0</v>
      </c>
      <c r="AD40" s="141">
        <f t="shared" si="5"/>
        <v>0</v>
      </c>
      <c r="AE40" s="192" t="e">
        <f t="shared" si="6"/>
        <v>#DIV/0!</v>
      </c>
      <c r="AF40" s="228">
        <v>0</v>
      </c>
      <c r="AG40" s="123">
        <f t="shared" si="2"/>
        <v>0</v>
      </c>
    </row>
    <row r="41" spans="1:33">
      <c r="A41" s="105" t="s">
        <v>859</v>
      </c>
      <c r="B41" s="105" t="s">
        <v>899</v>
      </c>
      <c r="C41" s="105" t="s">
        <v>860</v>
      </c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228">
        <f t="shared" si="7"/>
        <v>0</v>
      </c>
      <c r="Q41" s="141">
        <v>0</v>
      </c>
      <c r="R41" s="141">
        <v>0</v>
      </c>
      <c r="S41" s="141">
        <v>0</v>
      </c>
      <c r="T41" s="141">
        <v>0</v>
      </c>
      <c r="U41" s="141">
        <v>0</v>
      </c>
      <c r="V41" s="141">
        <v>0</v>
      </c>
      <c r="W41" s="141">
        <v>0</v>
      </c>
      <c r="X41" s="141">
        <v>0</v>
      </c>
      <c r="Y41" s="141">
        <v>0</v>
      </c>
      <c r="Z41" s="141">
        <v>0</v>
      </c>
      <c r="AA41" s="141">
        <v>0</v>
      </c>
      <c r="AB41" s="141">
        <v>0</v>
      </c>
      <c r="AC41" s="302">
        <f t="shared" si="4"/>
        <v>0</v>
      </c>
      <c r="AD41" s="141">
        <f t="shared" si="5"/>
        <v>0</v>
      </c>
      <c r="AF41" s="228">
        <v>0</v>
      </c>
      <c r="AG41" s="123">
        <f t="shared" si="2"/>
        <v>0</v>
      </c>
    </row>
    <row r="42" spans="1:33">
      <c r="A42" s="105" t="s">
        <v>861</v>
      </c>
      <c r="B42" s="105" t="s">
        <v>899</v>
      </c>
      <c r="C42" s="105" t="s">
        <v>862</v>
      </c>
      <c r="D42" s="124">
        <v>13752</v>
      </c>
      <c r="E42" s="124">
        <v>13752</v>
      </c>
      <c r="F42" s="124">
        <v>13752</v>
      </c>
      <c r="G42" s="124">
        <v>13752</v>
      </c>
      <c r="H42" s="124">
        <v>13752</v>
      </c>
      <c r="I42" s="124">
        <v>13752</v>
      </c>
      <c r="J42" s="124">
        <v>13752</v>
      </c>
      <c r="K42" s="124">
        <v>13752</v>
      </c>
      <c r="L42" s="124">
        <v>13752</v>
      </c>
      <c r="M42" s="124">
        <v>13752</v>
      </c>
      <c r="N42" s="124">
        <v>13752</v>
      </c>
      <c r="O42" s="124">
        <v>13752</v>
      </c>
      <c r="P42" s="228">
        <f t="shared" si="7"/>
        <v>165024</v>
      </c>
      <c r="Q42" s="141">
        <v>4765.93</v>
      </c>
      <c r="R42" s="141">
        <v>5835.49</v>
      </c>
      <c r="S42" s="141">
        <v>5835.49</v>
      </c>
      <c r="T42" s="141">
        <v>9270.08</v>
      </c>
      <c r="U42" s="141">
        <v>5835.49</v>
      </c>
      <c r="V42" s="141">
        <v>5835.49</v>
      </c>
      <c r="W42" s="141">
        <v>5835.51</v>
      </c>
      <c r="X42" s="141">
        <v>5835.49</v>
      </c>
      <c r="Y42" s="141">
        <v>11035</v>
      </c>
      <c r="Z42" s="141">
        <v>11035</v>
      </c>
      <c r="AA42" s="141">
        <v>11035</v>
      </c>
      <c r="AB42" s="141">
        <v>11035</v>
      </c>
      <c r="AC42" s="302">
        <f t="shared" si="4"/>
        <v>93188.97</v>
      </c>
      <c r="AD42" s="141">
        <f t="shared" si="5"/>
        <v>-71835.03</v>
      </c>
      <c r="AE42" s="192">
        <f t="shared" si="6"/>
        <v>-0.77085335313825232</v>
      </c>
      <c r="AF42" s="228">
        <v>189713.75</v>
      </c>
      <c r="AG42" s="123">
        <f t="shared" si="2"/>
        <v>24689.75</v>
      </c>
    </row>
    <row r="43" spans="1:33">
      <c r="A43" s="105" t="s">
        <v>863</v>
      </c>
      <c r="B43" s="105" t="s">
        <v>899</v>
      </c>
      <c r="C43" s="105" t="s">
        <v>864</v>
      </c>
      <c r="D43" s="131">
        <v>91249</v>
      </c>
      <c r="E43" s="131">
        <v>76628</v>
      </c>
      <c r="F43" s="131">
        <v>76689</v>
      </c>
      <c r="G43" s="131">
        <v>76689</v>
      </c>
      <c r="H43" s="131">
        <v>76689</v>
      </c>
      <c r="I43" s="131">
        <v>76689</v>
      </c>
      <c r="J43" s="131">
        <v>76689</v>
      </c>
      <c r="K43" s="131">
        <v>76689</v>
      </c>
      <c r="L43" s="131">
        <v>76689</v>
      </c>
      <c r="M43" s="131">
        <v>76689</v>
      </c>
      <c r="N43" s="131">
        <v>76836</v>
      </c>
      <c r="O43" s="131">
        <v>76836</v>
      </c>
      <c r="P43" s="228">
        <f t="shared" si="7"/>
        <v>935061</v>
      </c>
      <c r="Q43" s="141">
        <v>79046.259999999995</v>
      </c>
      <c r="R43" s="141">
        <v>78801.210000000006</v>
      </c>
      <c r="S43" s="141">
        <v>78903.460000000006</v>
      </c>
      <c r="T43" s="141">
        <v>78802.84</v>
      </c>
      <c r="U43" s="141">
        <v>77930.990000000005</v>
      </c>
      <c r="V43" s="141">
        <v>78855.399999999994</v>
      </c>
      <c r="W43" s="141">
        <v>75989.39</v>
      </c>
      <c r="X43" s="141">
        <v>219723.15</v>
      </c>
      <c r="Y43" s="141">
        <v>89964</v>
      </c>
      <c r="Z43" s="141">
        <v>89964</v>
      </c>
      <c r="AA43" s="141">
        <v>89964</v>
      </c>
      <c r="AB43" s="141">
        <v>89964</v>
      </c>
      <c r="AC43" s="302">
        <f t="shared" si="4"/>
        <v>1127908.7000000002</v>
      </c>
      <c r="AD43" s="141">
        <f t="shared" si="5"/>
        <v>192847.70000000019</v>
      </c>
      <c r="AE43" s="192">
        <f t="shared" si="6"/>
        <v>0.17097811196952392</v>
      </c>
      <c r="AF43" s="228">
        <v>1149676.1599999999</v>
      </c>
      <c r="AG43" s="123">
        <f t="shared" si="2"/>
        <v>214615.15999999992</v>
      </c>
    </row>
    <row r="44" spans="1:33">
      <c r="A44" s="105" t="s">
        <v>865</v>
      </c>
      <c r="B44" s="105" t="s">
        <v>899</v>
      </c>
      <c r="C44" s="105" t="s">
        <v>866</v>
      </c>
      <c r="D44" s="124">
        <v>28585</v>
      </c>
      <c r="E44" s="124">
        <v>28585</v>
      </c>
      <c r="F44" s="124">
        <v>28585</v>
      </c>
      <c r="G44" s="124">
        <v>28585</v>
      </c>
      <c r="H44" s="124">
        <v>28585</v>
      </c>
      <c r="I44" s="124">
        <v>28585</v>
      </c>
      <c r="J44" s="124">
        <v>28585</v>
      </c>
      <c r="K44" s="124">
        <v>28585</v>
      </c>
      <c r="L44" s="124">
        <v>28585</v>
      </c>
      <c r="M44" s="124">
        <v>28585</v>
      </c>
      <c r="N44" s="124">
        <v>28585</v>
      </c>
      <c r="O44" s="124">
        <v>28585</v>
      </c>
      <c r="P44" s="228">
        <f t="shared" si="7"/>
        <v>343020</v>
      </c>
      <c r="Q44" s="141">
        <v>33174</v>
      </c>
      <c r="R44" s="141">
        <v>33174</v>
      </c>
      <c r="S44" s="141">
        <v>33174</v>
      </c>
      <c r="T44" s="141">
        <v>33174</v>
      </c>
      <c r="U44" s="141">
        <v>28584.91</v>
      </c>
      <c r="V44" s="141">
        <v>28584.91</v>
      </c>
      <c r="W44" s="141">
        <v>28584.9</v>
      </c>
      <c r="X44" s="141">
        <v>28584.91</v>
      </c>
      <c r="Y44" s="141">
        <v>28584.91</v>
      </c>
      <c r="Z44" s="141">
        <v>28584.91</v>
      </c>
      <c r="AA44" s="141">
        <v>28584.91</v>
      </c>
      <c r="AB44" s="141">
        <v>28584.91</v>
      </c>
      <c r="AC44" s="302">
        <f t="shared" si="4"/>
        <v>361375.2699999999</v>
      </c>
      <c r="AD44" s="141">
        <f t="shared" si="5"/>
        <v>18355.269999999902</v>
      </c>
      <c r="AE44" s="192">
        <f t="shared" si="6"/>
        <v>5.0792822652197277E-2</v>
      </c>
      <c r="AF44" s="228">
        <v>368932</v>
      </c>
      <c r="AG44" s="123">
        <f t="shared" si="2"/>
        <v>25912</v>
      </c>
    </row>
    <row r="45" spans="1:33">
      <c r="A45" s="105" t="s">
        <v>698</v>
      </c>
      <c r="B45" s="105" t="s">
        <v>899</v>
      </c>
      <c r="C45" s="105" t="s">
        <v>222</v>
      </c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228">
        <f t="shared" si="7"/>
        <v>0</v>
      </c>
      <c r="Q45" s="141">
        <v>5604.9</v>
      </c>
      <c r="R45" s="141">
        <v>0</v>
      </c>
      <c r="S45" s="141">
        <v>0</v>
      </c>
      <c r="T45" s="141">
        <v>0</v>
      </c>
      <c r="U45" s="141">
        <v>0</v>
      </c>
      <c r="V45" s="141">
        <v>0</v>
      </c>
      <c r="W45" s="141">
        <v>0</v>
      </c>
      <c r="X45" s="141">
        <v>0</v>
      </c>
      <c r="Y45" s="141">
        <v>0</v>
      </c>
      <c r="Z45" s="141">
        <v>0</v>
      </c>
      <c r="AA45" s="141">
        <v>0</v>
      </c>
      <c r="AB45" s="141">
        <v>0</v>
      </c>
      <c r="AC45" s="302">
        <f t="shared" si="4"/>
        <v>5604.9</v>
      </c>
      <c r="AD45" s="141">
        <f t="shared" si="5"/>
        <v>5604.9</v>
      </c>
      <c r="AE45" s="192">
        <f t="shared" si="6"/>
        <v>1</v>
      </c>
      <c r="AF45" s="228">
        <v>23.800000000000011</v>
      </c>
      <c r="AG45" s="123">
        <f t="shared" si="2"/>
        <v>23.800000000000011</v>
      </c>
    </row>
    <row r="46" spans="1:33">
      <c r="C46" s="109" t="s">
        <v>867</v>
      </c>
      <c r="D46" s="129">
        <f t="shared" ref="D46:AC46" si="9">SUM(D12:D45)</f>
        <v>137853</v>
      </c>
      <c r="E46" s="129">
        <f t="shared" si="9"/>
        <v>123224</v>
      </c>
      <c r="F46" s="129">
        <f t="shared" si="9"/>
        <v>123286</v>
      </c>
      <c r="G46" s="129">
        <f t="shared" si="9"/>
        <v>131288</v>
      </c>
      <c r="H46" s="129">
        <f t="shared" si="9"/>
        <v>123291</v>
      </c>
      <c r="I46" s="129">
        <f t="shared" si="9"/>
        <v>123287</v>
      </c>
      <c r="J46" s="129">
        <f t="shared" si="9"/>
        <v>123292</v>
      </c>
      <c r="K46" s="129">
        <f t="shared" si="9"/>
        <v>123292</v>
      </c>
      <c r="L46" s="129">
        <f t="shared" si="9"/>
        <v>123289</v>
      </c>
      <c r="M46" s="129">
        <f t="shared" si="9"/>
        <v>123300</v>
      </c>
      <c r="N46" s="129">
        <f t="shared" si="9"/>
        <v>123436</v>
      </c>
      <c r="O46" s="129">
        <f t="shared" si="9"/>
        <v>123436</v>
      </c>
      <c r="P46" s="228">
        <f t="shared" si="9"/>
        <v>1502274</v>
      </c>
      <c r="Q46" s="142">
        <f t="shared" si="9"/>
        <v>127080.54</v>
      </c>
      <c r="R46" s="142">
        <f t="shared" si="9"/>
        <v>123677.6</v>
      </c>
      <c r="S46" s="142">
        <f t="shared" si="9"/>
        <v>117391.15000000001</v>
      </c>
      <c r="T46" s="142">
        <f t="shared" si="9"/>
        <v>179793.65999999997</v>
      </c>
      <c r="U46" s="142">
        <f t="shared" si="9"/>
        <v>115743.55</v>
      </c>
      <c r="V46" s="142">
        <f t="shared" si="9"/>
        <v>117980.08</v>
      </c>
      <c r="W46" s="142">
        <f t="shared" si="9"/>
        <v>114504.04999999999</v>
      </c>
      <c r="X46" s="142">
        <f t="shared" si="9"/>
        <v>258286.79</v>
      </c>
      <c r="Y46" s="142">
        <f t="shared" si="9"/>
        <v>133934.91</v>
      </c>
      <c r="Z46" s="142">
        <f t="shared" si="9"/>
        <v>133941.91</v>
      </c>
      <c r="AA46" s="142">
        <f t="shared" si="9"/>
        <v>133931.91</v>
      </c>
      <c r="AB46" s="142">
        <f t="shared" si="9"/>
        <v>133932.91</v>
      </c>
      <c r="AC46" s="302">
        <f t="shared" si="9"/>
        <v>1690199.06</v>
      </c>
      <c r="AD46" s="142">
        <f t="shared" si="5"/>
        <v>187925.06000000006</v>
      </c>
      <c r="AE46" s="132">
        <f t="shared" si="6"/>
        <v>0.11118516419006887</v>
      </c>
      <c r="AF46" s="228">
        <v>1793081.8499999999</v>
      </c>
      <c r="AG46" s="123">
        <f t="shared" si="2"/>
        <v>290807.84999999986</v>
      </c>
    </row>
    <row r="47" spans="1:33">
      <c r="C47" s="109" t="s">
        <v>868</v>
      </c>
      <c r="D47" s="129">
        <f t="shared" ref="D47:AC47" si="10">D46+D83</f>
        <v>173808.12</v>
      </c>
      <c r="E47" s="129">
        <f t="shared" si="10"/>
        <v>157688.04999999999</v>
      </c>
      <c r="F47" s="129">
        <f t="shared" si="10"/>
        <v>158094.39999999999</v>
      </c>
      <c r="G47" s="129">
        <f t="shared" si="10"/>
        <v>166878.99</v>
      </c>
      <c r="H47" s="129">
        <f t="shared" si="10"/>
        <v>158881.99</v>
      </c>
      <c r="I47" s="129">
        <f t="shared" si="10"/>
        <v>158095.4</v>
      </c>
      <c r="J47" s="129">
        <f t="shared" si="10"/>
        <v>158100.4</v>
      </c>
      <c r="K47" s="129">
        <f t="shared" si="10"/>
        <v>158100.4</v>
      </c>
      <c r="L47" s="129">
        <f t="shared" si="10"/>
        <v>158097.4</v>
      </c>
      <c r="M47" s="129">
        <f t="shared" si="10"/>
        <v>158890.99</v>
      </c>
      <c r="N47" s="129">
        <f t="shared" si="10"/>
        <v>158244.4</v>
      </c>
      <c r="O47" s="129">
        <f t="shared" si="10"/>
        <v>158244.4</v>
      </c>
      <c r="P47" s="228">
        <f t="shared" si="10"/>
        <v>1923124.94</v>
      </c>
      <c r="Q47" s="142">
        <f t="shared" si="10"/>
        <v>163840.59999999998</v>
      </c>
      <c r="R47" s="142">
        <f t="shared" si="10"/>
        <v>162730.08000000002</v>
      </c>
      <c r="S47" s="142">
        <f t="shared" si="10"/>
        <v>154500.07</v>
      </c>
      <c r="T47" s="142">
        <f t="shared" si="10"/>
        <v>219322.22999999998</v>
      </c>
      <c r="U47" s="142">
        <f t="shared" si="10"/>
        <v>152180.89000000001</v>
      </c>
      <c r="V47" s="142">
        <f t="shared" si="10"/>
        <v>155002.69</v>
      </c>
      <c r="W47" s="142">
        <f t="shared" si="10"/>
        <v>148638.21999999997</v>
      </c>
      <c r="X47" s="142">
        <f t="shared" si="10"/>
        <v>292395.99</v>
      </c>
      <c r="Y47" s="142">
        <f t="shared" si="10"/>
        <v>169479.24</v>
      </c>
      <c r="Z47" s="142">
        <f t="shared" si="10"/>
        <v>169620.24</v>
      </c>
      <c r="AA47" s="142">
        <f t="shared" si="10"/>
        <v>169355.24</v>
      </c>
      <c r="AB47" s="142">
        <f t="shared" si="10"/>
        <v>169356.24</v>
      </c>
      <c r="AC47" s="302">
        <f t="shared" si="10"/>
        <v>2126421.73</v>
      </c>
      <c r="AD47" s="142">
        <f t="shared" si="5"/>
        <v>203296.79000000004</v>
      </c>
      <c r="AE47" s="132">
        <f t="shared" si="6"/>
        <v>9.5605113102376002E-2</v>
      </c>
      <c r="AF47" s="228">
        <v>2265421.25</v>
      </c>
      <c r="AG47" s="123">
        <f t="shared" si="2"/>
        <v>342296.31000000006</v>
      </c>
    </row>
    <row r="48" spans="1:33">
      <c r="C48" s="105" t="s">
        <v>154</v>
      </c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228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302"/>
      <c r="AD48" s="141"/>
      <c r="AF48" s="228"/>
      <c r="AG48" s="123">
        <f t="shared" si="2"/>
        <v>0</v>
      </c>
    </row>
    <row r="49" spans="1:33">
      <c r="C49" s="105" t="s">
        <v>154</v>
      </c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228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302"/>
      <c r="AD49" s="141"/>
      <c r="AF49" s="228"/>
      <c r="AG49" s="123">
        <f t="shared" si="2"/>
        <v>0</v>
      </c>
    </row>
    <row r="50" spans="1:33">
      <c r="C50" s="105" t="s">
        <v>869</v>
      </c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228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302"/>
      <c r="AD50" s="141"/>
      <c r="AF50" s="228"/>
      <c r="AG50" s="123">
        <f t="shared" si="2"/>
        <v>0</v>
      </c>
    </row>
    <row r="51" spans="1:33">
      <c r="C51" s="105" t="s">
        <v>465</v>
      </c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228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302"/>
      <c r="AD51" s="141"/>
      <c r="AF51" s="228"/>
      <c r="AG51" s="123">
        <f t="shared" si="2"/>
        <v>0</v>
      </c>
    </row>
    <row r="52" spans="1:33">
      <c r="A52" s="105" t="s">
        <v>248</v>
      </c>
      <c r="B52" s="105" t="s">
        <v>899</v>
      </c>
      <c r="C52" s="105" t="s">
        <v>250</v>
      </c>
      <c r="D52" s="293">
        <v>15000</v>
      </c>
      <c r="E52" s="123">
        <v>15000</v>
      </c>
      <c r="F52" s="123">
        <v>15075</v>
      </c>
      <c r="G52" s="123">
        <v>15075</v>
      </c>
      <c r="H52" s="123">
        <v>15075</v>
      </c>
      <c r="I52" s="123">
        <v>15075</v>
      </c>
      <c r="J52" s="123">
        <v>15075</v>
      </c>
      <c r="K52" s="123">
        <v>15075</v>
      </c>
      <c r="L52" s="123">
        <v>15075</v>
      </c>
      <c r="M52" s="123">
        <v>15075</v>
      </c>
      <c r="N52" s="123">
        <v>15075</v>
      </c>
      <c r="O52" s="123">
        <v>15075</v>
      </c>
      <c r="P52" s="227">
        <f>SUM(D52:O52)</f>
        <v>180750</v>
      </c>
      <c r="Q52" s="231">
        <v>15000</v>
      </c>
      <c r="R52" s="231">
        <v>15000</v>
      </c>
      <c r="S52" s="231">
        <v>15000</v>
      </c>
      <c r="T52" s="231">
        <v>15000</v>
      </c>
      <c r="U52" s="231">
        <v>15000</v>
      </c>
      <c r="V52" s="231">
        <v>15000</v>
      </c>
      <c r="W52" s="141">
        <v>15000</v>
      </c>
      <c r="X52" s="141">
        <v>15000</v>
      </c>
      <c r="Y52" s="141">
        <v>15000</v>
      </c>
      <c r="Z52" s="141">
        <v>15000</v>
      </c>
      <c r="AA52" s="141">
        <v>15000</v>
      </c>
      <c r="AB52" s="141">
        <v>15000</v>
      </c>
      <c r="AC52" s="302">
        <f>SUM(Q52:AB52)</f>
        <v>180000</v>
      </c>
      <c r="AD52" s="141">
        <f>AC52-P52</f>
        <v>-750</v>
      </c>
      <c r="AE52" s="192">
        <f>AD52/AC52</f>
        <v>-4.1666666666666666E-3</v>
      </c>
      <c r="AF52" s="228">
        <v>234111.37</v>
      </c>
      <c r="AG52" s="123">
        <f t="shared" si="2"/>
        <v>53361.369999999995</v>
      </c>
    </row>
    <row r="53" spans="1:33">
      <c r="A53" s="105" t="s">
        <v>251</v>
      </c>
      <c r="B53" s="105" t="s">
        <v>899</v>
      </c>
      <c r="C53" s="105" t="s">
        <v>468</v>
      </c>
      <c r="D53" s="293">
        <v>5247</v>
      </c>
      <c r="E53" s="123">
        <v>5247</v>
      </c>
      <c r="F53" s="123">
        <v>5509.35</v>
      </c>
      <c r="G53" s="123">
        <v>5509.35</v>
      </c>
      <c r="H53" s="123">
        <v>5509.35</v>
      </c>
      <c r="I53" s="123">
        <v>5509.35</v>
      </c>
      <c r="J53" s="123">
        <v>5509.35</v>
      </c>
      <c r="K53" s="123">
        <v>5509.35</v>
      </c>
      <c r="L53" s="123">
        <v>5509.35</v>
      </c>
      <c r="M53" s="123">
        <v>5509.35</v>
      </c>
      <c r="N53" s="123">
        <v>5509.35</v>
      </c>
      <c r="O53" s="123">
        <v>5509.35</v>
      </c>
      <c r="P53" s="227">
        <f>SUM(D53:O53)</f>
        <v>65587.5</v>
      </c>
      <c r="Q53" s="231">
        <v>5300</v>
      </c>
      <c r="R53" s="231">
        <v>5300</v>
      </c>
      <c r="S53" s="231">
        <v>5300</v>
      </c>
      <c r="T53" s="231">
        <v>5300</v>
      </c>
      <c r="U53" s="231">
        <v>5300</v>
      </c>
      <c r="V53" s="231">
        <v>5300</v>
      </c>
      <c r="W53" s="141">
        <v>5300</v>
      </c>
      <c r="X53" s="141">
        <v>5300</v>
      </c>
      <c r="Y53" s="141">
        <v>5300</v>
      </c>
      <c r="Z53" s="141">
        <v>5300</v>
      </c>
      <c r="AA53" s="141">
        <v>5300</v>
      </c>
      <c r="AB53" s="141">
        <v>5300</v>
      </c>
      <c r="AC53" s="302">
        <f>SUM(Q53:AB53)</f>
        <v>63600</v>
      </c>
      <c r="AD53" s="141">
        <f>AC53-P53</f>
        <v>-1987.5</v>
      </c>
      <c r="AE53" s="192">
        <f>AD53/AC53</f>
        <v>-3.125E-2</v>
      </c>
      <c r="AF53" s="228">
        <v>40962.949999999997</v>
      </c>
      <c r="AG53" s="123">
        <f t="shared" si="2"/>
        <v>-24624.550000000003</v>
      </c>
    </row>
    <row r="54" spans="1:33">
      <c r="C54" s="109" t="s">
        <v>471</v>
      </c>
      <c r="D54" s="133">
        <f t="shared" ref="D54:AC54" si="11">SUM(D52:D53)</f>
        <v>20247</v>
      </c>
      <c r="E54" s="133">
        <f t="shared" si="11"/>
        <v>20247</v>
      </c>
      <c r="F54" s="133">
        <f t="shared" si="11"/>
        <v>20584.349999999999</v>
      </c>
      <c r="G54" s="133">
        <f t="shared" si="11"/>
        <v>20584.349999999999</v>
      </c>
      <c r="H54" s="133">
        <f t="shared" si="11"/>
        <v>20584.349999999999</v>
      </c>
      <c r="I54" s="133">
        <f t="shared" si="11"/>
        <v>20584.349999999999</v>
      </c>
      <c r="J54" s="133">
        <f t="shared" si="11"/>
        <v>20584.349999999999</v>
      </c>
      <c r="K54" s="133">
        <f t="shared" si="11"/>
        <v>20584.349999999999</v>
      </c>
      <c r="L54" s="133">
        <f t="shared" si="11"/>
        <v>20584.349999999999</v>
      </c>
      <c r="M54" s="133">
        <f t="shared" si="11"/>
        <v>20584.349999999999</v>
      </c>
      <c r="N54" s="133">
        <f t="shared" si="11"/>
        <v>20584.349999999999</v>
      </c>
      <c r="O54" s="133">
        <f t="shared" si="11"/>
        <v>20584.349999999999</v>
      </c>
      <c r="P54" s="227">
        <f t="shared" si="11"/>
        <v>246337.5</v>
      </c>
      <c r="Q54" s="145">
        <f t="shared" si="11"/>
        <v>20300</v>
      </c>
      <c r="R54" s="145">
        <f t="shared" si="11"/>
        <v>20300</v>
      </c>
      <c r="S54" s="145">
        <f t="shared" si="11"/>
        <v>20300</v>
      </c>
      <c r="T54" s="145">
        <f t="shared" si="11"/>
        <v>20300</v>
      </c>
      <c r="U54" s="145">
        <f t="shared" si="11"/>
        <v>20300</v>
      </c>
      <c r="V54" s="145">
        <f t="shared" si="11"/>
        <v>20300</v>
      </c>
      <c r="W54" s="145">
        <f t="shared" si="11"/>
        <v>20300</v>
      </c>
      <c r="X54" s="145">
        <f t="shared" si="11"/>
        <v>20300</v>
      </c>
      <c r="Y54" s="145">
        <f t="shared" si="11"/>
        <v>20300</v>
      </c>
      <c r="Z54" s="145">
        <f t="shared" si="11"/>
        <v>20300</v>
      </c>
      <c r="AA54" s="145">
        <f t="shared" si="11"/>
        <v>20300</v>
      </c>
      <c r="AB54" s="145">
        <f t="shared" si="11"/>
        <v>20300</v>
      </c>
      <c r="AC54" s="306">
        <f t="shared" si="11"/>
        <v>243600</v>
      </c>
      <c r="AD54" s="142">
        <f>AC54-P54</f>
        <v>-2737.5</v>
      </c>
      <c r="AE54" s="132">
        <f>AD54/AC54</f>
        <v>-1.123768472906404E-2</v>
      </c>
      <c r="AF54" s="228">
        <v>275074.32</v>
      </c>
      <c r="AG54" s="123">
        <f t="shared" si="2"/>
        <v>28736.820000000007</v>
      </c>
    </row>
    <row r="55" spans="1:33"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227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306"/>
      <c r="AD55" s="141"/>
      <c r="AF55" s="228"/>
      <c r="AG55" s="123">
        <f t="shared" si="2"/>
        <v>0</v>
      </c>
    </row>
    <row r="56" spans="1:33">
      <c r="A56" s="105" t="s">
        <v>870</v>
      </c>
      <c r="B56" s="105" t="s">
        <v>899</v>
      </c>
      <c r="C56" s="105" t="s">
        <v>260</v>
      </c>
      <c r="D56" s="293">
        <v>1462.07</v>
      </c>
      <c r="E56" s="293">
        <v>0</v>
      </c>
      <c r="F56" s="293">
        <v>0</v>
      </c>
      <c r="G56" s="293">
        <v>767.59</v>
      </c>
      <c r="H56" s="293">
        <v>767.59</v>
      </c>
      <c r="I56" s="293">
        <v>0</v>
      </c>
      <c r="J56" s="293">
        <v>0</v>
      </c>
      <c r="K56" s="293">
        <v>0</v>
      </c>
      <c r="L56" s="293">
        <v>0</v>
      </c>
      <c r="M56" s="293">
        <v>767.59</v>
      </c>
      <c r="N56" s="293">
        <v>0</v>
      </c>
      <c r="O56" s="293">
        <v>0</v>
      </c>
      <c r="P56" s="227">
        <f>SUM(D56:O56)</f>
        <v>3764.84</v>
      </c>
      <c r="Q56" s="231">
        <v>0</v>
      </c>
      <c r="R56" s="231">
        <v>2193.12</v>
      </c>
      <c r="S56" s="231">
        <v>0</v>
      </c>
      <c r="T56" s="231">
        <v>731.04</v>
      </c>
      <c r="U56" s="231">
        <v>731.04</v>
      </c>
      <c r="V56" s="231">
        <v>731.04</v>
      </c>
      <c r="W56" s="141">
        <v>0</v>
      </c>
      <c r="X56" s="141">
        <v>0</v>
      </c>
      <c r="Y56" s="141">
        <v>0</v>
      </c>
      <c r="Z56" s="141">
        <v>0</v>
      </c>
      <c r="AA56" s="141">
        <v>0</v>
      </c>
      <c r="AB56" s="141">
        <v>0</v>
      </c>
      <c r="AC56" s="302">
        <f>SUM(Q56:AB56)</f>
        <v>4386.24</v>
      </c>
      <c r="AD56" s="141">
        <f t="shared" ref="AD56:AD61" si="12">AC56-P56</f>
        <v>621.39999999999964</v>
      </c>
      <c r="AE56" s="192">
        <f t="shared" ref="AE56:AE61" si="13">AD56/AC56</f>
        <v>0.14167031443787839</v>
      </c>
      <c r="AF56" s="228">
        <v>5089.71</v>
      </c>
      <c r="AG56" s="123">
        <f t="shared" si="2"/>
        <v>1324.87</v>
      </c>
    </row>
    <row r="57" spans="1:33">
      <c r="A57" s="105" t="s">
        <v>120</v>
      </c>
      <c r="B57" s="105" t="s">
        <v>899</v>
      </c>
      <c r="C57" s="105" t="s">
        <v>261</v>
      </c>
      <c r="D57" s="293">
        <v>3383.33</v>
      </c>
      <c r="E57" s="293">
        <v>3383.33</v>
      </c>
      <c r="F57" s="293">
        <v>3383.33</v>
      </c>
      <c r="G57" s="293">
        <v>3383.33</v>
      </c>
      <c r="H57" s="293">
        <v>3383.33</v>
      </c>
      <c r="I57" s="293">
        <v>3383.33</v>
      </c>
      <c r="J57" s="293">
        <v>3383.33</v>
      </c>
      <c r="K57" s="293">
        <v>3383.33</v>
      </c>
      <c r="L57" s="293">
        <v>3383.33</v>
      </c>
      <c r="M57" s="293">
        <v>3383.33</v>
      </c>
      <c r="N57" s="293">
        <v>3383.33</v>
      </c>
      <c r="O57" s="293">
        <v>3383.33</v>
      </c>
      <c r="P57" s="227">
        <f>SUM(D57:O57)</f>
        <v>40599.960000000014</v>
      </c>
      <c r="Q57" s="231">
        <v>5073.28</v>
      </c>
      <c r="R57" s="231">
        <v>5095.09</v>
      </c>
      <c r="S57" s="231">
        <v>5077.46</v>
      </c>
      <c r="T57" s="231">
        <v>3381.4</v>
      </c>
      <c r="U57" s="231">
        <v>3368.72</v>
      </c>
      <c r="V57" s="231">
        <v>3389.26</v>
      </c>
      <c r="W57" s="141">
        <v>3394.73</v>
      </c>
      <c r="X57" s="141">
        <v>3390.78</v>
      </c>
      <c r="Y57" s="141">
        <v>3383.33</v>
      </c>
      <c r="Z57" s="141">
        <v>3383.33</v>
      </c>
      <c r="AA57" s="141">
        <v>3383.33</v>
      </c>
      <c r="AB57" s="141">
        <v>3383.33</v>
      </c>
      <c r="AC57" s="302">
        <f>SUM(Q57:AB57)</f>
        <v>45704.04</v>
      </c>
      <c r="AD57" s="141">
        <f t="shared" si="12"/>
        <v>5104.0799999999872</v>
      </c>
      <c r="AE57" s="192">
        <f t="shared" si="13"/>
        <v>0.1116767795582182</v>
      </c>
      <c r="AF57" s="228">
        <v>30759.300000000003</v>
      </c>
      <c r="AG57" s="123">
        <f t="shared" si="2"/>
        <v>-9840.6600000000108</v>
      </c>
    </row>
    <row r="58" spans="1:33">
      <c r="A58" s="105" t="s">
        <v>871</v>
      </c>
      <c r="B58" s="105" t="s">
        <v>899</v>
      </c>
      <c r="C58" s="105" t="s">
        <v>262</v>
      </c>
      <c r="D58" s="293">
        <v>630</v>
      </c>
      <c r="E58" s="293">
        <v>630</v>
      </c>
      <c r="F58" s="293">
        <v>630</v>
      </c>
      <c r="G58" s="293">
        <v>630</v>
      </c>
      <c r="H58" s="293">
        <v>630</v>
      </c>
      <c r="I58" s="293">
        <v>630</v>
      </c>
      <c r="J58" s="293">
        <v>630</v>
      </c>
      <c r="K58" s="293">
        <v>630</v>
      </c>
      <c r="L58" s="293">
        <v>630</v>
      </c>
      <c r="M58" s="293">
        <v>630</v>
      </c>
      <c r="N58" s="293">
        <v>630</v>
      </c>
      <c r="O58" s="293">
        <v>630</v>
      </c>
      <c r="P58" s="227">
        <f>SUM(D58:O58)</f>
        <v>7560</v>
      </c>
      <c r="Q58" s="231">
        <v>430</v>
      </c>
      <c r="R58" s="231">
        <v>430</v>
      </c>
      <c r="S58" s="231">
        <v>430</v>
      </c>
      <c r="T58" s="231">
        <v>430</v>
      </c>
      <c r="U58" s="231">
        <v>530</v>
      </c>
      <c r="V58" s="231">
        <v>530</v>
      </c>
      <c r="W58" s="141">
        <v>530</v>
      </c>
      <c r="X58" s="141">
        <v>530</v>
      </c>
      <c r="Y58" s="141">
        <v>530</v>
      </c>
      <c r="Z58" s="141">
        <v>530</v>
      </c>
      <c r="AA58" s="141">
        <v>530</v>
      </c>
      <c r="AB58" s="141">
        <v>530</v>
      </c>
      <c r="AC58" s="302">
        <f>SUM(Q58:AB58)</f>
        <v>5960</v>
      </c>
      <c r="AD58" s="141">
        <f t="shared" si="12"/>
        <v>-1600</v>
      </c>
      <c r="AE58" s="192">
        <f t="shared" si="13"/>
        <v>-0.26845637583892618</v>
      </c>
      <c r="AF58" s="228">
        <v>3600</v>
      </c>
      <c r="AG58" s="123">
        <f t="shared" si="2"/>
        <v>-3960</v>
      </c>
    </row>
    <row r="59" spans="1:33">
      <c r="A59" s="105" t="s">
        <v>872</v>
      </c>
      <c r="B59" s="105" t="s">
        <v>899</v>
      </c>
      <c r="C59" s="105" t="s">
        <v>263</v>
      </c>
      <c r="D59" s="293">
        <v>0</v>
      </c>
      <c r="E59" s="293">
        <v>0</v>
      </c>
      <c r="F59" s="293">
        <v>0</v>
      </c>
      <c r="G59" s="293">
        <v>0</v>
      </c>
      <c r="H59" s="293">
        <v>0</v>
      </c>
      <c r="I59" s="293">
        <v>0</v>
      </c>
      <c r="J59" s="293">
        <v>0</v>
      </c>
      <c r="K59" s="293">
        <v>0</v>
      </c>
      <c r="L59" s="293">
        <v>0</v>
      </c>
      <c r="M59" s="293">
        <v>0</v>
      </c>
      <c r="N59" s="293">
        <v>0</v>
      </c>
      <c r="O59" s="293">
        <v>0</v>
      </c>
      <c r="P59" s="227">
        <f>SUM(D59:O59)</f>
        <v>0</v>
      </c>
      <c r="Q59" s="231">
        <v>0</v>
      </c>
      <c r="R59" s="231">
        <v>0</v>
      </c>
      <c r="S59" s="231">
        <v>0</v>
      </c>
      <c r="T59" s="231">
        <v>0</v>
      </c>
      <c r="U59" s="231">
        <v>0</v>
      </c>
      <c r="V59" s="231">
        <v>0</v>
      </c>
      <c r="W59" s="141">
        <v>0</v>
      </c>
      <c r="X59" s="141">
        <v>0</v>
      </c>
      <c r="Y59" s="141">
        <v>0</v>
      </c>
      <c r="Z59" s="141">
        <v>0</v>
      </c>
      <c r="AA59" s="141">
        <v>0</v>
      </c>
      <c r="AB59" s="141">
        <v>0</v>
      </c>
      <c r="AC59" s="302">
        <f>SUM(Q59:AB59)</f>
        <v>0</v>
      </c>
      <c r="AD59" s="141">
        <f t="shared" si="12"/>
        <v>0</v>
      </c>
      <c r="AE59" s="192" t="e">
        <f t="shared" si="13"/>
        <v>#DIV/0!</v>
      </c>
      <c r="AF59" s="228">
        <v>0</v>
      </c>
      <c r="AG59" s="123">
        <f t="shared" si="2"/>
        <v>0</v>
      </c>
    </row>
    <row r="60" spans="1:33">
      <c r="A60" s="105" t="s">
        <v>873</v>
      </c>
      <c r="B60" s="105" t="s">
        <v>899</v>
      </c>
      <c r="C60" s="105" t="s">
        <v>264</v>
      </c>
      <c r="D60" s="293">
        <v>0</v>
      </c>
      <c r="E60" s="293">
        <v>0</v>
      </c>
      <c r="F60" s="293">
        <v>0</v>
      </c>
      <c r="G60" s="293">
        <v>0</v>
      </c>
      <c r="H60" s="293">
        <v>0</v>
      </c>
      <c r="I60" s="293">
        <v>0</v>
      </c>
      <c r="J60" s="293">
        <v>0</v>
      </c>
      <c r="K60" s="293">
        <v>0</v>
      </c>
      <c r="L60" s="293">
        <v>0</v>
      </c>
      <c r="M60" s="293">
        <v>0</v>
      </c>
      <c r="N60" s="293">
        <v>0</v>
      </c>
      <c r="O60" s="293">
        <v>0</v>
      </c>
      <c r="P60" s="227">
        <f>SUM(D60:O60)</f>
        <v>0</v>
      </c>
      <c r="Q60" s="231">
        <v>0</v>
      </c>
      <c r="R60" s="231">
        <v>0</v>
      </c>
      <c r="S60" s="231">
        <v>0</v>
      </c>
      <c r="T60" s="231">
        <v>0</v>
      </c>
      <c r="U60" s="231">
        <v>0</v>
      </c>
      <c r="V60" s="231">
        <v>0</v>
      </c>
      <c r="W60" s="141">
        <v>0</v>
      </c>
      <c r="X60" s="141">
        <v>0</v>
      </c>
      <c r="Y60" s="141">
        <v>0</v>
      </c>
      <c r="Z60" s="141">
        <v>0</v>
      </c>
      <c r="AA60" s="141">
        <v>0</v>
      </c>
      <c r="AB60" s="141">
        <v>0</v>
      </c>
      <c r="AC60" s="302">
        <f>SUM(Q60:AB60)</f>
        <v>0</v>
      </c>
      <c r="AD60" s="141">
        <f t="shared" si="12"/>
        <v>0</v>
      </c>
      <c r="AE60" s="192" t="e">
        <f t="shared" si="13"/>
        <v>#DIV/0!</v>
      </c>
      <c r="AF60" s="228">
        <v>0</v>
      </c>
      <c r="AG60" s="123">
        <f t="shared" si="2"/>
        <v>0</v>
      </c>
    </row>
    <row r="61" spans="1:33">
      <c r="C61" s="109" t="s">
        <v>265</v>
      </c>
      <c r="D61" s="133">
        <f t="shared" ref="D61:AC61" si="14">SUM(D56:D60)</f>
        <v>5475.4</v>
      </c>
      <c r="E61" s="133">
        <f t="shared" si="14"/>
        <v>4013.33</v>
      </c>
      <c r="F61" s="133">
        <f t="shared" si="14"/>
        <v>4013.33</v>
      </c>
      <c r="G61" s="133">
        <f t="shared" si="14"/>
        <v>4780.92</v>
      </c>
      <c r="H61" s="133">
        <f t="shared" si="14"/>
        <v>4780.92</v>
      </c>
      <c r="I61" s="133">
        <f t="shared" si="14"/>
        <v>4013.33</v>
      </c>
      <c r="J61" s="133">
        <f t="shared" si="14"/>
        <v>4013.33</v>
      </c>
      <c r="K61" s="133">
        <f t="shared" si="14"/>
        <v>4013.33</v>
      </c>
      <c r="L61" s="133">
        <f t="shared" si="14"/>
        <v>4013.33</v>
      </c>
      <c r="M61" s="133">
        <f t="shared" si="14"/>
        <v>4780.92</v>
      </c>
      <c r="N61" s="133">
        <f t="shared" si="14"/>
        <v>4013.33</v>
      </c>
      <c r="O61" s="133">
        <f t="shared" si="14"/>
        <v>4013.33</v>
      </c>
      <c r="P61" s="227">
        <f t="shared" si="14"/>
        <v>51924.800000000017</v>
      </c>
      <c r="Q61" s="145">
        <f t="shared" si="14"/>
        <v>5503.28</v>
      </c>
      <c r="R61" s="145">
        <f t="shared" si="14"/>
        <v>7718.21</v>
      </c>
      <c r="S61" s="145">
        <f t="shared" si="14"/>
        <v>5507.46</v>
      </c>
      <c r="T61" s="145">
        <f t="shared" si="14"/>
        <v>4542.4400000000005</v>
      </c>
      <c r="U61" s="145">
        <f t="shared" si="14"/>
        <v>4629.76</v>
      </c>
      <c r="V61" s="145">
        <f t="shared" si="14"/>
        <v>4650.3</v>
      </c>
      <c r="W61" s="145">
        <f t="shared" si="14"/>
        <v>3924.73</v>
      </c>
      <c r="X61" s="145">
        <f t="shared" si="14"/>
        <v>3920.78</v>
      </c>
      <c r="Y61" s="145">
        <f t="shared" si="14"/>
        <v>3913.33</v>
      </c>
      <c r="Z61" s="145">
        <f t="shared" si="14"/>
        <v>3913.33</v>
      </c>
      <c r="AA61" s="145">
        <f t="shared" si="14"/>
        <v>3913.33</v>
      </c>
      <c r="AB61" s="145">
        <f t="shared" si="14"/>
        <v>3913.33</v>
      </c>
      <c r="AC61" s="306">
        <f t="shared" si="14"/>
        <v>56050.28</v>
      </c>
      <c r="AD61" s="142">
        <f t="shared" si="12"/>
        <v>4125.4799999999814</v>
      </c>
      <c r="AE61" s="132">
        <f t="shared" si="13"/>
        <v>7.3603200554929998E-2</v>
      </c>
      <c r="AF61" s="228">
        <v>39449.01</v>
      </c>
      <c r="AG61" s="123">
        <f t="shared" si="2"/>
        <v>-12475.790000000015</v>
      </c>
    </row>
    <row r="62" spans="1:33">
      <c r="C62" s="105" t="s">
        <v>154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227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306"/>
      <c r="AD62" s="141"/>
      <c r="AF62" s="228"/>
      <c r="AG62" s="123">
        <f t="shared" si="2"/>
        <v>0</v>
      </c>
    </row>
    <row r="63" spans="1:33">
      <c r="A63" s="105" t="s">
        <v>874</v>
      </c>
      <c r="B63" s="105" t="s">
        <v>899</v>
      </c>
      <c r="C63" s="105" t="s">
        <v>266</v>
      </c>
      <c r="D63" s="293">
        <v>4073.9400000000005</v>
      </c>
      <c r="E63" s="293">
        <v>4073.9400000000005</v>
      </c>
      <c r="F63" s="293">
        <v>4073.9400000000005</v>
      </c>
      <c r="G63" s="293">
        <v>4073.9400000000005</v>
      </c>
      <c r="H63" s="293">
        <v>4073.9400000000005</v>
      </c>
      <c r="I63" s="293">
        <v>4073.9400000000005</v>
      </c>
      <c r="J63" s="293">
        <v>4073.9400000000005</v>
      </c>
      <c r="K63" s="293">
        <v>4073.9400000000005</v>
      </c>
      <c r="L63" s="293">
        <v>4073.9400000000005</v>
      </c>
      <c r="M63" s="293">
        <v>4073.9400000000005</v>
      </c>
      <c r="N63" s="293">
        <v>4073.9400000000005</v>
      </c>
      <c r="O63" s="293">
        <v>4073.9400000000005</v>
      </c>
      <c r="P63" s="227">
        <f t="shared" ref="P63:P70" si="15">SUM(D63:O63)</f>
        <v>48887.280000000021</v>
      </c>
      <c r="Q63" s="231">
        <v>4154.8900000000003</v>
      </c>
      <c r="R63" s="231">
        <v>4154.8900000000003</v>
      </c>
      <c r="S63" s="231">
        <v>4154.8900000000003</v>
      </c>
      <c r="T63" s="231">
        <v>4154.8900000000003</v>
      </c>
      <c r="U63" s="231">
        <v>4154.8900000000003</v>
      </c>
      <c r="V63" s="231">
        <v>4154.8900000000003</v>
      </c>
      <c r="W63" s="141">
        <v>4154.8900000000003</v>
      </c>
      <c r="X63" s="141">
        <v>4154.8900000000003</v>
      </c>
      <c r="Y63" s="315">
        <v>3872</v>
      </c>
      <c r="Z63" s="315">
        <v>3872</v>
      </c>
      <c r="AA63" s="315">
        <v>3872</v>
      </c>
      <c r="AB63" s="315">
        <v>3872</v>
      </c>
      <c r="AC63" s="302">
        <f t="shared" ref="AC63:AC70" si="16">SUM(Q63:AB63)</f>
        <v>48727.12</v>
      </c>
      <c r="AD63" s="141">
        <f t="shared" ref="AD63:AD69" si="17">AC63-P63</f>
        <v>-160.16000000001804</v>
      </c>
      <c r="AE63" s="192">
        <f t="shared" ref="AE63:AE69" si="18">AD63/AC63</f>
        <v>-3.2868759737907358E-3</v>
      </c>
      <c r="AF63" s="228">
        <v>41713.479999999996</v>
      </c>
      <c r="AG63" s="123">
        <f t="shared" si="2"/>
        <v>-7173.8000000000247</v>
      </c>
    </row>
    <row r="64" spans="1:33">
      <c r="A64" s="105" t="s">
        <v>875</v>
      </c>
      <c r="B64" s="105" t="s">
        <v>899</v>
      </c>
      <c r="C64" s="105" t="s">
        <v>267</v>
      </c>
      <c r="D64" s="293">
        <v>1655.05</v>
      </c>
      <c r="E64" s="293">
        <v>1655.05</v>
      </c>
      <c r="F64" s="293">
        <v>1655.05</v>
      </c>
      <c r="G64" s="293">
        <v>1655.05</v>
      </c>
      <c r="H64" s="293">
        <v>1655.05</v>
      </c>
      <c r="I64" s="293">
        <v>1655.05</v>
      </c>
      <c r="J64" s="293">
        <v>1655.05</v>
      </c>
      <c r="K64" s="293">
        <v>1655.05</v>
      </c>
      <c r="L64" s="293">
        <v>1655.05</v>
      </c>
      <c r="M64" s="293">
        <v>1655.05</v>
      </c>
      <c r="N64" s="293">
        <v>1655.05</v>
      </c>
      <c r="O64" s="293">
        <v>1655.05</v>
      </c>
      <c r="P64" s="227">
        <f t="shared" si="15"/>
        <v>19860.599999999995</v>
      </c>
      <c r="Q64" s="231">
        <v>2207.2800000000002</v>
      </c>
      <c r="R64" s="231">
        <v>2207.2800000000002</v>
      </c>
      <c r="S64" s="231">
        <v>2207.2800000000002</v>
      </c>
      <c r="T64" s="231">
        <v>2207.2800000000002</v>
      </c>
      <c r="U64" s="231">
        <v>2207.2800000000002</v>
      </c>
      <c r="V64" s="231">
        <v>2207.2800000000002</v>
      </c>
      <c r="W64" s="141">
        <v>1687.92</v>
      </c>
      <c r="X64" s="141">
        <v>1687.92</v>
      </c>
      <c r="Y64" s="315">
        <v>1994</v>
      </c>
      <c r="Z64" s="315">
        <v>1994</v>
      </c>
      <c r="AA64" s="315">
        <v>1994</v>
      </c>
      <c r="AB64" s="315">
        <v>1994</v>
      </c>
      <c r="AC64" s="302">
        <f t="shared" si="16"/>
        <v>24595.520000000004</v>
      </c>
      <c r="AD64" s="141">
        <f t="shared" si="17"/>
        <v>4734.9200000000092</v>
      </c>
      <c r="AE64" s="192">
        <f t="shared" si="18"/>
        <v>0.19251148176578534</v>
      </c>
      <c r="AF64" s="228">
        <v>19715.210000000003</v>
      </c>
      <c r="AG64" s="123">
        <f t="shared" si="2"/>
        <v>-145.38999999999214</v>
      </c>
    </row>
    <row r="65" spans="1:33">
      <c r="A65" s="105" t="s">
        <v>876</v>
      </c>
      <c r="B65" s="105" t="s">
        <v>899</v>
      </c>
      <c r="C65" s="105" t="s">
        <v>268</v>
      </c>
      <c r="D65" s="293">
        <v>127.31</v>
      </c>
      <c r="E65" s="293">
        <v>127.31</v>
      </c>
      <c r="F65" s="293">
        <v>127.31</v>
      </c>
      <c r="G65" s="293">
        <v>127.31</v>
      </c>
      <c r="H65" s="293">
        <v>127.31</v>
      </c>
      <c r="I65" s="293">
        <v>127.31</v>
      </c>
      <c r="J65" s="293">
        <v>127.31</v>
      </c>
      <c r="K65" s="293">
        <v>127.31</v>
      </c>
      <c r="L65" s="293">
        <v>127.31</v>
      </c>
      <c r="M65" s="293">
        <v>127.31</v>
      </c>
      <c r="N65" s="293">
        <v>127.31</v>
      </c>
      <c r="O65" s="293">
        <v>127.31</v>
      </c>
      <c r="P65" s="227">
        <f t="shared" si="15"/>
        <v>1527.7199999999996</v>
      </c>
      <c r="Q65" s="231">
        <v>129.84</v>
      </c>
      <c r="R65" s="231">
        <v>129.84</v>
      </c>
      <c r="S65" s="231">
        <v>129.84</v>
      </c>
      <c r="T65" s="231">
        <v>129.84</v>
      </c>
      <c r="U65" s="231">
        <v>129.84</v>
      </c>
      <c r="V65" s="231">
        <v>129.84</v>
      </c>
      <c r="W65" s="141">
        <v>129.84</v>
      </c>
      <c r="X65" s="141">
        <v>129.84</v>
      </c>
      <c r="Y65" s="141">
        <v>121</v>
      </c>
      <c r="Z65" s="141">
        <v>121</v>
      </c>
      <c r="AA65" s="141">
        <v>121</v>
      </c>
      <c r="AB65" s="141">
        <v>121</v>
      </c>
      <c r="AC65" s="302">
        <f t="shared" si="16"/>
        <v>1522.72</v>
      </c>
      <c r="AD65" s="141">
        <f t="shared" si="17"/>
        <v>-4.9999999999995453</v>
      </c>
      <c r="AE65" s="192">
        <f t="shared" si="18"/>
        <v>-3.2835977724069727E-3</v>
      </c>
      <c r="AF65" s="228">
        <v>1215.92</v>
      </c>
      <c r="AG65" s="123">
        <f t="shared" si="2"/>
        <v>-311.7999999999995</v>
      </c>
    </row>
    <row r="66" spans="1:33">
      <c r="A66" s="105" t="s">
        <v>877</v>
      </c>
      <c r="B66" s="105" t="s">
        <v>899</v>
      </c>
      <c r="C66" s="105" t="s">
        <v>269</v>
      </c>
      <c r="D66" s="293">
        <v>30.549999999999997</v>
      </c>
      <c r="E66" s="293">
        <v>30.549999999999997</v>
      </c>
      <c r="F66" s="293">
        <v>30.549999999999997</v>
      </c>
      <c r="G66" s="293">
        <v>30.549999999999997</v>
      </c>
      <c r="H66" s="293">
        <v>30.549999999999997</v>
      </c>
      <c r="I66" s="293">
        <v>30.549999999999997</v>
      </c>
      <c r="J66" s="293">
        <v>30.549999999999997</v>
      </c>
      <c r="K66" s="293">
        <v>30.549999999999997</v>
      </c>
      <c r="L66" s="293">
        <v>30.549999999999997</v>
      </c>
      <c r="M66" s="293">
        <v>30.549999999999997</v>
      </c>
      <c r="N66" s="293">
        <v>30.549999999999997</v>
      </c>
      <c r="O66" s="293">
        <v>30.549999999999997</v>
      </c>
      <c r="P66" s="227">
        <f t="shared" si="15"/>
        <v>366.60000000000008</v>
      </c>
      <c r="Q66" s="231">
        <v>31.16</v>
      </c>
      <c r="R66" s="231">
        <v>31.16</v>
      </c>
      <c r="S66" s="231">
        <v>31.16</v>
      </c>
      <c r="T66" s="231">
        <v>31.16</v>
      </c>
      <c r="U66" s="231">
        <v>31.16</v>
      </c>
      <c r="V66" s="231">
        <v>31.16</v>
      </c>
      <c r="W66" s="141">
        <v>31.16</v>
      </c>
      <c r="X66" s="141">
        <v>31.16</v>
      </c>
      <c r="Y66" s="141">
        <v>0</v>
      </c>
      <c r="Z66" s="141">
        <v>0</v>
      </c>
      <c r="AA66" s="141">
        <v>0</v>
      </c>
      <c r="AB66" s="141">
        <v>0</v>
      </c>
      <c r="AC66" s="302">
        <f t="shared" si="16"/>
        <v>249.28</v>
      </c>
      <c r="AD66" s="141">
        <f t="shared" si="17"/>
        <v>-117.32000000000008</v>
      </c>
      <c r="AE66" s="192">
        <f t="shared" si="18"/>
        <v>-0.47063543003851122</v>
      </c>
      <c r="AF66" s="228">
        <v>389.08000000000004</v>
      </c>
      <c r="AG66" s="123">
        <f t="shared" si="2"/>
        <v>22.479999999999961</v>
      </c>
    </row>
    <row r="67" spans="1:33">
      <c r="A67" s="105" t="s">
        <v>878</v>
      </c>
      <c r="B67" s="105" t="s">
        <v>899</v>
      </c>
      <c r="C67" s="105" t="s">
        <v>270</v>
      </c>
      <c r="D67" s="293">
        <v>0</v>
      </c>
      <c r="E67" s="293">
        <v>0</v>
      </c>
      <c r="F67" s="293">
        <v>0</v>
      </c>
      <c r="G67" s="293">
        <v>0</v>
      </c>
      <c r="H67" s="293">
        <v>0</v>
      </c>
      <c r="I67" s="293">
        <v>0</v>
      </c>
      <c r="J67" s="293">
        <v>0</v>
      </c>
      <c r="K67" s="293">
        <v>0</v>
      </c>
      <c r="L67" s="293">
        <v>0</v>
      </c>
      <c r="M67" s="293">
        <v>0</v>
      </c>
      <c r="N67" s="293">
        <v>0</v>
      </c>
      <c r="O67" s="293">
        <v>0</v>
      </c>
      <c r="P67" s="227">
        <f t="shared" si="15"/>
        <v>0</v>
      </c>
      <c r="Q67" s="231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141">
        <v>0</v>
      </c>
      <c r="X67" s="141">
        <v>0</v>
      </c>
      <c r="Y67" s="141">
        <v>0</v>
      </c>
      <c r="Z67" s="141">
        <v>0</v>
      </c>
      <c r="AA67" s="141">
        <v>0</v>
      </c>
      <c r="AB67" s="141">
        <v>0</v>
      </c>
      <c r="AC67" s="302">
        <f t="shared" si="16"/>
        <v>0</v>
      </c>
      <c r="AD67" s="141">
        <f t="shared" si="17"/>
        <v>0</v>
      </c>
      <c r="AE67" s="192" t="e">
        <f t="shared" si="18"/>
        <v>#DIV/0!</v>
      </c>
      <c r="AF67" s="228">
        <v>956.04999999999984</v>
      </c>
      <c r="AG67" s="123">
        <f t="shared" si="2"/>
        <v>956.04999999999984</v>
      </c>
    </row>
    <row r="68" spans="1:33">
      <c r="A68" s="105" t="s">
        <v>879</v>
      </c>
      <c r="B68" s="105" t="s">
        <v>899</v>
      </c>
      <c r="C68" s="105" t="s">
        <v>271</v>
      </c>
      <c r="D68" s="293">
        <v>1273.1099999999999</v>
      </c>
      <c r="E68" s="293">
        <v>1273.1099999999999</v>
      </c>
      <c r="F68" s="293">
        <v>1273.1099999999999</v>
      </c>
      <c r="G68" s="293">
        <v>1273.1099999999999</v>
      </c>
      <c r="H68" s="293">
        <v>1273.1099999999999</v>
      </c>
      <c r="I68" s="293">
        <v>1273.1099999999999</v>
      </c>
      <c r="J68" s="293">
        <v>1273.1099999999999</v>
      </c>
      <c r="K68" s="293">
        <v>1273.1099999999999</v>
      </c>
      <c r="L68" s="293">
        <v>1273.1099999999999</v>
      </c>
      <c r="M68" s="293">
        <v>1273.1099999999999</v>
      </c>
      <c r="N68" s="293">
        <v>1273.1099999999999</v>
      </c>
      <c r="O68" s="293">
        <v>1273.1099999999999</v>
      </c>
      <c r="P68" s="227">
        <f t="shared" si="15"/>
        <v>15277.320000000002</v>
      </c>
      <c r="Q68" s="231">
        <v>1298</v>
      </c>
      <c r="R68" s="231">
        <v>1298</v>
      </c>
      <c r="S68" s="231">
        <v>1298</v>
      </c>
      <c r="T68" s="231">
        <v>1298</v>
      </c>
      <c r="U68" s="231">
        <v>1298</v>
      </c>
      <c r="V68" s="231">
        <v>1298</v>
      </c>
      <c r="W68" s="141">
        <v>1298</v>
      </c>
      <c r="X68" s="141">
        <v>1298</v>
      </c>
      <c r="Y68" s="141">
        <v>1210</v>
      </c>
      <c r="Z68" s="141">
        <v>1210</v>
      </c>
      <c r="AA68" s="141">
        <v>1210</v>
      </c>
      <c r="AB68" s="141">
        <v>1210</v>
      </c>
      <c r="AC68" s="302">
        <f t="shared" si="16"/>
        <v>15224</v>
      </c>
      <c r="AD68" s="141">
        <f t="shared" si="17"/>
        <v>-53.320000000001528</v>
      </c>
      <c r="AE68" s="192">
        <f t="shared" si="18"/>
        <v>-3.5023646873358861E-3</v>
      </c>
      <c r="AF68" s="228">
        <v>11785</v>
      </c>
      <c r="AG68" s="123">
        <f t="shared" si="2"/>
        <v>-3492.3200000000015</v>
      </c>
    </row>
    <row r="69" spans="1:33">
      <c r="A69" s="105" t="s">
        <v>880</v>
      </c>
      <c r="B69" s="105" t="s">
        <v>899</v>
      </c>
      <c r="C69" s="105" t="s">
        <v>272</v>
      </c>
      <c r="D69" s="293">
        <v>514</v>
      </c>
      <c r="E69" s="293">
        <v>485</v>
      </c>
      <c r="F69" s="293">
        <v>492</v>
      </c>
      <c r="G69" s="293">
        <v>507</v>
      </c>
      <c r="H69" s="293">
        <v>507</v>
      </c>
      <c r="I69" s="293">
        <v>492</v>
      </c>
      <c r="J69" s="293">
        <v>492</v>
      </c>
      <c r="K69" s="293">
        <v>492</v>
      </c>
      <c r="L69" s="293">
        <v>492</v>
      </c>
      <c r="M69" s="293">
        <v>507</v>
      </c>
      <c r="N69" s="293">
        <v>492</v>
      </c>
      <c r="O69" s="293">
        <v>492</v>
      </c>
      <c r="P69" s="227">
        <f t="shared" si="15"/>
        <v>5964</v>
      </c>
      <c r="Q69" s="231">
        <v>414.6</v>
      </c>
      <c r="R69" s="231">
        <v>458.46</v>
      </c>
      <c r="S69" s="231">
        <v>939.04</v>
      </c>
      <c r="T69" s="231">
        <v>780.11</v>
      </c>
      <c r="U69" s="231">
        <v>431.22</v>
      </c>
      <c r="V69" s="231">
        <v>433.22</v>
      </c>
      <c r="W69" s="141">
        <v>416.6</v>
      </c>
      <c r="X69" s="141">
        <v>416.6</v>
      </c>
      <c r="Y69" s="141">
        <v>499</v>
      </c>
      <c r="Z69" s="141">
        <v>499</v>
      </c>
      <c r="AA69" s="141">
        <v>499</v>
      </c>
      <c r="AB69" s="141">
        <v>499</v>
      </c>
      <c r="AC69" s="302">
        <f t="shared" si="16"/>
        <v>6285.85</v>
      </c>
      <c r="AD69" s="141">
        <f t="shared" si="17"/>
        <v>321.85000000000036</v>
      </c>
      <c r="AE69" s="192">
        <f t="shared" si="18"/>
        <v>5.1202303586627161E-2</v>
      </c>
      <c r="AF69" s="228">
        <v>7418.94</v>
      </c>
      <c r="AG69" s="123">
        <f t="shared" si="2"/>
        <v>1454.9399999999996</v>
      </c>
    </row>
    <row r="70" spans="1:33">
      <c r="A70" s="105" t="s">
        <v>273</v>
      </c>
      <c r="B70" s="105" t="s">
        <v>899</v>
      </c>
      <c r="C70" s="105" t="s">
        <v>274</v>
      </c>
      <c r="D70" s="293">
        <v>0</v>
      </c>
      <c r="E70" s="293">
        <v>0</v>
      </c>
      <c r="F70" s="293">
        <v>0</v>
      </c>
      <c r="G70" s="293">
        <v>0</v>
      </c>
      <c r="H70" s="293">
        <v>0</v>
      </c>
      <c r="I70" s="293">
        <v>0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227">
        <f t="shared" si="15"/>
        <v>0</v>
      </c>
      <c r="Q70" s="231"/>
      <c r="R70" s="231"/>
      <c r="S70" s="231"/>
      <c r="T70" s="231"/>
      <c r="U70" s="231"/>
      <c r="V70" s="231"/>
      <c r="W70" s="141">
        <v>0</v>
      </c>
      <c r="X70" s="141">
        <v>0</v>
      </c>
      <c r="Y70" s="141">
        <v>0</v>
      </c>
      <c r="Z70" s="141">
        <v>0</v>
      </c>
      <c r="AA70" s="141">
        <v>0</v>
      </c>
      <c r="AB70" s="141">
        <v>0</v>
      </c>
      <c r="AC70" s="302">
        <f t="shared" si="16"/>
        <v>0</v>
      </c>
      <c r="AD70" s="141"/>
      <c r="AF70" s="228">
        <v>0</v>
      </c>
      <c r="AG70" s="123">
        <f t="shared" si="2"/>
        <v>0</v>
      </c>
    </row>
    <row r="71" spans="1:33">
      <c r="C71" s="109" t="s">
        <v>275</v>
      </c>
      <c r="D71" s="133">
        <f t="shared" ref="D71:AC71" si="19">SUM(D63:D70)</f>
        <v>7673.9600000000009</v>
      </c>
      <c r="E71" s="133">
        <f t="shared" si="19"/>
        <v>7644.9600000000009</v>
      </c>
      <c r="F71" s="133">
        <f t="shared" si="19"/>
        <v>7651.9600000000009</v>
      </c>
      <c r="G71" s="133">
        <f t="shared" si="19"/>
        <v>7666.9600000000009</v>
      </c>
      <c r="H71" s="133">
        <f t="shared" si="19"/>
        <v>7666.9600000000009</v>
      </c>
      <c r="I71" s="133">
        <f t="shared" si="19"/>
        <v>7651.9600000000009</v>
      </c>
      <c r="J71" s="133">
        <f t="shared" si="19"/>
        <v>7651.9600000000009</v>
      </c>
      <c r="K71" s="133">
        <f t="shared" si="19"/>
        <v>7651.9600000000009</v>
      </c>
      <c r="L71" s="133">
        <f t="shared" si="19"/>
        <v>7651.9600000000009</v>
      </c>
      <c r="M71" s="133">
        <f t="shared" si="19"/>
        <v>7666.9600000000009</v>
      </c>
      <c r="N71" s="133">
        <f t="shared" si="19"/>
        <v>7651.9600000000009</v>
      </c>
      <c r="O71" s="133">
        <f t="shared" si="19"/>
        <v>7651.9600000000009</v>
      </c>
      <c r="P71" s="227">
        <f t="shared" si="19"/>
        <v>91883.520000000033</v>
      </c>
      <c r="Q71" s="145">
        <f t="shared" si="19"/>
        <v>8235.77</v>
      </c>
      <c r="R71" s="145">
        <f t="shared" si="19"/>
        <v>8279.6299999999992</v>
      </c>
      <c r="S71" s="145">
        <f t="shared" si="19"/>
        <v>8760.2099999999991</v>
      </c>
      <c r="T71" s="145">
        <f t="shared" si="19"/>
        <v>8601.2800000000007</v>
      </c>
      <c r="U71" s="145">
        <f t="shared" si="19"/>
        <v>8252.39</v>
      </c>
      <c r="V71" s="145">
        <f t="shared" si="19"/>
        <v>8254.39</v>
      </c>
      <c r="W71" s="145">
        <f t="shared" si="19"/>
        <v>7718.4100000000008</v>
      </c>
      <c r="X71" s="145">
        <f t="shared" si="19"/>
        <v>7718.4100000000008</v>
      </c>
      <c r="Y71" s="145">
        <f t="shared" si="19"/>
        <v>7696</v>
      </c>
      <c r="Z71" s="145">
        <f t="shared" si="19"/>
        <v>7696</v>
      </c>
      <c r="AA71" s="145">
        <f t="shared" si="19"/>
        <v>7696</v>
      </c>
      <c r="AB71" s="145">
        <f t="shared" si="19"/>
        <v>7696</v>
      </c>
      <c r="AC71" s="306">
        <f t="shared" si="19"/>
        <v>96604.49000000002</v>
      </c>
      <c r="AD71" s="142">
        <f>AC71-P71</f>
        <v>4720.9699999999866</v>
      </c>
      <c r="AE71" s="132">
        <f>AD71/AC71</f>
        <v>4.8869053601959762E-2</v>
      </c>
      <c r="AF71" s="228">
        <v>83193.680000000008</v>
      </c>
      <c r="AG71" s="123">
        <f t="shared" si="2"/>
        <v>-8689.8400000000256</v>
      </c>
    </row>
    <row r="72" spans="1:33">
      <c r="C72" s="105" t="s">
        <v>154</v>
      </c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227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306"/>
      <c r="AD72" s="141"/>
      <c r="AF72" s="228"/>
      <c r="AG72" s="123">
        <f t="shared" si="2"/>
        <v>0</v>
      </c>
    </row>
    <row r="73" spans="1:33">
      <c r="A73" s="105" t="s">
        <v>131</v>
      </c>
      <c r="B73" s="105" t="s">
        <v>899</v>
      </c>
      <c r="C73" s="105" t="s">
        <v>276</v>
      </c>
      <c r="D73" s="293">
        <v>0</v>
      </c>
      <c r="E73" s="293">
        <v>0</v>
      </c>
      <c r="F73" s="293">
        <v>0</v>
      </c>
      <c r="G73" s="293">
        <v>0</v>
      </c>
      <c r="H73" s="293">
        <v>0</v>
      </c>
      <c r="I73" s="293">
        <v>0</v>
      </c>
      <c r="J73" s="293">
        <v>0</v>
      </c>
      <c r="K73" s="293">
        <v>0</v>
      </c>
      <c r="L73" s="293">
        <v>0</v>
      </c>
      <c r="M73" s="293">
        <v>0</v>
      </c>
      <c r="N73" s="293">
        <v>0</v>
      </c>
      <c r="O73" s="293">
        <v>0</v>
      </c>
      <c r="P73" s="227">
        <f t="shared" ref="P73:P79" si="20">SUM(D73:O73)</f>
        <v>0</v>
      </c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31"/>
      <c r="AC73" s="302">
        <f t="shared" ref="AC73:AC81" si="21">SUM(Q73:AB73)</f>
        <v>0</v>
      </c>
      <c r="AD73" s="141"/>
      <c r="AF73" s="228">
        <v>0</v>
      </c>
      <c r="AG73" s="123">
        <f t="shared" ref="AG73:AG85" si="22">AF73-P73</f>
        <v>0</v>
      </c>
    </row>
    <row r="74" spans="1:33">
      <c r="A74" s="105" t="s">
        <v>132</v>
      </c>
      <c r="B74" s="105" t="s">
        <v>899</v>
      </c>
      <c r="C74" s="105" t="s">
        <v>277</v>
      </c>
      <c r="D74" s="293">
        <v>0</v>
      </c>
      <c r="E74" s="293">
        <v>0</v>
      </c>
      <c r="F74" s="293">
        <v>0</v>
      </c>
      <c r="G74" s="293">
        <v>0</v>
      </c>
      <c r="H74" s="293">
        <v>0</v>
      </c>
      <c r="I74" s="293">
        <v>0</v>
      </c>
      <c r="J74" s="293">
        <v>0</v>
      </c>
      <c r="K74" s="293">
        <v>0</v>
      </c>
      <c r="L74" s="293">
        <v>0</v>
      </c>
      <c r="M74" s="293">
        <v>0</v>
      </c>
      <c r="N74" s="293">
        <v>0</v>
      </c>
      <c r="O74" s="293">
        <v>0</v>
      </c>
      <c r="P74" s="227">
        <f t="shared" si="20"/>
        <v>0</v>
      </c>
      <c r="Q74" s="231"/>
      <c r="R74" s="231"/>
      <c r="S74" s="231"/>
      <c r="T74" s="231"/>
      <c r="U74" s="231"/>
      <c r="V74" s="231"/>
      <c r="W74" s="141">
        <v>0</v>
      </c>
      <c r="X74" s="141">
        <v>0</v>
      </c>
      <c r="Y74" s="141">
        <v>0</v>
      </c>
      <c r="Z74" s="141">
        <v>0</v>
      </c>
      <c r="AA74" s="141">
        <v>0</v>
      </c>
      <c r="AB74" s="141">
        <v>0</v>
      </c>
      <c r="AC74" s="302">
        <f t="shared" si="21"/>
        <v>0</v>
      </c>
      <c r="AD74" s="141"/>
      <c r="AF74" s="228">
        <v>0</v>
      </c>
      <c r="AG74" s="123">
        <f t="shared" si="22"/>
        <v>0</v>
      </c>
    </row>
    <row r="75" spans="1:33">
      <c r="A75" s="105" t="s">
        <v>133</v>
      </c>
      <c r="B75" s="105" t="s">
        <v>899</v>
      </c>
      <c r="C75" s="105" t="s">
        <v>278</v>
      </c>
      <c r="D75" s="293">
        <v>0</v>
      </c>
      <c r="E75" s="293">
        <v>0</v>
      </c>
      <c r="F75" s="293">
        <v>0</v>
      </c>
      <c r="G75" s="293">
        <v>0</v>
      </c>
      <c r="H75" s="293">
        <v>0</v>
      </c>
      <c r="I75" s="293">
        <v>0</v>
      </c>
      <c r="J75" s="293">
        <v>0</v>
      </c>
      <c r="K75" s="293">
        <v>0</v>
      </c>
      <c r="L75" s="293">
        <v>0</v>
      </c>
      <c r="M75" s="293">
        <v>0</v>
      </c>
      <c r="N75" s="293">
        <v>0</v>
      </c>
      <c r="O75" s="293">
        <v>0</v>
      </c>
      <c r="P75" s="227">
        <f t="shared" si="20"/>
        <v>0</v>
      </c>
      <c r="Q75" s="231"/>
      <c r="R75" s="231"/>
      <c r="S75" s="231"/>
      <c r="T75" s="231"/>
      <c r="U75" s="231"/>
      <c r="V75" s="231"/>
      <c r="W75" s="141">
        <v>0</v>
      </c>
      <c r="X75" s="141">
        <v>0</v>
      </c>
      <c r="Y75" s="141">
        <v>0</v>
      </c>
      <c r="Z75" s="141">
        <v>0</v>
      </c>
      <c r="AA75" s="141">
        <v>0</v>
      </c>
      <c r="AB75" s="141">
        <v>0</v>
      </c>
      <c r="AC75" s="302">
        <f t="shared" si="21"/>
        <v>0</v>
      </c>
      <c r="AD75" s="141"/>
      <c r="AF75" s="228">
        <v>0</v>
      </c>
      <c r="AG75" s="123">
        <f t="shared" si="22"/>
        <v>0</v>
      </c>
    </row>
    <row r="76" spans="1:33">
      <c r="A76" s="105" t="s">
        <v>134</v>
      </c>
      <c r="B76" s="105" t="s">
        <v>899</v>
      </c>
      <c r="C76" s="105" t="s">
        <v>279</v>
      </c>
      <c r="D76" s="293">
        <v>133.33000000000001</v>
      </c>
      <c r="E76" s="293">
        <v>133.33000000000001</v>
      </c>
      <c r="F76" s="293">
        <v>133.33000000000001</v>
      </c>
      <c r="G76" s="293">
        <v>133.33000000000001</v>
      </c>
      <c r="H76" s="293">
        <v>133.33000000000001</v>
      </c>
      <c r="I76" s="293">
        <v>133.33000000000001</v>
      </c>
      <c r="J76" s="293">
        <v>133.33000000000001</v>
      </c>
      <c r="K76" s="293">
        <v>133.33000000000001</v>
      </c>
      <c r="L76" s="293">
        <v>133.33000000000001</v>
      </c>
      <c r="M76" s="293">
        <v>133.33000000000001</v>
      </c>
      <c r="N76" s="293">
        <v>133.33000000000001</v>
      </c>
      <c r="O76" s="293">
        <v>133.33000000000001</v>
      </c>
      <c r="P76" s="227">
        <f t="shared" si="20"/>
        <v>1599.9599999999998</v>
      </c>
      <c r="Q76" s="231">
        <v>133</v>
      </c>
      <c r="R76" s="231">
        <v>127</v>
      </c>
      <c r="S76" s="231">
        <v>136</v>
      </c>
      <c r="T76" s="231">
        <v>132</v>
      </c>
      <c r="U76" s="231">
        <v>136</v>
      </c>
      <c r="V76" s="231">
        <v>132</v>
      </c>
      <c r="W76" s="141">
        <v>136</v>
      </c>
      <c r="X76" s="141">
        <v>136</v>
      </c>
      <c r="Y76" s="141">
        <v>133</v>
      </c>
      <c r="Z76" s="141">
        <v>133</v>
      </c>
      <c r="AA76" s="141">
        <v>133</v>
      </c>
      <c r="AB76" s="141">
        <v>133</v>
      </c>
      <c r="AC76" s="302">
        <f t="shared" si="21"/>
        <v>1600</v>
      </c>
      <c r="AD76" s="141">
        <f t="shared" ref="AD76:AD83" si="23">AC76-P76</f>
        <v>4.0000000000190994E-2</v>
      </c>
      <c r="AE76" s="192">
        <f t="shared" ref="AE76:AE83" si="24">AD76/AC76</f>
        <v>2.5000000000119372E-5</v>
      </c>
      <c r="AF76" s="228">
        <v>1138.5899999999999</v>
      </c>
      <c r="AG76" s="123">
        <f t="shared" si="22"/>
        <v>-461.36999999999989</v>
      </c>
    </row>
    <row r="77" spans="1:33">
      <c r="A77" s="105" t="s">
        <v>135</v>
      </c>
      <c r="B77" s="105" t="s">
        <v>899</v>
      </c>
      <c r="C77" s="105" t="s">
        <v>280</v>
      </c>
      <c r="D77" s="293">
        <v>1945.43</v>
      </c>
      <c r="E77" s="293">
        <v>1945.43</v>
      </c>
      <c r="F77" s="293">
        <v>1945.43</v>
      </c>
      <c r="G77" s="293">
        <v>1945.43</v>
      </c>
      <c r="H77" s="293">
        <v>1945.43</v>
      </c>
      <c r="I77" s="293">
        <v>1945.43</v>
      </c>
      <c r="J77" s="293">
        <v>1945.43</v>
      </c>
      <c r="K77" s="293">
        <v>1945.43</v>
      </c>
      <c r="L77" s="293">
        <v>1945.43</v>
      </c>
      <c r="M77" s="293">
        <v>1945.43</v>
      </c>
      <c r="N77" s="293">
        <v>1945.43</v>
      </c>
      <c r="O77" s="293">
        <v>1945.43</v>
      </c>
      <c r="P77" s="227">
        <f t="shared" si="20"/>
        <v>23345.16</v>
      </c>
      <c r="Q77" s="231">
        <v>37.700000000000003</v>
      </c>
      <c r="R77" s="231">
        <v>38.020000000000003</v>
      </c>
      <c r="S77" s="231">
        <v>37.700000000000003</v>
      </c>
      <c r="T77" s="231">
        <v>37.700000000000003</v>
      </c>
      <c r="U77" s="231">
        <v>39.35</v>
      </c>
      <c r="V77" s="231">
        <v>39.520000000000003</v>
      </c>
      <c r="W77" s="141">
        <v>39.96</v>
      </c>
      <c r="X77" s="141">
        <v>39.18</v>
      </c>
      <c r="Y77" s="141">
        <v>25</v>
      </c>
      <c r="Z77" s="141">
        <v>25</v>
      </c>
      <c r="AA77" s="141">
        <v>25</v>
      </c>
      <c r="AB77" s="141">
        <v>25</v>
      </c>
      <c r="AC77" s="302">
        <f t="shared" si="21"/>
        <v>409.13</v>
      </c>
      <c r="AD77" s="141">
        <f t="shared" si="23"/>
        <v>-22936.03</v>
      </c>
      <c r="AE77" s="192">
        <f t="shared" si="24"/>
        <v>-56.060494219441253</v>
      </c>
      <c r="AF77" s="228">
        <v>12990.34</v>
      </c>
      <c r="AG77" s="123">
        <f t="shared" si="22"/>
        <v>-10354.82</v>
      </c>
    </row>
    <row r="78" spans="1:33">
      <c r="A78" s="105" t="s">
        <v>281</v>
      </c>
      <c r="B78" s="105" t="s">
        <v>899</v>
      </c>
      <c r="C78" s="105" t="s">
        <v>282</v>
      </c>
      <c r="D78" s="212">
        <v>0</v>
      </c>
      <c r="E78" s="212">
        <v>0</v>
      </c>
      <c r="F78" s="212">
        <v>0</v>
      </c>
      <c r="G78" s="212">
        <v>0</v>
      </c>
      <c r="H78" s="212">
        <v>0</v>
      </c>
      <c r="I78" s="212">
        <v>0</v>
      </c>
      <c r="J78" s="212">
        <v>0</v>
      </c>
      <c r="K78" s="212">
        <v>0</v>
      </c>
      <c r="L78" s="212">
        <v>0</v>
      </c>
      <c r="M78" s="212">
        <v>0</v>
      </c>
      <c r="N78" s="212">
        <v>0</v>
      </c>
      <c r="O78" s="212">
        <v>0</v>
      </c>
      <c r="P78" s="227">
        <f t="shared" si="20"/>
        <v>0</v>
      </c>
      <c r="Q78" s="231">
        <v>998.25</v>
      </c>
      <c r="R78" s="231">
        <v>53.08</v>
      </c>
      <c r="S78" s="231">
        <v>47.55</v>
      </c>
      <c r="T78" s="231">
        <v>3594.67</v>
      </c>
      <c r="U78" s="231">
        <v>1426.07</v>
      </c>
      <c r="V78" s="231">
        <v>1770.84</v>
      </c>
      <c r="W78" s="141">
        <v>67.73</v>
      </c>
      <c r="X78" s="141">
        <v>85.54</v>
      </c>
      <c r="Y78" s="141">
        <v>1307</v>
      </c>
      <c r="Z78" s="141">
        <v>1242</v>
      </c>
      <c r="AA78" s="141">
        <v>1162</v>
      </c>
      <c r="AB78" s="141">
        <v>1162</v>
      </c>
      <c r="AC78" s="302">
        <f t="shared" si="21"/>
        <v>12916.73</v>
      </c>
      <c r="AD78" s="141">
        <f t="shared" si="23"/>
        <v>12916.73</v>
      </c>
      <c r="AE78" s="192">
        <f t="shared" si="24"/>
        <v>1</v>
      </c>
      <c r="AF78" s="228">
        <v>18153.55</v>
      </c>
      <c r="AG78" s="123">
        <f t="shared" si="22"/>
        <v>18153.55</v>
      </c>
    </row>
    <row r="79" spans="1:33">
      <c r="A79" s="105" t="s">
        <v>137</v>
      </c>
      <c r="B79" s="105" t="s">
        <v>899</v>
      </c>
      <c r="C79" s="105" t="s">
        <v>283</v>
      </c>
      <c r="D79" s="212">
        <v>480</v>
      </c>
      <c r="E79" s="212">
        <v>480</v>
      </c>
      <c r="F79" s="212">
        <v>480</v>
      </c>
      <c r="G79" s="212">
        <v>480</v>
      </c>
      <c r="H79" s="212">
        <v>480</v>
      </c>
      <c r="I79" s="212">
        <v>480</v>
      </c>
      <c r="J79" s="212">
        <v>480</v>
      </c>
      <c r="K79" s="212">
        <v>480</v>
      </c>
      <c r="L79" s="212">
        <v>480</v>
      </c>
      <c r="M79" s="212">
        <v>480</v>
      </c>
      <c r="N79" s="212">
        <v>480</v>
      </c>
      <c r="O79" s="212">
        <v>480</v>
      </c>
      <c r="P79" s="227">
        <f t="shared" si="20"/>
        <v>5760</v>
      </c>
      <c r="Q79" s="231">
        <v>1552.06</v>
      </c>
      <c r="R79" s="231">
        <v>2536.54</v>
      </c>
      <c r="S79" s="231">
        <v>2320</v>
      </c>
      <c r="T79" s="231">
        <v>2320.48</v>
      </c>
      <c r="U79" s="231">
        <v>1653.77</v>
      </c>
      <c r="V79" s="231">
        <v>1875.56</v>
      </c>
      <c r="W79" s="141">
        <v>1947.34</v>
      </c>
      <c r="X79" s="141">
        <v>1909.29</v>
      </c>
      <c r="Y79" s="141">
        <v>2170</v>
      </c>
      <c r="Z79" s="141">
        <v>2369</v>
      </c>
      <c r="AA79" s="141">
        <v>2194</v>
      </c>
      <c r="AB79" s="141">
        <v>2194</v>
      </c>
      <c r="AC79" s="302">
        <f t="shared" si="21"/>
        <v>25042.04</v>
      </c>
      <c r="AD79" s="141">
        <f t="shared" si="23"/>
        <v>19282.04</v>
      </c>
      <c r="AE79" s="192">
        <f t="shared" si="24"/>
        <v>0.76998679021357685</v>
      </c>
      <c r="AF79" s="228">
        <v>42339.91</v>
      </c>
      <c r="AG79" s="123">
        <f t="shared" si="22"/>
        <v>36579.910000000003</v>
      </c>
    </row>
    <row r="80" spans="1:33">
      <c r="A80" s="105" t="s">
        <v>138</v>
      </c>
      <c r="B80" s="105" t="s">
        <v>899</v>
      </c>
      <c r="C80" s="105" t="s">
        <v>881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>
        <v>0</v>
      </c>
      <c r="J80" s="124">
        <v>0</v>
      </c>
      <c r="K80" s="124">
        <v>0</v>
      </c>
      <c r="L80" s="124">
        <v>0</v>
      </c>
      <c r="M80" s="124">
        <v>0</v>
      </c>
      <c r="N80" s="124">
        <v>0</v>
      </c>
      <c r="O80" s="124">
        <v>0</v>
      </c>
      <c r="P80" s="227"/>
      <c r="Q80" s="231"/>
      <c r="R80" s="231"/>
      <c r="S80" s="231"/>
      <c r="T80" s="231"/>
      <c r="U80" s="231"/>
      <c r="V80" s="231"/>
      <c r="W80" s="141">
        <v>0</v>
      </c>
      <c r="X80" s="141">
        <v>0</v>
      </c>
      <c r="Y80" s="141">
        <v>0</v>
      </c>
      <c r="Z80" s="141">
        <v>0</v>
      </c>
      <c r="AA80" s="141">
        <v>0</v>
      </c>
      <c r="AB80" s="141">
        <v>0</v>
      </c>
      <c r="AC80" s="302">
        <f t="shared" si="21"/>
        <v>0</v>
      </c>
      <c r="AD80" s="141"/>
      <c r="AF80" s="228">
        <v>0</v>
      </c>
      <c r="AG80" s="123">
        <f t="shared" si="22"/>
        <v>0</v>
      </c>
    </row>
    <row r="81" spans="1:33">
      <c r="A81" s="105" t="s">
        <v>140</v>
      </c>
      <c r="B81" s="105" t="s">
        <v>899</v>
      </c>
      <c r="C81" s="105" t="s">
        <v>882</v>
      </c>
      <c r="D81" s="123">
        <v>0</v>
      </c>
      <c r="E81" s="123">
        <v>0</v>
      </c>
      <c r="F81" s="123">
        <v>0</v>
      </c>
      <c r="G81" s="123">
        <v>0</v>
      </c>
      <c r="H81" s="123">
        <v>0</v>
      </c>
      <c r="I81" s="123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227"/>
      <c r="Q81" s="231"/>
      <c r="R81" s="231"/>
      <c r="S81" s="231"/>
      <c r="T81" s="231"/>
      <c r="U81" s="231"/>
      <c r="V81" s="231"/>
      <c r="W81" s="141">
        <v>0</v>
      </c>
      <c r="X81" s="141">
        <v>0</v>
      </c>
      <c r="Y81" s="141">
        <v>0</v>
      </c>
      <c r="Z81" s="141">
        <v>0</v>
      </c>
      <c r="AA81" s="141">
        <v>0</v>
      </c>
      <c r="AB81" s="141">
        <v>0</v>
      </c>
      <c r="AC81" s="302">
        <f t="shared" si="21"/>
        <v>0</v>
      </c>
      <c r="AD81" s="141"/>
      <c r="AF81" s="228">
        <v>0</v>
      </c>
      <c r="AG81" s="123">
        <f t="shared" si="22"/>
        <v>0</v>
      </c>
    </row>
    <row r="82" spans="1:33">
      <c r="C82" s="109" t="s">
        <v>286</v>
      </c>
      <c r="D82" s="133">
        <f t="shared" ref="D82:I82" si="25">SUM(D73:D79)</f>
        <v>2558.7600000000002</v>
      </c>
      <c r="E82" s="133">
        <f t="shared" si="25"/>
        <v>2558.7600000000002</v>
      </c>
      <c r="F82" s="133">
        <f t="shared" si="25"/>
        <v>2558.7600000000002</v>
      </c>
      <c r="G82" s="133">
        <f t="shared" si="25"/>
        <v>2558.7600000000002</v>
      </c>
      <c r="H82" s="133">
        <f t="shared" si="25"/>
        <v>2558.7600000000002</v>
      </c>
      <c r="I82" s="133">
        <f t="shared" si="25"/>
        <v>2558.7600000000002</v>
      </c>
      <c r="J82" s="133">
        <f t="shared" ref="J82:P82" si="26">SUM(J73:J81)</f>
        <v>2558.7600000000002</v>
      </c>
      <c r="K82" s="133">
        <f t="shared" si="26"/>
        <v>2558.7600000000002</v>
      </c>
      <c r="L82" s="133">
        <f t="shared" si="26"/>
        <v>2558.7600000000002</v>
      </c>
      <c r="M82" s="133">
        <f t="shared" si="26"/>
        <v>2558.7600000000002</v>
      </c>
      <c r="N82" s="133">
        <f t="shared" si="26"/>
        <v>2558.7600000000002</v>
      </c>
      <c r="O82" s="133">
        <f t="shared" si="26"/>
        <v>2558.7600000000002</v>
      </c>
      <c r="P82" s="227">
        <f t="shared" si="26"/>
        <v>30705.119999999999</v>
      </c>
      <c r="Q82" s="145">
        <f t="shared" ref="Q82:AC82" si="27">SUM(Q73:Q79)</f>
        <v>2721.01</v>
      </c>
      <c r="R82" s="145">
        <f t="shared" si="27"/>
        <v>2754.64</v>
      </c>
      <c r="S82" s="145">
        <f t="shared" si="27"/>
        <v>2541.25</v>
      </c>
      <c r="T82" s="145">
        <f t="shared" si="27"/>
        <v>6084.85</v>
      </c>
      <c r="U82" s="145">
        <f t="shared" si="27"/>
        <v>3255.1899999999996</v>
      </c>
      <c r="V82" s="145">
        <f t="shared" si="27"/>
        <v>3817.92</v>
      </c>
      <c r="W82" s="145">
        <f t="shared" si="27"/>
        <v>2191.0299999999997</v>
      </c>
      <c r="X82" s="145">
        <f t="shared" si="27"/>
        <v>2170.0100000000002</v>
      </c>
      <c r="Y82" s="145">
        <f t="shared" si="27"/>
        <v>3635</v>
      </c>
      <c r="Z82" s="145">
        <f t="shared" si="27"/>
        <v>3769</v>
      </c>
      <c r="AA82" s="145">
        <f t="shared" si="27"/>
        <v>3514</v>
      </c>
      <c r="AB82" s="145">
        <f t="shared" si="27"/>
        <v>3514</v>
      </c>
      <c r="AC82" s="306">
        <f t="shared" si="27"/>
        <v>39967.9</v>
      </c>
      <c r="AD82" s="142">
        <f t="shared" si="23"/>
        <v>9262.7800000000025</v>
      </c>
      <c r="AE82" s="132">
        <f t="shared" si="24"/>
        <v>0.23175548377573008</v>
      </c>
      <c r="AF82" s="228">
        <v>74622.39</v>
      </c>
      <c r="AG82" s="123">
        <f t="shared" si="22"/>
        <v>43917.270000000004</v>
      </c>
    </row>
    <row r="83" spans="1:33">
      <c r="C83" s="109" t="s">
        <v>287</v>
      </c>
      <c r="D83" s="133">
        <f t="shared" ref="D83:AC83" si="28">D82+D71+D61+D54</f>
        <v>35955.120000000003</v>
      </c>
      <c r="E83" s="133">
        <f t="shared" si="28"/>
        <v>34464.050000000003</v>
      </c>
      <c r="F83" s="133">
        <f t="shared" si="28"/>
        <v>34808.400000000001</v>
      </c>
      <c r="G83" s="133">
        <f t="shared" si="28"/>
        <v>35590.99</v>
      </c>
      <c r="H83" s="133">
        <f t="shared" si="28"/>
        <v>35590.99</v>
      </c>
      <c r="I83" s="133">
        <f t="shared" si="28"/>
        <v>34808.400000000001</v>
      </c>
      <c r="J83" s="133">
        <f t="shared" si="28"/>
        <v>34808.400000000001</v>
      </c>
      <c r="K83" s="133">
        <f t="shared" si="28"/>
        <v>34808.400000000001</v>
      </c>
      <c r="L83" s="133">
        <f t="shared" si="28"/>
        <v>34808.400000000001</v>
      </c>
      <c r="M83" s="133">
        <f t="shared" si="28"/>
        <v>35590.99</v>
      </c>
      <c r="N83" s="133">
        <f t="shared" si="28"/>
        <v>34808.400000000001</v>
      </c>
      <c r="O83" s="133">
        <f t="shared" si="28"/>
        <v>34808.400000000001</v>
      </c>
      <c r="P83" s="227">
        <f t="shared" si="28"/>
        <v>420850.94000000006</v>
      </c>
      <c r="Q83" s="145">
        <f t="shared" si="28"/>
        <v>36760.06</v>
      </c>
      <c r="R83" s="145">
        <f t="shared" si="28"/>
        <v>39052.479999999996</v>
      </c>
      <c r="S83" s="145">
        <f t="shared" si="28"/>
        <v>37108.92</v>
      </c>
      <c r="T83" s="145">
        <f t="shared" si="28"/>
        <v>39528.57</v>
      </c>
      <c r="U83" s="145">
        <f t="shared" si="28"/>
        <v>36437.339999999997</v>
      </c>
      <c r="V83" s="145">
        <f t="shared" si="28"/>
        <v>37022.61</v>
      </c>
      <c r="W83" s="145">
        <f t="shared" si="28"/>
        <v>34134.17</v>
      </c>
      <c r="X83" s="145">
        <f t="shared" si="28"/>
        <v>34109.200000000004</v>
      </c>
      <c r="Y83" s="145">
        <f t="shared" si="28"/>
        <v>35544.33</v>
      </c>
      <c r="Z83" s="145">
        <f t="shared" si="28"/>
        <v>35678.33</v>
      </c>
      <c r="AA83" s="145">
        <f t="shared" si="28"/>
        <v>35423.33</v>
      </c>
      <c r="AB83" s="145">
        <f t="shared" si="28"/>
        <v>35423.33</v>
      </c>
      <c r="AC83" s="306">
        <f t="shared" si="28"/>
        <v>436222.67000000004</v>
      </c>
      <c r="AD83" s="142">
        <f t="shared" si="23"/>
        <v>15371.729999999981</v>
      </c>
      <c r="AE83" s="132">
        <f t="shared" si="24"/>
        <v>3.523826489806222E-2</v>
      </c>
      <c r="AF83" s="228">
        <v>472339.4</v>
      </c>
      <c r="AG83" s="123">
        <f t="shared" si="22"/>
        <v>51488.459999999963</v>
      </c>
    </row>
    <row r="84" spans="1:33">
      <c r="C84" s="105" t="s">
        <v>154</v>
      </c>
      <c r="AC84" s="227"/>
      <c r="AF84" s="228"/>
      <c r="AG84" s="123">
        <f t="shared" si="22"/>
        <v>0</v>
      </c>
    </row>
    <row r="85" spans="1:33" s="256" customFormat="1">
      <c r="A85" s="109" t="s">
        <v>141</v>
      </c>
      <c r="B85" s="256" t="s">
        <v>899</v>
      </c>
      <c r="C85" s="256" t="s">
        <v>288</v>
      </c>
      <c r="D85" s="215">
        <v>2</v>
      </c>
      <c r="E85" s="215">
        <v>2</v>
      </c>
      <c r="F85" s="215">
        <v>2</v>
      </c>
      <c r="G85" s="215">
        <v>2</v>
      </c>
      <c r="H85" s="215">
        <v>2</v>
      </c>
      <c r="I85" s="215">
        <v>2</v>
      </c>
      <c r="J85" s="215">
        <v>2</v>
      </c>
      <c r="K85" s="215">
        <v>2</v>
      </c>
      <c r="L85" s="215">
        <v>2</v>
      </c>
      <c r="M85" s="215">
        <v>2</v>
      </c>
      <c r="N85" s="215">
        <v>2</v>
      </c>
      <c r="O85" s="215">
        <v>2</v>
      </c>
      <c r="P85" s="224">
        <f>SUM(D85:O85)/12</f>
        <v>2</v>
      </c>
      <c r="Q85" s="256">
        <v>2</v>
      </c>
      <c r="R85" s="256">
        <v>2</v>
      </c>
      <c r="S85" s="256">
        <v>2</v>
      </c>
      <c r="T85" s="256">
        <v>2</v>
      </c>
      <c r="U85" s="256">
        <v>2</v>
      </c>
      <c r="V85" s="256">
        <v>2</v>
      </c>
      <c r="W85" s="142">
        <v>2</v>
      </c>
      <c r="X85" s="142">
        <v>2</v>
      </c>
      <c r="Y85" s="142">
        <v>2</v>
      </c>
      <c r="Z85" s="142">
        <v>2</v>
      </c>
      <c r="AA85" s="142">
        <v>2</v>
      </c>
      <c r="AB85" s="142">
        <v>2</v>
      </c>
      <c r="AC85" s="308">
        <f>SUM(Q85:AB85)/12</f>
        <v>2</v>
      </c>
      <c r="AD85" s="294">
        <f>AC85-P85</f>
        <v>0</v>
      </c>
      <c r="AE85" s="295"/>
      <c r="AF85" s="308">
        <v>2.5</v>
      </c>
      <c r="AG85" s="296">
        <f t="shared" si="22"/>
        <v>0.5</v>
      </c>
    </row>
    <row r="86" spans="1:33">
      <c r="AC86" s="227"/>
    </row>
    <row r="88" spans="1:33">
      <c r="C88" s="105" t="s">
        <v>883</v>
      </c>
      <c r="D88" s="141">
        <f>'2025 Summay'!E16</f>
        <v>39233149</v>
      </c>
      <c r="E88" s="141">
        <f>'2025 Summay'!F16</f>
        <v>43452422</v>
      </c>
      <c r="F88" s="141">
        <f>'2025 Summay'!G16</f>
        <v>27030377</v>
      </c>
      <c r="G88" s="141">
        <f>'2025 Summay'!H16</f>
        <v>25027257</v>
      </c>
      <c r="H88" s="141">
        <f>'2025 Summay'!I16</f>
        <v>23807640</v>
      </c>
      <c r="I88" s="141">
        <f>'2025 Summay'!J16</f>
        <v>21296011</v>
      </c>
      <c r="J88" s="141">
        <f>'2025 Summay'!K16</f>
        <v>30906188</v>
      </c>
      <c r="K88" s="141">
        <f>'2025 Summay'!L16</f>
        <v>34819289</v>
      </c>
      <c r="L88" s="141">
        <f>'2025 Summay'!M16</f>
        <v>20076077</v>
      </c>
      <c r="M88" s="141">
        <f>'2025 Summay'!N16</f>
        <v>25381394</v>
      </c>
      <c r="N88" s="141">
        <f>'2025 Summay'!O16</f>
        <v>21936590</v>
      </c>
      <c r="O88" s="141">
        <f>'2025 Summay'!P16</f>
        <v>27659550</v>
      </c>
      <c r="P88" s="309">
        <f>SUM(D88:O88)</f>
        <v>340625944</v>
      </c>
      <c r="Q88" s="284" t="e">
        <f>SUM(#REF!)</f>
        <v>#REF!</v>
      </c>
      <c r="R88" s="284" t="e">
        <f>SUM(#REF!)</f>
        <v>#REF!</v>
      </c>
      <c r="S88" s="284" t="e">
        <f>SUM(#REF!)</f>
        <v>#REF!</v>
      </c>
      <c r="T88" s="284">
        <f>SUM(A88:L88)</f>
        <v>265648410</v>
      </c>
      <c r="U88" s="284">
        <f>SUM(B88:M88)</f>
        <v>291029804</v>
      </c>
      <c r="V88" s="284">
        <f>SUM(C88:N88)</f>
        <v>312966394</v>
      </c>
      <c r="W88" s="284">
        <f>SUM(D88:O88)</f>
        <v>340625944</v>
      </c>
      <c r="X88" s="284">
        <f>SUM(E88:P88)</f>
        <v>642018739</v>
      </c>
    </row>
    <row r="90" spans="1:33">
      <c r="C90" s="151" t="s">
        <v>292</v>
      </c>
      <c r="D90" s="124">
        <v>0</v>
      </c>
      <c r="E90" s="124">
        <v>0</v>
      </c>
      <c r="F90" s="124">
        <v>0</v>
      </c>
      <c r="G90" s="124">
        <v>0</v>
      </c>
      <c r="H90" s="124">
        <v>0</v>
      </c>
      <c r="I90" s="124">
        <v>0</v>
      </c>
      <c r="J90" s="124">
        <v>0</v>
      </c>
      <c r="K90" s="124">
        <v>0</v>
      </c>
      <c r="L90" s="124">
        <v>0</v>
      </c>
      <c r="M90" s="124">
        <v>0</v>
      </c>
      <c r="N90" s="124">
        <v>0</v>
      </c>
      <c r="O90" s="124">
        <v>0</v>
      </c>
      <c r="P90" s="227">
        <f t="shared" ref="P90:P92" si="29">SUM(D90:O90)</f>
        <v>0</v>
      </c>
    </row>
    <row r="91" spans="1:33">
      <c r="C91" s="152" t="s">
        <v>366</v>
      </c>
      <c r="D91" s="136">
        <v>0</v>
      </c>
      <c r="E91" s="136">
        <v>0</v>
      </c>
      <c r="F91" s="136">
        <v>0</v>
      </c>
      <c r="G91" s="136">
        <v>0</v>
      </c>
      <c r="H91" s="136">
        <v>0</v>
      </c>
      <c r="I91" s="136">
        <v>0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227">
        <f t="shared" si="29"/>
        <v>0</v>
      </c>
    </row>
    <row r="92" spans="1:33">
      <c r="C92" s="151" t="s">
        <v>367</v>
      </c>
      <c r="D92" s="136">
        <v>0</v>
      </c>
      <c r="E92" s="136">
        <v>0</v>
      </c>
      <c r="F92" s="136">
        <v>0</v>
      </c>
      <c r="G92" s="136">
        <v>0</v>
      </c>
      <c r="H92" s="136">
        <v>0</v>
      </c>
      <c r="I92" s="136">
        <v>0</v>
      </c>
      <c r="J92" s="136">
        <v>0</v>
      </c>
      <c r="K92" s="136">
        <v>0</v>
      </c>
      <c r="L92" s="136">
        <v>0</v>
      </c>
      <c r="M92" s="136">
        <v>0</v>
      </c>
      <c r="N92" s="136">
        <v>0</v>
      </c>
      <c r="O92" s="136">
        <v>0</v>
      </c>
      <c r="P92" s="227">
        <f t="shared" si="29"/>
        <v>0</v>
      </c>
    </row>
    <row r="93" spans="1:33">
      <c r="C93" s="109" t="s">
        <v>476</v>
      </c>
      <c r="D93" s="117">
        <f>SUM(D90:D92)</f>
        <v>0</v>
      </c>
      <c r="E93" s="117">
        <f t="shared" ref="E93:P93" si="30">SUM(E90:E92)</f>
        <v>0</v>
      </c>
      <c r="F93" s="117">
        <f t="shared" si="30"/>
        <v>0</v>
      </c>
      <c r="G93" s="117">
        <f t="shared" si="30"/>
        <v>0</v>
      </c>
      <c r="H93" s="117">
        <f t="shared" si="30"/>
        <v>0</v>
      </c>
      <c r="I93" s="117">
        <f t="shared" si="30"/>
        <v>0</v>
      </c>
      <c r="J93" s="117">
        <f t="shared" si="30"/>
        <v>0</v>
      </c>
      <c r="K93" s="117">
        <f t="shared" si="30"/>
        <v>0</v>
      </c>
      <c r="L93" s="117">
        <f t="shared" si="30"/>
        <v>0</v>
      </c>
      <c r="M93" s="117">
        <f t="shared" si="30"/>
        <v>0</v>
      </c>
      <c r="N93" s="117">
        <f t="shared" si="30"/>
        <v>0</v>
      </c>
      <c r="O93" s="117">
        <f t="shared" si="30"/>
        <v>0</v>
      </c>
      <c r="P93" s="117">
        <f t="shared" si="30"/>
        <v>0</v>
      </c>
    </row>
  </sheetData>
  <phoneticPr fontId="7" type="noConversion"/>
  <dataValidations count="122">
    <dataValidation type="textLength" errorStyle="information" allowBlank="1" showInputMessage="1" showErrorMessage="1" error="XLBVal:6=731.04_x000d__x000a_" sqref="T56:V56">
      <formula1>0</formula1>
      <formula2>300</formula2>
    </dataValidation>
    <dataValidation type="textLength" errorStyle="information" allowBlank="1" showInputMessage="1" showErrorMessage="1" error="XLBVal:6=5604.9_x000d__x000a_" sqref="Q45">
      <formula1>0</formula1>
      <formula2>300</formula2>
    </dataValidation>
    <dataValidation type="textLength" errorStyle="information" allowBlank="1" showInputMessage="1" showErrorMessage="1" error="XLBVal:6=28584.91_x000d__x000a_" sqref="U44:V44">
      <formula1>0</formula1>
      <formula2>300</formula2>
    </dataValidation>
    <dataValidation type="textLength" errorStyle="information" allowBlank="1" showInputMessage="1" showErrorMessage="1" error="XLBVal:6=626.15_x000d__x000a_" sqref="V25">
      <formula1>0</formula1>
      <formula2>300</formula2>
    </dataValidation>
    <dataValidation type="textLength" errorStyle="information" allowBlank="1" showInputMessage="1" showErrorMessage="1" error="XLBVal:6=467_x000d__x000a_" sqref="U25">
      <formula1>0</formula1>
      <formula2>300</formula2>
    </dataValidation>
    <dataValidation type="textLength" errorStyle="information" allowBlank="1" showInputMessage="1" showErrorMessage="1" error="XLBVal:6=548.7_x000d__x000a_" sqref="T25">
      <formula1>0</formula1>
      <formula2>300</formula2>
    </dataValidation>
    <dataValidation type="textLength" errorStyle="information" allowBlank="1" showInputMessage="1" showErrorMessage="1" error="XLBVal:6=560_x000d__x000a_" sqref="R25">
      <formula1>0</formula1>
      <formula2>300</formula2>
    </dataValidation>
    <dataValidation type="textLength" errorStyle="information" allowBlank="1" showInputMessage="1" showErrorMessage="1" error="XLBVal:6=463_x000d__x000a_" sqref="Q25">
      <formula1>0</formula1>
      <formula2>300</formula2>
    </dataValidation>
    <dataValidation type="textLength" errorStyle="information" allowBlank="1" showInputMessage="1" showErrorMessage="1" error="XLBVal:6=56281_x000d__x000a_" sqref="T21">
      <formula1>0</formula1>
      <formula2>300</formula2>
    </dataValidation>
    <dataValidation type="textLength" errorStyle="information" allowBlank="1" showInputMessage="1" showErrorMessage="1" error="XLBVal:6=269_x000d__x000a_" sqref="Q21">
      <formula1>0</formula1>
      <formula2>300</formula2>
    </dataValidation>
    <dataValidation type="textLength" errorStyle="information" allowBlank="1" showInputMessage="1" showErrorMessage="1" error="XLBVal:6=971_x000d__x000a_" sqref="Q18:S18">
      <formula1>0</formula1>
      <formula2>300</formula2>
    </dataValidation>
    <dataValidation type="textLength" errorStyle="information" allowBlank="1" showInputMessage="1" showErrorMessage="1" error="XLBVal:6=-2295_x000d__x000a_" sqref="T12">
      <formula1>0</formula1>
      <formula2>300</formula2>
    </dataValidation>
    <dataValidation type="textLength" errorStyle="information" allowBlank="1" showInputMessage="1" showErrorMessage="1" error="XLBVal:6=1070.46_x000d__x000a_" sqref="S12">
      <formula1>0</formula1>
      <formula2>300</formula2>
    </dataValidation>
    <dataValidation type="textLength" errorStyle="information" allowBlank="1" showInputMessage="1" showErrorMessage="1" error="XLBVal:6=1224.54_x000d__x000a_" sqref="R12">
      <formula1>0</formula1>
      <formula2>300</formula2>
    </dataValidation>
    <dataValidation type="textLength" errorStyle="information" allowBlank="1" showInputMessage="1" showErrorMessage="1" error="XLBVal:6=34143_x000d__x000a_" sqref="D52:D53 D56:O60 D63:O70 D73:O77 D85:O85">
      <formula1>0</formula1>
      <formula2>300</formula2>
    </dataValidation>
    <dataValidation type="textLength" errorStyle="information" allowBlank="1" showInputMessage="1" showErrorMessage="1" error="XLBVal:6=3389.26_x000d__x000a_" sqref="V57">
      <formula1>0</formula1>
      <formula2>300</formula2>
    </dataValidation>
    <dataValidation type="textLength" errorStyle="information" allowBlank="1" showInputMessage="1" showErrorMessage="1" error="XLBVal:6=3368.72_x000d__x000a_" sqref="U57">
      <formula1>0</formula1>
      <formula2>300</formula2>
    </dataValidation>
    <dataValidation type="textLength" errorStyle="information" allowBlank="1" showInputMessage="1" showErrorMessage="1" error="XLBVal:6=3381.4_x000d__x000a_" sqref="T57">
      <formula1>0</formula1>
      <formula2>300</formula2>
    </dataValidation>
    <dataValidation type="textLength" errorStyle="information" allowBlank="1" showInputMessage="1" showErrorMessage="1" error="XLBVal:6=5077.46_x000d__x000a_" sqref="S57">
      <formula1>0</formula1>
      <formula2>300</formula2>
    </dataValidation>
    <dataValidation type="textLength" errorStyle="information" allowBlank="1" showInputMessage="1" showErrorMessage="1" error="XLBVal:6=9270.08_x000d__x000a_" sqref="T42">
      <formula1>0</formula1>
      <formula2>300</formula2>
    </dataValidation>
    <dataValidation type="textLength" errorStyle="information" allowBlank="1" showInputMessage="1" showErrorMessage="1" error="XLBVal:6=97038.35_x000d__x000a_" sqref="AB43">
      <formula1>0</formula1>
      <formula2>300</formula2>
    </dataValidation>
    <dataValidation type="textLength" errorStyle="information" allowBlank="1" showInputMessage="1" showErrorMessage="1" error="XLBVal:6=3978.93_x000d__x000a_" sqref="AB42">
      <formula1>0</formula1>
      <formula2>300</formula2>
    </dataValidation>
    <dataValidation type="textLength" errorStyle="information" allowBlank="1" showInputMessage="1" showErrorMessage="1" error="XLBVal:6=612.8_x000d__x000a_" sqref="AB25">
      <formula1>0</formula1>
      <formula2>300</formula2>
    </dataValidation>
    <dataValidation type="textLength" errorStyle="information" allowBlank="1" showInputMessage="1" showErrorMessage="1" error="XLBVal:6=2660.9_x000d__x000a_" sqref="AB24">
      <formula1>0</formula1>
      <formula2>300</formula2>
    </dataValidation>
    <dataValidation type="textLength" errorStyle="information" allowBlank="1" showInputMessage="1" showErrorMessage="1" error="XLBVal:6=68.15_x000d__x000a_" sqref="AB22">
      <formula1>0</formula1>
      <formula2>300</formula2>
    </dataValidation>
    <dataValidation type="textLength" errorStyle="information" allowBlank="1" showInputMessage="1" showErrorMessage="1" error="XLBVal:6=70811.86_x000d__x000a_" sqref="AA43">
      <formula1>0</formula1>
      <formula2>300</formula2>
    </dataValidation>
    <dataValidation type="textLength" errorStyle="information" allowBlank="1" showInputMessage="1" showErrorMessage="1" error="XLBVal:6=64256.84_x000d__x000a_" sqref="Z43">
      <formula1>0</formula1>
      <formula2>300</formula2>
    </dataValidation>
    <dataValidation type="textLength" errorStyle="information" allowBlank="1" showInputMessage="1" showErrorMessage="1" error="XLBVal:6=8822.35_x000d__x000a_" sqref="AA42">
      <formula1>0</formula1>
      <formula2>300</formula2>
    </dataValidation>
    <dataValidation type="textLength" errorStyle="information" allowBlank="1" showInputMessage="1" showErrorMessage="1" error="XLBVal:6=5943.4_x000d__x000a_" sqref="Z42">
      <formula1>0</formula1>
      <formula2>300</formula2>
    </dataValidation>
    <dataValidation type="textLength" errorStyle="information" allowBlank="1" showInputMessage="1" showErrorMessage="1" error="XLBVal:6=9211.72_x000d__x000a_" sqref="AA24">
      <formula1>0</formula1>
      <formula2>300</formula2>
    </dataValidation>
    <dataValidation type="textLength" errorStyle="information" allowBlank="1" showInputMessage="1" showErrorMessage="1" error="XLBVal:6=10297.65_x000d__x000a_" sqref="Z24">
      <formula1>0</formula1>
      <formula2>300</formula2>
    </dataValidation>
    <dataValidation type="textLength" errorStyle="information" allowBlank="1" showInputMessage="1" showErrorMessage="1" error="XLBVal:6=96.73_x000d__x000a_" sqref="AA22">
      <formula1>0</formula1>
      <formula2>300</formula2>
    </dataValidation>
    <dataValidation type="textLength" errorStyle="information" allowBlank="1" showInputMessage="1" showErrorMessage="1" error="XLBVal:6=91.79_x000d__x000a_" sqref="Z22">
      <formula1>0</formula1>
      <formula2>300</formula2>
    </dataValidation>
    <dataValidation type="textLength" errorStyle="information" allowBlank="1" showInputMessage="1" showErrorMessage="1" error="XLBVal:6=68762.97_x000d__x000a_" sqref="Y43">
      <formula1>0</formula1>
      <formula2>300</formula2>
    </dataValidation>
    <dataValidation type="textLength" errorStyle="information" allowBlank="1" showInputMessage="1" showErrorMessage="1" error="XLBVal:6=10390.87_x000d__x000a_" sqref="Y24">
      <formula1>0</formula1>
      <formula2>300</formula2>
    </dataValidation>
    <dataValidation type="textLength" errorStyle="information" allowBlank="1" showInputMessage="1" showErrorMessage="1" error="XLBVal:6=13.19_x000d__x000a_" sqref="Y22">
      <formula1>0</formula1>
      <formula2>300</formula2>
    </dataValidation>
    <dataValidation type="textLength" errorStyle="information" allowBlank="1" showInputMessage="1" showErrorMessage="1" error="XLBVal:6=67248.26_x000d__x000a_" sqref="X43">
      <formula1>0</formula1>
      <formula2>300</formula2>
    </dataValidation>
    <dataValidation type="textLength" errorStyle="information" allowBlank="1" showInputMessage="1" showErrorMessage="1" error="XLBVal:6=3322.6_x000d__x000a_" sqref="X24">
      <formula1>0</formula1>
      <formula2>300</formula2>
    </dataValidation>
    <dataValidation type="textLength" errorStyle="information" allowBlank="1" showInputMessage="1" showErrorMessage="1" error="XLBVal:6=57.4_x000d__x000a_" sqref="X22">
      <formula1>0</formula1>
      <formula2>300</formula2>
    </dataValidation>
    <dataValidation type="textLength" errorStyle="information" allowBlank="1" showInputMessage="1" showErrorMessage="1" error="XLBVal:6=132_x000d__x000a_" sqref="V76 T76">
      <formula1>0</formula1>
      <formula2>300</formula2>
    </dataValidation>
    <dataValidation type="textLength" errorStyle="information" allowBlank="1" showInputMessage="1" showErrorMessage="1" error="XLBVal:6=530_x000d__x000a_" sqref="U58:V58">
      <formula1>0</formula1>
      <formula2>300</formula2>
    </dataValidation>
    <dataValidation type="textLength" errorStyle="information" allowBlank="1" showInputMessage="1" showErrorMessage="1" error="XLBVal:6=5095.09_x000d__x000a_" sqref="R57">
      <formula1>0</formula1>
      <formula2>300</formula2>
    </dataValidation>
    <dataValidation type="textLength" errorStyle="information" allowBlank="1" showInputMessage="1" showErrorMessage="1" error="XLBVal:6=33174_x000d__x000a_" sqref="Q44:T44">
      <formula1>0</formula1>
      <formula2>300</formula2>
    </dataValidation>
    <dataValidation type="textLength" errorStyle="information" allowBlank="1" showInputMessage="1" showErrorMessage="1" error="XLBVal:6=29126.26_x000d__x000a_" sqref="W44:AB44">
      <formula1>0</formula1>
      <formula2>300</formula2>
    </dataValidation>
    <dataValidation type="textLength" errorStyle="information" allowBlank="1" showInputMessage="1" showErrorMessage="1" error="XLBVal:6=2193.12_x000d__x000a_" sqref="R56">
      <formula1>0</formula1>
      <formula2>300</formula2>
    </dataValidation>
    <dataValidation type="textLength" errorStyle="information" allowBlank="1" showInputMessage="1" showErrorMessage="1" error="XLBVal:6=68984.7_x000d__x000a_" sqref="W43">
      <formula1>0</formula1>
      <formula2>300</formula2>
    </dataValidation>
    <dataValidation type="textLength" errorStyle="information" allowBlank="1" showInputMessage="1" showErrorMessage="1" error="XLBVal:6=6991.11_x000d__x000a_" sqref="W42">
      <formula1>0</formula1>
      <formula2>300</formula2>
    </dataValidation>
    <dataValidation type="textLength" errorStyle="information" allowBlank="1" showInputMessage="1" showErrorMessage="1" error="XLBVal:6=7946.17_x000d__x000a_" sqref="W24">
      <formula1>0</formula1>
      <formula2>300</formula2>
    </dataValidation>
    <dataValidation type="textLength" errorStyle="information" allowBlank="1" showInputMessage="1" showErrorMessage="1" error="XLBVal:6=66.13_x000d__x000a_" sqref="W22">
      <formula1>0</formula1>
      <formula2>300</formula2>
    </dataValidation>
    <dataValidation type="textLength" errorStyle="information" allowBlank="1" showInputMessage="1" showErrorMessage="1" error="XLBVal:6=1579.36_x000d__x000a_" sqref="I15">
      <formula1>0</formula1>
      <formula2>300</formula2>
    </dataValidation>
    <dataValidation type="textLength" errorStyle="information" allowBlank="1" showInputMessage="1" showErrorMessage="1" error="XLBVal:6=181.64_x000d__x000a_" sqref="G15">
      <formula1>0</formula1>
      <formula2>300</formula2>
    </dataValidation>
    <dataValidation type="textLength" errorStyle="information" allowBlank="1" showInputMessage="1" showErrorMessage="1" error="XLBVal:6=133_x000d__x000a_" sqref="Q76">
      <formula1>0</formula1>
      <formula2>300</formula2>
    </dataValidation>
    <dataValidation type="textLength" errorStyle="information" allowBlank="1" showInputMessage="1" showErrorMessage="1" error="XLBVal:6=5073.28_x000d__x000a_" sqref="Q57">
      <formula1>0</formula1>
      <formula2>300</formula2>
    </dataValidation>
    <dataValidation type="textLength" errorStyle="information" allowBlank="1" showInputMessage="1" showErrorMessage="1" error="XLBVal:6=86454.72_x000d__x000a_" sqref="D43:O43">
      <formula1>0</formula1>
      <formula2>300</formula2>
    </dataValidation>
    <dataValidation type="textLength" errorStyle="information" allowBlank="1" showInputMessage="1" showErrorMessage="1" error="XLBVal:6=13823.12_x000d__x000a_" sqref="D42:O42">
      <formula1>0</formula1>
      <formula2>300</formula2>
    </dataValidation>
    <dataValidation type="textLength" errorStyle="information" allowBlank="1" showInputMessage="1" showErrorMessage="1" error="XLBVal:6=8527.82_x000d__x000a_" sqref="D24:O24">
      <formula1>0</formula1>
      <formula2>300</formula2>
    </dataValidation>
    <dataValidation type="textLength" errorStyle="information" allowBlank="1" showInputMessage="1" showErrorMessage="1" error="XLBVal:6=2855_x000d__x000a_" sqref="D18:O18">
      <formula1>0</formula1>
      <formula2>300</formula2>
    </dataValidation>
    <dataValidation type="textLength" errorStyle="information" allowBlank="1" showInputMessage="1" showErrorMessage="1" error="XLBVal:6=727.75_x000d__x000a_" sqref="E15">
      <formula1>0</formula1>
      <formula2>300</formula2>
    </dataValidation>
    <dataValidation type="textLength" errorStyle="information" allowBlank="1" showInputMessage="1" showErrorMessage="1" error="XLBVal:6=10000_x000d__x000a_" sqref="E52:O53">
      <formula1>0</formula1>
      <formula2>300</formula2>
    </dataValidation>
    <dataValidation type="textLength" errorStyle="information" allowBlank="1" showInputMessage="1" showErrorMessage="1" error="XLBVal:6=129.84_x000d__x000a_" sqref="Q65:V65">
      <formula1>0</formula1>
      <formula2>300</formula2>
    </dataValidation>
    <dataValidation type="textLength" errorStyle="information" allowBlank="1" showInputMessage="1" showErrorMessage="1" error="XLBVal:6=430_x000d__x000a_" sqref="Q58:T58">
      <formula1>0</formula1>
      <formula2>300</formula2>
    </dataValidation>
    <dataValidation type="textLength" errorStyle="information" allowBlank="1" showInputMessage="1" showErrorMessage="1" error="XLBVal:6=-6510_x000d__x000a_" sqref="S25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30744.3_x000d__x000a_" sqref="D44:O44">
      <formula1>0</formula1>
      <formula2>300</formula2>
    </dataValidation>
    <dataValidation type="textLength" errorStyle="information" allowBlank="1" showInputMessage="1" showErrorMessage="1" error="XLBVal:6=1875.56_x000d__x000a_" sqref="V79">
      <formula1>0</formula1>
      <formula2>300</formula2>
    </dataValidation>
    <dataValidation type="textLength" errorStyle="information" allowBlank="1" showInputMessage="1" showErrorMessage="1" error="XLBVal:6=1653.77_x000d__x000a_" sqref="U79">
      <formula1>0</formula1>
      <formula2>300</formula2>
    </dataValidation>
    <dataValidation type="textLength" errorStyle="information" allowBlank="1" showInputMessage="1" showErrorMessage="1" error="XLBVal:6=2320.48_x000d__x000a_" sqref="T79">
      <formula1>0</formula1>
      <formula2>300</formula2>
    </dataValidation>
    <dataValidation type="textLength" errorStyle="information" allowBlank="1" showInputMessage="1" showErrorMessage="1" error="XLBVal:6=2320_x000d__x000a_" sqref="S79">
      <formula1>0</formula1>
      <formula2>300</formula2>
    </dataValidation>
    <dataValidation type="textLength" errorStyle="information" allowBlank="1" showInputMessage="1" showErrorMessage="1" error="XLBVal:6=2536.54_x000d__x000a_" sqref="R79">
      <formula1>0</formula1>
      <formula2>300</formula2>
    </dataValidation>
    <dataValidation type="textLength" errorStyle="information" allowBlank="1" showInputMessage="1" showErrorMessage="1" error="XLBVal:6=1552.06_x000d__x000a_" sqref="Q79">
      <formula1>0</formula1>
      <formula2>300</formula2>
    </dataValidation>
    <dataValidation type="textLength" errorStyle="information" allowBlank="1" showInputMessage="1" showErrorMessage="1" error="XLBVal:6=1770.84_x000d__x000a_" sqref="V78">
      <formula1>0</formula1>
      <formula2>300</formula2>
    </dataValidation>
    <dataValidation type="textLength" errorStyle="information" allowBlank="1" showInputMessage="1" showErrorMessage="1" error="XLBVal:6=1426.07_x000d__x000a_" sqref="U78">
      <formula1>0</formula1>
      <formula2>300</formula2>
    </dataValidation>
    <dataValidation type="textLength" errorStyle="information" allowBlank="1" showInputMessage="1" showErrorMessage="1" error="XLBVal:6=3594.67_x000d__x000a_" sqref="T78">
      <formula1>0</formula1>
      <formula2>300</formula2>
    </dataValidation>
    <dataValidation type="textLength" errorStyle="information" allowBlank="1" showInputMessage="1" showErrorMessage="1" error="XLBVal:6=47.55_x000d__x000a_" sqref="S78">
      <formula1>0</formula1>
      <formula2>300</formula2>
    </dataValidation>
    <dataValidation type="textLength" errorStyle="information" allowBlank="1" showInputMessage="1" showErrorMessage="1" error="XLBVal:6=53.08_x000d__x000a_" sqref="R78">
      <formula1>0</formula1>
      <formula2>300</formula2>
    </dataValidation>
    <dataValidation type="textLength" errorStyle="information" allowBlank="1" showInputMessage="1" showErrorMessage="1" error="XLBVal:6=998.25_x000d__x000a_" sqref="Q78">
      <formula1>0</formula1>
      <formula2>300</formula2>
    </dataValidation>
    <dataValidation type="textLength" errorStyle="information" allowBlank="1" showInputMessage="1" showErrorMessage="1" error="XLBVal:6=39.52_x000d__x000a_" sqref="V77">
      <formula1>0</formula1>
      <formula2>300</formula2>
    </dataValidation>
    <dataValidation type="textLength" errorStyle="information" allowBlank="1" showInputMessage="1" showErrorMessage="1" error="XLBVal:6=39.35_x000d__x000a_" sqref="U77">
      <formula1>0</formula1>
      <formula2>300</formula2>
    </dataValidation>
    <dataValidation type="textLength" errorStyle="information" allowBlank="1" showInputMessage="1" showErrorMessage="1" error="XLBVal:6=37.7_x000d__x000a_" sqref="S77:T77 Q77">
      <formula1>0</formula1>
      <formula2>300</formula2>
    </dataValidation>
    <dataValidation type="textLength" errorStyle="information" allowBlank="1" showInputMessage="1" showErrorMessage="1" error="XLBVal:6=38.02_x000d__x000a_" sqref="R77">
      <formula1>0</formula1>
      <formula2>300</formula2>
    </dataValidation>
    <dataValidation type="textLength" errorStyle="information" allowBlank="1" showInputMessage="1" showErrorMessage="1" error="XLBVal:6=136_x000d__x000a_" sqref="S76 U76">
      <formula1>0</formula1>
      <formula2>300</formula2>
    </dataValidation>
    <dataValidation type="textLength" errorStyle="information" allowBlank="1" showInputMessage="1" showErrorMessage="1" error="XLBVal:6=127_x000d__x000a_" sqref="R76">
      <formula1>0</formula1>
      <formula2>300</formula2>
    </dataValidation>
    <dataValidation type="textLength" errorStyle="information" allowBlank="1" showInputMessage="1" showErrorMessage="1" error="XLBVal:6=433.22_x000d__x000a_" sqref="V69">
      <formula1>0</formula1>
      <formula2>300</formula2>
    </dataValidation>
    <dataValidation type="textLength" errorStyle="information" allowBlank="1" showInputMessage="1" showErrorMessage="1" error="XLBVal:6=431.22_x000d__x000a_" sqref="U69">
      <formula1>0</formula1>
      <formula2>300</formula2>
    </dataValidation>
    <dataValidation type="textLength" errorStyle="information" allowBlank="1" showInputMessage="1" showErrorMessage="1" error="XLBVal:6=780.11_x000d__x000a_" sqref="T69">
      <formula1>0</formula1>
      <formula2>300</formula2>
    </dataValidation>
    <dataValidation type="textLength" errorStyle="information" allowBlank="1" showInputMessage="1" showErrorMessage="1" error="XLBVal:6=939.04_x000d__x000a_" sqref="S69">
      <formula1>0</formula1>
      <formula2>300</formula2>
    </dataValidation>
    <dataValidation type="textLength" errorStyle="information" allowBlank="1" showInputMessage="1" showErrorMessage="1" error="XLBVal:6=458.46_x000d__x000a_" sqref="R69">
      <formula1>0</formula1>
      <formula2>300</formula2>
    </dataValidation>
    <dataValidation type="textLength" errorStyle="information" allowBlank="1" showInputMessage="1" showErrorMessage="1" error="XLBVal:6=414.6_x000d__x000a_" sqref="Q69">
      <formula1>0</formula1>
      <formula2>300</formula2>
    </dataValidation>
    <dataValidation type="textLength" errorStyle="information" allowBlank="1" showInputMessage="1" showErrorMessage="1" error="XLBVal:6=1298_x000d__x000a_" sqref="Q68:V68">
      <formula1>0</formula1>
      <formula2>300</formula2>
    </dataValidation>
    <dataValidation type="textLength" errorStyle="information" allowBlank="1" showInputMessage="1" showErrorMessage="1" error="XLBVal:6=31.16_x000d__x000a_" sqref="Q66:V66">
      <formula1>0</formula1>
      <formula2>300</formula2>
    </dataValidation>
    <dataValidation type="textLength" errorStyle="information" allowBlank="1" showInputMessage="1" showErrorMessage="1" error="XLBVal:6=2207.28_x000d__x000a_" sqref="Q64:V64">
      <formula1>0</formula1>
      <formula2>300</formula2>
    </dataValidation>
    <dataValidation type="textLength" errorStyle="information" allowBlank="1" showInputMessage="1" showErrorMessage="1" error="XLBVal:6=4154.89_x000d__x000a_" sqref="Q63:V63">
      <formula1>0</formula1>
      <formula2>300</formula2>
    </dataValidation>
    <dataValidation type="textLength" errorStyle="information" allowBlank="1" showInputMessage="1" showErrorMessage="1" error="XLBVal:6=5300_x000d__x000a_" sqref="Q53:V53">
      <formula1>0</formula1>
      <formula2>300</formula2>
    </dataValidation>
    <dataValidation type="textLength" errorStyle="information" allowBlank="1" showInputMessage="1" showErrorMessage="1" error="XLBVal:6=78855.4_x000d__x000a_" sqref="V43">
      <formula1>0</formula1>
      <formula2>300</formula2>
    </dataValidation>
    <dataValidation type="textLength" errorStyle="information" allowBlank="1" showInputMessage="1" showErrorMessage="1" error="XLBVal:6=77930.99_x000d__x000a_" sqref="U43">
      <formula1>0</formula1>
      <formula2>300</formula2>
    </dataValidation>
    <dataValidation type="textLength" errorStyle="information" allowBlank="1" showInputMessage="1" showErrorMessage="1" error="XLBVal:6=78802.84_x000d__x000a_" sqref="T43">
      <formula1>0</formula1>
      <formula2>300</formula2>
    </dataValidation>
    <dataValidation type="textLength" errorStyle="information" allowBlank="1" showInputMessage="1" showErrorMessage="1" error="XLBVal:6=78903.46_x000d__x000a_" sqref="S43">
      <formula1>0</formula1>
      <formula2>300</formula2>
    </dataValidation>
    <dataValidation type="textLength" errorStyle="information" allowBlank="1" showInputMessage="1" showErrorMessage="1" error="XLBVal:6=78801.21_x000d__x000a_" sqref="R43">
      <formula1>0</formula1>
      <formula2>300</formula2>
    </dataValidation>
    <dataValidation type="textLength" errorStyle="information" allowBlank="1" showInputMessage="1" showErrorMessage="1" error="XLBVal:6=79046.26_x000d__x000a_" sqref="Q43">
      <formula1>0</formula1>
      <formula2>300</formula2>
    </dataValidation>
    <dataValidation type="textLength" errorStyle="information" allowBlank="1" showInputMessage="1" showErrorMessage="1" error="XLBVal:6=5943.39_x000d__x000a_" sqref="X42:Y42">
      <formula1>0</formula1>
      <formula2>300</formula2>
    </dataValidation>
    <dataValidation type="textLength" errorStyle="information" allowBlank="1" showInputMessage="1" showErrorMessage="1" error="XLBVal:6=0_x000d__x000a_" sqref="T18">
      <formula1>0</formula1>
      <formula2>300</formula2>
    </dataValidation>
    <dataValidation type="textLength" errorStyle="information" allowBlank="1" showInputMessage="1" showErrorMessage="1" error="XLBVal:6=5835.49_x000d__x000a_" sqref="U42:V42 R42:S42">
      <formula1>0</formula1>
      <formula2>300</formula2>
    </dataValidation>
    <dataValidation type="textLength" errorStyle="information" allowBlank="1" showInputMessage="1" showErrorMessage="1" error="XLBVal:6=4765.93_x000d__x000a_" sqref="Q42">
      <formula1>0</formula1>
      <formula2>300</formula2>
    </dataValidation>
    <dataValidation type="textLength" errorStyle="information" allowBlank="1" showInputMessage="1" showErrorMessage="1" error="XLBVal:6=303_x000d__x000a_" sqref="W25:AA25 D25:O25">
      <formula1>0</formula1>
      <formula2>300</formula2>
    </dataValidation>
    <dataValidation type="textLength" errorStyle="information" allowBlank="1" showInputMessage="1" showErrorMessage="1" error="XLBVal:6=3917.89_x000d__x000a_" sqref="V24">
      <formula1>0</formula1>
      <formula2>300</formula2>
    </dataValidation>
    <dataValidation type="textLength" errorStyle="information" allowBlank="1" showInputMessage="1" showErrorMessage="1" error="XLBVal:6=2855.1_x000d__x000a_" sqref="U24">
      <formula1>0</formula1>
      <formula2>300</formula2>
    </dataValidation>
    <dataValidation type="textLength" errorStyle="information" allowBlank="1" showInputMessage="1" showErrorMessage="1" error="XLBVal:6=3891.4_x000d__x000a_" sqref="T24">
      <formula1>0</formula1>
      <formula2>300</formula2>
    </dataValidation>
    <dataValidation type="textLength" errorStyle="information" allowBlank="1" showInputMessage="1" showErrorMessage="1" error="XLBVal:6=3820.52_x000d__x000a_" sqref="S24">
      <formula1>0</formula1>
      <formula2>300</formula2>
    </dataValidation>
    <dataValidation type="textLength" errorStyle="information" allowBlank="1" showInputMessage="1" showErrorMessage="1" error="XLBVal:6=2988.1_x000d__x000a_" sqref="R24">
      <formula1>0</formula1>
      <formula2>300</formula2>
    </dataValidation>
    <dataValidation type="textLength" errorStyle="information" allowBlank="1" showInputMessage="1" showErrorMessage="1" error="XLBVal:6=2673.25_x000d__x000a_" sqref="Q24">
      <formula1>0</formula1>
      <formula2>300</formula2>
    </dataValidation>
    <dataValidation type="textLength" errorStyle="information" allowBlank="1" showInputMessage="1" showErrorMessage="1" error="XLBVal:6=120.42_x000d__x000a_" sqref="V22">
      <formula1>0</formula1>
      <formula2>300</formula2>
    </dataValidation>
    <dataValidation type="textLength" errorStyle="information" allowBlank="1" showInputMessage="1" showErrorMessage="1" error="XLBVal:6=30.24_x000d__x000a_" sqref="U22">
      <formula1>0</formula1>
      <formula2>300</formula2>
    </dataValidation>
    <dataValidation type="textLength" errorStyle="information" allowBlank="1" showInputMessage="1" showErrorMessage="1" error="XLBVal:6=80.82_x000d__x000a_" sqref="T22">
      <formula1>0</formula1>
      <formula2>300</formula2>
    </dataValidation>
    <dataValidation type="textLength" errorStyle="information" allowBlank="1" showInputMessage="1" showErrorMessage="1" error="XLBVal:6=86.4_x000d__x000a_" sqref="S22">
      <formula1>0</formula1>
      <formula2>300</formula2>
    </dataValidation>
    <dataValidation type="textLength" errorStyle="information" allowBlank="1" showInputMessage="1" showErrorMessage="1" error="XLBVal:6=83.44_x000d__x000a_" sqref="R22">
      <formula1>0</formula1>
      <formula2>300</formula2>
    </dataValidation>
    <dataValidation type="textLength" errorStyle="information" allowBlank="1" showInputMessage="1" showErrorMessage="1" error="XLBVal:6=73.38_x000d__x000a_" sqref="Q22">
      <formula1>0</formula1>
      <formula2>300</formula2>
    </dataValidation>
    <dataValidation type="textLength" errorStyle="information" allowBlank="1" showInputMessage="1" showErrorMessage="1" error="XLBVal:6=919_x000d__x000a_" sqref="AA18:AB18 W18">
      <formula1>0</formula1>
      <formula2>300</formula2>
    </dataValidation>
    <dataValidation type="textLength" errorStyle="information" allowBlank="1" showInputMessage="1" showErrorMessage="1" error="XLBVal:6=15000_x000d__x000a_" sqref="Q52:V52">
      <formula1>0</formula1>
      <formula2>300</formula2>
    </dataValidation>
    <dataValidation type="textLength" errorStyle="information" allowBlank="1" showInputMessage="1" showErrorMessage="1" error="XLBVal:6=39.82_x000d__x000a_" sqref="Q19:W19 Z19:AB19 D19:O19">
      <formula1>0</formula1>
      <formula2>300</formula2>
    </dataValidation>
    <dataValidation type="textLength" errorStyle="information" allowBlank="1" showInputMessage="1" showErrorMessage="1" error="XLBVal:6=1132415.79_x000d__x000a_" sqref="D80:I81 Q80:V81">
      <formula1>0</formula1>
      <formula2>300</formula2>
    </dataValidation>
    <dataValidation type="textLength" errorStyle="information" allowBlank="1" showInputMessage="1" showErrorMessage="1" error="XLBVal:2=0_x000d__x000a_" sqref="H15 G13:I14 W74:AB81 E12:E14 D12:D17 D26:I41 G16:I17 D45:I45 W56:AB60 D23:I23 E16:E17 W85:AB85 W63:AB66 Q59:V60 Q23:AB23 R45:AB45 X18:Y19 Q26:AB41 G12:O12 Z18 W52:AB53 Q67:AB67 W68:AB70 F12:F17 Q12:Q17 U12:AB17 R13:T17 Q20 R20:S21 U20:AB21 T20 S56 D20:I20 D21:O21 Q56 U18:V18">
      <formula1>0</formula1>
      <formula2>300</formula2>
    </dataValidation>
    <dataValidation type="textLength" errorStyle="information" allowBlank="1" showInputMessage="1" showErrorMessage="1" error="XLBVal:6=2_x000d__x000a_" sqref="Q85:V85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D7C3F6"/>
  </sheetPr>
  <dimension ref="A1:AI86"/>
  <sheetViews>
    <sheetView view="pageBreakPreview" zoomScaleNormal="100" zoomScaleSheetLayoutView="100" workbookViewId="0">
      <pane xSplit="4" ySplit="7" topLeftCell="L20" activePane="bottomRight" state="frozen"/>
      <selection activeCell="AP43" sqref="AP43"/>
      <selection pane="topRight" activeCell="AP43" sqref="AP43"/>
      <selection pane="bottomLeft" activeCell="AP43" sqref="AP43"/>
      <selection pane="bottomRight" activeCell="O18" sqref="O18"/>
    </sheetView>
  </sheetViews>
  <sheetFormatPr defaultColWidth="9" defaultRowHeight="14.25" outlineLevelCol="2"/>
  <cols>
    <col min="1" max="1" width="15.875" style="105" hidden="1" customWidth="1" outlineLevel="1"/>
    <col min="2" max="2" width="9" style="105" hidden="1" customWidth="1" outlineLevel="1"/>
    <col min="3" max="3" width="40.125" style="105" customWidth="1" collapsed="1"/>
    <col min="4" max="15" width="16.75" style="141" customWidth="1"/>
    <col min="16" max="16" width="19.5" style="145" bestFit="1" customWidth="1"/>
    <col min="17" max="23" width="19.5" style="231" hidden="1" customWidth="1" outlineLevel="1"/>
    <col min="24" max="25" width="18.25" style="124" hidden="1" customWidth="1" outlineLevel="2"/>
    <col min="26" max="26" width="16.25" style="124" hidden="1" customWidth="1" outlineLevel="2"/>
    <col min="27" max="27" width="17" style="124" hidden="1" customWidth="1" outlineLevel="2"/>
    <col min="28" max="28" width="16.5" style="124" hidden="1" customWidth="1" outlineLevel="2"/>
    <col min="29" max="29" width="15.75" style="129" customWidth="1" collapsed="1"/>
    <col min="30" max="30" width="18.25" style="124" customWidth="1"/>
    <col min="31" max="31" width="10.5" style="192" customWidth="1"/>
    <col min="32" max="32" width="19.5" style="109" hidden="1" customWidth="1"/>
    <col min="33" max="33" width="17.25" style="175" hidden="1" customWidth="1"/>
    <col min="34" max="34" width="16.875" style="105" customWidth="1"/>
    <col min="35" max="35" width="17" style="105" bestFit="1" customWidth="1"/>
    <col min="36" max="16384" width="9" style="105"/>
  </cols>
  <sheetData>
    <row r="1" spans="1:35" s="100" customFormat="1">
      <c r="C1" s="100" t="s">
        <v>146</v>
      </c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316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E1" s="186"/>
      <c r="AF1" s="103"/>
      <c r="AG1" s="260"/>
    </row>
    <row r="2" spans="1:35" s="100" customFormat="1">
      <c r="C2" s="100" t="s">
        <v>147</v>
      </c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316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E2" s="186"/>
      <c r="AF2" s="103"/>
      <c r="AG2" s="260"/>
    </row>
    <row r="3" spans="1:35">
      <c r="C3" s="105" t="s">
        <v>902</v>
      </c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317"/>
      <c r="Q3" s="108" t="s">
        <v>631</v>
      </c>
      <c r="R3" s="108" t="s">
        <v>0</v>
      </c>
      <c r="S3" s="108" t="s">
        <v>631</v>
      </c>
      <c r="T3" s="108" t="s">
        <v>0</v>
      </c>
      <c r="U3" s="108" t="s">
        <v>631</v>
      </c>
      <c r="V3" s="108" t="s">
        <v>631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903</v>
      </c>
      <c r="AB3" s="108" t="s">
        <v>0</v>
      </c>
      <c r="AC3" s="209"/>
      <c r="AD3" s="184"/>
      <c r="AE3" s="279"/>
    </row>
    <row r="4" spans="1:35" s="100" customFormat="1" ht="18">
      <c r="C4" s="18">
        <f>+'2025 Summay'!$D$7</f>
        <v>2025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318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318"/>
      <c r="AD4" s="183"/>
      <c r="AE4" s="186"/>
      <c r="AF4" s="103"/>
      <c r="AG4" s="260"/>
    </row>
    <row r="5" spans="1:35" s="100" customFormat="1">
      <c r="C5" s="100" t="s">
        <v>154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316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172"/>
      <c r="AD5" s="183"/>
      <c r="AE5" s="186"/>
      <c r="AF5" s="103"/>
      <c r="AG5" s="260"/>
    </row>
    <row r="6" spans="1:35" s="100" customFormat="1">
      <c r="C6" s="100" t="s">
        <v>154</v>
      </c>
      <c r="D6" s="319">
        <f>'2025 Summay'!E9</f>
        <v>1</v>
      </c>
      <c r="E6" s="319">
        <f>'2025 Summay'!F9</f>
        <v>2</v>
      </c>
      <c r="F6" s="319">
        <f>'2025 Summay'!G9</f>
        <v>3</v>
      </c>
      <c r="G6" s="319">
        <f>'2025 Summay'!H9</f>
        <v>4</v>
      </c>
      <c r="H6" s="319">
        <f>'2025 Summay'!I9</f>
        <v>5</v>
      </c>
      <c r="I6" s="319">
        <f>'2025 Summay'!J9</f>
        <v>6</v>
      </c>
      <c r="J6" s="319">
        <f>'2025 Summay'!K9</f>
        <v>7</v>
      </c>
      <c r="K6" s="319">
        <f>'2025 Summay'!L9</f>
        <v>8</v>
      </c>
      <c r="L6" s="319">
        <f>'2025 Summay'!M9</f>
        <v>9</v>
      </c>
      <c r="M6" s="319">
        <f>'2025 Summay'!N9</f>
        <v>10</v>
      </c>
      <c r="N6" s="319">
        <f>'2025 Summay'!O9</f>
        <v>11</v>
      </c>
      <c r="O6" s="319">
        <f>'2025 Summay'!P9</f>
        <v>12</v>
      </c>
      <c r="P6" s="320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 t="s">
        <v>6</v>
      </c>
      <c r="AE6" s="177" t="s">
        <v>156</v>
      </c>
      <c r="AF6" s="321">
        <v>2019</v>
      </c>
      <c r="AG6" s="260"/>
    </row>
    <row r="7" spans="1:35">
      <c r="C7" s="105" t="s">
        <v>154</v>
      </c>
      <c r="D7" s="141" t="str">
        <f>'2025 Summay'!E10</f>
        <v>Budget</v>
      </c>
      <c r="E7" s="141" t="str">
        <f>'2025 Summay'!F10</f>
        <v>Budget</v>
      </c>
      <c r="F7" s="141" t="str">
        <f>'2025 Summay'!G10</f>
        <v>Budget</v>
      </c>
      <c r="G7" s="141" t="str">
        <f>'2025 Summay'!H10</f>
        <v>Budget</v>
      </c>
      <c r="H7" s="141" t="str">
        <f>'2025 Summay'!I10</f>
        <v>Budget</v>
      </c>
      <c r="I7" s="141" t="str">
        <f>'2025 Summay'!J10</f>
        <v>Budget</v>
      </c>
      <c r="J7" s="141" t="str">
        <f>'2025 Summay'!K10</f>
        <v>Budget</v>
      </c>
      <c r="K7" s="141" t="str">
        <f>'2025 Summay'!L10</f>
        <v>Budget</v>
      </c>
      <c r="L7" s="141" t="str">
        <f>'2025 Summay'!M10</f>
        <v>Budget</v>
      </c>
      <c r="M7" s="141" t="str">
        <f>'2025 Summay'!N10</f>
        <v>Budget</v>
      </c>
      <c r="N7" s="141" t="str">
        <f>'2025 Summay'!O10</f>
        <v>Budget</v>
      </c>
      <c r="O7" s="141" t="str">
        <f>'2025 Summay'!P10</f>
        <v>Budget</v>
      </c>
      <c r="P7" s="322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189"/>
      <c r="AE7" s="132"/>
      <c r="AF7" s="191" t="s">
        <v>904</v>
      </c>
    </row>
    <row r="8" spans="1:35">
      <c r="C8" s="105" t="s">
        <v>154</v>
      </c>
      <c r="Q8" s="124"/>
      <c r="R8" s="124"/>
      <c r="S8" s="124"/>
      <c r="T8" s="124"/>
      <c r="U8" s="124"/>
      <c r="V8" s="124"/>
      <c r="W8" s="124"/>
    </row>
    <row r="9" spans="1:35" s="109" customFormat="1">
      <c r="A9" s="109" t="s">
        <v>905</v>
      </c>
      <c r="B9" s="109" t="s">
        <v>906</v>
      </c>
      <c r="C9" s="109" t="s">
        <v>175</v>
      </c>
      <c r="D9" s="129">
        <f>D78</f>
        <v>482938.01</v>
      </c>
      <c r="E9" s="129">
        <f t="shared" ref="E9:O9" si="0">E78</f>
        <v>476632.03</v>
      </c>
      <c r="F9" s="129">
        <f t="shared" si="0"/>
        <v>451681.31000000006</v>
      </c>
      <c r="G9" s="129">
        <f t="shared" si="0"/>
        <v>464507.87</v>
      </c>
      <c r="H9" s="129">
        <f t="shared" si="0"/>
        <v>463233.2</v>
      </c>
      <c r="I9" s="129">
        <f t="shared" si="0"/>
        <v>452038.40000000002</v>
      </c>
      <c r="J9" s="129">
        <f t="shared" si="0"/>
        <v>474781.2</v>
      </c>
      <c r="K9" s="129">
        <f t="shared" si="0"/>
        <v>483531.18</v>
      </c>
      <c r="L9" s="129">
        <f t="shared" si="0"/>
        <v>462622.32000000007</v>
      </c>
      <c r="M9" s="129">
        <f t="shared" si="0"/>
        <v>478938.73</v>
      </c>
      <c r="N9" s="129">
        <f t="shared" si="0"/>
        <v>463579.43000000005</v>
      </c>
      <c r="O9" s="129">
        <f t="shared" si="0"/>
        <v>478197.24</v>
      </c>
      <c r="P9" s="133">
        <f>SUM(D9:O9)</f>
        <v>5632680.9199999999</v>
      </c>
      <c r="Q9" s="142">
        <f t="shared" ref="Q9:X9" si="1">Q78</f>
        <v>601992.89</v>
      </c>
      <c r="R9" s="142">
        <f t="shared" si="1"/>
        <v>699194.64</v>
      </c>
      <c r="S9" s="142">
        <f t="shared" si="1"/>
        <v>609625.73</v>
      </c>
      <c r="T9" s="142">
        <f t="shared" si="1"/>
        <v>530778.83000000007</v>
      </c>
      <c r="U9" s="142">
        <f t="shared" si="1"/>
        <v>515456.58999999997</v>
      </c>
      <c r="V9" s="142">
        <f t="shared" si="1"/>
        <v>469873.03999999992</v>
      </c>
      <c r="W9" s="142">
        <f t="shared" si="1"/>
        <v>482811.54999999993</v>
      </c>
      <c r="X9" s="142">
        <f t="shared" si="1"/>
        <v>424075.12</v>
      </c>
      <c r="Y9" s="142">
        <f>Y78</f>
        <v>551798.16999999993</v>
      </c>
      <c r="Z9" s="142">
        <f>Z78</f>
        <v>539799.16999999993</v>
      </c>
      <c r="AA9" s="142">
        <f>AA78</f>
        <v>523309.17</v>
      </c>
      <c r="AB9" s="142">
        <f>AB78</f>
        <v>743258.16999999993</v>
      </c>
      <c r="AC9" s="142">
        <f>SUM(Q9:AB9)</f>
        <v>6691973.0699999994</v>
      </c>
      <c r="AD9" s="129">
        <f>AC9-P9</f>
        <v>1059292.1499999994</v>
      </c>
      <c r="AE9" s="132">
        <f>AD9/AC9</f>
        <v>0.15829294871923319</v>
      </c>
      <c r="AF9" s="129">
        <v>4390458.5</v>
      </c>
      <c r="AG9" s="201">
        <f t="shared" ref="AG9:AG72" si="2">AF9-P9</f>
        <v>-1242222.42</v>
      </c>
      <c r="AH9" s="129"/>
      <c r="AI9" s="251"/>
    </row>
    <row r="10" spans="1:35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33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2"/>
      <c r="AF10" s="129"/>
      <c r="AG10" s="201">
        <f t="shared" si="2"/>
        <v>0</v>
      </c>
      <c r="AH10" s="129"/>
      <c r="AI10" s="251"/>
    </row>
    <row r="11" spans="1:35" s="287" customFormat="1">
      <c r="C11" s="287" t="s">
        <v>176</v>
      </c>
      <c r="D11" s="323"/>
      <c r="E11" s="323"/>
      <c r="F11" s="323"/>
      <c r="G11" s="323"/>
      <c r="H11" s="323"/>
      <c r="I11" s="323"/>
      <c r="J11" s="323"/>
      <c r="K11" s="323"/>
      <c r="L11" s="323"/>
      <c r="M11" s="323"/>
      <c r="N11" s="323"/>
      <c r="O11" s="323"/>
      <c r="P11" s="324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6"/>
      <c r="AD11" s="323"/>
      <c r="AE11" s="327"/>
      <c r="AF11" s="250"/>
      <c r="AG11" s="201">
        <f t="shared" si="2"/>
        <v>0</v>
      </c>
      <c r="AH11" s="129"/>
      <c r="AI11" s="251"/>
    </row>
    <row r="12" spans="1:35" s="287" customFormat="1">
      <c r="A12" s="287" t="s">
        <v>687</v>
      </c>
      <c r="B12" s="287" t="s">
        <v>906</v>
      </c>
      <c r="C12" s="287" t="s">
        <v>144</v>
      </c>
      <c r="D12" s="323">
        <f>SUM(Advertising:Sales!D12)</f>
        <v>0</v>
      </c>
      <c r="E12" s="323">
        <f>SUM(Advertising:Sales!E12)</f>
        <v>0</v>
      </c>
      <c r="F12" s="323">
        <f>SUM(Advertising:Sales!F12)</f>
        <v>0</v>
      </c>
      <c r="G12" s="323">
        <f>SUM(Advertising:Sales!G12)</f>
        <v>0</v>
      </c>
      <c r="H12" s="323">
        <f>SUM(Advertising:Sales!H12)</f>
        <v>0</v>
      </c>
      <c r="I12" s="323">
        <f>SUM(Advertising:Sales!I12)</f>
        <v>0</v>
      </c>
      <c r="J12" s="323">
        <f>SUM(Advertising:Sales!J12)</f>
        <v>0</v>
      </c>
      <c r="K12" s="323">
        <f>SUM(Advertising:Sales!K12)</f>
        <v>0</v>
      </c>
      <c r="L12" s="323">
        <f>SUM(Advertising:Sales!L12)</f>
        <v>0</v>
      </c>
      <c r="M12" s="323">
        <f>SUM(Advertising:Sales!M12)</f>
        <v>0</v>
      </c>
      <c r="N12" s="323">
        <f>SUM(Advertising:Sales!N12)</f>
        <v>0</v>
      </c>
      <c r="O12" s="323">
        <f>SUM(Advertising:Sales!O12)</f>
        <v>0</v>
      </c>
      <c r="P12" s="324">
        <f>SUM(D12:O12)</f>
        <v>0</v>
      </c>
      <c r="Q12" s="325">
        <f>SUM(Advertising:Sales!Q12)</f>
        <v>25406.559999999998</v>
      </c>
      <c r="R12" s="325">
        <f>SUM(Advertising:Sales!R12)</f>
        <v>25005.5</v>
      </c>
      <c r="S12" s="325">
        <f>SUM(Advertising:Sales!S12)</f>
        <v>24165.059999999998</v>
      </c>
      <c r="T12" s="325">
        <f>SUM(Advertising:Sales!T12)</f>
        <v>32824.630000000005</v>
      </c>
      <c r="U12" s="325">
        <f>SUM(Advertising:Sales!U12)</f>
        <v>28476.080000000002</v>
      </c>
      <c r="V12" s="325">
        <f>SUM(Advertising:Sales!V12)</f>
        <v>24846.2</v>
      </c>
      <c r="W12" s="325">
        <f>SUM(Advertising:Sales!W12)</f>
        <v>25732.11</v>
      </c>
      <c r="X12" s="325">
        <f>SUM(Advertising:Sales!X12)</f>
        <v>17399.22</v>
      </c>
      <c r="Y12" s="325">
        <f>SUM(Advertising:Sales!Y12)</f>
        <v>12801.18</v>
      </c>
      <c r="Z12" s="325">
        <f>SUM(Advertising:Sales!Z12)</f>
        <v>12801.18</v>
      </c>
      <c r="AA12" s="325">
        <f>SUM(Advertising:Sales!AA12)</f>
        <v>12801.18</v>
      </c>
      <c r="AB12" s="325">
        <f>SUM(Advertising:Sales!AB12)</f>
        <v>12801.18</v>
      </c>
      <c r="AC12" s="326">
        <f t="shared" ref="AC12:AC43" si="3">SUM(Q12:AB12)</f>
        <v>255060.08</v>
      </c>
      <c r="AD12" s="323">
        <f t="shared" ref="AD12:AD43" si="4">AC12-P12</f>
        <v>255060.08</v>
      </c>
      <c r="AE12" s="327">
        <f t="shared" ref="AE12:AE43" si="5">AD12/AC12</f>
        <v>1</v>
      </c>
      <c r="AF12" s="250">
        <v>173533.86999999997</v>
      </c>
      <c r="AG12" s="201">
        <f t="shared" si="2"/>
        <v>173533.86999999997</v>
      </c>
      <c r="AH12" s="129"/>
      <c r="AI12" s="251"/>
    </row>
    <row r="13" spans="1:35" s="287" customFormat="1">
      <c r="A13" s="287" t="s">
        <v>181</v>
      </c>
      <c r="B13" s="287" t="s">
        <v>906</v>
      </c>
      <c r="C13" s="287" t="s">
        <v>182</v>
      </c>
      <c r="D13" s="323">
        <f>SUM(Advertising:Sales!D13)</f>
        <v>0</v>
      </c>
      <c r="E13" s="323">
        <f>SUM(Advertising:Sales!E13)</f>
        <v>0</v>
      </c>
      <c r="F13" s="323">
        <f>SUM(Advertising:Sales!F13)</f>
        <v>0</v>
      </c>
      <c r="G13" s="323">
        <f>SUM(Advertising:Sales!G13)</f>
        <v>0</v>
      </c>
      <c r="H13" s="323">
        <f>SUM(Advertising:Sales!H13)</f>
        <v>0</v>
      </c>
      <c r="I13" s="323">
        <f>SUM(Advertising:Sales!I13)</f>
        <v>0</v>
      </c>
      <c r="J13" s="323">
        <f>SUM(Advertising:Sales!J13)</f>
        <v>0</v>
      </c>
      <c r="K13" s="323">
        <f>SUM(Advertising:Sales!K13)</f>
        <v>0</v>
      </c>
      <c r="L13" s="323">
        <f>SUM(Advertising:Sales!L13)</f>
        <v>0</v>
      </c>
      <c r="M13" s="323">
        <f>SUM(Advertising:Sales!M13)</f>
        <v>0</v>
      </c>
      <c r="N13" s="323">
        <f>SUM(Advertising:Sales!N13)</f>
        <v>0</v>
      </c>
      <c r="O13" s="323">
        <f>SUM(Advertising:Sales!O13)</f>
        <v>0</v>
      </c>
      <c r="P13" s="324">
        <f t="shared" ref="P13:P41" si="6">SUM(D13:O13)</f>
        <v>0</v>
      </c>
      <c r="Q13" s="325">
        <f>SUM(Advertising:Sales!Q13)</f>
        <v>0</v>
      </c>
      <c r="R13" s="325">
        <f>SUM(Advertising:Sales!R13)</f>
        <v>0</v>
      </c>
      <c r="S13" s="325">
        <f>SUM(Advertising:Sales!S13)</f>
        <v>0</v>
      </c>
      <c r="T13" s="325">
        <f>SUM(Advertising:Sales!T13)</f>
        <v>0</v>
      </c>
      <c r="U13" s="325">
        <f>SUM(Advertising:Sales!U13)</f>
        <v>0</v>
      </c>
      <c r="V13" s="325">
        <f>SUM(Advertising:Sales!V13)</f>
        <v>0</v>
      </c>
      <c r="W13" s="325">
        <f>SUM(Advertising:Sales!W13)</f>
        <v>0</v>
      </c>
      <c r="X13" s="325">
        <f>SUM(Advertising:Sales!X13)</f>
        <v>0</v>
      </c>
      <c r="Y13" s="325">
        <f>SUM(Advertising:Sales!Y13)</f>
        <v>0</v>
      </c>
      <c r="Z13" s="325">
        <f>SUM(Advertising:Sales!Z13)</f>
        <v>0</v>
      </c>
      <c r="AA13" s="325">
        <f>SUM(Advertising:Sales!AA13)</f>
        <v>0</v>
      </c>
      <c r="AB13" s="325">
        <f>SUM(Advertising:Sales!AB13)</f>
        <v>0</v>
      </c>
      <c r="AC13" s="326">
        <f t="shared" si="3"/>
        <v>0</v>
      </c>
      <c r="AD13" s="323">
        <f t="shared" si="4"/>
        <v>0</v>
      </c>
      <c r="AE13" s="327"/>
      <c r="AF13" s="250">
        <v>0</v>
      </c>
      <c r="AG13" s="201">
        <f t="shared" si="2"/>
        <v>0</v>
      </c>
      <c r="AH13" s="129"/>
      <c r="AI13" s="251"/>
    </row>
    <row r="14" spans="1:35" s="288" customFormat="1">
      <c r="A14" s="288" t="s">
        <v>834</v>
      </c>
      <c r="B14" s="288" t="s">
        <v>906</v>
      </c>
      <c r="C14" s="288" t="s">
        <v>431</v>
      </c>
      <c r="D14" s="323">
        <f>SUM(Advertising:Sales!D14)</f>
        <v>0</v>
      </c>
      <c r="E14" s="323">
        <f>SUM(Advertising:Sales!E14)</f>
        <v>0</v>
      </c>
      <c r="F14" s="323">
        <f>SUM(Advertising:Sales!F14)</f>
        <v>0</v>
      </c>
      <c r="G14" s="323">
        <f>SUM(Advertising:Sales!G14)</f>
        <v>0</v>
      </c>
      <c r="H14" s="323">
        <f>SUM(Advertising:Sales!H14)</f>
        <v>0</v>
      </c>
      <c r="I14" s="323">
        <f>SUM(Advertising:Sales!I14)</f>
        <v>0</v>
      </c>
      <c r="J14" s="323">
        <f>SUM(Advertising:Sales!J14)</f>
        <v>0</v>
      </c>
      <c r="K14" s="323">
        <f>SUM(Advertising:Sales!K14)</f>
        <v>0</v>
      </c>
      <c r="L14" s="323">
        <f>SUM(Advertising:Sales!L14)</f>
        <v>0</v>
      </c>
      <c r="M14" s="323">
        <f>SUM(Advertising:Sales!M14)</f>
        <v>0</v>
      </c>
      <c r="N14" s="323">
        <f>SUM(Advertising:Sales!N14)</f>
        <v>0</v>
      </c>
      <c r="O14" s="323">
        <f>SUM(Advertising:Sales!O14)</f>
        <v>0</v>
      </c>
      <c r="P14" s="324">
        <f t="shared" si="6"/>
        <v>0</v>
      </c>
      <c r="Q14" s="325">
        <f>SUM(Advertising:Sales!Q14)</f>
        <v>0</v>
      </c>
      <c r="R14" s="325">
        <f>SUM(Advertising:Sales!R14)</f>
        <v>0</v>
      </c>
      <c r="S14" s="325">
        <f>SUM(Advertising:Sales!S14)</f>
        <v>0</v>
      </c>
      <c r="T14" s="325">
        <f>SUM(Advertising:Sales!T14)</f>
        <v>0</v>
      </c>
      <c r="U14" s="325">
        <f>SUM(Advertising:Sales!U14)</f>
        <v>0</v>
      </c>
      <c r="V14" s="325">
        <f>SUM(Advertising:Sales!V14)</f>
        <v>0</v>
      </c>
      <c r="W14" s="325">
        <f>SUM(Advertising:Sales!W14)</f>
        <v>0</v>
      </c>
      <c r="X14" s="325">
        <f>SUM(Advertising:Sales!X14)</f>
        <v>0</v>
      </c>
      <c r="Y14" s="325">
        <f>SUM(Advertising:Sales!Y14)</f>
        <v>0</v>
      </c>
      <c r="Z14" s="325">
        <f>SUM(Advertising:Sales!Z14)</f>
        <v>0</v>
      </c>
      <c r="AA14" s="325">
        <f>SUM(Advertising:Sales!AA14)</f>
        <v>0</v>
      </c>
      <c r="AB14" s="325">
        <f>SUM(Advertising:Sales!AB14)</f>
        <v>0</v>
      </c>
      <c r="AC14" s="326">
        <f t="shared" si="3"/>
        <v>0</v>
      </c>
      <c r="AD14" s="323">
        <f t="shared" si="4"/>
        <v>0</v>
      </c>
      <c r="AE14" s="327"/>
      <c r="AF14" s="250">
        <v>1000</v>
      </c>
      <c r="AG14" s="201">
        <f t="shared" si="2"/>
        <v>1000</v>
      </c>
      <c r="AH14" s="129"/>
      <c r="AI14" s="251"/>
    </row>
    <row r="15" spans="1:35" s="287" customFormat="1">
      <c r="A15" s="287" t="s">
        <v>688</v>
      </c>
      <c r="B15" s="287" t="s">
        <v>906</v>
      </c>
      <c r="C15" s="287" t="s">
        <v>184</v>
      </c>
      <c r="D15" s="323">
        <f>SUM(Advertising:Sales!D15)</f>
        <v>15000</v>
      </c>
      <c r="E15" s="323">
        <f>SUM(Advertising:Sales!E15)</f>
        <v>20000</v>
      </c>
      <c r="F15" s="323">
        <f>SUM(Advertising:Sales!F15)</f>
        <v>35000</v>
      </c>
      <c r="G15" s="323">
        <f>SUM(Advertising:Sales!G15)</f>
        <v>50000</v>
      </c>
      <c r="H15" s="323">
        <f>SUM(Advertising:Sales!H15)</f>
        <v>30000</v>
      </c>
      <c r="I15" s="323">
        <f>SUM(Advertising:Sales!I15)</f>
        <v>20000</v>
      </c>
      <c r="J15" s="323">
        <f>SUM(Advertising:Sales!J15)</f>
        <v>30000</v>
      </c>
      <c r="K15" s="323">
        <f>SUM(Advertising:Sales!K15)</f>
        <v>30000</v>
      </c>
      <c r="L15" s="323">
        <f>SUM(Advertising:Sales!L15)</f>
        <v>30000</v>
      </c>
      <c r="M15" s="323">
        <f>SUM(Advertising:Sales!M15)</f>
        <v>10000</v>
      </c>
      <c r="N15" s="323">
        <f>SUM(Advertising:Sales!N15)</f>
        <v>30000</v>
      </c>
      <c r="O15" s="323">
        <f>SUM(Advertising:Sales!O15)</f>
        <v>30000</v>
      </c>
      <c r="P15" s="324">
        <f t="shared" si="6"/>
        <v>330000</v>
      </c>
      <c r="Q15" s="325">
        <f>SUM(Advertising:Sales!Q15)</f>
        <v>19064.66</v>
      </c>
      <c r="R15" s="325">
        <f>SUM(Advertising:Sales!R15)</f>
        <v>17117.43</v>
      </c>
      <c r="S15" s="325">
        <f>SUM(Advertising:Sales!S15)</f>
        <v>34946.160000000003</v>
      </c>
      <c r="T15" s="325">
        <f>SUM(Advertising:Sales!T15)</f>
        <v>112711.5</v>
      </c>
      <c r="U15" s="325">
        <f>SUM(Advertising:Sales!U15)</f>
        <v>20357.8</v>
      </c>
      <c r="V15" s="325">
        <f>SUM(Advertising:Sales!V15)</f>
        <v>25034.769999999997</v>
      </c>
      <c r="W15" s="325">
        <f>SUM(Advertising:Sales!W15)</f>
        <v>25199.25</v>
      </c>
      <c r="X15" s="325">
        <f>SUM(Advertising:Sales!X15)</f>
        <v>17792.259999999998</v>
      </c>
      <c r="Y15" s="325">
        <f>SUM(Advertising:Sales!Y15)</f>
        <v>20000</v>
      </c>
      <c r="Z15" s="325">
        <f>SUM(Advertising:Sales!Z15)</f>
        <v>40000</v>
      </c>
      <c r="AA15" s="325">
        <f>SUM(Advertising:Sales!AA15)</f>
        <v>20000</v>
      </c>
      <c r="AB15" s="325">
        <f>SUM(Advertising:Sales!AB15)</f>
        <v>20000</v>
      </c>
      <c r="AC15" s="326">
        <f t="shared" si="3"/>
        <v>372223.82999999996</v>
      </c>
      <c r="AD15" s="323">
        <f t="shared" si="4"/>
        <v>42223.829999999958</v>
      </c>
      <c r="AE15" s="327">
        <f t="shared" si="5"/>
        <v>0.11343666524521002</v>
      </c>
      <c r="AF15" s="250">
        <v>264765.14999999997</v>
      </c>
      <c r="AG15" s="201">
        <f t="shared" si="2"/>
        <v>-65234.850000000035</v>
      </c>
      <c r="AH15" s="129"/>
      <c r="AI15" s="251"/>
    </row>
    <row r="16" spans="1:35" s="287" customFormat="1">
      <c r="A16" s="287" t="s">
        <v>689</v>
      </c>
      <c r="B16" s="287" t="s">
        <v>906</v>
      </c>
      <c r="C16" s="287" t="s">
        <v>202</v>
      </c>
      <c r="D16" s="323">
        <f>SUM(Advertising:Sales!D16)</f>
        <v>0</v>
      </c>
      <c r="E16" s="323">
        <f>SUM(Advertising:Sales!E16)</f>
        <v>0</v>
      </c>
      <c r="F16" s="323">
        <f>SUM(Advertising:Sales!F16)</f>
        <v>0</v>
      </c>
      <c r="G16" s="323">
        <f>SUM(Advertising:Sales!G16)</f>
        <v>0</v>
      </c>
      <c r="H16" s="323">
        <f>SUM(Advertising:Sales!H16)</f>
        <v>0</v>
      </c>
      <c r="I16" s="323">
        <f>SUM(Advertising:Sales!I16)</f>
        <v>0</v>
      </c>
      <c r="J16" s="323">
        <f>SUM(Advertising:Sales!J16)</f>
        <v>0</v>
      </c>
      <c r="K16" s="323">
        <f>SUM(Advertising:Sales!K16)</f>
        <v>0</v>
      </c>
      <c r="L16" s="323">
        <f>SUM(Advertising:Sales!L16)</f>
        <v>0</v>
      </c>
      <c r="M16" s="323">
        <f>SUM(Advertising:Sales!M16)</f>
        <v>0</v>
      </c>
      <c r="N16" s="323">
        <f>SUM(Advertising:Sales!N16)</f>
        <v>0</v>
      </c>
      <c r="O16" s="323">
        <f>SUM(Advertising:Sales!O16)</f>
        <v>0</v>
      </c>
      <c r="P16" s="324">
        <f t="shared" si="6"/>
        <v>0</v>
      </c>
      <c r="Q16" s="325">
        <f>SUM(Advertising:Sales!Q16)</f>
        <v>0</v>
      </c>
      <c r="R16" s="325">
        <f>SUM(Advertising:Sales!R16)</f>
        <v>0</v>
      </c>
      <c r="S16" s="325">
        <f>SUM(Advertising:Sales!S16)</f>
        <v>0</v>
      </c>
      <c r="T16" s="325">
        <f>SUM(Advertising:Sales!T16)</f>
        <v>0</v>
      </c>
      <c r="U16" s="325">
        <f>SUM(Advertising:Sales!U16)</f>
        <v>0</v>
      </c>
      <c r="V16" s="325">
        <f>SUM(Advertising:Sales!V16)</f>
        <v>0</v>
      </c>
      <c r="W16" s="325">
        <f>SUM(Advertising:Sales!W16)</f>
        <v>0</v>
      </c>
      <c r="X16" s="325">
        <f>SUM(Advertising:Sales!X16)</f>
        <v>0</v>
      </c>
      <c r="Y16" s="325">
        <f>SUM(Advertising:Sales!Y16)</f>
        <v>0</v>
      </c>
      <c r="Z16" s="325">
        <f>SUM(Advertising:Sales!Z16)</f>
        <v>0</v>
      </c>
      <c r="AA16" s="325">
        <f>SUM(Advertising:Sales!AA16)</f>
        <v>0</v>
      </c>
      <c r="AB16" s="325">
        <f>SUM(Advertising:Sales!AB16)</f>
        <v>0</v>
      </c>
      <c r="AC16" s="326">
        <f t="shared" si="3"/>
        <v>0</v>
      </c>
      <c r="AD16" s="323">
        <f t="shared" si="4"/>
        <v>0</v>
      </c>
      <c r="AE16" s="327"/>
      <c r="AF16" s="250">
        <v>0</v>
      </c>
      <c r="AG16" s="201">
        <f t="shared" si="2"/>
        <v>0</v>
      </c>
      <c r="AH16" s="129"/>
      <c r="AI16" s="251"/>
    </row>
    <row r="17" spans="1:35" s="287" customFormat="1">
      <c r="A17" s="287" t="s">
        <v>692</v>
      </c>
      <c r="B17" s="287" t="s">
        <v>906</v>
      </c>
      <c r="C17" s="287" t="s">
        <v>204</v>
      </c>
      <c r="D17" s="323">
        <f>SUM(Advertising:Sales!D17)</f>
        <v>941</v>
      </c>
      <c r="E17" s="323">
        <f>SUM(Advertising:Sales!E17)</f>
        <v>941</v>
      </c>
      <c r="F17" s="323">
        <f>SUM(Advertising:Sales!F17)</f>
        <v>941</v>
      </c>
      <c r="G17" s="323">
        <f>SUM(Advertising:Sales!G17)</f>
        <v>941</v>
      </c>
      <c r="H17" s="323">
        <f>SUM(Advertising:Sales!H17)</f>
        <v>941</v>
      </c>
      <c r="I17" s="323">
        <f>SUM(Advertising:Sales!I17)</f>
        <v>941</v>
      </c>
      <c r="J17" s="323">
        <f>SUM(Advertising:Sales!J17)</f>
        <v>941</v>
      </c>
      <c r="K17" s="323">
        <f>SUM(Advertising:Sales!K17)</f>
        <v>941</v>
      </c>
      <c r="L17" s="323">
        <f>SUM(Advertising:Sales!L17)</f>
        <v>941</v>
      </c>
      <c r="M17" s="323">
        <f>SUM(Advertising:Sales!M17)</f>
        <v>941</v>
      </c>
      <c r="N17" s="323">
        <f>SUM(Advertising:Sales!N17)</f>
        <v>941</v>
      </c>
      <c r="O17" s="323">
        <f>SUM(Advertising:Sales!O17)</f>
        <v>941</v>
      </c>
      <c r="P17" s="324">
        <f t="shared" si="6"/>
        <v>11292</v>
      </c>
      <c r="Q17" s="325">
        <f>SUM(Advertising:Sales!Q17)</f>
        <v>1041</v>
      </c>
      <c r="R17" s="325">
        <f>SUM(Advertising:Sales!R17)</f>
        <v>1041</v>
      </c>
      <c r="S17" s="325">
        <f>SUM(Advertising:Sales!S17)</f>
        <v>1041</v>
      </c>
      <c r="T17" s="325">
        <f>SUM(Advertising:Sales!T17)</f>
        <v>0</v>
      </c>
      <c r="U17" s="325">
        <f>SUM(Advertising:Sales!U17)</f>
        <v>0</v>
      </c>
      <c r="V17" s="325">
        <f>SUM(Advertising:Sales!V17)</f>
        <v>0</v>
      </c>
      <c r="W17" s="325">
        <f>SUM(Advertising:Sales!W17)</f>
        <v>0</v>
      </c>
      <c r="X17" s="325">
        <f>SUM(Advertising:Sales!X17)</f>
        <v>0</v>
      </c>
      <c r="Y17" s="325">
        <f>SUM(Advertising:Sales!Y17)</f>
        <v>0</v>
      </c>
      <c r="Z17" s="325">
        <f>SUM(Advertising:Sales!Z17)</f>
        <v>0</v>
      </c>
      <c r="AA17" s="325">
        <f>SUM(Advertising:Sales!AA17)</f>
        <v>0</v>
      </c>
      <c r="AB17" s="325">
        <f>SUM(Advertising:Sales!AB17)</f>
        <v>0</v>
      </c>
      <c r="AC17" s="326">
        <f t="shared" si="3"/>
        <v>3123</v>
      </c>
      <c r="AD17" s="323">
        <f t="shared" si="4"/>
        <v>-8169</v>
      </c>
      <c r="AE17" s="327">
        <f t="shared" si="5"/>
        <v>-2.6157540826128725</v>
      </c>
      <c r="AF17" s="250">
        <v>61746.78</v>
      </c>
      <c r="AG17" s="201">
        <f t="shared" si="2"/>
        <v>50454.78</v>
      </c>
      <c r="AH17" s="129"/>
      <c r="AI17" s="251"/>
    </row>
    <row r="18" spans="1:35" s="288" customFormat="1">
      <c r="A18" s="288" t="s">
        <v>907</v>
      </c>
      <c r="B18" s="288" t="s">
        <v>906</v>
      </c>
      <c r="C18" s="288" t="s">
        <v>448</v>
      </c>
      <c r="D18" s="328">
        <f>SUM(Advertising:Sales!D18)</f>
        <v>2000</v>
      </c>
      <c r="E18" s="328">
        <f>SUM(Advertising:Sales!E18)</f>
        <v>6000</v>
      </c>
      <c r="F18" s="328">
        <f>SUM(Advertising:Sales!F18)</f>
        <v>1000</v>
      </c>
      <c r="G18" s="328">
        <f>SUM(Advertising:Sales!G18)</f>
        <v>1000</v>
      </c>
      <c r="H18" s="328">
        <f>SUM(Advertising:Sales!H18)</f>
        <v>1000</v>
      </c>
      <c r="I18" s="328">
        <f>SUM(Advertising:Sales!I18)</f>
        <v>1000</v>
      </c>
      <c r="J18" s="328">
        <f>SUM(Advertising:Sales!J18)</f>
        <v>1000</v>
      </c>
      <c r="K18" s="328">
        <f>SUM(Advertising:Sales!K18)</f>
        <v>1000</v>
      </c>
      <c r="L18" s="328">
        <f>SUM(Advertising:Sales!L18)</f>
        <v>1000</v>
      </c>
      <c r="M18" s="328">
        <f>SUM(Advertising:Sales!M18)</f>
        <v>2000</v>
      </c>
      <c r="N18" s="328">
        <f>SUM(Advertising:Sales!N18)</f>
        <v>2000</v>
      </c>
      <c r="O18" s="328">
        <f>SUM(Advertising:Sales!O18)</f>
        <v>5000</v>
      </c>
      <c r="P18" s="324">
        <f t="shared" si="6"/>
        <v>24000</v>
      </c>
      <c r="Q18" s="329">
        <f>SUM(Advertising:Sales!Q18)</f>
        <v>1201.33</v>
      </c>
      <c r="R18" s="329">
        <f>SUM(Advertising:Sales!R18)</f>
        <v>0</v>
      </c>
      <c r="S18" s="329">
        <f>SUM(Advertising:Sales!S18)</f>
        <v>0</v>
      </c>
      <c r="T18" s="329">
        <f>SUM(Advertising:Sales!T18)</f>
        <v>0</v>
      </c>
      <c r="U18" s="329">
        <f>SUM(Advertising:Sales!U18)</f>
        <v>0</v>
      </c>
      <c r="V18" s="329">
        <f>SUM(Advertising:Sales!V18)</f>
        <v>0</v>
      </c>
      <c r="W18" s="329">
        <f>SUM(Advertising:Sales!W18)</f>
        <v>0</v>
      </c>
      <c r="X18" s="329">
        <f>SUM(Advertising:Sales!X18)</f>
        <v>0</v>
      </c>
      <c r="Y18" s="329">
        <f>SUM(Advertising:Sales!Y18)</f>
        <v>0</v>
      </c>
      <c r="Z18" s="329">
        <f>SUM(Advertising:Sales!Z18)</f>
        <v>0</v>
      </c>
      <c r="AA18" s="329">
        <f>SUM(Advertising:Sales!AA18)</f>
        <v>200000</v>
      </c>
      <c r="AB18" s="329">
        <f>SUM(Advertising:Sales!AB18)</f>
        <v>0</v>
      </c>
      <c r="AC18" s="330">
        <f t="shared" si="3"/>
        <v>201201.33</v>
      </c>
      <c r="AD18" s="328">
        <f t="shared" si="4"/>
        <v>177201.33</v>
      </c>
      <c r="AE18" s="331">
        <f t="shared" si="5"/>
        <v>0.88071649426969489</v>
      </c>
      <c r="AF18" s="324">
        <v>22625.54</v>
      </c>
      <c r="AG18" s="201">
        <f t="shared" si="2"/>
        <v>-1374.4599999999991</v>
      </c>
      <c r="AH18" s="129"/>
      <c r="AI18" s="251"/>
    </row>
    <row r="19" spans="1:35" s="288" customFormat="1">
      <c r="A19" s="288" t="s">
        <v>734</v>
      </c>
      <c r="B19" s="288" t="s">
        <v>906</v>
      </c>
      <c r="C19" s="288" t="s">
        <v>735</v>
      </c>
      <c r="D19" s="328">
        <f>SUM(Advertising:Sales!D19)</f>
        <v>124117</v>
      </c>
      <c r="E19" s="328">
        <f>SUM(Advertising:Sales!E19)</f>
        <v>134081</v>
      </c>
      <c r="F19" s="328">
        <f>SUM(Advertising:Sales!F19)</f>
        <v>91641</v>
      </c>
      <c r="G19" s="328">
        <f>SUM(Advertising:Sales!G19)</f>
        <v>88641</v>
      </c>
      <c r="H19" s="328">
        <f>SUM(Advertising:Sales!H19)</f>
        <v>88641</v>
      </c>
      <c r="I19" s="328">
        <f>SUM(Advertising:Sales!I19)</f>
        <v>98641</v>
      </c>
      <c r="J19" s="328">
        <f>SUM(Advertising:Sales!J19)</f>
        <v>98641</v>
      </c>
      <c r="K19" s="328">
        <f>SUM(Advertising:Sales!K19)</f>
        <v>88641</v>
      </c>
      <c r="L19" s="328">
        <f>SUM(Advertising:Sales!L19)</f>
        <v>98641</v>
      </c>
      <c r="M19" s="328">
        <f>SUM(Advertising:Sales!M19)</f>
        <v>140641</v>
      </c>
      <c r="N19" s="328">
        <f>SUM(Advertising:Sales!N19)</f>
        <v>174641</v>
      </c>
      <c r="O19" s="328">
        <f>SUM(Advertising:Sales!O19)</f>
        <v>188641</v>
      </c>
      <c r="P19" s="324">
        <f t="shared" si="6"/>
        <v>1415608</v>
      </c>
      <c r="Q19" s="329">
        <f>SUM(Advertising:Sales!Q19)</f>
        <v>95276.1</v>
      </c>
      <c r="R19" s="329">
        <f>SUM(Advertising:Sales!R19)</f>
        <v>155240.01999999999</v>
      </c>
      <c r="S19" s="329">
        <f>SUM(Advertising:Sales!S19)</f>
        <v>80454.45</v>
      </c>
      <c r="T19" s="329">
        <f>SUM(Advertising:Sales!T19)</f>
        <v>61632.61</v>
      </c>
      <c r="U19" s="329">
        <f>SUM(Advertising:Sales!U19)</f>
        <v>57052.6</v>
      </c>
      <c r="V19" s="329">
        <f>SUM(Advertising:Sales!V19)</f>
        <v>67122.84</v>
      </c>
      <c r="W19" s="329">
        <f>SUM(Advertising:Sales!W19)</f>
        <v>65353.4</v>
      </c>
      <c r="X19" s="329">
        <f>SUM(Advertising:Sales!X19)</f>
        <v>80459.319999999992</v>
      </c>
      <c r="Y19" s="329">
        <f>SUM(Advertising:Sales!Y19)</f>
        <v>161700</v>
      </c>
      <c r="Z19" s="329">
        <f>SUM(Advertising:Sales!Z19)</f>
        <v>161700</v>
      </c>
      <c r="AA19" s="329">
        <f>SUM(Advertising:Sales!AA19)</f>
        <v>181700</v>
      </c>
      <c r="AB19" s="329">
        <f>SUM(Advertising:Sales!AB19)</f>
        <v>621700</v>
      </c>
      <c r="AC19" s="330">
        <f t="shared" si="3"/>
        <v>1789391.3399999999</v>
      </c>
      <c r="AD19" s="328">
        <f t="shared" si="4"/>
        <v>373783.33999999985</v>
      </c>
      <c r="AE19" s="331">
        <f t="shared" si="5"/>
        <v>0.20888853748448336</v>
      </c>
      <c r="AF19" s="324">
        <v>850859.57</v>
      </c>
      <c r="AG19" s="201">
        <f t="shared" si="2"/>
        <v>-564748.43000000005</v>
      </c>
      <c r="AH19" s="129"/>
      <c r="AI19" s="251"/>
    </row>
    <row r="20" spans="1:35" s="287" customFormat="1">
      <c r="A20" s="287" t="s">
        <v>717</v>
      </c>
      <c r="B20" s="287" t="s">
        <v>906</v>
      </c>
      <c r="C20" s="287" t="s">
        <v>208</v>
      </c>
      <c r="D20" s="323">
        <f>SUM(Advertising:Sales!D20)</f>
        <v>500</v>
      </c>
      <c r="E20" s="323">
        <f>SUM(Advertising:Sales!E20)</f>
        <v>500</v>
      </c>
      <c r="F20" s="323">
        <f>SUM(Advertising:Sales!F20)</f>
        <v>500</v>
      </c>
      <c r="G20" s="323">
        <f>SUM(Advertising:Sales!G20)</f>
        <v>500</v>
      </c>
      <c r="H20" s="323">
        <f>SUM(Advertising:Sales!H20)</f>
        <v>500</v>
      </c>
      <c r="I20" s="323">
        <f>SUM(Advertising:Sales!I20)</f>
        <v>500</v>
      </c>
      <c r="J20" s="323">
        <f>SUM(Advertising:Sales!J20)</f>
        <v>500</v>
      </c>
      <c r="K20" s="323">
        <f>SUM(Advertising:Sales!K20)</f>
        <v>500</v>
      </c>
      <c r="L20" s="323">
        <f>SUM(Advertising:Sales!L20)</f>
        <v>500</v>
      </c>
      <c r="M20" s="323">
        <f>SUM(Advertising:Sales!M20)</f>
        <v>500</v>
      </c>
      <c r="N20" s="323">
        <f>SUM(Advertising:Sales!N20)</f>
        <v>500</v>
      </c>
      <c r="O20" s="323">
        <f>SUM(Advertising:Sales!O20)</f>
        <v>500</v>
      </c>
      <c r="P20" s="324">
        <f t="shared" si="6"/>
        <v>6000</v>
      </c>
      <c r="Q20" s="325">
        <f>SUM(Advertising:Sales!Q20)</f>
        <v>465.74</v>
      </c>
      <c r="R20" s="325">
        <f>SUM(Advertising:Sales!R20)</f>
        <v>463.38</v>
      </c>
      <c r="S20" s="325">
        <f>SUM(Advertising:Sales!S20)</f>
        <v>500</v>
      </c>
      <c r="T20" s="325">
        <f>SUM(Advertising:Sales!T20)</f>
        <v>500</v>
      </c>
      <c r="U20" s="325">
        <f>SUM(Advertising:Sales!U20)</f>
        <v>500</v>
      </c>
      <c r="V20" s="325">
        <f>SUM(Advertising:Sales!V20)</f>
        <v>500</v>
      </c>
      <c r="W20" s="325">
        <f>SUM(Advertising:Sales!W20)</f>
        <v>500</v>
      </c>
      <c r="X20" s="325">
        <f>SUM(Advertising:Sales!X20)</f>
        <v>588.5</v>
      </c>
      <c r="Y20" s="325">
        <f>SUM(Advertising:Sales!Y20)</f>
        <v>500</v>
      </c>
      <c r="Z20" s="325">
        <f>SUM(Advertising:Sales!Z20)</f>
        <v>500</v>
      </c>
      <c r="AA20" s="325">
        <f>SUM(Advertising:Sales!AA20)</f>
        <v>500</v>
      </c>
      <c r="AB20" s="325">
        <f>SUM(Advertising:Sales!AB20)</f>
        <v>500</v>
      </c>
      <c r="AC20" s="326">
        <f t="shared" si="3"/>
        <v>6017.62</v>
      </c>
      <c r="AD20" s="323">
        <f t="shared" si="4"/>
        <v>17.619999999999891</v>
      </c>
      <c r="AE20" s="327">
        <f t="shared" si="5"/>
        <v>2.9280679072457038E-3</v>
      </c>
      <c r="AF20" s="250">
        <v>2393.9299999999998</v>
      </c>
      <c r="AG20" s="201">
        <f t="shared" si="2"/>
        <v>-3606.07</v>
      </c>
      <c r="AH20" s="129"/>
      <c r="AI20" s="251"/>
    </row>
    <row r="21" spans="1:35" s="288" customFormat="1">
      <c r="A21" s="288" t="s">
        <v>690</v>
      </c>
      <c r="B21" s="288" t="s">
        <v>906</v>
      </c>
      <c r="C21" s="288" t="s">
        <v>210</v>
      </c>
      <c r="D21" s="323">
        <f>SUM(Advertising:Sales!D21)</f>
        <v>1000</v>
      </c>
      <c r="E21" s="323">
        <f>SUM(Advertising:Sales!E21)</f>
        <v>1000</v>
      </c>
      <c r="F21" s="323">
        <f>SUM(Advertising:Sales!F21)</f>
        <v>1000</v>
      </c>
      <c r="G21" s="323">
        <f>SUM(Advertising:Sales!G21)</f>
        <v>1000</v>
      </c>
      <c r="H21" s="323">
        <f>SUM(Advertising:Sales!H21)</f>
        <v>1000</v>
      </c>
      <c r="I21" s="323">
        <f>SUM(Advertising:Sales!I21)</f>
        <v>1000</v>
      </c>
      <c r="J21" s="323">
        <f>SUM(Advertising:Sales!J21)</f>
        <v>1000</v>
      </c>
      <c r="K21" s="323">
        <f>SUM(Advertising:Sales!K21)</f>
        <v>1000</v>
      </c>
      <c r="L21" s="323">
        <f>SUM(Advertising:Sales!L21)</f>
        <v>1000</v>
      </c>
      <c r="M21" s="323">
        <f>SUM(Advertising:Sales!M21)</f>
        <v>1000</v>
      </c>
      <c r="N21" s="323">
        <f>SUM(Advertising:Sales!N21)</f>
        <v>1000</v>
      </c>
      <c r="O21" s="323">
        <f>SUM(Advertising:Sales!O21)</f>
        <v>1000</v>
      </c>
      <c r="P21" s="324">
        <f t="shared" si="6"/>
        <v>12000</v>
      </c>
      <c r="Q21" s="325">
        <f>SUM(Advertising:Sales!Q21)</f>
        <v>426.42</v>
      </c>
      <c r="R21" s="325">
        <f>SUM(Advertising:Sales!R21)</f>
        <v>0</v>
      </c>
      <c r="S21" s="325">
        <f>SUM(Advertising:Sales!S21)</f>
        <v>518.87</v>
      </c>
      <c r="T21" s="325">
        <f>SUM(Advertising:Sales!T21)</f>
        <v>1569.81</v>
      </c>
      <c r="U21" s="325">
        <f>SUM(Advertising:Sales!U21)</f>
        <v>109.04</v>
      </c>
      <c r="V21" s="325">
        <f>SUM(Advertising:Sales!V21)</f>
        <v>1222.06</v>
      </c>
      <c r="W21" s="325">
        <f>SUM(Advertising:Sales!W21)</f>
        <v>1132.08</v>
      </c>
      <c r="X21" s="325">
        <f>SUM(Advertising:Sales!X21)</f>
        <v>0</v>
      </c>
      <c r="Y21" s="325">
        <f>SUM(Advertising:Sales!Y21)</f>
        <v>1000</v>
      </c>
      <c r="Z21" s="325">
        <f>SUM(Advertising:Sales!Z21)</f>
        <v>1000</v>
      </c>
      <c r="AA21" s="325">
        <f>SUM(Advertising:Sales!AA21)</f>
        <v>1000</v>
      </c>
      <c r="AB21" s="325">
        <f>SUM(Advertising:Sales!AB21)</f>
        <v>1000</v>
      </c>
      <c r="AC21" s="326">
        <f t="shared" si="3"/>
        <v>8978.2799999999988</v>
      </c>
      <c r="AD21" s="323">
        <f t="shared" si="4"/>
        <v>-3021.7200000000012</v>
      </c>
      <c r="AE21" s="327">
        <f t="shared" si="5"/>
        <v>-0.33655889546772894</v>
      </c>
      <c r="AF21" s="250">
        <v>4787.63</v>
      </c>
      <c r="AG21" s="201">
        <f t="shared" si="2"/>
        <v>-7212.37</v>
      </c>
      <c r="AH21" s="129"/>
      <c r="AI21" s="251"/>
    </row>
    <row r="22" spans="1:35" s="288" customFormat="1">
      <c r="A22" s="288" t="s">
        <v>694</v>
      </c>
      <c r="B22" s="288" t="s">
        <v>906</v>
      </c>
      <c r="C22" s="288" t="s">
        <v>212</v>
      </c>
      <c r="D22" s="323">
        <f>SUM(Advertising:Sales!D22)</f>
        <v>5000</v>
      </c>
      <c r="E22" s="323">
        <f>SUM(Advertising:Sales!E22)</f>
        <v>5000</v>
      </c>
      <c r="F22" s="323">
        <f>SUM(Advertising:Sales!F22)</f>
        <v>5000</v>
      </c>
      <c r="G22" s="323">
        <f>SUM(Advertising:Sales!G22)</f>
        <v>5000</v>
      </c>
      <c r="H22" s="323">
        <f>SUM(Advertising:Sales!H22)</f>
        <v>5000</v>
      </c>
      <c r="I22" s="323">
        <f>SUM(Advertising:Sales!I22)</f>
        <v>5000</v>
      </c>
      <c r="J22" s="323">
        <f>SUM(Advertising:Sales!J22)</f>
        <v>5000</v>
      </c>
      <c r="K22" s="323">
        <f>SUM(Advertising:Sales!K22)</f>
        <v>5000</v>
      </c>
      <c r="L22" s="323">
        <f>SUM(Advertising:Sales!L22)</f>
        <v>5000</v>
      </c>
      <c r="M22" s="323">
        <f>SUM(Advertising:Sales!M22)</f>
        <v>5000</v>
      </c>
      <c r="N22" s="323">
        <f>SUM(Advertising:Sales!N22)</f>
        <v>5000</v>
      </c>
      <c r="O22" s="323">
        <f>SUM(Advertising:Sales!O22)</f>
        <v>5000</v>
      </c>
      <c r="P22" s="324">
        <f t="shared" si="6"/>
        <v>60000</v>
      </c>
      <c r="Q22" s="325">
        <f>SUM(Advertising:Sales!Q22)</f>
        <v>4911.8500000000004</v>
      </c>
      <c r="R22" s="325">
        <f>SUM(Advertising:Sales!R22)</f>
        <v>12866.78</v>
      </c>
      <c r="S22" s="325">
        <f>SUM(Advertising:Sales!S22)</f>
        <v>1769.39</v>
      </c>
      <c r="T22" s="325">
        <f>SUM(Advertising:Sales!T22)</f>
        <v>6459.57</v>
      </c>
      <c r="U22" s="325">
        <f>SUM(Advertising:Sales!U22)</f>
        <v>6434.8899999999994</v>
      </c>
      <c r="V22" s="325">
        <f>SUM(Advertising:Sales!V22)</f>
        <v>5614</v>
      </c>
      <c r="W22" s="325">
        <f>SUM(Advertising:Sales!W22)</f>
        <v>9410.42</v>
      </c>
      <c r="X22" s="325">
        <f>SUM(Advertising:Sales!X22)</f>
        <v>1618.7</v>
      </c>
      <c r="Y22" s="325">
        <f>SUM(Advertising:Sales!Y22)</f>
        <v>3200</v>
      </c>
      <c r="Z22" s="325">
        <f>SUM(Advertising:Sales!Z22)</f>
        <v>3200</v>
      </c>
      <c r="AA22" s="325">
        <f>SUM(Advertising:Sales!AA22)</f>
        <v>3200</v>
      </c>
      <c r="AB22" s="325">
        <f>SUM(Advertising:Sales!AB22)</f>
        <v>3200</v>
      </c>
      <c r="AC22" s="326">
        <f t="shared" si="3"/>
        <v>61885.599999999991</v>
      </c>
      <c r="AD22" s="323">
        <f t="shared" si="4"/>
        <v>1885.5999999999913</v>
      </c>
      <c r="AE22" s="327">
        <f t="shared" si="5"/>
        <v>3.0469123673358446E-2</v>
      </c>
      <c r="AF22" s="250">
        <v>31402.479999999996</v>
      </c>
      <c r="AG22" s="201">
        <f t="shared" si="2"/>
        <v>-28597.520000000004</v>
      </c>
      <c r="AH22" s="129"/>
      <c r="AI22" s="251"/>
    </row>
    <row r="23" spans="1:35" s="287" customFormat="1">
      <c r="A23" s="287" t="s">
        <v>709</v>
      </c>
      <c r="B23" s="287" t="s">
        <v>906</v>
      </c>
      <c r="C23" s="287" t="s">
        <v>214</v>
      </c>
      <c r="D23" s="323">
        <f>SUM(Advertising:Sales!D23)</f>
        <v>323</v>
      </c>
      <c r="E23" s="323">
        <f>SUM(Advertising:Sales!E23)</f>
        <v>294</v>
      </c>
      <c r="F23" s="323">
        <f>SUM(Advertising:Sales!F23)</f>
        <v>298</v>
      </c>
      <c r="G23" s="323">
        <f>SUM(Advertising:Sales!G23)</f>
        <v>306</v>
      </c>
      <c r="H23" s="323">
        <f>SUM(Advertising:Sales!H23)</f>
        <v>315</v>
      </c>
      <c r="I23" s="323">
        <f>SUM(Advertising:Sales!I23)</f>
        <v>300</v>
      </c>
      <c r="J23" s="323">
        <f>SUM(Advertising:Sales!J23)</f>
        <v>321</v>
      </c>
      <c r="K23" s="323">
        <f>SUM(Advertising:Sales!K23)</f>
        <v>319</v>
      </c>
      <c r="L23" s="323">
        <f>SUM(Advertising:Sales!L23)</f>
        <v>309</v>
      </c>
      <c r="M23" s="323">
        <f>SUM(Advertising:Sales!M23)</f>
        <v>351</v>
      </c>
      <c r="N23" s="323">
        <f>SUM(Advertising:Sales!N23)</f>
        <v>310</v>
      </c>
      <c r="O23" s="323">
        <f>SUM(Advertising:Sales!O23)</f>
        <v>309</v>
      </c>
      <c r="P23" s="324">
        <f t="shared" si="6"/>
        <v>3755</v>
      </c>
      <c r="Q23" s="325">
        <f>SUM(Advertising:Sales!Q23)</f>
        <v>440.25</v>
      </c>
      <c r="R23" s="325">
        <f>SUM(Advertising:Sales!R23)</f>
        <v>375.47</v>
      </c>
      <c r="S23" s="325">
        <f>SUM(Advertising:Sales!S23)</f>
        <v>316.8</v>
      </c>
      <c r="T23" s="325">
        <f>SUM(Advertising:Sales!T23)</f>
        <v>296.35000000000002</v>
      </c>
      <c r="U23" s="325">
        <f>SUM(Advertising:Sales!U23)</f>
        <v>100.78</v>
      </c>
      <c r="V23" s="325">
        <f>SUM(Advertising:Sales!V23)</f>
        <v>571.99</v>
      </c>
      <c r="W23" s="325">
        <f>SUM(Advertising:Sales!W23)</f>
        <v>417.43</v>
      </c>
      <c r="X23" s="325">
        <f>SUM(Advertising:Sales!X23)</f>
        <v>248.16</v>
      </c>
      <c r="Y23" s="325">
        <f>SUM(Advertising:Sales!Y23)</f>
        <v>409</v>
      </c>
      <c r="Z23" s="325">
        <f>SUM(Advertising:Sales!Z23)</f>
        <v>457</v>
      </c>
      <c r="AA23" s="325">
        <f>SUM(Advertising:Sales!AA23)</f>
        <v>384</v>
      </c>
      <c r="AB23" s="325">
        <f>SUM(Advertising:Sales!AB23)</f>
        <v>392</v>
      </c>
      <c r="AC23" s="326">
        <f t="shared" si="3"/>
        <v>4409.2299999999996</v>
      </c>
      <c r="AD23" s="323">
        <f t="shared" si="4"/>
        <v>654.22999999999956</v>
      </c>
      <c r="AE23" s="327">
        <f t="shared" si="5"/>
        <v>0.1483773810846791</v>
      </c>
      <c r="AF23" s="250">
        <v>3711.36</v>
      </c>
      <c r="AG23" s="201">
        <f t="shared" si="2"/>
        <v>-43.639999999999873</v>
      </c>
      <c r="AH23" s="129"/>
      <c r="AI23" s="251"/>
    </row>
    <row r="24" spans="1:35" s="287" customFormat="1">
      <c r="A24" s="287" t="s">
        <v>306</v>
      </c>
      <c r="B24" s="287" t="s">
        <v>906</v>
      </c>
      <c r="C24" s="287" t="s">
        <v>206</v>
      </c>
      <c r="D24" s="323">
        <f>SUM(Advertising:Sales!D24)</f>
        <v>0</v>
      </c>
      <c r="E24" s="323">
        <f>SUM(Advertising:Sales!E24)</f>
        <v>0</v>
      </c>
      <c r="F24" s="323">
        <f>SUM(Advertising:Sales!F24)</f>
        <v>0</v>
      </c>
      <c r="G24" s="323">
        <f>SUM(Advertising:Sales!G24)</f>
        <v>0</v>
      </c>
      <c r="H24" s="323">
        <f>SUM(Advertising:Sales!H24)</f>
        <v>0</v>
      </c>
      <c r="I24" s="323">
        <f>SUM(Advertising:Sales!I24)</f>
        <v>0</v>
      </c>
      <c r="J24" s="323">
        <f>SUM(Advertising:Sales!J24)</f>
        <v>0</v>
      </c>
      <c r="K24" s="323">
        <f>SUM(Advertising:Sales!K24)</f>
        <v>0</v>
      </c>
      <c r="L24" s="323">
        <f>SUM(Advertising:Sales!L24)</f>
        <v>0</v>
      </c>
      <c r="M24" s="323">
        <f>SUM(Advertising:Sales!M24)</f>
        <v>0</v>
      </c>
      <c r="N24" s="323">
        <f>SUM(Advertising:Sales!N24)</f>
        <v>0</v>
      </c>
      <c r="O24" s="323">
        <f>SUM(Advertising:Sales!O24)</f>
        <v>0</v>
      </c>
      <c r="P24" s="324">
        <f t="shared" si="6"/>
        <v>0</v>
      </c>
      <c r="Q24" s="325">
        <f>SUM(Advertising:Sales!Q24)</f>
        <v>0</v>
      </c>
      <c r="R24" s="325">
        <f>SUM(Advertising:Sales!R24)</f>
        <v>0</v>
      </c>
      <c r="S24" s="325">
        <f>SUM(Advertising:Sales!S24)</f>
        <v>0</v>
      </c>
      <c r="T24" s="325">
        <f>SUM(Advertising:Sales!T24)</f>
        <v>0</v>
      </c>
      <c r="U24" s="325">
        <f>SUM(Advertising:Sales!U24)</f>
        <v>0</v>
      </c>
      <c r="V24" s="325">
        <f>SUM(Advertising:Sales!V24)</f>
        <v>0</v>
      </c>
      <c r="W24" s="325">
        <f>SUM(Advertising:Sales!W24)</f>
        <v>0</v>
      </c>
      <c r="X24" s="325">
        <f>SUM(Advertising:Sales!X24)</f>
        <v>0</v>
      </c>
      <c r="Y24" s="325">
        <f>SUM(Advertising:Sales!Y24)</f>
        <v>0</v>
      </c>
      <c r="Z24" s="325">
        <f>SUM(Advertising:Sales!Z24)</f>
        <v>0</v>
      </c>
      <c r="AA24" s="325">
        <f>SUM(Advertising:Sales!AA24)</f>
        <v>0</v>
      </c>
      <c r="AB24" s="325">
        <f>SUM(Advertising:Sales!AB24)</f>
        <v>0</v>
      </c>
      <c r="AC24" s="326">
        <f t="shared" si="3"/>
        <v>0</v>
      </c>
      <c r="AD24" s="323">
        <f t="shared" si="4"/>
        <v>0</v>
      </c>
      <c r="AE24" s="327"/>
      <c r="AF24" s="250">
        <v>0</v>
      </c>
      <c r="AG24" s="201">
        <f t="shared" si="2"/>
        <v>0</v>
      </c>
      <c r="AH24" s="129"/>
      <c r="AI24" s="251"/>
    </row>
    <row r="25" spans="1:35" s="288" customFormat="1">
      <c r="A25" s="288" t="s">
        <v>696</v>
      </c>
      <c r="B25" s="288" t="s">
        <v>906</v>
      </c>
      <c r="C25" s="288" t="s">
        <v>216</v>
      </c>
      <c r="D25" s="323">
        <f>SUM(Advertising:Sales!D25)</f>
        <v>530</v>
      </c>
      <c r="E25" s="323">
        <f>SUM(Advertising:Sales!E25)</f>
        <v>530</v>
      </c>
      <c r="F25" s="323">
        <f>SUM(Advertising:Sales!F25)</f>
        <v>530</v>
      </c>
      <c r="G25" s="323">
        <f>SUM(Advertising:Sales!G25)</f>
        <v>530</v>
      </c>
      <c r="H25" s="323">
        <f>SUM(Advertising:Sales!H25)</f>
        <v>530</v>
      </c>
      <c r="I25" s="323">
        <f>SUM(Advertising:Sales!I25)</f>
        <v>530</v>
      </c>
      <c r="J25" s="323">
        <f>SUM(Advertising:Sales!J25)</f>
        <v>530</v>
      </c>
      <c r="K25" s="323">
        <f>SUM(Advertising:Sales!K25)</f>
        <v>530</v>
      </c>
      <c r="L25" s="323">
        <f>SUM(Advertising:Sales!L25)</f>
        <v>530</v>
      </c>
      <c r="M25" s="323">
        <f>SUM(Advertising:Sales!M25)</f>
        <v>530</v>
      </c>
      <c r="N25" s="323">
        <f>SUM(Advertising:Sales!N25)</f>
        <v>530</v>
      </c>
      <c r="O25" s="323">
        <f>SUM(Advertising:Sales!O25)</f>
        <v>530</v>
      </c>
      <c r="P25" s="324">
        <f t="shared" si="6"/>
        <v>6360</v>
      </c>
      <c r="Q25" s="325">
        <f>SUM(Advertising:Sales!Q25)</f>
        <v>6570.32</v>
      </c>
      <c r="R25" s="325">
        <f>SUM(Advertising:Sales!R25)</f>
        <v>5827.04</v>
      </c>
      <c r="S25" s="325">
        <f>SUM(Advertising:Sales!S25)</f>
        <v>3996.26</v>
      </c>
      <c r="T25" s="325">
        <f>SUM(Advertising:Sales!T25)</f>
        <v>7339.31</v>
      </c>
      <c r="U25" s="325">
        <f>SUM(Advertising:Sales!U25)</f>
        <v>3549.99</v>
      </c>
      <c r="V25" s="325">
        <f>SUM(Advertising:Sales!V25)</f>
        <v>6371.74</v>
      </c>
      <c r="W25" s="325">
        <f>SUM(Advertising:Sales!W25)</f>
        <v>4640.54</v>
      </c>
      <c r="X25" s="325">
        <f>SUM(Advertising:Sales!X25)</f>
        <v>5419.35</v>
      </c>
      <c r="Y25" s="325">
        <f>SUM(Advertising:Sales!Y25)</f>
        <v>5000</v>
      </c>
      <c r="Z25" s="325">
        <f>SUM(Advertising:Sales!Z25)</f>
        <v>5000</v>
      </c>
      <c r="AA25" s="325">
        <f>SUM(Advertising:Sales!AA25)</f>
        <v>5000</v>
      </c>
      <c r="AB25" s="325">
        <f>SUM(Advertising:Sales!AB25)</f>
        <v>5000</v>
      </c>
      <c r="AC25" s="326">
        <f t="shared" si="3"/>
        <v>63714.55</v>
      </c>
      <c r="AD25" s="323">
        <f t="shared" si="4"/>
        <v>57354.55</v>
      </c>
      <c r="AE25" s="327">
        <f t="shared" si="5"/>
        <v>0.90017978624976558</v>
      </c>
      <c r="AF25" s="250">
        <v>47758.54</v>
      </c>
      <c r="AG25" s="201">
        <f t="shared" si="2"/>
        <v>41398.54</v>
      </c>
      <c r="AH25" s="129"/>
      <c r="AI25" s="251"/>
    </row>
    <row r="26" spans="1:35" s="288" customFormat="1">
      <c r="A26" s="288" t="s">
        <v>697</v>
      </c>
      <c r="B26" s="288" t="s">
        <v>906</v>
      </c>
      <c r="C26" s="288" t="s">
        <v>218</v>
      </c>
      <c r="D26" s="328">
        <f>SUM(Advertising:Sales!D26)</f>
        <v>3000</v>
      </c>
      <c r="E26" s="328">
        <f>SUM(Advertising:Sales!E26)</f>
        <v>3000</v>
      </c>
      <c r="F26" s="328">
        <f>SUM(Advertising:Sales!F26)</f>
        <v>3000</v>
      </c>
      <c r="G26" s="328">
        <f>SUM(Advertising:Sales!G26)</f>
        <v>3000</v>
      </c>
      <c r="H26" s="328">
        <f>SUM(Advertising:Sales!H26)</f>
        <v>3000</v>
      </c>
      <c r="I26" s="328">
        <f>SUM(Advertising:Sales!I26)</f>
        <v>3000</v>
      </c>
      <c r="J26" s="328">
        <f>SUM(Advertising:Sales!J26)</f>
        <v>3000</v>
      </c>
      <c r="K26" s="328">
        <f>SUM(Advertising:Sales!K26)</f>
        <v>3000</v>
      </c>
      <c r="L26" s="328">
        <f>SUM(Advertising:Sales!L26)</f>
        <v>3000</v>
      </c>
      <c r="M26" s="328">
        <f>SUM(Advertising:Sales!M26)</f>
        <v>3000</v>
      </c>
      <c r="N26" s="328">
        <f>SUM(Advertising:Sales!N26)</f>
        <v>3000</v>
      </c>
      <c r="O26" s="328">
        <f>SUM(Advertising:Sales!O26)</f>
        <v>3000</v>
      </c>
      <c r="P26" s="324">
        <f t="shared" si="6"/>
        <v>36000</v>
      </c>
      <c r="Q26" s="329">
        <f>SUM(Advertising:Sales!Q26)</f>
        <v>4125.93</v>
      </c>
      <c r="R26" s="329">
        <f>SUM(Advertising:Sales!R26)</f>
        <v>4801.22</v>
      </c>
      <c r="S26" s="329">
        <f>SUM(Advertising:Sales!S26)</f>
        <v>5487.26</v>
      </c>
      <c r="T26" s="329">
        <f>SUM(Advertising:Sales!T26)</f>
        <v>4333.75</v>
      </c>
      <c r="U26" s="329">
        <f>SUM(Advertising:Sales!U26)</f>
        <v>162.44999999999999</v>
      </c>
      <c r="V26" s="329">
        <f>SUM(Advertising:Sales!V26)</f>
        <v>3985.38</v>
      </c>
      <c r="W26" s="329">
        <f>SUM(Advertising:Sales!W26)</f>
        <v>4179.1400000000003</v>
      </c>
      <c r="X26" s="329">
        <f>SUM(Advertising:Sales!X26)</f>
        <v>4158.09</v>
      </c>
      <c r="Y26" s="329">
        <f>SUM(Advertising:Sales!Y26)</f>
        <v>5000</v>
      </c>
      <c r="Z26" s="329">
        <f>SUM(Advertising:Sales!Z26)</f>
        <v>5000</v>
      </c>
      <c r="AA26" s="329">
        <f>SUM(Advertising:Sales!AA26)</f>
        <v>5000</v>
      </c>
      <c r="AB26" s="329">
        <f>SUM(Advertising:Sales!AB26)</f>
        <v>5000</v>
      </c>
      <c r="AC26" s="330">
        <f t="shared" si="3"/>
        <v>51233.22</v>
      </c>
      <c r="AD26" s="328">
        <f t="shared" si="4"/>
        <v>15233.220000000001</v>
      </c>
      <c r="AE26" s="331">
        <f t="shared" si="5"/>
        <v>0.29733091146720819</v>
      </c>
      <c r="AF26" s="324">
        <v>58612.779999999992</v>
      </c>
      <c r="AG26" s="201">
        <f t="shared" si="2"/>
        <v>22612.779999999992</v>
      </c>
      <c r="AH26" s="129"/>
      <c r="AI26" s="251"/>
    </row>
    <row r="27" spans="1:35" s="288" customFormat="1">
      <c r="A27" s="288" t="s">
        <v>836</v>
      </c>
      <c r="B27" s="288" t="s">
        <v>906</v>
      </c>
      <c r="C27" s="288" t="s">
        <v>220</v>
      </c>
      <c r="D27" s="328">
        <f>SUM(Advertising:Sales!D27)</f>
        <v>0</v>
      </c>
      <c r="E27" s="328">
        <f>SUM(Advertising:Sales!E27)</f>
        <v>10000</v>
      </c>
      <c r="F27" s="328">
        <f>SUM(Advertising:Sales!F27)</f>
        <v>15000</v>
      </c>
      <c r="G27" s="328">
        <f>SUM(Advertising:Sales!G27)</f>
        <v>20000</v>
      </c>
      <c r="H27" s="328">
        <f>SUM(Advertising:Sales!H27)</f>
        <v>10000</v>
      </c>
      <c r="I27" s="328">
        <f>SUM(Advertising:Sales!I27)</f>
        <v>10000</v>
      </c>
      <c r="J27" s="328">
        <f>SUM(Advertising:Sales!J27)</f>
        <v>20000</v>
      </c>
      <c r="K27" s="328">
        <f>SUM(Advertising:Sales!K27)</f>
        <v>20000</v>
      </c>
      <c r="L27" s="328">
        <f>SUM(Advertising:Sales!L27)</f>
        <v>20000</v>
      </c>
      <c r="M27" s="328">
        <f>SUM(Advertising:Sales!M27)</f>
        <v>10000</v>
      </c>
      <c r="N27" s="328">
        <f>SUM(Advertising:Sales!N27)</f>
        <v>10000</v>
      </c>
      <c r="O27" s="328">
        <f>SUM(Advertising:Sales!O27)</f>
        <v>0</v>
      </c>
      <c r="P27" s="324">
        <f t="shared" si="6"/>
        <v>145000</v>
      </c>
      <c r="Q27" s="329">
        <f>SUM(Advertising:Sales!Q27)</f>
        <v>942.79</v>
      </c>
      <c r="R27" s="329">
        <f>SUM(Advertising:Sales!R27)</f>
        <v>0</v>
      </c>
      <c r="S27" s="329">
        <f>SUM(Advertising:Sales!S27)</f>
        <v>89861.22</v>
      </c>
      <c r="T27" s="329">
        <f>SUM(Advertising:Sales!T27)</f>
        <v>62379.37</v>
      </c>
      <c r="U27" s="329">
        <f>SUM(Advertising:Sales!U27)</f>
        <v>-26240.14</v>
      </c>
      <c r="V27" s="329">
        <f>SUM(Advertising:Sales!V27)</f>
        <v>-8190.68</v>
      </c>
      <c r="W27" s="329">
        <f>SUM(Advertising:Sales!W27)</f>
        <v>12542.92</v>
      </c>
      <c r="X27" s="329">
        <f>SUM(Advertising:Sales!X27)</f>
        <v>-5379.51</v>
      </c>
      <c r="Y27" s="329">
        <f>SUM(Advertising:Sales!Y27)</f>
        <v>20000</v>
      </c>
      <c r="Z27" s="329">
        <f>SUM(Advertising:Sales!Z27)</f>
        <v>30000</v>
      </c>
      <c r="AA27" s="329">
        <f>SUM(Advertising:Sales!AA27)</f>
        <v>30000</v>
      </c>
      <c r="AB27" s="329">
        <f>SUM(Advertising:Sales!AB27)</f>
        <v>30000</v>
      </c>
      <c r="AC27" s="330">
        <f t="shared" si="3"/>
        <v>235915.97000000003</v>
      </c>
      <c r="AD27" s="328">
        <f t="shared" si="4"/>
        <v>90915.97000000003</v>
      </c>
      <c r="AE27" s="331">
        <f t="shared" si="5"/>
        <v>0.38537437715640877</v>
      </c>
      <c r="AF27" s="324">
        <v>343846.81</v>
      </c>
      <c r="AG27" s="201">
        <f t="shared" si="2"/>
        <v>198846.81</v>
      </c>
      <c r="AH27" s="129"/>
      <c r="AI27" s="251"/>
    </row>
    <row r="28" spans="1:35" s="288" customFormat="1">
      <c r="A28" s="288" t="s">
        <v>908</v>
      </c>
      <c r="B28" s="288" t="s">
        <v>906</v>
      </c>
      <c r="C28" s="288" t="s">
        <v>909</v>
      </c>
      <c r="D28" s="328">
        <f>SUM(Advertising:Sales!D28)</f>
        <v>0</v>
      </c>
      <c r="E28" s="328">
        <f>SUM(Advertising:Sales!E28)</f>
        <v>0</v>
      </c>
      <c r="F28" s="328">
        <f>SUM(Advertising:Sales!F28)</f>
        <v>0</v>
      </c>
      <c r="G28" s="328">
        <f>SUM(Advertising:Sales!G28)</f>
        <v>0</v>
      </c>
      <c r="H28" s="328">
        <f>SUM(Advertising:Sales!H28)</f>
        <v>0</v>
      </c>
      <c r="I28" s="328">
        <f>SUM(Advertising:Sales!I28)</f>
        <v>0</v>
      </c>
      <c r="J28" s="328">
        <f>SUM(Advertising:Sales!J28)</f>
        <v>0</v>
      </c>
      <c r="K28" s="328">
        <f>SUM(Advertising:Sales!K28)</f>
        <v>0</v>
      </c>
      <c r="L28" s="328">
        <f>SUM(Advertising:Sales!L28)</f>
        <v>0</v>
      </c>
      <c r="M28" s="328">
        <f>SUM(Advertising:Sales!M28)</f>
        <v>0</v>
      </c>
      <c r="N28" s="328">
        <f>SUM(Advertising:Sales!N28)</f>
        <v>0</v>
      </c>
      <c r="O28" s="328">
        <f>SUM(Advertising:Sales!O28)</f>
        <v>0</v>
      </c>
      <c r="P28" s="324">
        <f t="shared" si="6"/>
        <v>0</v>
      </c>
      <c r="Q28" s="329">
        <f>SUM(Advertising:Sales!Q28)</f>
        <v>0</v>
      </c>
      <c r="R28" s="329">
        <f>SUM(Advertising:Sales!R28)</f>
        <v>0</v>
      </c>
      <c r="S28" s="329">
        <f>SUM(Advertising:Sales!S28)</f>
        <v>0</v>
      </c>
      <c r="T28" s="329">
        <f>SUM(Advertising:Sales!T28)</f>
        <v>0</v>
      </c>
      <c r="U28" s="329">
        <f>SUM(Advertising:Sales!U28)</f>
        <v>0</v>
      </c>
      <c r="V28" s="329">
        <f>SUM(Advertising:Sales!V28)</f>
        <v>0</v>
      </c>
      <c r="W28" s="329">
        <f>SUM(Advertising:Sales!W28)</f>
        <v>0</v>
      </c>
      <c r="X28" s="329">
        <f>SUM(Advertising:Sales!X28)</f>
        <v>0</v>
      </c>
      <c r="Y28" s="329">
        <f>SUM(Advertising:Sales!Y28)</f>
        <v>0</v>
      </c>
      <c r="Z28" s="329">
        <f>SUM(Advertising:Sales!Z28)</f>
        <v>0</v>
      </c>
      <c r="AA28" s="329">
        <f>SUM(Advertising:Sales!AA28)</f>
        <v>0</v>
      </c>
      <c r="AB28" s="329">
        <f>SUM(Advertising:Sales!AB28)</f>
        <v>0</v>
      </c>
      <c r="AC28" s="330">
        <f t="shared" si="3"/>
        <v>0</v>
      </c>
      <c r="AD28" s="328">
        <f t="shared" si="4"/>
        <v>0</v>
      </c>
      <c r="AE28" s="331" t="e">
        <f t="shared" si="5"/>
        <v>#DIV/0!</v>
      </c>
      <c r="AF28" s="324">
        <v>0</v>
      </c>
      <c r="AG28" s="201">
        <f t="shared" si="2"/>
        <v>0</v>
      </c>
      <c r="AH28" s="129"/>
      <c r="AI28" s="251"/>
    </row>
    <row r="29" spans="1:35" s="288" customFormat="1">
      <c r="A29" s="288" t="s">
        <v>910</v>
      </c>
      <c r="B29" s="288" t="s">
        <v>906</v>
      </c>
      <c r="C29" s="288" t="s">
        <v>911</v>
      </c>
      <c r="D29" s="328">
        <f>SUM(Advertising:Sales!D29)</f>
        <v>0</v>
      </c>
      <c r="E29" s="328">
        <f>SUM(Advertising:Sales!E29)</f>
        <v>0</v>
      </c>
      <c r="F29" s="328">
        <f>SUM(Advertising:Sales!F29)</f>
        <v>0</v>
      </c>
      <c r="G29" s="328">
        <f>SUM(Advertising:Sales!G29)</f>
        <v>0</v>
      </c>
      <c r="H29" s="328">
        <f>SUM(Advertising:Sales!H29)</f>
        <v>0</v>
      </c>
      <c r="I29" s="328">
        <f>SUM(Advertising:Sales!I29)</f>
        <v>0</v>
      </c>
      <c r="J29" s="328">
        <f>SUM(Advertising:Sales!J29)</f>
        <v>0</v>
      </c>
      <c r="K29" s="328">
        <f>SUM(Advertising:Sales!K29)</f>
        <v>0</v>
      </c>
      <c r="L29" s="328">
        <f>SUM(Advertising:Sales!L29)</f>
        <v>0</v>
      </c>
      <c r="M29" s="328">
        <f>SUM(Advertising:Sales!M29)</f>
        <v>0</v>
      </c>
      <c r="N29" s="328">
        <f>SUM(Advertising:Sales!N29)</f>
        <v>0</v>
      </c>
      <c r="O29" s="328">
        <f>SUM(Advertising:Sales!O29)</f>
        <v>0</v>
      </c>
      <c r="P29" s="324">
        <f t="shared" si="6"/>
        <v>0</v>
      </c>
      <c r="Q29" s="329">
        <f>SUM(Advertising:Sales!Q29)</f>
        <v>0</v>
      </c>
      <c r="R29" s="329">
        <f>SUM(Advertising:Sales!R29)</f>
        <v>0</v>
      </c>
      <c r="S29" s="329">
        <f>SUM(Advertising:Sales!S29)</f>
        <v>0</v>
      </c>
      <c r="T29" s="329">
        <f>SUM(Advertising:Sales!T29)</f>
        <v>0</v>
      </c>
      <c r="U29" s="329">
        <f>SUM(Advertising:Sales!U29)</f>
        <v>0</v>
      </c>
      <c r="V29" s="329">
        <f>SUM(Advertising:Sales!V29)</f>
        <v>0</v>
      </c>
      <c r="W29" s="329">
        <f>SUM(Advertising:Sales!W29)</f>
        <v>0</v>
      </c>
      <c r="X29" s="329">
        <f>SUM(Advertising:Sales!X29)</f>
        <v>0</v>
      </c>
      <c r="Y29" s="329">
        <f>SUM(Advertising:Sales!Y29)</f>
        <v>0</v>
      </c>
      <c r="Z29" s="329">
        <f>SUM(Advertising:Sales!Z29)</f>
        <v>0</v>
      </c>
      <c r="AA29" s="329">
        <f>SUM(Advertising:Sales!AA29)</f>
        <v>0</v>
      </c>
      <c r="AB29" s="329">
        <f>SUM(Advertising:Sales!AB29)</f>
        <v>0</v>
      </c>
      <c r="AC29" s="330">
        <f t="shared" si="3"/>
        <v>0</v>
      </c>
      <c r="AD29" s="328">
        <f t="shared" si="4"/>
        <v>0</v>
      </c>
      <c r="AE29" s="331"/>
      <c r="AF29" s="324">
        <v>0</v>
      </c>
      <c r="AG29" s="201">
        <f t="shared" si="2"/>
        <v>0</v>
      </c>
      <c r="AH29" s="129"/>
      <c r="AI29" s="251"/>
    </row>
    <row r="30" spans="1:35" s="288" customFormat="1">
      <c r="A30" s="288" t="s">
        <v>912</v>
      </c>
      <c r="B30" s="288" t="s">
        <v>906</v>
      </c>
      <c r="C30" s="288" t="s">
        <v>913</v>
      </c>
      <c r="D30" s="328">
        <f>SUM(Advertising:Sales!D30)</f>
        <v>0</v>
      </c>
      <c r="E30" s="328">
        <f>SUM(Advertising:Sales!E30)</f>
        <v>0</v>
      </c>
      <c r="F30" s="328">
        <f>SUM(Advertising:Sales!F30)</f>
        <v>0</v>
      </c>
      <c r="G30" s="328">
        <f>SUM(Advertising:Sales!G30)</f>
        <v>0</v>
      </c>
      <c r="H30" s="328">
        <f>SUM(Advertising:Sales!H30)</f>
        <v>0</v>
      </c>
      <c r="I30" s="328">
        <f>SUM(Advertising:Sales!I30)</f>
        <v>0</v>
      </c>
      <c r="J30" s="328">
        <f>SUM(Advertising:Sales!J30)</f>
        <v>0</v>
      </c>
      <c r="K30" s="328">
        <f>SUM(Advertising:Sales!K30)</f>
        <v>0</v>
      </c>
      <c r="L30" s="328">
        <f>SUM(Advertising:Sales!L30)</f>
        <v>0</v>
      </c>
      <c r="M30" s="328">
        <f>SUM(Advertising:Sales!M30)</f>
        <v>0</v>
      </c>
      <c r="N30" s="328">
        <f>SUM(Advertising:Sales!N30)</f>
        <v>0</v>
      </c>
      <c r="O30" s="328">
        <f>SUM(Advertising:Sales!O30)</f>
        <v>0</v>
      </c>
      <c r="P30" s="324">
        <f t="shared" si="6"/>
        <v>0</v>
      </c>
      <c r="Q30" s="329">
        <f>SUM(Advertising:Sales!Q30)</f>
        <v>0</v>
      </c>
      <c r="R30" s="329">
        <f>SUM(Advertising:Sales!R30)</f>
        <v>0</v>
      </c>
      <c r="S30" s="329">
        <f>SUM(Advertising:Sales!S30)</f>
        <v>0</v>
      </c>
      <c r="T30" s="329">
        <f>SUM(Advertising:Sales!T30)</f>
        <v>0</v>
      </c>
      <c r="U30" s="329">
        <f>SUM(Advertising:Sales!U30)</f>
        <v>0</v>
      </c>
      <c r="V30" s="329">
        <f>SUM(Advertising:Sales!V30)</f>
        <v>0</v>
      </c>
      <c r="W30" s="329">
        <f>SUM(Advertising:Sales!W30)</f>
        <v>0</v>
      </c>
      <c r="X30" s="329">
        <f>SUM(Advertising:Sales!X30)</f>
        <v>0</v>
      </c>
      <c r="Y30" s="329">
        <f>SUM(Advertising:Sales!Y30)</f>
        <v>0</v>
      </c>
      <c r="Z30" s="329">
        <f>SUM(Advertising:Sales!Z30)</f>
        <v>0</v>
      </c>
      <c r="AA30" s="329">
        <f>SUM(Advertising:Sales!AA30)</f>
        <v>0</v>
      </c>
      <c r="AB30" s="329">
        <f>SUM(Advertising:Sales!AB30)</f>
        <v>0</v>
      </c>
      <c r="AC30" s="330">
        <f t="shared" si="3"/>
        <v>0</v>
      </c>
      <c r="AD30" s="328">
        <f t="shared" si="4"/>
        <v>0</v>
      </c>
      <c r="AE30" s="331"/>
      <c r="AF30" s="324">
        <v>0</v>
      </c>
      <c r="AG30" s="201">
        <f t="shared" si="2"/>
        <v>0</v>
      </c>
      <c r="AH30" s="129"/>
      <c r="AI30" s="251"/>
    </row>
    <row r="31" spans="1:35" s="288" customFormat="1">
      <c r="A31" s="288" t="s">
        <v>914</v>
      </c>
      <c r="B31" s="288" t="s">
        <v>906</v>
      </c>
      <c r="C31" s="288" t="s">
        <v>915</v>
      </c>
      <c r="D31" s="328">
        <f>SUM(Advertising:Sales!D31)</f>
        <v>11747</v>
      </c>
      <c r="E31" s="328">
        <f>SUM(Advertising:Sales!E31)</f>
        <v>11747</v>
      </c>
      <c r="F31" s="328">
        <f>SUM(Advertising:Sales!F31)</f>
        <v>11747</v>
      </c>
      <c r="G31" s="328">
        <f>SUM(Advertising:Sales!G31)</f>
        <v>9271</v>
      </c>
      <c r="H31" s="328">
        <f>SUM(Advertising:Sales!H31)</f>
        <v>9271</v>
      </c>
      <c r="I31" s="328">
        <f>SUM(Advertising:Sales!I31)</f>
        <v>5563</v>
      </c>
      <c r="J31" s="328">
        <f>SUM(Advertising:Sales!J31)</f>
        <v>3125</v>
      </c>
      <c r="K31" s="328">
        <f>SUM(Advertising:Sales!K31)</f>
        <v>3125</v>
      </c>
      <c r="L31" s="328">
        <f>SUM(Advertising:Sales!L31)</f>
        <v>3125</v>
      </c>
      <c r="M31" s="328">
        <f>SUM(Advertising:Sales!M31)</f>
        <v>3125</v>
      </c>
      <c r="N31" s="328">
        <f>SUM(Advertising:Sales!N31)</f>
        <v>3125</v>
      </c>
      <c r="O31" s="328">
        <f>SUM(Advertising:Sales!O31)</f>
        <v>3125</v>
      </c>
      <c r="P31" s="324">
        <f t="shared" si="6"/>
        <v>78096</v>
      </c>
      <c r="Q31" s="329">
        <f>SUM(Advertising:Sales!Q31)</f>
        <v>11746.58</v>
      </c>
      <c r="R31" s="329">
        <f>SUM(Advertising:Sales!R31)</f>
        <v>11746.58</v>
      </c>
      <c r="S31" s="329">
        <f>SUM(Advertising:Sales!S31)</f>
        <v>11746.55</v>
      </c>
      <c r="T31" s="329">
        <f>SUM(Advertising:Sales!T31)</f>
        <v>9271.33</v>
      </c>
      <c r="U31" s="329">
        <f>SUM(Advertising:Sales!U31)</f>
        <v>9271.33</v>
      </c>
      <c r="V31" s="329">
        <f>SUM(Advertising:Sales!V31)</f>
        <v>5562.8</v>
      </c>
      <c r="W31" s="329">
        <f>SUM(Advertising:Sales!W31)</f>
        <v>5562.8</v>
      </c>
      <c r="X31" s="329">
        <f>SUM(Advertising:Sales!X31)</f>
        <v>5562.8</v>
      </c>
      <c r="Y31" s="329">
        <f>SUM(Advertising:Sales!Y31)</f>
        <v>3125</v>
      </c>
      <c r="Z31" s="329">
        <f>SUM(Advertising:Sales!Z31)</f>
        <v>3125</v>
      </c>
      <c r="AA31" s="329">
        <f>SUM(Advertising:Sales!AA31)</f>
        <v>3125</v>
      </c>
      <c r="AB31" s="329">
        <f>SUM(Advertising:Sales!AB31)</f>
        <v>3125</v>
      </c>
      <c r="AC31" s="330">
        <f t="shared" si="3"/>
        <v>82970.77</v>
      </c>
      <c r="AD31" s="328">
        <f t="shared" si="4"/>
        <v>4874.7700000000041</v>
      </c>
      <c r="AE31" s="331"/>
      <c r="AF31" s="324">
        <v>72038.83</v>
      </c>
      <c r="AG31" s="201">
        <f t="shared" si="2"/>
        <v>-6057.1699999999983</v>
      </c>
      <c r="AH31" s="129"/>
      <c r="AI31" s="251"/>
    </row>
    <row r="32" spans="1:35" s="288" customFormat="1">
      <c r="A32" s="288" t="s">
        <v>916</v>
      </c>
      <c r="B32" s="288" t="s">
        <v>906</v>
      </c>
      <c r="C32" s="288" t="s">
        <v>917</v>
      </c>
      <c r="D32" s="328">
        <f>SUM(Advertising:Sales!D32)</f>
        <v>0</v>
      </c>
      <c r="E32" s="328">
        <f>SUM(Advertising:Sales!E32)</f>
        <v>0</v>
      </c>
      <c r="F32" s="328">
        <f>SUM(Advertising:Sales!F32)</f>
        <v>0</v>
      </c>
      <c r="G32" s="328">
        <f>SUM(Advertising:Sales!G32)</f>
        <v>0</v>
      </c>
      <c r="H32" s="328">
        <f>SUM(Advertising:Sales!H32)</f>
        <v>0</v>
      </c>
      <c r="I32" s="328">
        <f>SUM(Advertising:Sales!I32)</f>
        <v>0</v>
      </c>
      <c r="J32" s="328">
        <f>SUM(Advertising:Sales!J32)</f>
        <v>0</v>
      </c>
      <c r="K32" s="328">
        <f>SUM(Advertising:Sales!K32)</f>
        <v>0</v>
      </c>
      <c r="L32" s="328">
        <f>SUM(Advertising:Sales!L32)</f>
        <v>0</v>
      </c>
      <c r="M32" s="328">
        <f>SUM(Advertising:Sales!M32)</f>
        <v>0</v>
      </c>
      <c r="N32" s="328">
        <f>SUM(Advertising:Sales!N32)</f>
        <v>0</v>
      </c>
      <c r="O32" s="328">
        <f>SUM(Advertising:Sales!O32)</f>
        <v>0</v>
      </c>
      <c r="P32" s="324">
        <f t="shared" si="6"/>
        <v>0</v>
      </c>
      <c r="Q32" s="329">
        <f>SUM(Advertising:Sales!Q32)</f>
        <v>0</v>
      </c>
      <c r="R32" s="329">
        <f>SUM(Advertising:Sales!R32)</f>
        <v>0</v>
      </c>
      <c r="S32" s="329">
        <f>SUM(Advertising:Sales!S32)</f>
        <v>0</v>
      </c>
      <c r="T32" s="329">
        <f>SUM(Advertising:Sales!T32)</f>
        <v>0</v>
      </c>
      <c r="U32" s="329">
        <f>SUM(Advertising:Sales!U32)</f>
        <v>0</v>
      </c>
      <c r="V32" s="329">
        <f>SUM(Advertising:Sales!V32)</f>
        <v>0</v>
      </c>
      <c r="W32" s="329">
        <f>SUM(Advertising:Sales!W32)</f>
        <v>0</v>
      </c>
      <c r="X32" s="329">
        <f>SUM(Advertising:Sales!X32)</f>
        <v>0</v>
      </c>
      <c r="Y32" s="329">
        <f>SUM(Advertising:Sales!Y32)</f>
        <v>0</v>
      </c>
      <c r="Z32" s="329">
        <f>SUM(Advertising:Sales!Z32)</f>
        <v>0</v>
      </c>
      <c r="AA32" s="329">
        <f>SUM(Advertising:Sales!AA32)</f>
        <v>0</v>
      </c>
      <c r="AB32" s="329">
        <f>SUM(Advertising:Sales!AB32)</f>
        <v>0</v>
      </c>
      <c r="AC32" s="330">
        <f t="shared" si="3"/>
        <v>0</v>
      </c>
      <c r="AD32" s="328">
        <f t="shared" si="4"/>
        <v>0</v>
      </c>
      <c r="AE32" s="331" t="e">
        <f t="shared" si="5"/>
        <v>#DIV/0!</v>
      </c>
      <c r="AF32" s="324">
        <v>0</v>
      </c>
      <c r="AG32" s="201">
        <f t="shared" si="2"/>
        <v>0</v>
      </c>
      <c r="AH32" s="129"/>
      <c r="AI32" s="251"/>
    </row>
    <row r="33" spans="1:35" s="288" customFormat="1">
      <c r="A33" s="288" t="s">
        <v>918</v>
      </c>
      <c r="B33" s="288" t="s">
        <v>906</v>
      </c>
      <c r="C33" s="288" t="s">
        <v>919</v>
      </c>
      <c r="D33" s="328">
        <f>SUM(Advertising:Sales!D33)</f>
        <v>0</v>
      </c>
      <c r="E33" s="328">
        <f>SUM(Advertising:Sales!E33)</f>
        <v>0</v>
      </c>
      <c r="F33" s="328">
        <f>SUM(Advertising:Sales!F33)</f>
        <v>0</v>
      </c>
      <c r="G33" s="328">
        <f>SUM(Advertising:Sales!G33)</f>
        <v>0</v>
      </c>
      <c r="H33" s="328">
        <f>SUM(Advertising:Sales!H33)</f>
        <v>0</v>
      </c>
      <c r="I33" s="328">
        <f>SUM(Advertising:Sales!I33)</f>
        <v>0</v>
      </c>
      <c r="J33" s="328">
        <f>SUM(Advertising:Sales!J33)</f>
        <v>0</v>
      </c>
      <c r="K33" s="328">
        <f>SUM(Advertising:Sales!K33)</f>
        <v>0</v>
      </c>
      <c r="L33" s="328">
        <f>SUM(Advertising:Sales!L33)</f>
        <v>0</v>
      </c>
      <c r="M33" s="328">
        <f>SUM(Advertising:Sales!M33)</f>
        <v>0</v>
      </c>
      <c r="N33" s="328">
        <f>SUM(Advertising:Sales!N33)</f>
        <v>0</v>
      </c>
      <c r="O33" s="328">
        <f>SUM(Advertising:Sales!O33)</f>
        <v>0</v>
      </c>
      <c r="P33" s="324">
        <f t="shared" si="6"/>
        <v>0</v>
      </c>
      <c r="Q33" s="329">
        <f>SUM(Advertising:Sales!Q33)</f>
        <v>0</v>
      </c>
      <c r="R33" s="329">
        <f>SUM(Advertising:Sales!R33)</f>
        <v>0</v>
      </c>
      <c r="S33" s="329">
        <f>SUM(Advertising:Sales!S33)</f>
        <v>0</v>
      </c>
      <c r="T33" s="329">
        <f>SUM(Advertising:Sales!T33)</f>
        <v>0</v>
      </c>
      <c r="U33" s="329">
        <f>SUM(Advertising:Sales!U33)</f>
        <v>0</v>
      </c>
      <c r="V33" s="329">
        <f>SUM(Advertising:Sales!V33)</f>
        <v>0</v>
      </c>
      <c r="W33" s="329">
        <f>SUM(Advertising:Sales!W33)</f>
        <v>0</v>
      </c>
      <c r="X33" s="329">
        <f>SUM(Advertising:Sales!X33)</f>
        <v>0</v>
      </c>
      <c r="Y33" s="329">
        <f>SUM(Advertising:Sales!Y33)</f>
        <v>0</v>
      </c>
      <c r="Z33" s="329">
        <f>SUM(Advertising:Sales!Z33)</f>
        <v>0</v>
      </c>
      <c r="AA33" s="329">
        <f>SUM(Advertising:Sales!AA33)</f>
        <v>0</v>
      </c>
      <c r="AB33" s="329">
        <f>SUM(Advertising:Sales!AB33)</f>
        <v>0</v>
      </c>
      <c r="AC33" s="330">
        <f t="shared" si="3"/>
        <v>0</v>
      </c>
      <c r="AD33" s="328">
        <f t="shared" si="4"/>
        <v>0</v>
      </c>
      <c r="AE33" s="331" t="e">
        <f t="shared" si="5"/>
        <v>#DIV/0!</v>
      </c>
      <c r="AF33" s="324">
        <v>4291.2</v>
      </c>
      <c r="AG33" s="201">
        <f t="shared" si="2"/>
        <v>4291.2</v>
      </c>
      <c r="AH33" s="129"/>
      <c r="AI33" s="251"/>
    </row>
    <row r="34" spans="1:35" s="288" customFormat="1">
      <c r="A34" s="288" t="s">
        <v>920</v>
      </c>
      <c r="B34" s="288" t="s">
        <v>906</v>
      </c>
      <c r="C34" s="288" t="s">
        <v>921</v>
      </c>
      <c r="D34" s="328">
        <f>SUM(Advertising:Sales!D34)</f>
        <v>4567</v>
      </c>
      <c r="E34" s="328">
        <f>SUM(Advertising:Sales!E34)</f>
        <v>4567</v>
      </c>
      <c r="F34" s="328">
        <f>SUM(Advertising:Sales!F34)</f>
        <v>4567</v>
      </c>
      <c r="G34" s="328">
        <f>SUM(Advertising:Sales!G34)</f>
        <v>4567</v>
      </c>
      <c r="H34" s="328">
        <f>SUM(Advertising:Sales!H34)</f>
        <v>4567</v>
      </c>
      <c r="I34" s="328">
        <f>SUM(Advertising:Sales!I34)</f>
        <v>4567</v>
      </c>
      <c r="J34" s="328">
        <f>SUM(Advertising:Sales!J34)</f>
        <v>4567</v>
      </c>
      <c r="K34" s="328">
        <f>SUM(Advertising:Sales!K34)</f>
        <v>4567</v>
      </c>
      <c r="L34" s="328">
        <f>SUM(Advertising:Sales!L34)</f>
        <v>4567</v>
      </c>
      <c r="M34" s="328">
        <f>SUM(Advertising:Sales!M34)</f>
        <v>4567</v>
      </c>
      <c r="N34" s="328">
        <f>SUM(Advertising:Sales!N34)</f>
        <v>4567</v>
      </c>
      <c r="O34" s="328">
        <f>SUM(Advertising:Sales!O34)</f>
        <v>4567</v>
      </c>
      <c r="P34" s="324">
        <f t="shared" si="6"/>
        <v>54804</v>
      </c>
      <c r="Q34" s="329">
        <f>SUM(Advertising:Sales!Q34)</f>
        <v>0</v>
      </c>
      <c r="R34" s="329">
        <f>SUM(Advertising:Sales!R34)</f>
        <v>0</v>
      </c>
      <c r="S34" s="329">
        <f>SUM(Advertising:Sales!S34)</f>
        <v>0</v>
      </c>
      <c r="T34" s="329">
        <f>SUM(Advertising:Sales!T34)</f>
        <v>0</v>
      </c>
      <c r="U34" s="329">
        <f>SUM(Advertising:Sales!U34)</f>
        <v>0</v>
      </c>
      <c r="V34" s="329">
        <f>SUM(Advertising:Sales!V34)</f>
        <v>0</v>
      </c>
      <c r="W34" s="329">
        <f>SUM(Advertising:Sales!W34)</f>
        <v>0</v>
      </c>
      <c r="X34" s="329">
        <f>SUM(Advertising:Sales!X34)</f>
        <v>0</v>
      </c>
      <c r="Y34" s="329">
        <f>SUM(Advertising:Sales!Y34)</f>
        <v>0</v>
      </c>
      <c r="Z34" s="329">
        <f>SUM(Advertising:Sales!Z34)</f>
        <v>0</v>
      </c>
      <c r="AA34" s="329">
        <f>SUM(Advertising:Sales!AA34)</f>
        <v>0</v>
      </c>
      <c r="AB34" s="329">
        <f>SUM(Advertising:Sales!AB34)</f>
        <v>0</v>
      </c>
      <c r="AC34" s="330">
        <f t="shared" si="3"/>
        <v>0</v>
      </c>
      <c r="AD34" s="328">
        <f t="shared" si="4"/>
        <v>-54804</v>
      </c>
      <c r="AE34" s="331"/>
      <c r="AF34" s="324">
        <v>0</v>
      </c>
      <c r="AG34" s="201">
        <f t="shared" si="2"/>
        <v>-54804</v>
      </c>
      <c r="AH34" s="129"/>
      <c r="AI34" s="251"/>
    </row>
    <row r="35" spans="1:35" s="288" customFormat="1">
      <c r="A35" s="288" t="s">
        <v>922</v>
      </c>
      <c r="B35" s="288" t="s">
        <v>906</v>
      </c>
      <c r="C35" s="288" t="s">
        <v>923</v>
      </c>
      <c r="D35" s="328">
        <f>SUM(Advertising:Sales!D35)</f>
        <v>49400</v>
      </c>
      <c r="E35" s="328">
        <f>SUM(Advertising:Sales!E35)</f>
        <v>9400</v>
      </c>
      <c r="F35" s="328">
        <f>SUM(Advertising:Sales!F35)</f>
        <v>29400</v>
      </c>
      <c r="G35" s="328">
        <f>SUM(Advertising:Sales!G35)</f>
        <v>9400</v>
      </c>
      <c r="H35" s="328">
        <f>SUM(Advertising:Sales!H35)</f>
        <v>9400</v>
      </c>
      <c r="I35" s="328">
        <f>SUM(Advertising:Sales!I35)</f>
        <v>39400</v>
      </c>
      <c r="J35" s="328">
        <f>SUM(Advertising:Sales!J35)</f>
        <v>39400</v>
      </c>
      <c r="K35" s="328">
        <f>SUM(Advertising:Sales!K35)</f>
        <v>29400</v>
      </c>
      <c r="L35" s="328">
        <f>SUM(Advertising:Sales!L35)</f>
        <v>39400</v>
      </c>
      <c r="M35" s="328">
        <f>SUM(Advertising:Sales!M35)</f>
        <v>29400</v>
      </c>
      <c r="N35" s="328">
        <f>SUM(Advertising:Sales!N35)</f>
        <v>39400</v>
      </c>
      <c r="O35" s="328">
        <f>SUM(Advertising:Sales!O35)</f>
        <v>29400</v>
      </c>
      <c r="P35" s="324">
        <f t="shared" si="6"/>
        <v>352800</v>
      </c>
      <c r="Q35" s="329">
        <f>SUM(Advertising:Sales!Q35)</f>
        <v>86361.59</v>
      </c>
      <c r="R35" s="329">
        <f>SUM(Advertising:Sales!R35)</f>
        <v>65302.28</v>
      </c>
      <c r="S35" s="329">
        <f>SUM(Advertising:Sales!S35)</f>
        <v>14725.36</v>
      </c>
      <c r="T35" s="329">
        <f>SUM(Advertising:Sales!T35)</f>
        <v>26988.240000000002</v>
      </c>
      <c r="U35" s="329">
        <f>SUM(Advertising:Sales!U35)</f>
        <v>22907.96</v>
      </c>
      <c r="V35" s="329">
        <f>SUM(Advertising:Sales!V35)</f>
        <v>12641.93</v>
      </c>
      <c r="W35" s="329">
        <f>SUM(Advertising:Sales!W35)</f>
        <v>23428.240000000002</v>
      </c>
      <c r="X35" s="329">
        <f>SUM(Advertising:Sales!X35)</f>
        <v>13061.33</v>
      </c>
      <c r="Y35" s="329">
        <f>SUM(Advertising:Sales!Y35)</f>
        <v>33267</v>
      </c>
      <c r="Z35" s="329">
        <f>SUM(Advertising:Sales!Z35)</f>
        <v>53267</v>
      </c>
      <c r="AA35" s="329">
        <f>SUM(Advertising:Sales!AA35)</f>
        <v>53267</v>
      </c>
      <c r="AB35" s="329">
        <f>SUM(Advertising:Sales!AB35)</f>
        <v>64810</v>
      </c>
      <c r="AC35" s="330">
        <f t="shared" si="3"/>
        <v>470027.92999999993</v>
      </c>
      <c r="AD35" s="328">
        <f t="shared" si="4"/>
        <v>117227.92999999993</v>
      </c>
      <c r="AE35" s="331">
        <f t="shared" si="5"/>
        <v>0.24940630655714427</v>
      </c>
      <c r="AF35" s="324">
        <v>501358.75</v>
      </c>
      <c r="AG35" s="201">
        <f t="shared" si="2"/>
        <v>148558.75</v>
      </c>
      <c r="AH35" s="129"/>
      <c r="AI35" s="251"/>
    </row>
    <row r="36" spans="1:35" s="288" customFormat="1">
      <c r="A36" s="288" t="s">
        <v>924</v>
      </c>
      <c r="B36" s="288" t="s">
        <v>906</v>
      </c>
      <c r="C36" s="288" t="s">
        <v>925</v>
      </c>
      <c r="D36" s="328">
        <f>SUM(Advertising:Sales!D36)</f>
        <v>3000</v>
      </c>
      <c r="E36" s="328">
        <f>SUM(Advertising:Sales!E36)</f>
        <v>3000</v>
      </c>
      <c r="F36" s="328">
        <f>SUM(Advertising:Sales!F36)</f>
        <v>3000</v>
      </c>
      <c r="G36" s="328">
        <f>SUM(Advertising:Sales!G36)</f>
        <v>3000</v>
      </c>
      <c r="H36" s="328">
        <f>SUM(Advertising:Sales!H36)</f>
        <v>3000</v>
      </c>
      <c r="I36" s="328">
        <f>SUM(Advertising:Sales!I36)</f>
        <v>3000</v>
      </c>
      <c r="J36" s="328">
        <f>SUM(Advertising:Sales!J36)</f>
        <v>3000</v>
      </c>
      <c r="K36" s="328">
        <f>SUM(Advertising:Sales!K36)</f>
        <v>3000</v>
      </c>
      <c r="L36" s="328">
        <f>SUM(Advertising:Sales!L36)</f>
        <v>3000</v>
      </c>
      <c r="M36" s="328">
        <f>SUM(Advertising:Sales!M36)</f>
        <v>3000</v>
      </c>
      <c r="N36" s="328">
        <f>SUM(Advertising:Sales!N36)</f>
        <v>3000</v>
      </c>
      <c r="O36" s="328">
        <f>SUM(Advertising:Sales!O36)</f>
        <v>3000</v>
      </c>
      <c r="P36" s="324">
        <f t="shared" si="6"/>
        <v>36000</v>
      </c>
      <c r="Q36" s="329">
        <f>SUM(Advertising:Sales!Q36)</f>
        <v>0</v>
      </c>
      <c r="R36" s="329">
        <f>SUM(Advertising:Sales!R36)</f>
        <v>0</v>
      </c>
      <c r="S36" s="329">
        <f>SUM(Advertising:Sales!S36)</f>
        <v>0</v>
      </c>
      <c r="T36" s="329">
        <f>SUM(Advertising:Sales!T36)</f>
        <v>0</v>
      </c>
      <c r="U36" s="329">
        <f>SUM(Advertising:Sales!U36)</f>
        <v>0</v>
      </c>
      <c r="V36" s="329">
        <f>SUM(Advertising:Sales!V36)</f>
        <v>0</v>
      </c>
      <c r="W36" s="329">
        <f>SUM(Advertising:Sales!W36)</f>
        <v>0</v>
      </c>
      <c r="X36" s="329">
        <f>SUM(Advertising:Sales!X36)</f>
        <v>0</v>
      </c>
      <c r="Y36" s="329">
        <f>SUM(Advertising:Sales!Y36)</f>
        <v>0</v>
      </c>
      <c r="Z36" s="329">
        <f>SUM(Advertising:Sales!Z36)</f>
        <v>10000</v>
      </c>
      <c r="AA36" s="329">
        <f>SUM(Advertising:Sales!AA36)</f>
        <v>0</v>
      </c>
      <c r="AB36" s="329">
        <f>SUM(Advertising:Sales!AB36)</f>
        <v>10000</v>
      </c>
      <c r="AC36" s="330">
        <f t="shared" si="3"/>
        <v>20000</v>
      </c>
      <c r="AD36" s="328">
        <f t="shared" si="4"/>
        <v>-16000</v>
      </c>
      <c r="AE36" s="331">
        <f t="shared" si="5"/>
        <v>-0.8</v>
      </c>
      <c r="AF36" s="324">
        <v>65415.040000000001</v>
      </c>
      <c r="AG36" s="201">
        <f t="shared" si="2"/>
        <v>29415.040000000001</v>
      </c>
      <c r="AH36" s="129"/>
      <c r="AI36" s="251"/>
    </row>
    <row r="37" spans="1:35">
      <c r="A37" s="105" t="s">
        <v>926</v>
      </c>
      <c r="B37" s="105" t="s">
        <v>906</v>
      </c>
      <c r="C37" s="105" t="s">
        <v>927</v>
      </c>
      <c r="D37" s="123">
        <f>SUM(Advertising:Sales!D37)</f>
        <v>0</v>
      </c>
      <c r="E37" s="123">
        <f>SUM(Advertising:Sales!E37)</f>
        <v>0</v>
      </c>
      <c r="F37" s="123">
        <f>SUM(Advertising:Sales!F37)</f>
        <v>0</v>
      </c>
      <c r="G37" s="123">
        <f>SUM(Advertising:Sales!G37)</f>
        <v>0</v>
      </c>
      <c r="H37" s="123">
        <f>SUM(Advertising:Sales!H37)</f>
        <v>0</v>
      </c>
      <c r="I37" s="123">
        <f>SUM(Advertising:Sales!I37)</f>
        <v>0</v>
      </c>
      <c r="J37" s="123">
        <f>SUM(Advertising:Sales!J37)</f>
        <v>0</v>
      </c>
      <c r="K37" s="123">
        <f>SUM(Advertising:Sales!K37)</f>
        <v>0</v>
      </c>
      <c r="L37" s="123">
        <f>SUM(Advertising:Sales!L37)</f>
        <v>0</v>
      </c>
      <c r="M37" s="123">
        <f>SUM(Advertising:Sales!M37)</f>
        <v>0</v>
      </c>
      <c r="N37" s="123">
        <f>SUM(Advertising:Sales!N37)</f>
        <v>0</v>
      </c>
      <c r="O37" s="123">
        <f>SUM(Advertising:Sales!O37)</f>
        <v>0</v>
      </c>
      <c r="P37" s="133">
        <f t="shared" si="6"/>
        <v>0</v>
      </c>
      <c r="Q37" s="231">
        <f>SUM(Advertising:Sales!Q37)</f>
        <v>23252.080000000002</v>
      </c>
      <c r="R37" s="231">
        <f>SUM(Advertising:Sales!R37)</f>
        <v>104194.95</v>
      </c>
      <c r="S37" s="231">
        <f>SUM(Advertising:Sales!S37)</f>
        <v>2626.6</v>
      </c>
      <c r="T37" s="231">
        <f>SUM(Advertising:Sales!T37)</f>
        <v>-87763.31</v>
      </c>
      <c r="U37" s="231">
        <f>SUM(Advertising:Sales!U37)</f>
        <v>0</v>
      </c>
      <c r="V37" s="231">
        <f>SUM(Advertising:Sales!V37)</f>
        <v>0</v>
      </c>
      <c r="W37" s="231">
        <f>SUM(Advertising:Sales!W37)</f>
        <v>0</v>
      </c>
      <c r="X37" s="231">
        <f>SUM(Advertising:Sales!X37)</f>
        <v>0</v>
      </c>
      <c r="Y37" s="231">
        <f>SUM(Advertising:Sales!Y37)</f>
        <v>0</v>
      </c>
      <c r="Z37" s="231">
        <f>SUM(Advertising:Sales!Z37)</f>
        <v>0</v>
      </c>
      <c r="AA37" s="231">
        <f>SUM(Advertising:Sales!AA37)</f>
        <v>0</v>
      </c>
      <c r="AB37" s="231">
        <f>SUM(Advertising:Sales!AB37)</f>
        <v>0</v>
      </c>
      <c r="AC37" s="145">
        <f t="shared" si="3"/>
        <v>42310.320000000007</v>
      </c>
      <c r="AD37" s="123">
        <f t="shared" si="4"/>
        <v>42310.320000000007</v>
      </c>
      <c r="AE37" s="196">
        <f t="shared" si="5"/>
        <v>1</v>
      </c>
      <c r="AF37" s="133">
        <v>41091.300000000003</v>
      </c>
      <c r="AG37" s="201">
        <f t="shared" si="2"/>
        <v>41091.300000000003</v>
      </c>
      <c r="AH37" s="129"/>
      <c r="AI37" s="251"/>
    </row>
    <row r="38" spans="1:35">
      <c r="A38" s="105" t="s">
        <v>928</v>
      </c>
      <c r="B38" s="105" t="s">
        <v>906</v>
      </c>
      <c r="C38" s="105" t="s">
        <v>929</v>
      </c>
      <c r="D38" s="123">
        <f>SUM(Advertising:Sales!D38)</f>
        <v>0</v>
      </c>
      <c r="E38" s="123">
        <f>SUM(Advertising:Sales!E38)</f>
        <v>0</v>
      </c>
      <c r="F38" s="123">
        <f>SUM(Advertising:Sales!F38)</f>
        <v>0</v>
      </c>
      <c r="G38" s="123">
        <f>SUM(Advertising:Sales!G38)</f>
        <v>0</v>
      </c>
      <c r="H38" s="123">
        <f>SUM(Advertising:Sales!H38)</f>
        <v>0</v>
      </c>
      <c r="I38" s="123">
        <f>SUM(Advertising:Sales!I38)</f>
        <v>0</v>
      </c>
      <c r="J38" s="123">
        <f>SUM(Advertising:Sales!J38)</f>
        <v>0</v>
      </c>
      <c r="K38" s="123">
        <f>SUM(Advertising:Sales!K38)</f>
        <v>0</v>
      </c>
      <c r="L38" s="123">
        <f>SUM(Advertising:Sales!L38)</f>
        <v>0</v>
      </c>
      <c r="M38" s="123">
        <f>SUM(Advertising:Sales!M38)</f>
        <v>0</v>
      </c>
      <c r="N38" s="123">
        <f>SUM(Advertising:Sales!N38)</f>
        <v>0</v>
      </c>
      <c r="O38" s="123">
        <f>SUM(Advertising:Sales!O38)</f>
        <v>0</v>
      </c>
      <c r="P38" s="133">
        <f t="shared" si="6"/>
        <v>0</v>
      </c>
      <c r="Q38" s="231">
        <f>SUM(Advertising:Sales!Q38)</f>
        <v>0</v>
      </c>
      <c r="R38" s="231">
        <f>SUM(Advertising:Sales!R38)</f>
        <v>0</v>
      </c>
      <c r="S38" s="231">
        <f>SUM(Advertising:Sales!S38)</f>
        <v>0</v>
      </c>
      <c r="T38" s="231">
        <f>SUM(Advertising:Sales!T38)</f>
        <v>0</v>
      </c>
      <c r="U38" s="231">
        <f>SUM(Advertising:Sales!U38)</f>
        <v>0</v>
      </c>
      <c r="V38" s="231">
        <f>SUM(Advertising:Sales!V38)</f>
        <v>0</v>
      </c>
      <c r="W38" s="231">
        <f>SUM(Advertising:Sales!W38)</f>
        <v>0</v>
      </c>
      <c r="X38" s="231">
        <f>SUM(Advertising:Sales!X38)</f>
        <v>0</v>
      </c>
      <c r="Y38" s="231">
        <f>SUM(Advertising:Sales!Y38)</f>
        <v>34000</v>
      </c>
      <c r="Z38" s="231">
        <f>SUM(Advertising:Sales!Z38)</f>
        <v>0</v>
      </c>
      <c r="AA38" s="231">
        <f>SUM(Advertising:Sales!AA38)</f>
        <v>0</v>
      </c>
      <c r="AB38" s="231">
        <f>SUM(Advertising:Sales!AB38)</f>
        <v>0</v>
      </c>
      <c r="AC38" s="145">
        <f t="shared" si="3"/>
        <v>34000</v>
      </c>
      <c r="AD38" s="123">
        <f t="shared" si="4"/>
        <v>34000</v>
      </c>
      <c r="AE38" s="196"/>
      <c r="AF38" s="133">
        <v>0</v>
      </c>
      <c r="AG38" s="201">
        <f t="shared" si="2"/>
        <v>0</v>
      </c>
      <c r="AH38" s="129"/>
      <c r="AI38" s="251"/>
    </row>
    <row r="39" spans="1:35">
      <c r="A39" s="105" t="s">
        <v>930</v>
      </c>
      <c r="B39" s="105" t="s">
        <v>906</v>
      </c>
      <c r="C39" s="105" t="s">
        <v>931</v>
      </c>
      <c r="D39" s="123">
        <f>SUM(Advertising:Sales!D39)</f>
        <v>0</v>
      </c>
      <c r="E39" s="123">
        <f>SUM(Advertising:Sales!E39)</f>
        <v>0</v>
      </c>
      <c r="F39" s="123">
        <f>SUM(Advertising:Sales!F39)</f>
        <v>0</v>
      </c>
      <c r="G39" s="123">
        <f>SUM(Advertising:Sales!G39)</f>
        <v>0</v>
      </c>
      <c r="H39" s="123">
        <f>SUM(Advertising:Sales!H39)</f>
        <v>0</v>
      </c>
      <c r="I39" s="123">
        <f>SUM(Advertising:Sales!I39)</f>
        <v>0</v>
      </c>
      <c r="J39" s="123">
        <f>SUM(Advertising:Sales!J39)</f>
        <v>0</v>
      </c>
      <c r="K39" s="123">
        <f>SUM(Advertising:Sales!K39)</f>
        <v>0</v>
      </c>
      <c r="L39" s="123">
        <f>SUM(Advertising:Sales!L39)</f>
        <v>0</v>
      </c>
      <c r="M39" s="123">
        <f>SUM(Advertising:Sales!M39)</f>
        <v>0</v>
      </c>
      <c r="N39" s="123">
        <f>SUM(Advertising:Sales!N39)</f>
        <v>0</v>
      </c>
      <c r="O39" s="123">
        <f>SUM(Advertising:Sales!O39)</f>
        <v>0</v>
      </c>
      <c r="P39" s="133">
        <f t="shared" si="6"/>
        <v>0</v>
      </c>
      <c r="Q39" s="231">
        <f>SUM(Advertising:Sales!Q39)</f>
        <v>0</v>
      </c>
      <c r="R39" s="231">
        <f>SUM(Advertising:Sales!R39)</f>
        <v>0</v>
      </c>
      <c r="S39" s="231">
        <f>SUM(Advertising:Sales!S39)</f>
        <v>0</v>
      </c>
      <c r="T39" s="231">
        <f>SUM(Advertising:Sales!T39)</f>
        <v>0</v>
      </c>
      <c r="U39" s="231">
        <f>SUM(Advertising:Sales!U39)</f>
        <v>0</v>
      </c>
      <c r="V39" s="231">
        <f>SUM(Advertising:Sales!V39)</f>
        <v>0</v>
      </c>
      <c r="W39" s="231">
        <f>SUM(Advertising:Sales!W39)</f>
        <v>0</v>
      </c>
      <c r="X39" s="231">
        <f>SUM(Advertising:Sales!X39)</f>
        <v>0</v>
      </c>
      <c r="Y39" s="231">
        <f>SUM(Advertising:Sales!Y39)</f>
        <v>0</v>
      </c>
      <c r="Z39" s="231">
        <f>SUM(Advertising:Sales!Z39)</f>
        <v>0</v>
      </c>
      <c r="AA39" s="231">
        <f>SUM(Advertising:Sales!AA39)</f>
        <v>0</v>
      </c>
      <c r="AB39" s="231">
        <f>SUM(Advertising:Sales!AB39)</f>
        <v>0</v>
      </c>
      <c r="AC39" s="145">
        <f t="shared" si="3"/>
        <v>0</v>
      </c>
      <c r="AD39" s="123">
        <f t="shared" si="4"/>
        <v>0</v>
      </c>
      <c r="AE39" s="196"/>
      <c r="AF39" s="133">
        <v>0</v>
      </c>
      <c r="AG39" s="201">
        <f t="shared" si="2"/>
        <v>0</v>
      </c>
      <c r="AH39" s="129"/>
      <c r="AI39" s="251"/>
    </row>
    <row r="40" spans="1:35">
      <c r="A40" s="105" t="s">
        <v>932</v>
      </c>
      <c r="B40" s="105" t="s">
        <v>906</v>
      </c>
      <c r="C40" s="105" t="s">
        <v>933</v>
      </c>
      <c r="D40" s="123">
        <f>SUM(Advertising:Sales!D40)</f>
        <v>592495</v>
      </c>
      <c r="E40" s="123">
        <f>SUM(Advertising:Sales!E40)</f>
        <v>656214</v>
      </c>
      <c r="F40" s="123">
        <f>SUM(Advertising:Sales!F40)</f>
        <v>408210</v>
      </c>
      <c r="G40" s="123">
        <f>SUM(Advertising:Sales!G40)</f>
        <v>377959</v>
      </c>
      <c r="H40" s="123">
        <f>SUM(Advertising:Sales!H40)</f>
        <v>359540</v>
      </c>
      <c r="I40" s="123">
        <f>SUM(Advertising:Sales!I40)</f>
        <v>321610</v>
      </c>
      <c r="J40" s="123">
        <f>SUM(Advertising:Sales!J40)</f>
        <v>466742</v>
      </c>
      <c r="K40" s="123">
        <f>SUM(Advertising:Sales!K40)</f>
        <v>525837</v>
      </c>
      <c r="L40" s="123">
        <f>SUM(Advertising:Sales!L40)</f>
        <v>303187</v>
      </c>
      <c r="M40" s="123">
        <f>SUM(Advertising:Sales!M40)</f>
        <v>383307</v>
      </c>
      <c r="N40" s="123">
        <f>SUM(Advertising:Sales!N40)</f>
        <v>331284</v>
      </c>
      <c r="O40" s="123">
        <f>SUM(Advertising:Sales!O40)</f>
        <v>417711</v>
      </c>
      <c r="P40" s="133">
        <f t="shared" si="6"/>
        <v>5144096</v>
      </c>
      <c r="Q40" s="231">
        <f>SUM(Advertising:Sales!Q40)</f>
        <v>632796.01</v>
      </c>
      <c r="R40" s="231">
        <f>SUM(Advertising:Sales!R40)</f>
        <v>987547.99</v>
      </c>
      <c r="S40" s="231">
        <f>SUM(Advertising:Sales!S40)</f>
        <v>452252.06</v>
      </c>
      <c r="T40" s="231">
        <f>SUM(Advertising:Sales!T40)</f>
        <v>389024.35</v>
      </c>
      <c r="U40" s="231">
        <f>SUM(Advertising:Sales!U40)</f>
        <v>364269.46</v>
      </c>
      <c r="V40" s="231">
        <f>SUM(Advertising:Sales!V40)</f>
        <v>325826.11</v>
      </c>
      <c r="W40" s="231">
        <f>SUM(Advertising:Sales!W40)</f>
        <v>467002.2</v>
      </c>
      <c r="X40" s="231">
        <f>SUM(Advertising:Sales!X40)</f>
        <v>534294.68000000005</v>
      </c>
      <c r="Y40" s="231">
        <f>SUM(Advertising:Sales!Y40)</f>
        <v>285437</v>
      </c>
      <c r="Z40" s="231">
        <f>SUM(Advertising:Sales!Z40)</f>
        <v>337739</v>
      </c>
      <c r="AA40" s="231">
        <f>SUM(Advertising:Sales!AA40)</f>
        <v>310336</v>
      </c>
      <c r="AB40" s="231">
        <f>SUM(Advertising:Sales!AB40)</f>
        <v>376532</v>
      </c>
      <c r="AC40" s="145">
        <f t="shared" si="3"/>
        <v>5463056.8600000003</v>
      </c>
      <c r="AD40" s="123">
        <f t="shared" si="4"/>
        <v>318960.86000000034</v>
      </c>
      <c r="AE40" s="196">
        <f t="shared" si="5"/>
        <v>5.8385052210494531E-2</v>
      </c>
      <c r="AF40" s="133">
        <v>5127912.9899999993</v>
      </c>
      <c r="AG40" s="201">
        <f t="shared" si="2"/>
        <v>-16183.010000000708</v>
      </c>
      <c r="AH40" s="129"/>
      <c r="AI40" s="251"/>
    </row>
    <row r="41" spans="1:35">
      <c r="A41" s="105" t="s">
        <v>698</v>
      </c>
      <c r="B41" s="105" t="s">
        <v>906</v>
      </c>
      <c r="C41" s="105" t="s">
        <v>222</v>
      </c>
      <c r="D41" s="123">
        <f>SUM(Advertising:Sales!D41)</f>
        <v>4447</v>
      </c>
      <c r="E41" s="123">
        <f>SUM(Advertising:Sales!E41)</f>
        <v>23588</v>
      </c>
      <c r="F41" s="123">
        <f>SUM(Advertising:Sales!F41)</f>
        <v>1000</v>
      </c>
      <c r="G41" s="123">
        <f>SUM(Advertising:Sales!G41)</f>
        <v>944</v>
      </c>
      <c r="H41" s="123">
        <f>SUM(Advertising:Sales!H41)</f>
        <v>840</v>
      </c>
      <c r="I41" s="123">
        <f>SUM(Advertising:Sales!I41)</f>
        <v>87</v>
      </c>
      <c r="J41" s="123">
        <f>SUM(Advertising:Sales!J41)</f>
        <v>5000</v>
      </c>
      <c r="K41" s="123">
        <f>SUM(Advertising:Sales!K41)</f>
        <v>15000</v>
      </c>
      <c r="L41" s="123">
        <f>SUM(Advertising:Sales!L41)</f>
        <v>11000</v>
      </c>
      <c r="M41" s="123">
        <f>SUM(Advertising:Sales!M41)</f>
        <v>21000</v>
      </c>
      <c r="N41" s="123">
        <f>SUM(Advertising:Sales!N41)</f>
        <v>11000</v>
      </c>
      <c r="O41" s="123">
        <f>SUM(Advertising:Sales!O41)</f>
        <v>15001</v>
      </c>
      <c r="P41" s="133">
        <f t="shared" si="6"/>
        <v>108907</v>
      </c>
      <c r="Q41" s="141">
        <f>SUM(Advertising:Sales!Q41)</f>
        <v>4447.32</v>
      </c>
      <c r="R41" s="141">
        <f>SUM(Advertising:Sales!R41)</f>
        <v>23587.67</v>
      </c>
      <c r="S41" s="141">
        <f>SUM(Advertising:Sales!S41)</f>
        <v>999.82</v>
      </c>
      <c r="T41" s="141">
        <f>SUM(Advertising:Sales!T41)</f>
        <v>944.02</v>
      </c>
      <c r="U41" s="141">
        <f>SUM(Advertising:Sales!U41)</f>
        <v>839.66000000000008</v>
      </c>
      <c r="V41" s="141">
        <f>SUM(Advertising:Sales!V41)</f>
        <v>87.36</v>
      </c>
      <c r="W41" s="141">
        <f>SUM(Advertising:Sales!W41)</f>
        <v>1760.87</v>
      </c>
      <c r="X41" s="141">
        <f>SUM(Advertising:Sales!X41)</f>
        <v>148.6</v>
      </c>
      <c r="Y41" s="141">
        <f>SUM(Advertising:Sales!Y41)</f>
        <v>11000</v>
      </c>
      <c r="Z41" s="141">
        <f>SUM(Advertising:Sales!Z41)</f>
        <v>11000</v>
      </c>
      <c r="AA41" s="141">
        <f>SUM(Advertising:Sales!AA41)</f>
        <v>11000</v>
      </c>
      <c r="AB41" s="141">
        <f>SUM(Advertising:Sales!AB41)</f>
        <v>11000</v>
      </c>
      <c r="AC41" s="142">
        <f t="shared" si="3"/>
        <v>76815.320000000007</v>
      </c>
      <c r="AD41" s="124">
        <f t="shared" si="4"/>
        <v>-32091.679999999993</v>
      </c>
      <c r="AE41" s="192">
        <f t="shared" si="5"/>
        <v>-0.41777707884312648</v>
      </c>
      <c r="AF41" s="129">
        <v>193175.96000000002</v>
      </c>
      <c r="AG41" s="201">
        <f t="shared" si="2"/>
        <v>84268.960000000021</v>
      </c>
      <c r="AH41" s="129"/>
      <c r="AI41" s="251"/>
    </row>
    <row r="42" spans="1:35" s="109" customFormat="1">
      <c r="C42" s="109" t="s">
        <v>867</v>
      </c>
      <c r="D42" s="129">
        <f t="shared" ref="D42:X42" si="7">SUM(D12:D41)</f>
        <v>818067</v>
      </c>
      <c r="E42" s="129">
        <f t="shared" si="7"/>
        <v>889862</v>
      </c>
      <c r="F42" s="129">
        <f t="shared" si="7"/>
        <v>611834</v>
      </c>
      <c r="G42" s="129">
        <f t="shared" si="7"/>
        <v>576059</v>
      </c>
      <c r="H42" s="129">
        <f t="shared" si="7"/>
        <v>527545</v>
      </c>
      <c r="I42" s="129">
        <f t="shared" si="7"/>
        <v>515139</v>
      </c>
      <c r="J42" s="129">
        <f t="shared" si="7"/>
        <v>682767</v>
      </c>
      <c r="K42" s="129">
        <f t="shared" si="7"/>
        <v>731860</v>
      </c>
      <c r="L42" s="129">
        <f t="shared" si="7"/>
        <v>525200</v>
      </c>
      <c r="M42" s="129">
        <f t="shared" si="7"/>
        <v>618362</v>
      </c>
      <c r="N42" s="129">
        <f t="shared" si="7"/>
        <v>620298</v>
      </c>
      <c r="O42" s="129">
        <f t="shared" si="7"/>
        <v>707725</v>
      </c>
      <c r="P42" s="133">
        <f t="shared" si="7"/>
        <v>7824718</v>
      </c>
      <c r="Q42" s="142">
        <f t="shared" si="7"/>
        <v>918476.52999999991</v>
      </c>
      <c r="R42" s="142">
        <f t="shared" si="7"/>
        <v>1415117.3099999998</v>
      </c>
      <c r="S42" s="142">
        <f t="shared" si="7"/>
        <v>725406.86</v>
      </c>
      <c r="T42" s="142">
        <f t="shared" si="7"/>
        <v>628511.53</v>
      </c>
      <c r="U42" s="142">
        <f t="shared" si="7"/>
        <v>487791.89999999997</v>
      </c>
      <c r="V42" s="142">
        <f t="shared" si="7"/>
        <v>471196.5</v>
      </c>
      <c r="W42" s="142">
        <f t="shared" si="7"/>
        <v>646861.4</v>
      </c>
      <c r="X42" s="142">
        <f t="shared" si="7"/>
        <v>675371.5</v>
      </c>
      <c r="Y42" s="142">
        <f>SUM(Y12:Y41)</f>
        <v>596439.17999999993</v>
      </c>
      <c r="Z42" s="142">
        <f>SUM(Z12:Z41)</f>
        <v>674789.17999999993</v>
      </c>
      <c r="AA42" s="142">
        <f>SUM(AA12:AA41)</f>
        <v>837313.17999999993</v>
      </c>
      <c r="AB42" s="142">
        <f>SUM(AB12:AB41)</f>
        <v>1165060.1800000002</v>
      </c>
      <c r="AC42" s="142">
        <f>SUM(AC12:AC41)</f>
        <v>9242335.25</v>
      </c>
      <c r="AD42" s="129">
        <f t="shared" si="4"/>
        <v>1417617.25</v>
      </c>
      <c r="AE42" s="132">
        <f t="shared" si="5"/>
        <v>0.15338301540187044</v>
      </c>
      <c r="AF42" s="129">
        <v>7872328.5099999988</v>
      </c>
      <c r="AG42" s="201">
        <f t="shared" si="2"/>
        <v>47610.509999998845</v>
      </c>
      <c r="AH42" s="129"/>
      <c r="AI42" s="251"/>
    </row>
    <row r="43" spans="1:35" s="109" customFormat="1">
      <c r="C43" s="109" t="s">
        <v>868</v>
      </c>
      <c r="D43" s="129">
        <f>D42+D78</f>
        <v>1301005.01</v>
      </c>
      <c r="E43" s="129">
        <f t="shared" ref="E43:X43" si="8">E42+E78</f>
        <v>1366494.03</v>
      </c>
      <c r="F43" s="129">
        <f t="shared" si="8"/>
        <v>1063515.31</v>
      </c>
      <c r="G43" s="129">
        <f t="shared" si="8"/>
        <v>1040566.87</v>
      </c>
      <c r="H43" s="129">
        <f t="shared" si="8"/>
        <v>990778.2</v>
      </c>
      <c r="I43" s="129">
        <f t="shared" si="8"/>
        <v>967177.4</v>
      </c>
      <c r="J43" s="129">
        <f t="shared" si="8"/>
        <v>1157548.2</v>
      </c>
      <c r="K43" s="129">
        <f>K42+K78</f>
        <v>1215391.18</v>
      </c>
      <c r="L43" s="129">
        <f t="shared" si="8"/>
        <v>987822.32000000007</v>
      </c>
      <c r="M43" s="129">
        <f t="shared" si="8"/>
        <v>1097300.73</v>
      </c>
      <c r="N43" s="129">
        <f t="shared" si="8"/>
        <v>1083877.4300000002</v>
      </c>
      <c r="O43" s="129">
        <f t="shared" si="8"/>
        <v>1185922.24</v>
      </c>
      <c r="P43" s="133">
        <f t="shared" si="8"/>
        <v>13457398.92</v>
      </c>
      <c r="Q43" s="142">
        <f t="shared" si="8"/>
        <v>1520469.42</v>
      </c>
      <c r="R43" s="142">
        <f t="shared" si="8"/>
        <v>2114311.9499999997</v>
      </c>
      <c r="S43" s="142">
        <f t="shared" si="8"/>
        <v>1335032.5899999999</v>
      </c>
      <c r="T43" s="142">
        <f t="shared" si="8"/>
        <v>1159290.3600000001</v>
      </c>
      <c r="U43" s="142">
        <f t="shared" si="8"/>
        <v>1003248.49</v>
      </c>
      <c r="V43" s="142">
        <f t="shared" si="8"/>
        <v>941069.53999999992</v>
      </c>
      <c r="W43" s="142">
        <f t="shared" si="8"/>
        <v>1129672.95</v>
      </c>
      <c r="X43" s="142">
        <f t="shared" si="8"/>
        <v>1099446.6200000001</v>
      </c>
      <c r="Y43" s="142">
        <f>Y42+Y78</f>
        <v>1148237.3499999999</v>
      </c>
      <c r="Z43" s="142">
        <f>Z42+Z78</f>
        <v>1214588.3499999999</v>
      </c>
      <c r="AA43" s="142">
        <f>AA42+AA78</f>
        <v>1360622.3499999999</v>
      </c>
      <c r="AB43" s="142">
        <f>AB42+AB78</f>
        <v>1908318.35</v>
      </c>
      <c r="AC43" s="142">
        <f t="shared" si="3"/>
        <v>15934308.319999997</v>
      </c>
      <c r="AD43" s="129">
        <f t="shared" si="4"/>
        <v>2476909.3999999966</v>
      </c>
      <c r="AE43" s="132">
        <f t="shared" si="5"/>
        <v>0.15544505291711319</v>
      </c>
      <c r="AF43" s="129">
        <v>12262787.009999998</v>
      </c>
      <c r="AG43" s="201">
        <f t="shared" si="2"/>
        <v>-1194611.910000002</v>
      </c>
      <c r="AH43" s="129"/>
      <c r="AI43" s="251"/>
    </row>
    <row r="44" spans="1:35">
      <c r="C44" s="105" t="s">
        <v>154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33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2"/>
      <c r="AF44" s="129"/>
      <c r="AG44" s="201">
        <f t="shared" si="2"/>
        <v>0</v>
      </c>
      <c r="AH44" s="129"/>
      <c r="AI44" s="251"/>
    </row>
    <row r="45" spans="1:35">
      <c r="C45" s="105" t="s">
        <v>869</v>
      </c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33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2"/>
      <c r="AF45" s="129"/>
      <c r="AG45" s="201">
        <f t="shared" si="2"/>
        <v>0</v>
      </c>
      <c r="AH45" s="129"/>
      <c r="AI45" s="251"/>
    </row>
    <row r="46" spans="1:35">
      <c r="C46" s="105" t="s">
        <v>465</v>
      </c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33"/>
      <c r="Q46" s="124"/>
      <c r="R46" s="124"/>
      <c r="S46" s="124"/>
      <c r="T46" s="124"/>
      <c r="U46" s="124"/>
      <c r="V46" s="124"/>
      <c r="W46" s="124"/>
      <c r="AF46" s="129"/>
      <c r="AG46" s="201">
        <f t="shared" si="2"/>
        <v>0</v>
      </c>
      <c r="AH46" s="129"/>
      <c r="AI46" s="251"/>
    </row>
    <row r="47" spans="1:35">
      <c r="A47" s="105" t="s">
        <v>248</v>
      </c>
      <c r="B47" s="105" t="s">
        <v>906</v>
      </c>
      <c r="C47" s="105" t="s">
        <v>250</v>
      </c>
      <c r="D47" s="124">
        <f>SUM(Advertising:Sales!D47)</f>
        <v>162637.29999999999</v>
      </c>
      <c r="E47" s="124">
        <f>SUM(Advertising:Sales!E47)</f>
        <v>162637.29999999999</v>
      </c>
      <c r="F47" s="124">
        <f>SUM(Advertising:Sales!F47)</f>
        <v>174065.08000000002</v>
      </c>
      <c r="G47" s="124">
        <f>SUM(Advertising:Sales!G47)</f>
        <v>178995.61000000002</v>
      </c>
      <c r="H47" s="124">
        <f>SUM(Advertising:Sales!H47)</f>
        <v>178995.61000000002</v>
      </c>
      <c r="I47" s="124">
        <f>SUM(Advertising:Sales!I47)</f>
        <v>178995.61000000002</v>
      </c>
      <c r="J47" s="124">
        <f>SUM(Advertising:Sales!J47)</f>
        <v>180111.16</v>
      </c>
      <c r="K47" s="124">
        <f>SUM(Advertising:Sales!K47)</f>
        <v>186373</v>
      </c>
      <c r="L47" s="124">
        <f>SUM(Advertising:Sales!L47)</f>
        <v>191728.75</v>
      </c>
      <c r="M47" s="124">
        <f>SUM(Advertising:Sales!M47)</f>
        <v>191728.75</v>
      </c>
      <c r="N47" s="124">
        <f>SUM(Advertising:Sales!N47)</f>
        <v>191728.75</v>
      </c>
      <c r="O47" s="124">
        <f>SUM(Advertising:Sales!O47)</f>
        <v>191728.75</v>
      </c>
      <c r="P47" s="133">
        <f>SUM(D47:O47)</f>
        <v>2169725.67</v>
      </c>
      <c r="Q47" s="141">
        <f>SUM(Advertising:Sales!Q47)</f>
        <v>210181.6</v>
      </c>
      <c r="R47" s="141">
        <f>SUM(Advertising:Sales!R47)</f>
        <v>210032.18</v>
      </c>
      <c r="S47" s="141">
        <f>SUM(Advertising:Sales!S47)</f>
        <v>210400</v>
      </c>
      <c r="T47" s="141">
        <f>SUM(Advertising:Sales!T47)</f>
        <v>210400</v>
      </c>
      <c r="U47" s="141">
        <f>SUM(Advertising:Sales!U47)</f>
        <v>213262.53</v>
      </c>
      <c r="V47" s="141">
        <f>SUM(Advertising:Sales!V47)</f>
        <v>200795.86</v>
      </c>
      <c r="W47" s="141">
        <f>SUM(Advertising:Sales!W47)</f>
        <v>199032.18</v>
      </c>
      <c r="X47" s="141">
        <f>SUM(Advertising:Sales!X47)</f>
        <v>199400</v>
      </c>
      <c r="Y47" s="141">
        <f>SUM(Advertising:Sales!Y47)</f>
        <v>210160</v>
      </c>
      <c r="Z47" s="141">
        <f>SUM(Advertising:Sales!Z47)</f>
        <v>210160</v>
      </c>
      <c r="AA47" s="141">
        <f>SUM(Advertising:Sales!AA47)</f>
        <v>210160</v>
      </c>
      <c r="AB47" s="141">
        <f>SUM(Advertising:Sales!AB47)</f>
        <v>210160</v>
      </c>
      <c r="AC47" s="142">
        <f>SUM(Q47:AB47)</f>
        <v>2494144.3499999996</v>
      </c>
      <c r="AD47" s="124">
        <f>AC47-P47</f>
        <v>324418.6799999997</v>
      </c>
      <c r="AE47" s="192">
        <f>AD47/AC47</f>
        <v>0.13007213475835902</v>
      </c>
      <c r="AF47" s="129">
        <v>1902473.7200000002</v>
      </c>
      <c r="AG47" s="201">
        <f t="shared" si="2"/>
        <v>-267251.94999999972</v>
      </c>
      <c r="AH47" s="129"/>
      <c r="AI47" s="251"/>
    </row>
    <row r="48" spans="1:35">
      <c r="A48" s="105" t="s">
        <v>251</v>
      </c>
      <c r="B48" s="105" t="s">
        <v>906</v>
      </c>
      <c r="C48" s="105" t="s">
        <v>468</v>
      </c>
      <c r="D48" s="124">
        <f>SUM(Advertising:Sales!D48)</f>
        <v>32644.799999999999</v>
      </c>
      <c r="E48" s="124">
        <f>SUM(Advertising:Sales!E48)</f>
        <v>32644.799999999999</v>
      </c>
      <c r="F48" s="124">
        <f>SUM(Advertising:Sales!F48)</f>
        <v>34277.040000000001</v>
      </c>
      <c r="G48" s="124">
        <f>SUM(Advertising:Sales!G48)</f>
        <v>37754.639999999999</v>
      </c>
      <c r="H48" s="124">
        <f>SUM(Advertising:Sales!H48)</f>
        <v>37754.639999999999</v>
      </c>
      <c r="I48" s="124">
        <f>SUM(Advertising:Sales!I48)</f>
        <v>37754.639999999999</v>
      </c>
      <c r="J48" s="124">
        <f>SUM(Advertising:Sales!J48)</f>
        <v>37754.639999999999</v>
      </c>
      <c r="K48" s="124">
        <f>SUM(Advertising:Sales!K48)</f>
        <v>37754.639999999999</v>
      </c>
      <c r="L48" s="124">
        <f>SUM(Advertising:Sales!L48)</f>
        <v>37754.639999999999</v>
      </c>
      <c r="M48" s="124">
        <f>SUM(Advertising:Sales!M48)</f>
        <v>37754.639999999999</v>
      </c>
      <c r="N48" s="124">
        <f>SUM(Advertising:Sales!N48)</f>
        <v>37754.639999999999</v>
      </c>
      <c r="O48" s="124">
        <f>SUM(Advertising:Sales!O48)</f>
        <v>37754.639999999999</v>
      </c>
      <c r="P48" s="133">
        <f>SUM(D48:O48)</f>
        <v>439358.40000000008</v>
      </c>
      <c r="Q48" s="141">
        <f>SUM(Advertising:Sales!Q48)</f>
        <v>33800</v>
      </c>
      <c r="R48" s="141">
        <f>SUM(Advertising:Sales!R48)</f>
        <v>33422.980000000003</v>
      </c>
      <c r="S48" s="141">
        <f>SUM(Advertising:Sales!S48)</f>
        <v>34048.270000000004</v>
      </c>
      <c r="T48" s="141">
        <f>SUM(Advertising:Sales!T48)</f>
        <v>34581.61</v>
      </c>
      <c r="U48" s="141">
        <f>SUM(Advertising:Sales!U48)</f>
        <v>33565.51</v>
      </c>
      <c r="V48" s="141">
        <f>SUM(Advertising:Sales!V48)</f>
        <v>26365.99</v>
      </c>
      <c r="W48" s="141">
        <f>SUM(Advertising:Sales!W48)</f>
        <v>25498.43</v>
      </c>
      <c r="X48" s="141">
        <f>SUM(Advertising:Sales!X48)</f>
        <v>25842.53</v>
      </c>
      <c r="Y48" s="141">
        <f>SUM(Advertising:Sales!Y48)</f>
        <v>53645</v>
      </c>
      <c r="Z48" s="141">
        <f>SUM(Advertising:Sales!Z48)</f>
        <v>53645</v>
      </c>
      <c r="AA48" s="141">
        <f>SUM(Advertising:Sales!AA48)</f>
        <v>53645</v>
      </c>
      <c r="AB48" s="141">
        <f>SUM(Advertising:Sales!AB48)</f>
        <v>53645</v>
      </c>
      <c r="AC48" s="142">
        <f>SUM(Q48:AB48)</f>
        <v>461705.32</v>
      </c>
      <c r="AD48" s="124">
        <f>AC48-P48</f>
        <v>22346.919999999925</v>
      </c>
      <c r="AE48" s="192">
        <f>AD48/AC48</f>
        <v>4.8400828476483498E-2</v>
      </c>
      <c r="AF48" s="129">
        <v>327058.56999999995</v>
      </c>
      <c r="AG48" s="201">
        <f t="shared" si="2"/>
        <v>-112299.83000000013</v>
      </c>
      <c r="AH48" s="129"/>
      <c r="AI48" s="251"/>
    </row>
    <row r="49" spans="1:35" s="109" customFormat="1">
      <c r="C49" s="109" t="s">
        <v>471</v>
      </c>
      <c r="D49" s="129">
        <f>SUM(D47:D48)</f>
        <v>195282.09999999998</v>
      </c>
      <c r="E49" s="129">
        <f t="shared" ref="E49:AC49" si="9">SUM(E47:E48)</f>
        <v>195282.09999999998</v>
      </c>
      <c r="F49" s="129">
        <f t="shared" si="9"/>
        <v>208342.12000000002</v>
      </c>
      <c r="G49" s="129">
        <f t="shared" si="9"/>
        <v>216750.25</v>
      </c>
      <c r="H49" s="129">
        <f t="shared" si="9"/>
        <v>216750.25</v>
      </c>
      <c r="I49" s="129">
        <f t="shared" si="9"/>
        <v>216750.25</v>
      </c>
      <c r="J49" s="129">
        <f t="shared" si="9"/>
        <v>217865.8</v>
      </c>
      <c r="K49" s="129">
        <f t="shared" si="9"/>
        <v>224127.64</v>
      </c>
      <c r="L49" s="129">
        <f t="shared" si="9"/>
        <v>229483.39</v>
      </c>
      <c r="M49" s="129">
        <f t="shared" si="9"/>
        <v>229483.39</v>
      </c>
      <c r="N49" s="129">
        <f t="shared" si="9"/>
        <v>229483.39</v>
      </c>
      <c r="O49" s="129">
        <f t="shared" si="9"/>
        <v>229483.39</v>
      </c>
      <c r="P49" s="133">
        <f t="shared" si="9"/>
        <v>2609084.0699999998</v>
      </c>
      <c r="Q49" s="142">
        <f t="shared" si="9"/>
        <v>243981.6</v>
      </c>
      <c r="R49" s="142">
        <f t="shared" si="9"/>
        <v>243455.16</v>
      </c>
      <c r="S49" s="142">
        <f t="shared" si="9"/>
        <v>244448.27000000002</v>
      </c>
      <c r="T49" s="142">
        <f t="shared" si="9"/>
        <v>244981.61</v>
      </c>
      <c r="U49" s="142">
        <f t="shared" si="9"/>
        <v>246828.04</v>
      </c>
      <c r="V49" s="142">
        <f t="shared" si="9"/>
        <v>227161.84999999998</v>
      </c>
      <c r="W49" s="142">
        <f t="shared" si="9"/>
        <v>224530.61</v>
      </c>
      <c r="X49" s="142">
        <f t="shared" si="9"/>
        <v>225242.53</v>
      </c>
      <c r="Y49" s="142">
        <f>SUM(Y47:Y48)</f>
        <v>263805</v>
      </c>
      <c r="Z49" s="142">
        <f>SUM(Z47:Z48)</f>
        <v>263805</v>
      </c>
      <c r="AA49" s="142">
        <f>SUM(AA47:AA48)</f>
        <v>263805</v>
      </c>
      <c r="AB49" s="142">
        <f>SUM(AB47:AB48)</f>
        <v>263805</v>
      </c>
      <c r="AC49" s="142">
        <f t="shared" si="9"/>
        <v>2955849.6699999995</v>
      </c>
      <c r="AD49" s="129">
        <f>AC49-P49</f>
        <v>346765.59999999963</v>
      </c>
      <c r="AE49" s="132">
        <f>AD49/AC49</f>
        <v>0.11731503246577479</v>
      </c>
      <c r="AF49" s="129">
        <v>2229532.29</v>
      </c>
      <c r="AG49" s="201">
        <f t="shared" si="2"/>
        <v>-379551.7799999998</v>
      </c>
      <c r="AH49" s="129"/>
      <c r="AI49" s="251"/>
    </row>
    <row r="50" spans="1:35"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33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2"/>
      <c r="AF50" s="129"/>
      <c r="AG50" s="201">
        <f t="shared" si="2"/>
        <v>0</v>
      </c>
      <c r="AH50" s="129"/>
      <c r="AI50" s="251"/>
    </row>
    <row r="51" spans="1:35">
      <c r="A51" s="105" t="s">
        <v>870</v>
      </c>
      <c r="B51" s="105" t="s">
        <v>906</v>
      </c>
      <c r="C51" s="105" t="s">
        <v>260</v>
      </c>
      <c r="D51" s="124">
        <f>SUM(Advertising:Sales!D51)</f>
        <v>15268.980000000003</v>
      </c>
      <c r="E51" s="124">
        <f>SUM(Advertising:Sales!E51)</f>
        <v>0</v>
      </c>
      <c r="F51" s="124">
        <f>SUM(Advertising:Sales!F51)</f>
        <v>0</v>
      </c>
      <c r="G51" s="124">
        <f>SUM(Advertising:Sales!G51)</f>
        <v>3696.55</v>
      </c>
      <c r="H51" s="124">
        <f>SUM(Advertising:Sales!H51)</f>
        <v>4000.01</v>
      </c>
      <c r="I51" s="124">
        <f>SUM(Advertising:Sales!I51)</f>
        <v>0</v>
      </c>
      <c r="J51" s="124">
        <f>SUM(Advertising:Sales!J51)</f>
        <v>0</v>
      </c>
      <c r="K51" s="124">
        <f>SUM(Advertising:Sales!K51)</f>
        <v>0</v>
      </c>
      <c r="L51" s="124">
        <f>SUM(Advertising:Sales!L51)</f>
        <v>0</v>
      </c>
      <c r="M51" s="124">
        <f>SUM(Advertising:Sales!M51)</f>
        <v>13159.32</v>
      </c>
      <c r="N51" s="124">
        <f>SUM(Advertising:Sales!N51)</f>
        <v>0</v>
      </c>
      <c r="O51" s="124">
        <f>SUM(Advertising:Sales!O51)</f>
        <v>0</v>
      </c>
      <c r="P51" s="133">
        <f>SUM(D51:O51)</f>
        <v>36124.86</v>
      </c>
      <c r="Q51" s="141">
        <f>SUM(Advertising:Sales!Q51)</f>
        <v>2758.65</v>
      </c>
      <c r="R51" s="141">
        <f>SUM(Advertising:Sales!R51)</f>
        <v>8155.24</v>
      </c>
      <c r="S51" s="141">
        <f>SUM(Advertising:Sales!S51)</f>
        <v>0</v>
      </c>
      <c r="T51" s="141">
        <f>SUM(Advertising:Sales!T51)</f>
        <v>2896.56</v>
      </c>
      <c r="U51" s="141">
        <f>SUM(Advertising:Sales!U51)</f>
        <v>3858.65</v>
      </c>
      <c r="V51" s="141">
        <f>SUM(Advertising:Sales!V51)</f>
        <v>2689.68</v>
      </c>
      <c r="W51" s="141">
        <f>SUM(Advertising:Sales!W51)</f>
        <v>0</v>
      </c>
      <c r="X51" s="141">
        <f>SUM(Advertising:Sales!X51)</f>
        <v>0</v>
      </c>
      <c r="Y51" s="141">
        <f>SUM(Advertising:Sales!Y51)</f>
        <v>2723</v>
      </c>
      <c r="Z51" s="141">
        <f>SUM(Advertising:Sales!Z51)</f>
        <v>8168</v>
      </c>
      <c r="AA51" s="141">
        <f>SUM(Advertising:Sales!AA51)</f>
        <v>0</v>
      </c>
      <c r="AB51" s="141">
        <f>SUM(Advertising:Sales!AB51)</f>
        <v>0</v>
      </c>
      <c r="AC51" s="142">
        <f>SUM(Q51:AB51)</f>
        <v>31249.78</v>
      </c>
      <c r="AD51" s="124">
        <f t="shared" ref="AD51:AD56" si="10">AC51-P51</f>
        <v>-4875.0800000000017</v>
      </c>
      <c r="AE51" s="192">
        <f t="shared" ref="AE51:AE56" si="11">AD51/AC51</f>
        <v>-0.15600365826575424</v>
      </c>
      <c r="AF51" s="129">
        <v>5862.09</v>
      </c>
      <c r="AG51" s="201">
        <f t="shared" si="2"/>
        <v>-30262.77</v>
      </c>
      <c r="AH51" s="129"/>
      <c r="AI51" s="251"/>
    </row>
    <row r="52" spans="1:35">
      <c r="A52" s="105" t="s">
        <v>120</v>
      </c>
      <c r="B52" s="105" t="s">
        <v>906</v>
      </c>
      <c r="C52" s="105" t="s">
        <v>261</v>
      </c>
      <c r="D52" s="124">
        <f>SUM(Advertising:Sales!D52)</f>
        <v>34650.040000000008</v>
      </c>
      <c r="E52" s="124">
        <f>SUM(Advertising:Sales!E52)</f>
        <v>34650.040000000008</v>
      </c>
      <c r="F52" s="124">
        <f>SUM(Advertising:Sales!F52)</f>
        <v>36150.040000000008</v>
      </c>
      <c r="G52" s="124">
        <f>SUM(Advertising:Sales!G52)</f>
        <v>37866.710000000006</v>
      </c>
      <c r="H52" s="124">
        <f>SUM(Advertising:Sales!H52)</f>
        <v>37866.710000000006</v>
      </c>
      <c r="I52" s="124">
        <f>SUM(Advertising:Sales!I52)</f>
        <v>37866.710000000006</v>
      </c>
      <c r="J52" s="124">
        <f>SUM(Advertising:Sales!J52)</f>
        <v>38066.710000000006</v>
      </c>
      <c r="K52" s="124">
        <f>SUM(Advertising:Sales!K52)</f>
        <v>39066.710000000006</v>
      </c>
      <c r="L52" s="124">
        <f>SUM(Advertising:Sales!L52)</f>
        <v>39900.04</v>
      </c>
      <c r="M52" s="124">
        <f>SUM(Advertising:Sales!M52)</f>
        <v>39900.04</v>
      </c>
      <c r="N52" s="124">
        <f>SUM(Advertising:Sales!N52)</f>
        <v>39900.04</v>
      </c>
      <c r="O52" s="124">
        <f>SUM(Advertising:Sales!O52)</f>
        <v>39900.04</v>
      </c>
      <c r="P52" s="133">
        <f>SUM(D52:O52)</f>
        <v>455783.83</v>
      </c>
      <c r="Q52" s="141">
        <f>SUM(Advertising:Sales!Q52)</f>
        <v>61018.35</v>
      </c>
      <c r="R52" s="141">
        <f>SUM(Advertising:Sales!R52)</f>
        <v>61005.18</v>
      </c>
      <c r="S52" s="141">
        <f>SUM(Advertising:Sales!S52)</f>
        <v>61268.04</v>
      </c>
      <c r="T52" s="141">
        <f>SUM(Advertising:Sales!T52)</f>
        <v>40805.33</v>
      </c>
      <c r="U52" s="141">
        <f>SUM(Advertising:Sales!U52)</f>
        <v>40818.43</v>
      </c>
      <c r="V52" s="141">
        <f>SUM(Advertising:Sales!V52)</f>
        <v>39262.559999999998</v>
      </c>
      <c r="W52" s="141">
        <f>SUM(Advertising:Sales!W52)</f>
        <v>37994.85</v>
      </c>
      <c r="X52" s="141">
        <f>SUM(Advertising:Sales!X52)</f>
        <v>38324.71</v>
      </c>
      <c r="Y52" s="141">
        <f>SUM(Advertising:Sales!Y52)</f>
        <v>40634.17</v>
      </c>
      <c r="Z52" s="141">
        <f>SUM(Advertising:Sales!Z52)</f>
        <v>40634.17</v>
      </c>
      <c r="AA52" s="141">
        <f>SUM(Advertising:Sales!AA52)</f>
        <v>40634.17</v>
      </c>
      <c r="AB52" s="141">
        <f>SUM(Advertising:Sales!AB52)</f>
        <v>40634.17</v>
      </c>
      <c r="AC52" s="142">
        <f>SUM(Q52:AB52)</f>
        <v>543034.13</v>
      </c>
      <c r="AD52" s="124">
        <f t="shared" si="10"/>
        <v>87250.299999999988</v>
      </c>
      <c r="AE52" s="192">
        <f t="shared" si="11"/>
        <v>0.16067185316694549</v>
      </c>
      <c r="AF52" s="129">
        <v>411260.62999999995</v>
      </c>
      <c r="AG52" s="201">
        <f t="shared" si="2"/>
        <v>-44523.20000000007</v>
      </c>
      <c r="AH52" s="129"/>
      <c r="AI52" s="251"/>
    </row>
    <row r="53" spans="1:35">
      <c r="A53" s="105" t="s">
        <v>871</v>
      </c>
      <c r="B53" s="105" t="s">
        <v>906</v>
      </c>
      <c r="C53" s="105" t="s">
        <v>262</v>
      </c>
      <c r="D53" s="124">
        <f>SUM(Advertising:Sales!D53)</f>
        <v>11480</v>
      </c>
      <c r="E53" s="124">
        <f>SUM(Advertising:Sales!E53)</f>
        <v>11480</v>
      </c>
      <c r="F53" s="124">
        <f>SUM(Advertising:Sales!F53)</f>
        <v>11480</v>
      </c>
      <c r="G53" s="124">
        <f>SUM(Advertising:Sales!G53)</f>
        <v>12140</v>
      </c>
      <c r="H53" s="124">
        <f>SUM(Advertising:Sales!H53)</f>
        <v>12140</v>
      </c>
      <c r="I53" s="124">
        <f>SUM(Advertising:Sales!I53)</f>
        <v>12140</v>
      </c>
      <c r="J53" s="124">
        <f>SUM(Advertising:Sales!J53)</f>
        <v>11740</v>
      </c>
      <c r="K53" s="124">
        <f>SUM(Advertising:Sales!K53)</f>
        <v>11740</v>
      </c>
      <c r="L53" s="124">
        <f>SUM(Advertising:Sales!L53)</f>
        <v>11740</v>
      </c>
      <c r="M53" s="124">
        <f>SUM(Advertising:Sales!M53)</f>
        <v>11740</v>
      </c>
      <c r="N53" s="124">
        <f>SUM(Advertising:Sales!N53)</f>
        <v>11740</v>
      </c>
      <c r="O53" s="124">
        <f>SUM(Advertising:Sales!O53)</f>
        <v>11740</v>
      </c>
      <c r="P53" s="133">
        <f>SUM(D53:O53)</f>
        <v>141300</v>
      </c>
      <c r="Q53" s="141">
        <f>SUM(Advertising:Sales!Q53)</f>
        <v>12522.02</v>
      </c>
      <c r="R53" s="141">
        <f>SUM(Advertising:Sales!R53)</f>
        <v>12390.17</v>
      </c>
      <c r="S53" s="141">
        <f>SUM(Advertising:Sales!S53)</f>
        <v>12277.23</v>
      </c>
      <c r="T53" s="141">
        <f>SUM(Advertising:Sales!T53)</f>
        <v>12483.78</v>
      </c>
      <c r="U53" s="141">
        <f>SUM(Advertising:Sales!U53)</f>
        <v>11909.25</v>
      </c>
      <c r="V53" s="141">
        <f>SUM(Advertising:Sales!V53)</f>
        <v>10827.24</v>
      </c>
      <c r="W53" s="141">
        <f>SUM(Advertising:Sales!W53)</f>
        <v>11093.5</v>
      </c>
      <c r="X53" s="141">
        <f>SUM(Advertising:Sales!X53)</f>
        <v>11120.65</v>
      </c>
      <c r="Y53" s="141">
        <f>SUM(Advertising:Sales!Y53)</f>
        <v>14090</v>
      </c>
      <c r="Z53" s="141">
        <f>SUM(Advertising:Sales!Z53)</f>
        <v>14390</v>
      </c>
      <c r="AA53" s="141">
        <f>SUM(Advertising:Sales!AA53)</f>
        <v>14590</v>
      </c>
      <c r="AB53" s="141">
        <f>SUM(Advertising:Sales!AB53)</f>
        <v>14890</v>
      </c>
      <c r="AC53" s="142">
        <f>SUM(Q53:AB53)</f>
        <v>152583.84</v>
      </c>
      <c r="AD53" s="124">
        <f t="shared" si="10"/>
        <v>11283.839999999997</v>
      </c>
      <c r="AE53" s="192">
        <f t="shared" si="11"/>
        <v>7.3951736959824821E-2</v>
      </c>
      <c r="AF53" s="129">
        <v>32200</v>
      </c>
      <c r="AG53" s="201">
        <f t="shared" si="2"/>
        <v>-109100</v>
      </c>
      <c r="AH53" s="129"/>
      <c r="AI53" s="251"/>
    </row>
    <row r="54" spans="1:35">
      <c r="A54" s="105" t="s">
        <v>872</v>
      </c>
      <c r="B54" s="105" t="s">
        <v>906</v>
      </c>
      <c r="C54" s="105" t="s">
        <v>263</v>
      </c>
      <c r="D54" s="124">
        <f>SUM(Advertising:Sales!D54)</f>
        <v>0</v>
      </c>
      <c r="E54" s="124">
        <f>SUM(Advertising:Sales!E54)</f>
        <v>0</v>
      </c>
      <c r="F54" s="124">
        <f>SUM(Advertising:Sales!F54)</f>
        <v>0</v>
      </c>
      <c r="G54" s="124">
        <f>SUM(Advertising:Sales!G54)</f>
        <v>0</v>
      </c>
      <c r="H54" s="124">
        <f>SUM(Advertising:Sales!H54)</f>
        <v>0</v>
      </c>
      <c r="I54" s="124">
        <f>SUM(Advertising:Sales!I54)</f>
        <v>0</v>
      </c>
      <c r="J54" s="124">
        <f>SUM(Advertising:Sales!J54)</f>
        <v>0</v>
      </c>
      <c r="K54" s="124">
        <f>SUM(Advertising:Sales!K54)</f>
        <v>0</v>
      </c>
      <c r="L54" s="124">
        <f>SUM(Advertising:Sales!L54)</f>
        <v>0</v>
      </c>
      <c r="M54" s="124">
        <f>SUM(Advertising:Sales!M54)</f>
        <v>0</v>
      </c>
      <c r="N54" s="124">
        <f>SUM(Advertising:Sales!N54)</f>
        <v>0</v>
      </c>
      <c r="O54" s="124">
        <f>SUM(Advertising:Sales!O54)</f>
        <v>0</v>
      </c>
      <c r="P54" s="133">
        <f>SUM(D54:O54)</f>
        <v>0</v>
      </c>
      <c r="Q54" s="141">
        <f>SUM(Advertising:Sales!Q54)</f>
        <v>0</v>
      </c>
      <c r="R54" s="141">
        <f>SUM(Advertising:Sales!R54)</f>
        <v>0</v>
      </c>
      <c r="S54" s="141">
        <f>SUM(Advertising:Sales!S54)</f>
        <v>0</v>
      </c>
      <c r="T54" s="141">
        <f>SUM(Advertising:Sales!T54)</f>
        <v>0</v>
      </c>
      <c r="U54" s="141">
        <f>SUM(Advertising:Sales!U54)</f>
        <v>0</v>
      </c>
      <c r="V54" s="141">
        <f>SUM(Advertising:Sales!V54)</f>
        <v>0</v>
      </c>
      <c r="W54" s="141">
        <f>SUM(Advertising:Sales!W54)</f>
        <v>0</v>
      </c>
      <c r="X54" s="141">
        <f>SUM(Advertising:Sales!X54)</f>
        <v>0</v>
      </c>
      <c r="Y54" s="141">
        <f>SUM(Advertising:Sales!Y54)</f>
        <v>0</v>
      </c>
      <c r="Z54" s="141">
        <f>SUM(Advertising:Sales!Z54)</f>
        <v>0</v>
      </c>
      <c r="AA54" s="141">
        <f>SUM(Advertising:Sales!AA54)</f>
        <v>0</v>
      </c>
      <c r="AB54" s="141">
        <f>SUM(Advertising:Sales!AB54)</f>
        <v>0</v>
      </c>
      <c r="AC54" s="142">
        <f>SUM(Q54:AB54)</f>
        <v>0</v>
      </c>
      <c r="AD54" s="124">
        <f t="shared" si="10"/>
        <v>0</v>
      </c>
      <c r="AE54" s="192" t="e">
        <f t="shared" si="11"/>
        <v>#DIV/0!</v>
      </c>
      <c r="AF54" s="129">
        <v>0</v>
      </c>
      <c r="AG54" s="201">
        <f t="shared" si="2"/>
        <v>0</v>
      </c>
      <c r="AH54" s="129"/>
      <c r="AI54" s="251"/>
    </row>
    <row r="55" spans="1:35">
      <c r="A55" s="105" t="s">
        <v>873</v>
      </c>
      <c r="B55" s="105" t="s">
        <v>906</v>
      </c>
      <c r="C55" s="105" t="s">
        <v>264</v>
      </c>
      <c r="D55" s="124">
        <f>SUM(Advertising:Sales!D55)</f>
        <v>88328</v>
      </c>
      <c r="E55" s="124">
        <f>SUM(Advertising:Sales!E55)</f>
        <v>103018</v>
      </c>
      <c r="F55" s="124">
        <f>SUM(Advertising:Sales!F55)</f>
        <v>61048</v>
      </c>
      <c r="G55" s="124">
        <f>SUM(Advertising:Sales!G55)</f>
        <v>56116</v>
      </c>
      <c r="H55" s="124">
        <f>SUM(Advertising:Sales!H55)</f>
        <v>52281</v>
      </c>
      <c r="I55" s="124">
        <f>SUM(Advertising:Sales!I55)</f>
        <v>46806</v>
      </c>
      <c r="J55" s="124">
        <f>SUM(Advertising:Sales!J55)</f>
        <v>69538</v>
      </c>
      <c r="K55" s="124">
        <f>SUM(Advertising:Sales!K55)</f>
        <v>70495</v>
      </c>
      <c r="L55" s="124">
        <f>SUM(Advertising:Sales!L55)</f>
        <v>42904</v>
      </c>
      <c r="M55" s="124">
        <f>SUM(Advertising:Sales!M55)</f>
        <v>42180</v>
      </c>
      <c r="N55" s="124">
        <f>SUM(Advertising:Sales!N55)</f>
        <v>45447</v>
      </c>
      <c r="O55" s="124">
        <f>SUM(Advertising:Sales!O55)</f>
        <v>54642</v>
      </c>
      <c r="P55" s="133">
        <f>SUM(D55:O55)</f>
        <v>732803</v>
      </c>
      <c r="Q55" s="141">
        <f>SUM(Advertising:Sales!Q55)</f>
        <v>132663.09</v>
      </c>
      <c r="R55" s="141">
        <f>SUM(Advertising:Sales!R55)</f>
        <v>211198.74</v>
      </c>
      <c r="S55" s="141">
        <f>SUM(Advertising:Sales!S55)</f>
        <v>125911.96</v>
      </c>
      <c r="T55" s="141">
        <f>SUM(Advertising:Sales!T55)</f>
        <v>67740.06</v>
      </c>
      <c r="U55" s="141">
        <f>SUM(Advertising:Sales!U55)</f>
        <v>65406.48</v>
      </c>
      <c r="V55" s="141">
        <f>SUM(Advertising:Sales!V55)</f>
        <v>51811.79</v>
      </c>
      <c r="W55" s="141">
        <f>SUM(Advertising:Sales!W55)</f>
        <v>76952.73</v>
      </c>
      <c r="X55" s="141">
        <f>SUM(Advertising:Sales!X55)</f>
        <v>16248.63</v>
      </c>
      <c r="Y55" s="141">
        <f>SUM(Advertising:Sales!Y55)</f>
        <v>84756</v>
      </c>
      <c r="Z55" s="141">
        <f>SUM(Advertising:Sales!Z55)</f>
        <v>64105</v>
      </c>
      <c r="AA55" s="141">
        <f>SUM(Advertising:Sales!AA55)</f>
        <v>58730</v>
      </c>
      <c r="AB55" s="141">
        <f>SUM(Advertising:Sales!AB55)</f>
        <v>278378</v>
      </c>
      <c r="AC55" s="142">
        <f>SUM(Q55:AB55)</f>
        <v>1233902.48</v>
      </c>
      <c r="AD55" s="124">
        <f t="shared" si="10"/>
        <v>501099.48</v>
      </c>
      <c r="AE55" s="192">
        <f t="shared" si="11"/>
        <v>0.40610946822961241</v>
      </c>
      <c r="AF55" s="129">
        <v>294910.03999999998</v>
      </c>
      <c r="AG55" s="201">
        <f t="shared" si="2"/>
        <v>-437892.96</v>
      </c>
      <c r="AH55" s="129"/>
      <c r="AI55" s="251"/>
    </row>
    <row r="56" spans="1:35" s="109" customFormat="1">
      <c r="C56" s="109" t="s">
        <v>265</v>
      </c>
      <c r="D56" s="129">
        <f>SUM(D51:D55)</f>
        <v>149727.02000000002</v>
      </c>
      <c r="E56" s="129">
        <f t="shared" ref="E56:AC56" si="12">SUM(E51:E55)</f>
        <v>149148.04</v>
      </c>
      <c r="F56" s="129">
        <f t="shared" si="12"/>
        <v>108678.04000000001</v>
      </c>
      <c r="G56" s="129">
        <f t="shared" si="12"/>
        <v>109819.26000000001</v>
      </c>
      <c r="H56" s="129">
        <f t="shared" si="12"/>
        <v>106287.72</v>
      </c>
      <c r="I56" s="129">
        <f t="shared" si="12"/>
        <v>96812.71</v>
      </c>
      <c r="J56" s="129">
        <f t="shared" si="12"/>
        <v>119344.71</v>
      </c>
      <c r="K56" s="129">
        <f t="shared" si="12"/>
        <v>121301.71</v>
      </c>
      <c r="L56" s="129">
        <f t="shared" si="12"/>
        <v>94544.040000000008</v>
      </c>
      <c r="M56" s="129">
        <f t="shared" si="12"/>
        <v>106979.36</v>
      </c>
      <c r="N56" s="129">
        <f t="shared" si="12"/>
        <v>97087.040000000008</v>
      </c>
      <c r="O56" s="129">
        <f t="shared" si="12"/>
        <v>106282.04000000001</v>
      </c>
      <c r="P56" s="133">
        <f t="shared" si="12"/>
        <v>1366011.69</v>
      </c>
      <c r="Q56" s="142">
        <f t="shared" si="12"/>
        <v>208962.11</v>
      </c>
      <c r="R56" s="142">
        <f t="shared" si="12"/>
        <v>292749.32999999996</v>
      </c>
      <c r="S56" s="142">
        <f t="shared" si="12"/>
        <v>199457.23</v>
      </c>
      <c r="T56" s="142">
        <f t="shared" si="12"/>
        <v>123925.73</v>
      </c>
      <c r="U56" s="142">
        <f t="shared" si="12"/>
        <v>121992.81</v>
      </c>
      <c r="V56" s="142">
        <f t="shared" si="12"/>
        <v>104591.26999999999</v>
      </c>
      <c r="W56" s="142">
        <f t="shared" si="12"/>
        <v>126041.07999999999</v>
      </c>
      <c r="X56" s="142">
        <f t="shared" si="12"/>
        <v>65693.990000000005</v>
      </c>
      <c r="Y56" s="142">
        <f>SUM(Y51:Y55)</f>
        <v>142203.16999999998</v>
      </c>
      <c r="Z56" s="142">
        <f>SUM(Z51:Z55)</f>
        <v>127297.17</v>
      </c>
      <c r="AA56" s="142">
        <f>SUM(AA51:AA55)</f>
        <v>113954.17</v>
      </c>
      <c r="AB56" s="142">
        <f>SUM(AB51:AB55)</f>
        <v>333902.17</v>
      </c>
      <c r="AC56" s="142">
        <f t="shared" si="12"/>
        <v>1960770.23</v>
      </c>
      <c r="AD56" s="129">
        <f t="shared" si="10"/>
        <v>594758.54</v>
      </c>
      <c r="AE56" s="132">
        <f t="shared" si="11"/>
        <v>0.3033290341214534</v>
      </c>
      <c r="AF56" s="129">
        <v>744232.76</v>
      </c>
      <c r="AG56" s="201">
        <f t="shared" si="2"/>
        <v>-621778.92999999993</v>
      </c>
      <c r="AH56" s="129"/>
      <c r="AI56" s="251"/>
    </row>
    <row r="57" spans="1:35">
      <c r="C57" s="105" t="s">
        <v>154</v>
      </c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33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2"/>
      <c r="AF57" s="129"/>
      <c r="AG57" s="201">
        <f t="shared" si="2"/>
        <v>0</v>
      </c>
      <c r="AH57" s="129"/>
      <c r="AI57" s="251"/>
    </row>
    <row r="58" spans="1:35">
      <c r="A58" s="105" t="s">
        <v>874</v>
      </c>
      <c r="B58" s="105" t="s">
        <v>906</v>
      </c>
      <c r="C58" s="105" t="s">
        <v>266</v>
      </c>
      <c r="D58" s="124">
        <f>SUM(Advertising:Sales!D58)</f>
        <v>42386.899999999994</v>
      </c>
      <c r="E58" s="124">
        <f>SUM(Advertising:Sales!E58)</f>
        <v>42386.899999999994</v>
      </c>
      <c r="F58" s="124">
        <f>SUM(Advertising:Sales!F58)</f>
        <v>43826.899999999994</v>
      </c>
      <c r="G58" s="124">
        <f>SUM(Advertising:Sales!G58)</f>
        <v>45534.14</v>
      </c>
      <c r="H58" s="124">
        <f>SUM(Advertising:Sales!H58)</f>
        <v>45534.14</v>
      </c>
      <c r="I58" s="124">
        <f>SUM(Advertising:Sales!I58)</f>
        <v>45534.14</v>
      </c>
      <c r="J58" s="124">
        <f>SUM(Advertising:Sales!J58)</f>
        <v>45385.29</v>
      </c>
      <c r="K58" s="124">
        <f>SUM(Advertising:Sales!K58)</f>
        <v>45345.649999999994</v>
      </c>
      <c r="L58" s="124">
        <f>SUM(Advertising:Sales!L58)</f>
        <v>45415.67</v>
      </c>
      <c r="M58" s="124">
        <f>SUM(Advertising:Sales!M58)</f>
        <v>45415.67</v>
      </c>
      <c r="N58" s="124">
        <f>SUM(Advertising:Sales!N58)</f>
        <v>45415.67</v>
      </c>
      <c r="O58" s="124">
        <f>SUM(Advertising:Sales!O58)</f>
        <v>45415.67</v>
      </c>
      <c r="P58" s="133">
        <f t="shared" ref="P58:P65" si="13">SUM(D58:O58)</f>
        <v>537596.73999999987</v>
      </c>
      <c r="Q58" s="141">
        <f>SUM(Advertising:Sales!Q58)</f>
        <v>60210.62</v>
      </c>
      <c r="R58" s="141">
        <f>SUM(Advertising:Sales!R58)</f>
        <v>60210.62</v>
      </c>
      <c r="S58" s="141">
        <f>SUM(Advertising:Sales!S58)</f>
        <v>60210.62</v>
      </c>
      <c r="T58" s="141">
        <f>SUM(Advertising:Sales!T58)</f>
        <v>60210.62</v>
      </c>
      <c r="U58" s="141">
        <f>SUM(Advertising:Sales!U58)</f>
        <v>58345.23</v>
      </c>
      <c r="V58" s="141">
        <f>SUM(Advertising:Sales!V58)</f>
        <v>53212.93</v>
      </c>
      <c r="W58" s="141">
        <f>SUM(Advertising:Sales!W58)</f>
        <v>53955.829999999994</v>
      </c>
      <c r="X58" s="141">
        <f>SUM(Advertising:Sales!X58)</f>
        <v>53955.829999999994</v>
      </c>
      <c r="Y58" s="141">
        <f>SUM(Advertising:Sales!Y58)</f>
        <v>52224</v>
      </c>
      <c r="Z58" s="141">
        <f>SUM(Advertising:Sales!Z58)</f>
        <v>52224</v>
      </c>
      <c r="AA58" s="141">
        <f>SUM(Advertising:Sales!AA58)</f>
        <v>52224</v>
      </c>
      <c r="AB58" s="141">
        <f>SUM(Advertising:Sales!AB58)</f>
        <v>52224</v>
      </c>
      <c r="AC58" s="142">
        <f t="shared" ref="AC58:AC65" si="14">SUM(Q58:AB58)</f>
        <v>669208.30000000005</v>
      </c>
      <c r="AD58" s="124">
        <f t="shared" ref="AD58:AD66" si="15">AC58-P58</f>
        <v>131611.56000000017</v>
      </c>
      <c r="AE58" s="192">
        <f t="shared" ref="AE58:AE66" si="16">AD58/AC58</f>
        <v>0.19666755478077627</v>
      </c>
      <c r="AF58" s="129">
        <v>383673.21</v>
      </c>
      <c r="AG58" s="201">
        <f t="shared" si="2"/>
        <v>-153923.52999999985</v>
      </c>
      <c r="AH58" s="129"/>
      <c r="AI58" s="251"/>
    </row>
    <row r="59" spans="1:35">
      <c r="A59" s="105" t="s">
        <v>875</v>
      </c>
      <c r="B59" s="105" t="s">
        <v>906</v>
      </c>
      <c r="C59" s="105" t="s">
        <v>267</v>
      </c>
      <c r="D59" s="124">
        <f>SUM(Advertising:Sales!D59)</f>
        <v>17009.390000000003</v>
      </c>
      <c r="E59" s="124">
        <f>SUM(Advertising:Sales!E59)</f>
        <v>17009.390000000003</v>
      </c>
      <c r="F59" s="124">
        <f>SUM(Advertising:Sales!F59)</f>
        <v>17009.390000000003</v>
      </c>
      <c r="G59" s="124">
        <f>SUM(Advertising:Sales!G59)</f>
        <v>17699.530000000002</v>
      </c>
      <c r="H59" s="124">
        <f>SUM(Advertising:Sales!H59)</f>
        <v>17699.530000000002</v>
      </c>
      <c r="I59" s="124">
        <f>SUM(Advertising:Sales!I59)</f>
        <v>17699.530000000002</v>
      </c>
      <c r="J59" s="124">
        <f>SUM(Advertising:Sales!J59)</f>
        <v>17643.36</v>
      </c>
      <c r="K59" s="124">
        <f>SUM(Advertising:Sales!K59)</f>
        <v>17627.260000000002</v>
      </c>
      <c r="L59" s="124">
        <f>SUM(Advertising:Sales!L59)</f>
        <v>17655.7</v>
      </c>
      <c r="M59" s="124">
        <f>SUM(Advertising:Sales!M59)</f>
        <v>17655.7</v>
      </c>
      <c r="N59" s="124">
        <f>SUM(Advertising:Sales!N59)</f>
        <v>17655.7</v>
      </c>
      <c r="O59" s="124">
        <f>SUM(Advertising:Sales!O59)</f>
        <v>17655.7</v>
      </c>
      <c r="P59" s="133">
        <f t="shared" si="13"/>
        <v>210020.18000000005</v>
      </c>
      <c r="Q59" s="141">
        <f>SUM(Advertising:Sales!Q59)</f>
        <v>31986.91</v>
      </c>
      <c r="R59" s="141">
        <f>SUM(Advertising:Sales!R59)</f>
        <v>31986.91</v>
      </c>
      <c r="S59" s="141">
        <f>SUM(Advertising:Sales!S59)</f>
        <v>31986.91</v>
      </c>
      <c r="T59" s="141">
        <f>SUM(Advertising:Sales!T59)</f>
        <v>31986.91</v>
      </c>
      <c r="U59" s="141">
        <f>SUM(Advertising:Sales!U59)</f>
        <v>30995.920000000002</v>
      </c>
      <c r="V59" s="141">
        <f>SUM(Advertising:Sales!V59)</f>
        <v>28269.38</v>
      </c>
      <c r="W59" s="141">
        <f>SUM(Advertising:Sales!W59)</f>
        <v>21919.57</v>
      </c>
      <c r="X59" s="141">
        <f>SUM(Advertising:Sales!X59)</f>
        <v>21919.57</v>
      </c>
      <c r="Y59" s="141">
        <f>SUM(Advertising:Sales!Y59)</f>
        <v>27171</v>
      </c>
      <c r="Z59" s="141">
        <f>SUM(Advertising:Sales!Z59)</f>
        <v>27171</v>
      </c>
      <c r="AA59" s="141">
        <f>SUM(Advertising:Sales!AA59)</f>
        <v>27171</v>
      </c>
      <c r="AB59" s="141">
        <f>SUM(Advertising:Sales!AB59)</f>
        <v>27171</v>
      </c>
      <c r="AC59" s="142">
        <f t="shared" si="14"/>
        <v>339736.08</v>
      </c>
      <c r="AD59" s="124">
        <f t="shared" si="15"/>
        <v>129715.89999999997</v>
      </c>
      <c r="AE59" s="192">
        <f t="shared" si="16"/>
        <v>0.38181373023436299</v>
      </c>
      <c r="AF59" s="129">
        <v>184876.15999999997</v>
      </c>
      <c r="AG59" s="201">
        <f t="shared" si="2"/>
        <v>-25144.020000000077</v>
      </c>
      <c r="AH59" s="129"/>
      <c r="AI59" s="251"/>
    </row>
    <row r="60" spans="1:35">
      <c r="A60" s="105" t="s">
        <v>876</v>
      </c>
      <c r="B60" s="105" t="s">
        <v>906</v>
      </c>
      <c r="C60" s="105" t="s">
        <v>268</v>
      </c>
      <c r="D60" s="124">
        <f>SUM(Advertising:Sales!D60)</f>
        <v>1324.32</v>
      </c>
      <c r="E60" s="124">
        <f>SUM(Advertising:Sales!E60)</f>
        <v>1324.32</v>
      </c>
      <c r="F60" s="124">
        <f>SUM(Advertising:Sales!F60)</f>
        <v>1369.32</v>
      </c>
      <c r="G60" s="124">
        <f>SUM(Advertising:Sales!G60)</f>
        <v>1422.41</v>
      </c>
      <c r="H60" s="124">
        <f>SUM(Advertising:Sales!H60)</f>
        <v>1422.41</v>
      </c>
      <c r="I60" s="124">
        <f>SUM(Advertising:Sales!I60)</f>
        <v>1422.41</v>
      </c>
      <c r="J60" s="124">
        <f>SUM(Advertising:Sales!J60)</f>
        <v>1416.67</v>
      </c>
      <c r="K60" s="124">
        <f>SUM(Advertising:Sales!K60)</f>
        <v>1415.4299999999998</v>
      </c>
      <c r="L60" s="124">
        <f>SUM(Advertising:Sales!L60)</f>
        <v>1417.62</v>
      </c>
      <c r="M60" s="124">
        <f>SUM(Advertising:Sales!M60)</f>
        <v>1417.62</v>
      </c>
      <c r="N60" s="124">
        <f>SUM(Advertising:Sales!N60)</f>
        <v>1417.62</v>
      </c>
      <c r="O60" s="124">
        <f>SUM(Advertising:Sales!O60)</f>
        <v>1417.62</v>
      </c>
      <c r="P60" s="133">
        <f t="shared" si="13"/>
        <v>16787.769999999997</v>
      </c>
      <c r="Q60" s="141">
        <f>SUM(Advertising:Sales!Q60)</f>
        <v>1881.58</v>
      </c>
      <c r="R60" s="141">
        <f>SUM(Advertising:Sales!R60)</f>
        <v>1881.58</v>
      </c>
      <c r="S60" s="141">
        <f>SUM(Advertising:Sales!S60)</f>
        <v>1881.58</v>
      </c>
      <c r="T60" s="141">
        <f>SUM(Advertising:Sales!T60)</f>
        <v>1881.58</v>
      </c>
      <c r="U60" s="141">
        <f>SUM(Advertising:Sales!U60)</f>
        <v>1823.29</v>
      </c>
      <c r="V60" s="141">
        <f>SUM(Advertising:Sales!V60)</f>
        <v>1662.91</v>
      </c>
      <c r="W60" s="141">
        <f>SUM(Advertising:Sales!W60)</f>
        <v>1686.13</v>
      </c>
      <c r="X60" s="141">
        <f>SUM(Advertising:Sales!X60)</f>
        <v>1686.13</v>
      </c>
      <c r="Y60" s="141">
        <f>SUM(Advertising:Sales!Y60)</f>
        <v>1640</v>
      </c>
      <c r="Z60" s="141">
        <f>SUM(Advertising:Sales!Z60)</f>
        <v>1640</v>
      </c>
      <c r="AA60" s="141">
        <f>SUM(Advertising:Sales!AA60)</f>
        <v>1640</v>
      </c>
      <c r="AB60" s="141">
        <f>SUM(Advertising:Sales!AB60)</f>
        <v>1640</v>
      </c>
      <c r="AC60" s="142">
        <f t="shared" si="14"/>
        <v>20944.780000000002</v>
      </c>
      <c r="AD60" s="124">
        <f t="shared" si="15"/>
        <v>4157.0100000000057</v>
      </c>
      <c r="AE60" s="192">
        <f t="shared" si="16"/>
        <v>0.19847475122679756</v>
      </c>
      <c r="AF60" s="129">
        <v>11355.05</v>
      </c>
      <c r="AG60" s="201">
        <f t="shared" si="2"/>
        <v>-5432.7199999999975</v>
      </c>
      <c r="AH60" s="129"/>
      <c r="AI60" s="251"/>
    </row>
    <row r="61" spans="1:35">
      <c r="A61" s="105" t="s">
        <v>877</v>
      </c>
      <c r="B61" s="105" t="s">
        <v>906</v>
      </c>
      <c r="C61" s="105" t="s">
        <v>269</v>
      </c>
      <c r="D61" s="124">
        <f>SUM(Advertising:Sales!D61)</f>
        <v>317.83999999999997</v>
      </c>
      <c r="E61" s="124">
        <f>SUM(Advertising:Sales!E61)</f>
        <v>317.83999999999997</v>
      </c>
      <c r="F61" s="124">
        <f>SUM(Advertising:Sales!F61)</f>
        <v>328.64</v>
      </c>
      <c r="G61" s="124">
        <f>SUM(Advertising:Sales!G61)</f>
        <v>341.38</v>
      </c>
      <c r="H61" s="124">
        <f>SUM(Advertising:Sales!H61)</f>
        <v>341.38</v>
      </c>
      <c r="I61" s="124">
        <f>SUM(Advertising:Sales!I61)</f>
        <v>341.38</v>
      </c>
      <c r="J61" s="124">
        <f>SUM(Advertising:Sales!J61)</f>
        <v>340</v>
      </c>
      <c r="K61" s="124">
        <f>SUM(Advertising:Sales!K61)</f>
        <v>339.70000000000005</v>
      </c>
      <c r="L61" s="124">
        <f>SUM(Advertising:Sales!L61)</f>
        <v>340.23</v>
      </c>
      <c r="M61" s="124">
        <f>SUM(Advertising:Sales!M61)</f>
        <v>340.23</v>
      </c>
      <c r="N61" s="124">
        <f>SUM(Advertising:Sales!N61)</f>
        <v>340.23</v>
      </c>
      <c r="O61" s="124">
        <f>SUM(Advertising:Sales!O61)</f>
        <v>340.23</v>
      </c>
      <c r="P61" s="133">
        <f t="shared" si="13"/>
        <v>4029.08</v>
      </c>
      <c r="Q61" s="141">
        <f>SUM(Advertising:Sales!Q61)</f>
        <v>451.57</v>
      </c>
      <c r="R61" s="141">
        <f>SUM(Advertising:Sales!R61)</f>
        <v>451.57</v>
      </c>
      <c r="S61" s="141">
        <f>SUM(Advertising:Sales!S61)</f>
        <v>451.57</v>
      </c>
      <c r="T61" s="141">
        <f>SUM(Advertising:Sales!T61)</f>
        <v>451.57</v>
      </c>
      <c r="U61" s="141">
        <f>SUM(Advertising:Sales!U61)</f>
        <v>437.58</v>
      </c>
      <c r="V61" s="141">
        <f>SUM(Advertising:Sales!V61)</f>
        <v>399.1</v>
      </c>
      <c r="W61" s="141">
        <f>SUM(Advertising:Sales!W61)</f>
        <v>404.68</v>
      </c>
      <c r="X61" s="141">
        <f>SUM(Advertising:Sales!X61)</f>
        <v>404.68</v>
      </c>
      <c r="Y61" s="141">
        <f>SUM(Advertising:Sales!Y61)</f>
        <v>417</v>
      </c>
      <c r="Z61" s="141">
        <f>SUM(Advertising:Sales!Z61)</f>
        <v>417</v>
      </c>
      <c r="AA61" s="141">
        <f>SUM(Advertising:Sales!AA61)</f>
        <v>417</v>
      </c>
      <c r="AB61" s="141">
        <f>SUM(Advertising:Sales!AB61)</f>
        <v>417</v>
      </c>
      <c r="AC61" s="142">
        <f t="shared" si="14"/>
        <v>5120.32</v>
      </c>
      <c r="AD61" s="124">
        <f t="shared" si="15"/>
        <v>1091.2399999999998</v>
      </c>
      <c r="AE61" s="192">
        <f t="shared" si="16"/>
        <v>0.21311949253171675</v>
      </c>
      <c r="AF61" s="129">
        <v>3633.4200000000005</v>
      </c>
      <c r="AG61" s="201">
        <f t="shared" si="2"/>
        <v>-395.6599999999994</v>
      </c>
      <c r="AH61" s="129"/>
      <c r="AI61" s="251"/>
    </row>
    <row r="62" spans="1:35">
      <c r="A62" s="105" t="s">
        <v>878</v>
      </c>
      <c r="B62" s="105" t="s">
        <v>906</v>
      </c>
      <c r="C62" s="105" t="s">
        <v>270</v>
      </c>
      <c r="D62" s="124">
        <f>SUM(Advertising:Sales!D62)</f>
        <v>0</v>
      </c>
      <c r="E62" s="124">
        <f>SUM(Advertising:Sales!E62)</f>
        <v>0</v>
      </c>
      <c r="F62" s="124">
        <f>SUM(Advertising:Sales!F62)</f>
        <v>0</v>
      </c>
      <c r="G62" s="124">
        <f>SUM(Advertising:Sales!G62)</f>
        <v>0</v>
      </c>
      <c r="H62" s="124">
        <f>SUM(Advertising:Sales!H62)</f>
        <v>0</v>
      </c>
      <c r="I62" s="124">
        <f>SUM(Advertising:Sales!I62)</f>
        <v>0</v>
      </c>
      <c r="J62" s="124">
        <f>SUM(Advertising:Sales!J62)</f>
        <v>0</v>
      </c>
      <c r="K62" s="124">
        <f>SUM(Advertising:Sales!K62)</f>
        <v>0</v>
      </c>
      <c r="L62" s="124">
        <f>SUM(Advertising:Sales!L62)</f>
        <v>0</v>
      </c>
      <c r="M62" s="124">
        <f>SUM(Advertising:Sales!M62)</f>
        <v>0</v>
      </c>
      <c r="N62" s="124">
        <f>SUM(Advertising:Sales!N62)</f>
        <v>0</v>
      </c>
      <c r="O62" s="124">
        <f>SUM(Advertising:Sales!O62)</f>
        <v>0</v>
      </c>
      <c r="P62" s="133">
        <f t="shared" si="13"/>
        <v>0</v>
      </c>
      <c r="Q62" s="141">
        <f>SUM(Advertising:Sales!Q62)</f>
        <v>0</v>
      </c>
      <c r="R62" s="141">
        <f>SUM(Advertising:Sales!R62)</f>
        <v>0</v>
      </c>
      <c r="S62" s="141">
        <f>SUM(Advertising:Sales!S62)</f>
        <v>0</v>
      </c>
      <c r="T62" s="141">
        <f>SUM(Advertising:Sales!T62)</f>
        <v>0</v>
      </c>
      <c r="U62" s="141">
        <f>SUM(Advertising:Sales!U62)</f>
        <v>0</v>
      </c>
      <c r="V62" s="141">
        <f>SUM(Advertising:Sales!V62)</f>
        <v>0</v>
      </c>
      <c r="W62" s="141">
        <f>SUM(Advertising:Sales!W62)</f>
        <v>0</v>
      </c>
      <c r="X62" s="141">
        <f>SUM(Advertising:Sales!X62)</f>
        <v>0</v>
      </c>
      <c r="Y62" s="141">
        <f>SUM(Advertising:Sales!Y62)</f>
        <v>0</v>
      </c>
      <c r="Z62" s="141">
        <f>SUM(Advertising:Sales!Z62)</f>
        <v>0</v>
      </c>
      <c r="AA62" s="141">
        <f>SUM(Advertising:Sales!AA62)</f>
        <v>0</v>
      </c>
      <c r="AB62" s="141">
        <f>SUM(Advertising:Sales!AB62)</f>
        <v>0</v>
      </c>
      <c r="AC62" s="142">
        <f t="shared" si="14"/>
        <v>0</v>
      </c>
      <c r="AD62" s="124">
        <f t="shared" si="15"/>
        <v>0</v>
      </c>
      <c r="AE62" s="192" t="e">
        <f t="shared" si="16"/>
        <v>#DIV/0!</v>
      </c>
      <c r="AF62" s="129">
        <v>8157.37</v>
      </c>
      <c r="AG62" s="201">
        <f t="shared" si="2"/>
        <v>8157.37</v>
      </c>
      <c r="AH62" s="129"/>
      <c r="AI62" s="251"/>
    </row>
    <row r="63" spans="1:35">
      <c r="A63" s="105" t="s">
        <v>879</v>
      </c>
      <c r="B63" s="105" t="s">
        <v>906</v>
      </c>
      <c r="C63" s="105" t="s">
        <v>271</v>
      </c>
      <c r="D63" s="124">
        <f>SUM(Advertising:Sales!D63)</f>
        <v>13352.2</v>
      </c>
      <c r="E63" s="124">
        <f>SUM(Advertising:Sales!E63)</f>
        <v>13352.2</v>
      </c>
      <c r="F63" s="124">
        <f>SUM(Advertising:Sales!F63)</f>
        <v>13802.2</v>
      </c>
      <c r="G63" s="124">
        <f>SUM(Advertising:Sales!G63)</f>
        <v>14317.199999999999</v>
      </c>
      <c r="H63" s="124">
        <f>SUM(Advertising:Sales!H63)</f>
        <v>14317.199999999999</v>
      </c>
      <c r="I63" s="124">
        <f>SUM(Advertising:Sales!I63)</f>
        <v>14317.199999999999</v>
      </c>
      <c r="J63" s="124">
        <f>SUM(Advertising:Sales!J63)</f>
        <v>14166.59</v>
      </c>
      <c r="K63" s="124">
        <f>SUM(Advertising:Sales!K63)</f>
        <v>14223.009999999998</v>
      </c>
      <c r="L63" s="124">
        <f>SUM(Advertising:Sales!L63)</f>
        <v>14244.89</v>
      </c>
      <c r="M63" s="124">
        <f>SUM(Advertising:Sales!M63)</f>
        <v>14244.89</v>
      </c>
      <c r="N63" s="124">
        <f>SUM(Advertising:Sales!N63)</f>
        <v>14176.080000000002</v>
      </c>
      <c r="O63" s="124">
        <f>SUM(Advertising:Sales!O63)</f>
        <v>14244.89</v>
      </c>
      <c r="P63" s="133">
        <f t="shared" si="13"/>
        <v>168758.55</v>
      </c>
      <c r="Q63" s="141">
        <f>SUM(Advertising:Sales!Q63)</f>
        <v>19139</v>
      </c>
      <c r="R63" s="141">
        <f>SUM(Advertising:Sales!R63)</f>
        <v>19139</v>
      </c>
      <c r="S63" s="141">
        <f>SUM(Advertising:Sales!S63)</f>
        <v>19139</v>
      </c>
      <c r="T63" s="141">
        <f>SUM(Advertising:Sales!T63)</f>
        <v>19139</v>
      </c>
      <c r="U63" s="141">
        <f>SUM(Advertising:Sales!U63)</f>
        <v>18556</v>
      </c>
      <c r="V63" s="141">
        <f>SUM(Advertising:Sales!V63)</f>
        <v>16952</v>
      </c>
      <c r="W63" s="141">
        <f>SUM(Advertising:Sales!W63)</f>
        <v>17246</v>
      </c>
      <c r="X63" s="141">
        <f>SUM(Advertising:Sales!X63)</f>
        <v>17246</v>
      </c>
      <c r="Y63" s="141">
        <f>SUM(Advertising:Sales!Y63)</f>
        <v>16357</v>
      </c>
      <c r="Z63" s="141">
        <f>SUM(Advertising:Sales!Z63)</f>
        <v>16357</v>
      </c>
      <c r="AA63" s="141">
        <f>SUM(Advertising:Sales!AA63)</f>
        <v>16357</v>
      </c>
      <c r="AB63" s="141">
        <f>SUM(Advertising:Sales!AB63)</f>
        <v>16357</v>
      </c>
      <c r="AC63" s="142">
        <f t="shared" si="14"/>
        <v>211984</v>
      </c>
      <c r="AD63" s="124">
        <f t="shared" si="15"/>
        <v>43225.450000000012</v>
      </c>
      <c r="AE63" s="192">
        <f t="shared" si="16"/>
        <v>0.2039090214355801</v>
      </c>
      <c r="AF63" s="129">
        <v>112852</v>
      </c>
      <c r="AG63" s="201">
        <f t="shared" si="2"/>
        <v>-55906.549999999988</v>
      </c>
      <c r="AH63" s="129"/>
      <c r="AI63" s="251"/>
    </row>
    <row r="64" spans="1:35">
      <c r="A64" s="105" t="s">
        <v>880</v>
      </c>
      <c r="B64" s="105" t="s">
        <v>906</v>
      </c>
      <c r="C64" s="105" t="s">
        <v>272</v>
      </c>
      <c r="D64" s="124">
        <f>SUM(Advertising:Sales!D64)</f>
        <v>8425</v>
      </c>
      <c r="E64" s="124">
        <f>SUM(Advertising:Sales!E64)</f>
        <v>8212</v>
      </c>
      <c r="F64" s="124">
        <f>SUM(Advertising:Sales!F64)</f>
        <v>8468</v>
      </c>
      <c r="G64" s="124">
        <f>SUM(Advertising:Sales!G64)</f>
        <v>7437</v>
      </c>
      <c r="H64" s="124">
        <f>SUM(Advertising:Sales!H64)</f>
        <v>7376</v>
      </c>
      <c r="I64" s="124">
        <f>SUM(Advertising:Sales!I64)</f>
        <v>8091</v>
      </c>
      <c r="J64" s="124">
        <f>SUM(Advertising:Sales!J64)</f>
        <v>7664</v>
      </c>
      <c r="K64" s="124">
        <f>SUM(Advertising:Sales!K64)</f>
        <v>8041</v>
      </c>
      <c r="L64" s="124">
        <f>SUM(Advertising:Sales!L64)</f>
        <v>8249</v>
      </c>
      <c r="M64" s="124">
        <f>SUM(Advertising:Sales!M64)</f>
        <v>7909</v>
      </c>
      <c r="N64" s="124">
        <f>SUM(Advertising:Sales!N64)</f>
        <v>7423</v>
      </c>
      <c r="O64" s="124">
        <f>SUM(Advertising:Sales!O64)</f>
        <v>12817</v>
      </c>
      <c r="P64" s="133">
        <f t="shared" si="13"/>
        <v>100112</v>
      </c>
      <c r="Q64" s="141">
        <f>SUM(Advertising:Sales!Q64)</f>
        <v>5190.25</v>
      </c>
      <c r="R64" s="141">
        <f>SUM(Advertising:Sales!R64)</f>
        <v>5539.3899999999994</v>
      </c>
      <c r="S64" s="141">
        <f>SUM(Advertising:Sales!S64)</f>
        <v>12258.6</v>
      </c>
      <c r="T64" s="141">
        <f>SUM(Advertising:Sales!T64)</f>
        <v>8695.7100000000009</v>
      </c>
      <c r="U64" s="141">
        <f>SUM(Advertising:Sales!U64)</f>
        <v>5257.92</v>
      </c>
      <c r="V64" s="141">
        <f>SUM(Advertising:Sales!V64)</f>
        <v>4853.79</v>
      </c>
      <c r="W64" s="141">
        <f>SUM(Advertising:Sales!W64)</f>
        <v>5956.93</v>
      </c>
      <c r="X64" s="141">
        <f>SUM(Advertising:Sales!X64)</f>
        <v>4753.26</v>
      </c>
      <c r="Y64" s="141">
        <f>SUM(Advertising:Sales!Y64)</f>
        <v>8057</v>
      </c>
      <c r="Z64" s="141">
        <f>SUM(Advertising:Sales!Z64)</f>
        <v>8057</v>
      </c>
      <c r="AA64" s="141">
        <f>SUM(Advertising:Sales!AA64)</f>
        <v>8057</v>
      </c>
      <c r="AB64" s="141">
        <f>SUM(Advertising:Sales!AB64)</f>
        <v>8057</v>
      </c>
      <c r="AC64" s="142">
        <f t="shared" si="14"/>
        <v>84733.85</v>
      </c>
      <c r="AD64" s="124">
        <f t="shared" si="15"/>
        <v>-15378.149999999994</v>
      </c>
      <c r="AE64" s="192">
        <f t="shared" si="16"/>
        <v>-0.18148768172341978</v>
      </c>
      <c r="AF64" s="129">
        <v>69226.69</v>
      </c>
      <c r="AG64" s="201">
        <f t="shared" si="2"/>
        <v>-30885.309999999998</v>
      </c>
      <c r="AH64" s="129"/>
      <c r="AI64" s="251"/>
    </row>
    <row r="65" spans="1:35">
      <c r="A65" s="105" t="s">
        <v>273</v>
      </c>
      <c r="C65" s="105" t="s">
        <v>274</v>
      </c>
      <c r="D65" s="124">
        <f>SUM(Advertising:Sales!D65)</f>
        <v>0</v>
      </c>
      <c r="E65" s="124">
        <f>SUM(Advertising:Sales!E65)</f>
        <v>0</v>
      </c>
      <c r="F65" s="124">
        <f>SUM(Advertising:Sales!F65)</f>
        <v>0</v>
      </c>
      <c r="G65" s="124">
        <f>SUM(Advertising:Sales!G65)</f>
        <v>0</v>
      </c>
      <c r="H65" s="124">
        <f>SUM(Advertising:Sales!H65)</f>
        <v>0</v>
      </c>
      <c r="I65" s="124">
        <f>SUM(Advertising:Sales!I65)</f>
        <v>0</v>
      </c>
      <c r="J65" s="124">
        <f>SUM(Advertising:Sales!J65)</f>
        <v>0</v>
      </c>
      <c r="K65" s="124">
        <f>SUM(Advertising:Sales!K65)</f>
        <v>0</v>
      </c>
      <c r="L65" s="124">
        <f>SUM(Advertising:Sales!L65)</f>
        <v>0</v>
      </c>
      <c r="M65" s="124">
        <f>SUM(Advertising:Sales!M65)</f>
        <v>0</v>
      </c>
      <c r="N65" s="124">
        <f>SUM(Advertising:Sales!N65)</f>
        <v>0</v>
      </c>
      <c r="O65" s="124">
        <f>SUM(Advertising:Sales!O65)</f>
        <v>0</v>
      </c>
      <c r="P65" s="133">
        <f t="shared" si="13"/>
        <v>0</v>
      </c>
      <c r="Q65" s="141">
        <f>SUM(Advertising:Sales!Q65)</f>
        <v>0</v>
      </c>
      <c r="R65" s="141">
        <f>SUM(Advertising:Sales!R65)</f>
        <v>0</v>
      </c>
      <c r="S65" s="141">
        <f>SUM(Advertising:Sales!S65)</f>
        <v>0</v>
      </c>
      <c r="T65" s="141">
        <f>SUM(Advertising:Sales!T65)</f>
        <v>0</v>
      </c>
      <c r="U65" s="141">
        <f>SUM(Advertising:Sales!U65)</f>
        <v>0</v>
      </c>
      <c r="V65" s="141">
        <f>SUM(Advertising:Sales!V65)</f>
        <v>0</v>
      </c>
      <c r="W65" s="141">
        <f>SUM(Advertising:Sales!W65)</f>
        <v>0</v>
      </c>
      <c r="X65" s="141">
        <f>SUM(Advertising:Sales!X65)</f>
        <v>0</v>
      </c>
      <c r="Y65" s="141">
        <f>SUM(Advertising:Sales!Y65)</f>
        <v>0</v>
      </c>
      <c r="Z65" s="141">
        <f>SUM(Advertising:Sales!Z65)</f>
        <v>0</v>
      </c>
      <c r="AA65" s="141">
        <f>SUM(Advertising:Sales!AA65)</f>
        <v>0</v>
      </c>
      <c r="AB65" s="141">
        <f>SUM(Advertising:Sales!AB65)</f>
        <v>0</v>
      </c>
      <c r="AC65" s="142">
        <f t="shared" si="14"/>
        <v>0</v>
      </c>
      <c r="AD65" s="124">
        <f t="shared" si="15"/>
        <v>0</v>
      </c>
      <c r="AF65" s="129">
        <v>0</v>
      </c>
      <c r="AG65" s="201">
        <f t="shared" si="2"/>
        <v>0</v>
      </c>
      <c r="AH65" s="129"/>
      <c r="AI65" s="251"/>
    </row>
    <row r="66" spans="1:35" s="109" customFormat="1">
      <c r="C66" s="109" t="s">
        <v>275</v>
      </c>
      <c r="D66" s="129">
        <f>SUM(D58:D65)</f>
        <v>82815.649999999994</v>
      </c>
      <c r="E66" s="129">
        <f t="shared" ref="E66:AC66" si="17">SUM(E58:E65)</f>
        <v>82602.649999999994</v>
      </c>
      <c r="F66" s="129">
        <f t="shared" si="17"/>
        <v>84804.45</v>
      </c>
      <c r="G66" s="129">
        <f t="shared" si="17"/>
        <v>86751.66</v>
      </c>
      <c r="H66" s="129">
        <f t="shared" si="17"/>
        <v>86690.66</v>
      </c>
      <c r="I66" s="129">
        <f t="shared" si="17"/>
        <v>87405.66</v>
      </c>
      <c r="J66" s="129">
        <f t="shared" si="17"/>
        <v>86615.91</v>
      </c>
      <c r="K66" s="129">
        <f t="shared" si="17"/>
        <v>86992.049999999988</v>
      </c>
      <c r="L66" s="129">
        <f t="shared" si="17"/>
        <v>87323.11</v>
      </c>
      <c r="M66" s="129">
        <f t="shared" si="17"/>
        <v>86983.11</v>
      </c>
      <c r="N66" s="129">
        <f t="shared" si="17"/>
        <v>86428.3</v>
      </c>
      <c r="O66" s="129">
        <f t="shared" si="17"/>
        <v>91891.11</v>
      </c>
      <c r="P66" s="133">
        <f t="shared" si="17"/>
        <v>1037304.3199999998</v>
      </c>
      <c r="Q66" s="142">
        <f t="shared" si="17"/>
        <v>118859.93000000001</v>
      </c>
      <c r="R66" s="142">
        <f t="shared" si="17"/>
        <v>119209.07</v>
      </c>
      <c r="S66" s="142">
        <f t="shared" si="17"/>
        <v>125928.28000000001</v>
      </c>
      <c r="T66" s="142">
        <f t="shared" si="17"/>
        <v>122365.39000000001</v>
      </c>
      <c r="U66" s="142">
        <f t="shared" si="17"/>
        <v>115415.94</v>
      </c>
      <c r="V66" s="142">
        <f t="shared" si="17"/>
        <v>105350.11</v>
      </c>
      <c r="W66" s="142">
        <f t="shared" si="17"/>
        <v>101169.13999999998</v>
      </c>
      <c r="X66" s="142">
        <f t="shared" si="17"/>
        <v>99965.469999999987</v>
      </c>
      <c r="Y66" s="142">
        <f>SUM(Y58:Y65)</f>
        <v>105866</v>
      </c>
      <c r="Z66" s="142">
        <f>SUM(Z58:Z65)</f>
        <v>105866</v>
      </c>
      <c r="AA66" s="142">
        <f>SUM(AA58:AA65)</f>
        <v>105866</v>
      </c>
      <c r="AB66" s="142">
        <f>SUM(AB58:AB65)</f>
        <v>105866</v>
      </c>
      <c r="AC66" s="142">
        <f t="shared" si="17"/>
        <v>1331727.33</v>
      </c>
      <c r="AD66" s="129">
        <f t="shared" si="15"/>
        <v>294423.01000000024</v>
      </c>
      <c r="AE66" s="132">
        <f t="shared" si="16"/>
        <v>0.22108355319252945</v>
      </c>
      <c r="AF66" s="129">
        <v>773773.90000000014</v>
      </c>
      <c r="AG66" s="201">
        <f t="shared" si="2"/>
        <v>-263530.41999999969</v>
      </c>
      <c r="AH66" s="129"/>
      <c r="AI66" s="251"/>
    </row>
    <row r="67" spans="1:35">
      <c r="C67" s="105" t="s">
        <v>154</v>
      </c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33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2"/>
      <c r="AF67" s="129"/>
      <c r="AG67" s="201">
        <f t="shared" si="2"/>
        <v>0</v>
      </c>
      <c r="AH67" s="129"/>
      <c r="AI67" s="251"/>
    </row>
    <row r="68" spans="1:35">
      <c r="A68" s="105" t="s">
        <v>131</v>
      </c>
      <c r="B68" s="105" t="s">
        <v>906</v>
      </c>
      <c r="C68" s="105" t="s">
        <v>276</v>
      </c>
      <c r="D68" s="124">
        <f>SUM(Advertising:Sales!D68)</f>
        <v>0</v>
      </c>
      <c r="E68" s="124">
        <f>SUM(Advertising:Sales!E68)</f>
        <v>0</v>
      </c>
      <c r="F68" s="124">
        <f>SUM(Advertising:Sales!F68)</f>
        <v>0</v>
      </c>
      <c r="G68" s="124">
        <f>SUM(Advertising:Sales!G68)</f>
        <v>0</v>
      </c>
      <c r="H68" s="124">
        <f>SUM(Advertising:Sales!H68)</f>
        <v>0</v>
      </c>
      <c r="I68" s="124">
        <f>SUM(Advertising:Sales!I68)</f>
        <v>0</v>
      </c>
      <c r="J68" s="124">
        <f>SUM(Advertising:Sales!J68)</f>
        <v>0</v>
      </c>
      <c r="K68" s="124">
        <f>SUM(Advertising:Sales!K68)</f>
        <v>0</v>
      </c>
      <c r="L68" s="124">
        <f>SUM(Advertising:Sales!L68)</f>
        <v>0</v>
      </c>
      <c r="M68" s="124">
        <f>SUM(Advertising:Sales!M68)</f>
        <v>0</v>
      </c>
      <c r="N68" s="124">
        <f>SUM(Advertising:Sales!N68)</f>
        <v>0</v>
      </c>
      <c r="O68" s="124">
        <f>SUM(Advertising:Sales!O68)</f>
        <v>0</v>
      </c>
      <c r="P68" s="133">
        <f t="shared" ref="P68:P74" si="18">SUM(D68:O68)</f>
        <v>0</v>
      </c>
      <c r="Q68" s="141">
        <f>SUM(Advertising:Sales!Q68)</f>
        <v>0</v>
      </c>
      <c r="R68" s="141">
        <f>SUM(Advertising:Sales!R68)</f>
        <v>0</v>
      </c>
      <c r="S68" s="141">
        <f>SUM(Advertising:Sales!S68)</f>
        <v>0</v>
      </c>
      <c r="T68" s="141">
        <f>SUM(Advertising:Sales!T68)</f>
        <v>0</v>
      </c>
      <c r="U68" s="141">
        <f>SUM(Advertising:Sales!U68)</f>
        <v>0</v>
      </c>
      <c r="V68" s="141">
        <f>SUM(Advertising:Sales!V68)</f>
        <v>0</v>
      </c>
      <c r="W68" s="141">
        <f>SUM(Advertising:Sales!W68)</f>
        <v>0</v>
      </c>
      <c r="X68" s="141">
        <f>SUM(Advertising:Sales!X68)</f>
        <v>0</v>
      </c>
      <c r="Y68" s="141">
        <f>SUM(Advertising:Sales!Y68)</f>
        <v>0</v>
      </c>
      <c r="Z68" s="141">
        <f>SUM(Advertising:Sales!Z68)</f>
        <v>0</v>
      </c>
      <c r="AA68" s="141">
        <f>SUM(Advertising:Sales!AA68)</f>
        <v>0</v>
      </c>
      <c r="AB68" s="141">
        <f>SUM(Advertising:Sales!AB68)</f>
        <v>0</v>
      </c>
      <c r="AC68" s="142">
        <f t="shared" ref="AC68:AC76" si="19">SUM(Q68:AB68)</f>
        <v>0</v>
      </c>
      <c r="AD68" s="124">
        <f t="shared" ref="AD68:AD78" si="20">AC68-P68</f>
        <v>0</v>
      </c>
      <c r="AF68" s="129">
        <v>0</v>
      </c>
      <c r="AG68" s="201">
        <f t="shared" si="2"/>
        <v>0</v>
      </c>
      <c r="AH68" s="129"/>
      <c r="AI68" s="251"/>
    </row>
    <row r="69" spans="1:35">
      <c r="A69" s="105" t="s">
        <v>132</v>
      </c>
      <c r="B69" s="105" t="s">
        <v>906</v>
      </c>
      <c r="C69" s="105" t="s">
        <v>277</v>
      </c>
      <c r="D69" s="124">
        <f>SUM(Advertising:Sales!D69)</f>
        <v>0</v>
      </c>
      <c r="E69" s="124">
        <f>SUM(Advertising:Sales!E69)</f>
        <v>0</v>
      </c>
      <c r="F69" s="124">
        <f>SUM(Advertising:Sales!F69)</f>
        <v>0</v>
      </c>
      <c r="G69" s="124">
        <f>SUM(Advertising:Sales!G69)</f>
        <v>0</v>
      </c>
      <c r="H69" s="124">
        <f>SUM(Advertising:Sales!H69)</f>
        <v>0</v>
      </c>
      <c r="I69" s="124">
        <f>SUM(Advertising:Sales!I69)</f>
        <v>0</v>
      </c>
      <c r="J69" s="124">
        <f>SUM(Advertising:Sales!J69)</f>
        <v>0</v>
      </c>
      <c r="K69" s="124">
        <f>SUM(Advertising:Sales!K69)</f>
        <v>0</v>
      </c>
      <c r="L69" s="124">
        <f>SUM(Advertising:Sales!L69)</f>
        <v>0</v>
      </c>
      <c r="M69" s="124">
        <f>SUM(Advertising:Sales!M69)</f>
        <v>0</v>
      </c>
      <c r="N69" s="124">
        <f>SUM(Advertising:Sales!N69)</f>
        <v>0</v>
      </c>
      <c r="O69" s="124">
        <f>SUM(Advertising:Sales!O69)</f>
        <v>0</v>
      </c>
      <c r="P69" s="133">
        <f t="shared" si="18"/>
        <v>0</v>
      </c>
      <c r="Q69" s="141">
        <f>SUM(Advertising:Sales!Q69)</f>
        <v>0</v>
      </c>
      <c r="R69" s="141">
        <f>SUM(Advertising:Sales!R69)</f>
        <v>0</v>
      </c>
      <c r="S69" s="141">
        <f>SUM(Advertising:Sales!S69)</f>
        <v>0</v>
      </c>
      <c r="T69" s="141">
        <f>SUM(Advertising:Sales!T69)</f>
        <v>0</v>
      </c>
      <c r="U69" s="141">
        <f>SUM(Advertising:Sales!U69)</f>
        <v>0</v>
      </c>
      <c r="V69" s="141">
        <f>SUM(Advertising:Sales!V69)</f>
        <v>0</v>
      </c>
      <c r="W69" s="141">
        <f>SUM(Advertising:Sales!W69)</f>
        <v>0</v>
      </c>
      <c r="X69" s="141">
        <f>SUM(Advertising:Sales!X69)</f>
        <v>0</v>
      </c>
      <c r="Y69" s="141">
        <f>SUM(Advertising:Sales!Y69)</f>
        <v>0</v>
      </c>
      <c r="Z69" s="141">
        <f>SUM(Advertising:Sales!Z69)</f>
        <v>0</v>
      </c>
      <c r="AA69" s="141">
        <f>SUM(Advertising:Sales!AA69)</f>
        <v>0</v>
      </c>
      <c r="AB69" s="141">
        <f>SUM(Advertising:Sales!AB69)</f>
        <v>0</v>
      </c>
      <c r="AC69" s="142">
        <f t="shared" si="19"/>
        <v>0</v>
      </c>
      <c r="AD69" s="124">
        <f t="shared" si="20"/>
        <v>0</v>
      </c>
      <c r="AF69" s="129">
        <v>0</v>
      </c>
      <c r="AG69" s="201">
        <f t="shared" si="2"/>
        <v>0</v>
      </c>
      <c r="AH69" s="129"/>
      <c r="AI69" s="251"/>
    </row>
    <row r="70" spans="1:35">
      <c r="A70" s="105" t="s">
        <v>133</v>
      </c>
      <c r="B70" s="105" t="s">
        <v>906</v>
      </c>
      <c r="C70" s="105" t="s">
        <v>278</v>
      </c>
      <c r="D70" s="124">
        <f>SUM(Advertising:Sales!D70)</f>
        <v>0</v>
      </c>
      <c r="E70" s="124">
        <f>SUM(Advertising:Sales!E70)</f>
        <v>0</v>
      </c>
      <c r="F70" s="124">
        <f>SUM(Advertising:Sales!F70)</f>
        <v>0</v>
      </c>
      <c r="G70" s="124">
        <f>SUM(Advertising:Sales!G70)</f>
        <v>0</v>
      </c>
      <c r="H70" s="124">
        <f>SUM(Advertising:Sales!H70)</f>
        <v>0</v>
      </c>
      <c r="I70" s="124">
        <f>SUM(Advertising:Sales!I70)</f>
        <v>0</v>
      </c>
      <c r="J70" s="124">
        <f>SUM(Advertising:Sales!J70)</f>
        <v>0</v>
      </c>
      <c r="K70" s="124">
        <f>SUM(Advertising:Sales!K70)</f>
        <v>0</v>
      </c>
      <c r="L70" s="124">
        <f>SUM(Advertising:Sales!L70)</f>
        <v>0</v>
      </c>
      <c r="M70" s="124">
        <f>SUM(Advertising:Sales!M70)</f>
        <v>0</v>
      </c>
      <c r="N70" s="124">
        <f>SUM(Advertising:Sales!N70)</f>
        <v>0</v>
      </c>
      <c r="O70" s="124">
        <f>SUM(Advertising:Sales!O70)</f>
        <v>0</v>
      </c>
      <c r="P70" s="133">
        <f t="shared" si="18"/>
        <v>0</v>
      </c>
      <c r="Q70" s="141">
        <f>SUM(Advertising:Sales!Q70)</f>
        <v>0</v>
      </c>
      <c r="R70" s="141">
        <f>SUM(Advertising:Sales!R70)</f>
        <v>0</v>
      </c>
      <c r="S70" s="141">
        <f>SUM(Advertising:Sales!S70)</f>
        <v>0</v>
      </c>
      <c r="T70" s="141">
        <f>SUM(Advertising:Sales!T70)</f>
        <v>0</v>
      </c>
      <c r="U70" s="141">
        <f>SUM(Advertising:Sales!U70)</f>
        <v>0</v>
      </c>
      <c r="V70" s="141">
        <f>SUM(Advertising:Sales!V70)</f>
        <v>0</v>
      </c>
      <c r="W70" s="141">
        <f>SUM(Advertising:Sales!W70)</f>
        <v>0</v>
      </c>
      <c r="X70" s="141">
        <f>SUM(Advertising:Sales!X70)</f>
        <v>0</v>
      </c>
      <c r="Y70" s="141">
        <f>SUM(Advertising:Sales!Y70)</f>
        <v>0</v>
      </c>
      <c r="Z70" s="141">
        <f>SUM(Advertising:Sales!Z70)</f>
        <v>0</v>
      </c>
      <c r="AA70" s="141">
        <f>SUM(Advertising:Sales!AA70)</f>
        <v>0</v>
      </c>
      <c r="AB70" s="141">
        <f>SUM(Advertising:Sales!AB70)</f>
        <v>0</v>
      </c>
      <c r="AC70" s="142">
        <f t="shared" si="19"/>
        <v>0</v>
      </c>
      <c r="AD70" s="124">
        <f t="shared" si="20"/>
        <v>0</v>
      </c>
      <c r="AF70" s="129">
        <v>0</v>
      </c>
      <c r="AG70" s="201">
        <f t="shared" si="2"/>
        <v>0</v>
      </c>
      <c r="AH70" s="129"/>
      <c r="AI70" s="251"/>
    </row>
    <row r="71" spans="1:35">
      <c r="A71" s="105" t="s">
        <v>134</v>
      </c>
      <c r="B71" s="105" t="s">
        <v>906</v>
      </c>
      <c r="C71" s="105" t="s">
        <v>279</v>
      </c>
      <c r="D71" s="124">
        <f>SUM(Advertising:Sales!D71)</f>
        <v>2166.65</v>
      </c>
      <c r="E71" s="124">
        <f>SUM(Advertising:Sales!E71)</f>
        <v>2166.65</v>
      </c>
      <c r="F71" s="124">
        <f>SUM(Advertising:Sales!F71)</f>
        <v>2299.98</v>
      </c>
      <c r="G71" s="124">
        <f>SUM(Advertising:Sales!G71)</f>
        <v>2299.98</v>
      </c>
      <c r="H71" s="124">
        <f>SUM(Advertising:Sales!H71)</f>
        <v>2299.98</v>
      </c>
      <c r="I71" s="124">
        <f>SUM(Advertising:Sales!I71)</f>
        <v>2299.98</v>
      </c>
      <c r="J71" s="124">
        <f>SUM(Advertising:Sales!J71)</f>
        <v>2299.98</v>
      </c>
      <c r="K71" s="124">
        <f>SUM(Advertising:Sales!K71)</f>
        <v>2299.98</v>
      </c>
      <c r="L71" s="124">
        <f>SUM(Advertising:Sales!L71)</f>
        <v>2299.98</v>
      </c>
      <c r="M71" s="124">
        <f>SUM(Advertising:Sales!M71)</f>
        <v>2299.98</v>
      </c>
      <c r="N71" s="124">
        <f>SUM(Advertising:Sales!N71)</f>
        <v>2299.98</v>
      </c>
      <c r="O71" s="124">
        <f>SUM(Advertising:Sales!O71)</f>
        <v>2299.98</v>
      </c>
      <c r="P71" s="133">
        <f t="shared" si="18"/>
        <v>27333.1</v>
      </c>
      <c r="Q71" s="141">
        <f>SUM(Advertising:Sales!Q71)</f>
        <v>2719</v>
      </c>
      <c r="R71" s="141">
        <f>SUM(Advertising:Sales!R71)</f>
        <v>2491</v>
      </c>
      <c r="S71" s="141">
        <f>SUM(Advertising:Sales!S71)</f>
        <v>2735</v>
      </c>
      <c r="T71" s="141">
        <f>SUM(Advertising:Sales!T71)</f>
        <v>2650</v>
      </c>
      <c r="U71" s="141">
        <f>SUM(Advertising:Sales!U71)</f>
        <v>2735</v>
      </c>
      <c r="V71" s="141">
        <f>SUM(Advertising:Sales!V71)</f>
        <v>2650</v>
      </c>
      <c r="W71" s="141">
        <f>SUM(Advertising:Sales!W71)</f>
        <v>2735</v>
      </c>
      <c r="X71" s="141">
        <f>SUM(Advertising:Sales!X71)</f>
        <v>2735</v>
      </c>
      <c r="Y71" s="141">
        <f>SUM(Advertising:Sales!Y71)</f>
        <v>3033</v>
      </c>
      <c r="Z71" s="141">
        <f>SUM(Advertising:Sales!Z71)</f>
        <v>3033</v>
      </c>
      <c r="AA71" s="141">
        <f>SUM(Advertising:Sales!AA71)</f>
        <v>3033</v>
      </c>
      <c r="AB71" s="141">
        <f>SUM(Advertising:Sales!AB71)</f>
        <v>3033</v>
      </c>
      <c r="AC71" s="142">
        <f t="shared" si="19"/>
        <v>33582</v>
      </c>
      <c r="AD71" s="124">
        <f t="shared" si="20"/>
        <v>6248.9000000000015</v>
      </c>
      <c r="AE71" s="192">
        <f t="shared" ref="AE71:AE80" si="21">AD71/AC71</f>
        <v>0.18607885176582697</v>
      </c>
      <c r="AF71" s="129">
        <v>27736.85</v>
      </c>
      <c r="AG71" s="201">
        <f t="shared" si="2"/>
        <v>403.75</v>
      </c>
      <c r="AH71" s="129"/>
      <c r="AI71" s="251"/>
    </row>
    <row r="72" spans="1:35">
      <c r="A72" s="105" t="s">
        <v>135</v>
      </c>
      <c r="B72" s="105" t="s">
        <v>906</v>
      </c>
      <c r="C72" s="105" t="s">
        <v>280</v>
      </c>
      <c r="D72" s="124">
        <f>SUM(Advertising:Sales!D72)</f>
        <v>10090.51</v>
      </c>
      <c r="E72" s="124">
        <f>SUM(Advertising:Sales!E72)</f>
        <v>10090.51</v>
      </c>
      <c r="F72" s="124">
        <f>SUM(Advertising:Sales!F72)</f>
        <v>10090.51</v>
      </c>
      <c r="G72" s="124">
        <f>SUM(Advertising:Sales!G72)</f>
        <v>10090.51</v>
      </c>
      <c r="H72" s="124">
        <f>SUM(Advertising:Sales!H72)</f>
        <v>10090.51</v>
      </c>
      <c r="I72" s="124">
        <f>SUM(Advertising:Sales!I72)</f>
        <v>10090.51</v>
      </c>
      <c r="J72" s="124">
        <f>SUM(Advertising:Sales!J72)</f>
        <v>10090.51</v>
      </c>
      <c r="K72" s="124">
        <f>SUM(Advertising:Sales!K72)</f>
        <v>10090.51</v>
      </c>
      <c r="L72" s="124">
        <f>SUM(Advertising:Sales!L72)</f>
        <v>10090.51</v>
      </c>
      <c r="M72" s="124">
        <f>SUM(Advertising:Sales!M72)</f>
        <v>10090.51</v>
      </c>
      <c r="N72" s="124">
        <f>SUM(Advertising:Sales!N72)</f>
        <v>10090.51</v>
      </c>
      <c r="O72" s="124">
        <f>SUM(Advertising:Sales!O72)</f>
        <v>10090.51</v>
      </c>
      <c r="P72" s="133">
        <f t="shared" si="18"/>
        <v>121086.11999999998</v>
      </c>
      <c r="Q72" s="141">
        <f>SUM(Advertising:Sales!Q72)</f>
        <v>508.97</v>
      </c>
      <c r="R72" s="141">
        <f>SUM(Advertising:Sales!R72)</f>
        <v>513.27</v>
      </c>
      <c r="S72" s="141">
        <f>SUM(Advertising:Sales!S72)</f>
        <v>508.97</v>
      </c>
      <c r="T72" s="141">
        <f>SUM(Advertising:Sales!T72)</f>
        <v>508.97</v>
      </c>
      <c r="U72" s="141">
        <f>SUM(Advertising:Sales!U72)</f>
        <v>531.20000000000005</v>
      </c>
      <c r="V72" s="141">
        <f>SUM(Advertising:Sales!V72)</f>
        <v>494.01</v>
      </c>
      <c r="W72" s="141">
        <f>SUM(Advertising:Sales!W72)</f>
        <v>479.51</v>
      </c>
      <c r="X72" s="141">
        <f>SUM(Advertising:Sales!X72)</f>
        <v>470.12</v>
      </c>
      <c r="Y72" s="141">
        <f>SUM(Advertising:Sales!Y72)</f>
        <v>465</v>
      </c>
      <c r="Z72" s="141">
        <f>SUM(Advertising:Sales!Z72)</f>
        <v>465</v>
      </c>
      <c r="AA72" s="141">
        <f>SUM(Advertising:Sales!AA72)</f>
        <v>465</v>
      </c>
      <c r="AB72" s="141">
        <f>SUM(Advertising:Sales!AB72)</f>
        <v>465</v>
      </c>
      <c r="AC72" s="142">
        <f t="shared" si="19"/>
        <v>5875.02</v>
      </c>
      <c r="AD72" s="124">
        <f t="shared" si="20"/>
        <v>-115211.09999999998</v>
      </c>
      <c r="AE72" s="192">
        <f t="shared" si="21"/>
        <v>-19.610333241418747</v>
      </c>
      <c r="AF72" s="129">
        <v>128870.79999999999</v>
      </c>
      <c r="AG72" s="201">
        <f t="shared" si="2"/>
        <v>7784.6800000000076</v>
      </c>
      <c r="AH72" s="129"/>
      <c r="AI72" s="251"/>
    </row>
    <row r="73" spans="1:35">
      <c r="A73" s="105" t="s">
        <v>281</v>
      </c>
      <c r="B73" s="105" t="s">
        <v>906</v>
      </c>
      <c r="C73" s="105" t="s">
        <v>282</v>
      </c>
      <c r="D73" s="124">
        <f>SUM(Advertising:Sales!D73)</f>
        <v>8136</v>
      </c>
      <c r="E73" s="124">
        <f>SUM(Advertising:Sales!E73)</f>
        <v>7480</v>
      </c>
      <c r="F73" s="124">
        <f>SUM(Advertising:Sales!F73)</f>
        <v>7581</v>
      </c>
      <c r="G73" s="124">
        <f>SUM(Advertising:Sales!G73)</f>
        <v>8549</v>
      </c>
      <c r="H73" s="124">
        <f>SUM(Advertising:Sales!H73)</f>
        <v>8841</v>
      </c>
      <c r="I73" s="124">
        <f>SUM(Advertising:Sales!I73)</f>
        <v>8383</v>
      </c>
      <c r="J73" s="124">
        <f>SUM(Advertising:Sales!J73)</f>
        <v>8424</v>
      </c>
      <c r="K73" s="124">
        <f>SUM(Advertising:Sales!K73)</f>
        <v>8601</v>
      </c>
      <c r="L73" s="124">
        <f>SUM(Advertising:Sales!L73)</f>
        <v>8603</v>
      </c>
      <c r="M73" s="124">
        <f>SUM(Advertising:Sales!M73)</f>
        <v>8641</v>
      </c>
      <c r="N73" s="124">
        <f>SUM(Advertising:Sales!N73)</f>
        <v>8021</v>
      </c>
      <c r="O73" s="124">
        <f>SUM(Advertising:Sales!O73)</f>
        <v>8003</v>
      </c>
      <c r="P73" s="133">
        <f t="shared" si="18"/>
        <v>99263</v>
      </c>
      <c r="Q73" s="141">
        <f>SUM(Advertising:Sales!Q73)</f>
        <v>3453.0299999999997</v>
      </c>
      <c r="R73" s="141">
        <f>SUM(Advertising:Sales!R73)</f>
        <v>3981.94</v>
      </c>
      <c r="S73" s="141">
        <f>SUM(Advertising:Sales!S73)</f>
        <v>3853.32</v>
      </c>
      <c r="T73" s="141">
        <f>SUM(Advertising:Sales!T73)</f>
        <v>3987.69</v>
      </c>
      <c r="U73" s="141">
        <f>SUM(Advertising:Sales!U73)</f>
        <v>3373.46</v>
      </c>
      <c r="V73" s="141">
        <f>SUM(Advertising:Sales!V73)</f>
        <v>3999.41</v>
      </c>
      <c r="W73" s="141">
        <f>SUM(Advertising:Sales!W73)</f>
        <v>3358.7</v>
      </c>
      <c r="X73" s="141">
        <f>SUM(Advertising:Sales!X73)</f>
        <v>4068.0699999999997</v>
      </c>
      <c r="Y73" s="141">
        <f>SUM(Advertising:Sales!Y73)</f>
        <v>5662</v>
      </c>
      <c r="Z73" s="141">
        <f>SUM(Advertising:Sales!Z73)</f>
        <v>5384</v>
      </c>
      <c r="AA73" s="141">
        <f>SUM(Advertising:Sales!AA73)</f>
        <v>5036</v>
      </c>
      <c r="AB73" s="141">
        <f>SUM(Advertising:Sales!AB73)</f>
        <v>5037</v>
      </c>
      <c r="AC73" s="142">
        <f t="shared" si="19"/>
        <v>51194.619999999995</v>
      </c>
      <c r="AD73" s="124">
        <f t="shared" si="20"/>
        <v>-48068.380000000005</v>
      </c>
      <c r="AE73" s="192">
        <f t="shared" si="21"/>
        <v>-0.93893420832110897</v>
      </c>
      <c r="AF73" s="129">
        <v>58344.849999999991</v>
      </c>
      <c r="AG73" s="201">
        <f t="shared" ref="AG73:AG80" si="22">AF73-P73</f>
        <v>-40918.150000000009</v>
      </c>
      <c r="AH73" s="129"/>
      <c r="AI73" s="251">
        <v>-34751</v>
      </c>
    </row>
    <row r="74" spans="1:35">
      <c r="A74" s="105" t="s">
        <v>137</v>
      </c>
      <c r="B74" s="105" t="s">
        <v>906</v>
      </c>
      <c r="C74" s="105" t="s">
        <v>283</v>
      </c>
      <c r="D74" s="124">
        <f>SUM(Advertising:Sales!D74)</f>
        <v>34720.080000000002</v>
      </c>
      <c r="E74" s="124">
        <f>SUM(Advertising:Sales!E74)</f>
        <v>29862.080000000002</v>
      </c>
      <c r="F74" s="124">
        <f>SUM(Advertising:Sales!F74)</f>
        <v>29885.21</v>
      </c>
      <c r="G74" s="124">
        <f>SUM(Advertising:Sales!G74)</f>
        <v>30247.21</v>
      </c>
      <c r="H74" s="124">
        <f>SUM(Advertising:Sales!H74)</f>
        <v>32273.08</v>
      </c>
      <c r="I74" s="124">
        <f>SUM(Advertising:Sales!I74)</f>
        <v>30296.29</v>
      </c>
      <c r="J74" s="124">
        <f>SUM(Advertising:Sales!J74)</f>
        <v>30140.29</v>
      </c>
      <c r="K74" s="124">
        <f>SUM(Advertising:Sales!K74)</f>
        <v>30118.29</v>
      </c>
      <c r="L74" s="124">
        <f>SUM(Advertising:Sales!L74)</f>
        <v>30278.29</v>
      </c>
      <c r="M74" s="124">
        <f>SUM(Advertising:Sales!M74)</f>
        <v>34461.379999999997</v>
      </c>
      <c r="N74" s="124">
        <f>SUM(Advertising:Sales!N74)</f>
        <v>30169.21</v>
      </c>
      <c r="O74" s="124">
        <f>SUM(Advertising:Sales!O74)</f>
        <v>30147.21</v>
      </c>
      <c r="P74" s="133">
        <f t="shared" si="18"/>
        <v>372598.62000000005</v>
      </c>
      <c r="Q74" s="141">
        <f>SUM(Advertising:Sales!Q74)</f>
        <v>23508.25</v>
      </c>
      <c r="R74" s="141">
        <f>SUM(Advertising:Sales!R74)</f>
        <v>36794.869999999995</v>
      </c>
      <c r="S74" s="141">
        <f>SUM(Advertising:Sales!S74)</f>
        <v>32694.66</v>
      </c>
      <c r="T74" s="141">
        <f>SUM(Advertising:Sales!T74)</f>
        <v>32359.439999999999</v>
      </c>
      <c r="U74" s="141">
        <f>SUM(Advertising:Sales!U74)</f>
        <v>24580.14</v>
      </c>
      <c r="V74" s="141">
        <f>SUM(Advertising:Sales!V74)</f>
        <v>25626.39</v>
      </c>
      <c r="W74" s="141">
        <f>SUM(Advertising:Sales!W74)</f>
        <v>24497.510000000002</v>
      </c>
      <c r="X74" s="141">
        <f>SUM(Advertising:Sales!X74)</f>
        <v>25899.940000000002</v>
      </c>
      <c r="Y74" s="141">
        <f>SUM(Advertising:Sales!Y74)</f>
        <v>30764</v>
      </c>
      <c r="Z74" s="141">
        <f>SUM(Advertising:Sales!Z74)</f>
        <v>33949</v>
      </c>
      <c r="AA74" s="141">
        <f>SUM(Advertising:Sales!AA74)</f>
        <v>31150</v>
      </c>
      <c r="AB74" s="141">
        <f>SUM(Advertising:Sales!AB74)</f>
        <v>31150</v>
      </c>
      <c r="AC74" s="142">
        <f t="shared" si="19"/>
        <v>352974.2</v>
      </c>
      <c r="AD74" s="124">
        <f t="shared" si="20"/>
        <v>-19624.420000000042</v>
      </c>
      <c r="AE74" s="192">
        <f t="shared" si="21"/>
        <v>-5.559732127730594E-2</v>
      </c>
      <c r="AF74" s="129">
        <v>427967.05000000005</v>
      </c>
      <c r="AG74" s="201">
        <f t="shared" si="22"/>
        <v>55368.429999999993</v>
      </c>
      <c r="AH74" s="129"/>
      <c r="AI74" s="251"/>
    </row>
    <row r="75" spans="1:35">
      <c r="A75" s="105" t="s">
        <v>138</v>
      </c>
      <c r="B75" s="105" t="s">
        <v>906</v>
      </c>
      <c r="C75" s="105" t="s">
        <v>881</v>
      </c>
      <c r="D75" s="124">
        <f>SUM(Advertising:Sales!D75)</f>
        <v>0</v>
      </c>
      <c r="E75" s="124">
        <f>SUM(Advertising:Sales!E75)</f>
        <v>0</v>
      </c>
      <c r="F75" s="124">
        <f>SUM(Advertising:Sales!F75)</f>
        <v>0</v>
      </c>
      <c r="G75" s="124">
        <f>SUM(Advertising:Sales!G75)</f>
        <v>0</v>
      </c>
      <c r="H75" s="124">
        <f>SUM(Advertising:Sales!H75)</f>
        <v>0</v>
      </c>
      <c r="I75" s="124">
        <f>SUM(Advertising:Sales!I75)</f>
        <v>0</v>
      </c>
      <c r="J75" s="124">
        <f>SUM(Advertising:Sales!J75)</f>
        <v>0</v>
      </c>
      <c r="K75" s="124">
        <f>SUM(Advertising:Sales!K75)</f>
        <v>0</v>
      </c>
      <c r="L75" s="124">
        <f>SUM(Advertising:Sales!L75)</f>
        <v>0</v>
      </c>
      <c r="M75" s="124">
        <f>SUM(Advertising:Sales!M75)</f>
        <v>0</v>
      </c>
      <c r="N75" s="124">
        <f>SUM(Advertising:Sales!N75)</f>
        <v>0</v>
      </c>
      <c r="O75" s="124">
        <f>SUM(Advertising:Sales!O75)</f>
        <v>0</v>
      </c>
      <c r="P75" s="133"/>
      <c r="Q75" s="141">
        <f>SUM(Advertising:Sales!Q75)</f>
        <v>0</v>
      </c>
      <c r="R75" s="141">
        <f>SUM(Advertising:Sales!R75)</f>
        <v>0</v>
      </c>
      <c r="S75" s="141">
        <f>SUM(Advertising:Sales!S75)</f>
        <v>0</v>
      </c>
      <c r="T75" s="141">
        <f>SUM(Advertising:Sales!T75)</f>
        <v>0</v>
      </c>
      <c r="U75" s="141">
        <f>SUM(Advertising:Sales!U75)</f>
        <v>0</v>
      </c>
      <c r="V75" s="141">
        <f>SUM(Advertising:Sales!V75)</f>
        <v>0</v>
      </c>
      <c r="W75" s="141">
        <f>SUM(Advertising:Sales!W75)</f>
        <v>0</v>
      </c>
      <c r="X75" s="141">
        <f>SUM(Advertising:Sales!X75)</f>
        <v>0</v>
      </c>
      <c r="Y75" s="141">
        <f>SUM(Advertising:Sales!Y75)</f>
        <v>0</v>
      </c>
      <c r="Z75" s="141">
        <f>SUM(Advertising:Sales!Z75)</f>
        <v>0</v>
      </c>
      <c r="AA75" s="141">
        <f>SUM(Advertising:Sales!AA75)</f>
        <v>0</v>
      </c>
      <c r="AB75" s="141">
        <f>SUM(Advertising:Sales!AB75)</f>
        <v>0</v>
      </c>
      <c r="AC75" s="142">
        <f t="shared" si="19"/>
        <v>0</v>
      </c>
      <c r="AF75" s="129">
        <v>0</v>
      </c>
      <c r="AG75" s="201">
        <f t="shared" si="22"/>
        <v>0</v>
      </c>
      <c r="AH75" s="129"/>
      <c r="AI75" s="251"/>
    </row>
    <row r="76" spans="1:35">
      <c r="A76" s="105" t="s">
        <v>140</v>
      </c>
      <c r="B76" s="105" t="s">
        <v>906</v>
      </c>
      <c r="C76" s="105" t="s">
        <v>882</v>
      </c>
      <c r="D76" s="124">
        <f>SUM(Advertising:Sales!D76)</f>
        <v>0</v>
      </c>
      <c r="E76" s="124">
        <f>SUM(Advertising:Sales!E76)</f>
        <v>0</v>
      </c>
      <c r="F76" s="124">
        <f>SUM(Advertising:Sales!F76)</f>
        <v>0</v>
      </c>
      <c r="G76" s="124">
        <f>SUM(Advertising:Sales!G76)</f>
        <v>0</v>
      </c>
      <c r="H76" s="124">
        <f>SUM(Advertising:Sales!H76)</f>
        <v>0</v>
      </c>
      <c r="I76" s="124">
        <f>SUM(Advertising:Sales!I76)</f>
        <v>0</v>
      </c>
      <c r="J76" s="124">
        <f>SUM(Advertising:Sales!J76)</f>
        <v>0</v>
      </c>
      <c r="K76" s="124">
        <f>SUM(Advertising:Sales!K76)</f>
        <v>0</v>
      </c>
      <c r="L76" s="124">
        <f>SUM(Advertising:Sales!L76)</f>
        <v>0</v>
      </c>
      <c r="M76" s="124">
        <f>SUM(Advertising:Sales!M76)</f>
        <v>0</v>
      </c>
      <c r="N76" s="124">
        <f>SUM(Advertising:Sales!N76)</f>
        <v>0</v>
      </c>
      <c r="O76" s="124">
        <f>SUM(Advertising:Sales!O76)</f>
        <v>0</v>
      </c>
      <c r="P76" s="133"/>
      <c r="Q76" s="141">
        <f>SUM(Advertising:Sales!Q76)</f>
        <v>0</v>
      </c>
      <c r="R76" s="141">
        <f>SUM(Advertising:Sales!R76)</f>
        <v>0</v>
      </c>
      <c r="S76" s="141">
        <f>SUM(Advertising:Sales!S76)</f>
        <v>0</v>
      </c>
      <c r="T76" s="141">
        <f>SUM(Advertising:Sales!T76)</f>
        <v>0</v>
      </c>
      <c r="U76" s="141">
        <f>SUM(Advertising:Sales!U76)</f>
        <v>0</v>
      </c>
      <c r="V76" s="141">
        <f>SUM(Advertising:Sales!V76)</f>
        <v>0</v>
      </c>
      <c r="W76" s="141">
        <f>SUM(Advertising:Sales!W76)</f>
        <v>0</v>
      </c>
      <c r="X76" s="141">
        <f>SUM(Advertising:Sales!X76)</f>
        <v>0</v>
      </c>
      <c r="Y76" s="141">
        <f>SUM(Advertising:Sales!Y76)</f>
        <v>0</v>
      </c>
      <c r="Z76" s="141">
        <f>SUM(Advertising:Sales!Z76)</f>
        <v>0</v>
      </c>
      <c r="AA76" s="141">
        <f>SUM(Advertising:Sales!AA76)</f>
        <v>0</v>
      </c>
      <c r="AB76" s="141">
        <f>SUM(Advertising:Sales!AB76)</f>
        <v>0</v>
      </c>
      <c r="AC76" s="142">
        <f t="shared" si="19"/>
        <v>0</v>
      </c>
      <c r="AF76" s="129">
        <v>0</v>
      </c>
      <c r="AG76" s="201">
        <f t="shared" si="22"/>
        <v>0</v>
      </c>
      <c r="AH76" s="129"/>
      <c r="AI76" s="251"/>
    </row>
    <row r="77" spans="1:35" s="109" customFormat="1">
      <c r="C77" s="109" t="s">
        <v>286</v>
      </c>
      <c r="D77" s="129">
        <f>SUM(D68:D74)</f>
        <v>55113.240000000005</v>
      </c>
      <c r="E77" s="129">
        <f t="shared" ref="E77:AC77" si="23">SUM(E68:E74)</f>
        <v>49599.240000000005</v>
      </c>
      <c r="F77" s="129">
        <f t="shared" si="23"/>
        <v>49856.7</v>
      </c>
      <c r="G77" s="129">
        <f t="shared" si="23"/>
        <v>51186.7</v>
      </c>
      <c r="H77" s="129">
        <f t="shared" si="23"/>
        <v>53504.57</v>
      </c>
      <c r="I77" s="129">
        <f t="shared" si="23"/>
        <v>51069.78</v>
      </c>
      <c r="J77" s="129">
        <f t="shared" si="23"/>
        <v>50954.78</v>
      </c>
      <c r="K77" s="129">
        <f t="shared" si="23"/>
        <v>51109.78</v>
      </c>
      <c r="L77" s="129">
        <f t="shared" si="23"/>
        <v>51271.78</v>
      </c>
      <c r="M77" s="129">
        <f t="shared" si="23"/>
        <v>55492.869999999995</v>
      </c>
      <c r="N77" s="129">
        <f t="shared" si="23"/>
        <v>50580.7</v>
      </c>
      <c r="O77" s="129">
        <f t="shared" si="23"/>
        <v>50540.7</v>
      </c>
      <c r="P77" s="133">
        <f t="shared" si="23"/>
        <v>620280.84000000008</v>
      </c>
      <c r="Q77" s="142">
        <f t="shared" si="23"/>
        <v>30189.25</v>
      </c>
      <c r="R77" s="142">
        <f t="shared" si="23"/>
        <v>43781.079999999994</v>
      </c>
      <c r="S77" s="142">
        <f t="shared" si="23"/>
        <v>39791.949999999997</v>
      </c>
      <c r="T77" s="142">
        <f t="shared" si="23"/>
        <v>39506.1</v>
      </c>
      <c r="U77" s="142">
        <f t="shared" si="23"/>
        <v>31219.8</v>
      </c>
      <c r="V77" s="142">
        <f t="shared" si="23"/>
        <v>32769.81</v>
      </c>
      <c r="W77" s="142">
        <f t="shared" si="23"/>
        <v>31070.720000000001</v>
      </c>
      <c r="X77" s="142">
        <f t="shared" si="23"/>
        <v>33173.130000000005</v>
      </c>
      <c r="Y77" s="142">
        <f>SUM(Y68:Y74)</f>
        <v>39924</v>
      </c>
      <c r="Z77" s="142">
        <f>SUM(Z68:Z74)</f>
        <v>42831</v>
      </c>
      <c r="AA77" s="142">
        <f>SUM(AA68:AA74)</f>
        <v>39684</v>
      </c>
      <c r="AB77" s="142">
        <f>SUM(AB68:AB74)</f>
        <v>39685</v>
      </c>
      <c r="AC77" s="142">
        <f t="shared" si="23"/>
        <v>443625.84</v>
      </c>
      <c r="AD77" s="129">
        <f t="shared" si="20"/>
        <v>-176655.00000000006</v>
      </c>
      <c r="AE77" s="132">
        <f t="shared" si="21"/>
        <v>-0.3982071918984702</v>
      </c>
      <c r="AF77" s="129">
        <v>642919.55000000005</v>
      </c>
      <c r="AG77" s="201">
        <f t="shared" si="22"/>
        <v>22638.709999999963</v>
      </c>
      <c r="AH77" s="129"/>
      <c r="AI77" s="251"/>
    </row>
    <row r="78" spans="1:35" s="109" customFormat="1">
      <c r="C78" s="109" t="s">
        <v>287</v>
      </c>
      <c r="D78" s="129">
        <f>D77+D66+D56+D49</f>
        <v>482938.01</v>
      </c>
      <c r="E78" s="129">
        <f t="shared" ref="E78:AC78" si="24">E77+E66+E56+E49</f>
        <v>476632.03</v>
      </c>
      <c r="F78" s="129">
        <f t="shared" si="24"/>
        <v>451681.31000000006</v>
      </c>
      <c r="G78" s="129">
        <f t="shared" si="24"/>
        <v>464507.87</v>
      </c>
      <c r="H78" s="129">
        <f t="shared" si="24"/>
        <v>463233.2</v>
      </c>
      <c r="I78" s="129">
        <f t="shared" si="24"/>
        <v>452038.40000000002</v>
      </c>
      <c r="J78" s="129">
        <f t="shared" si="24"/>
        <v>474781.2</v>
      </c>
      <c r="K78" s="129">
        <f t="shared" si="24"/>
        <v>483531.18</v>
      </c>
      <c r="L78" s="129">
        <f t="shared" si="24"/>
        <v>462622.32000000007</v>
      </c>
      <c r="M78" s="129">
        <f t="shared" si="24"/>
        <v>478938.73</v>
      </c>
      <c r="N78" s="129">
        <f t="shared" si="24"/>
        <v>463579.43000000005</v>
      </c>
      <c r="O78" s="129">
        <f t="shared" si="24"/>
        <v>478197.24</v>
      </c>
      <c r="P78" s="133">
        <f>P77+P66+P56+P49</f>
        <v>5632680.9199999999</v>
      </c>
      <c r="Q78" s="142">
        <f t="shared" ref="Q78:X78" si="25">Q77+Q66+Q56+Q49</f>
        <v>601992.89</v>
      </c>
      <c r="R78" s="142">
        <f t="shared" si="25"/>
        <v>699194.64</v>
      </c>
      <c r="S78" s="142">
        <f t="shared" si="25"/>
        <v>609625.73</v>
      </c>
      <c r="T78" s="142">
        <f t="shared" si="25"/>
        <v>530778.83000000007</v>
      </c>
      <c r="U78" s="142">
        <f t="shared" si="25"/>
        <v>515456.58999999997</v>
      </c>
      <c r="V78" s="142">
        <f t="shared" si="25"/>
        <v>469873.03999999992</v>
      </c>
      <c r="W78" s="142">
        <f t="shared" si="25"/>
        <v>482811.54999999993</v>
      </c>
      <c r="X78" s="142">
        <f t="shared" si="25"/>
        <v>424075.12</v>
      </c>
      <c r="Y78" s="142">
        <f>Y77+Y66+Y56+Y49</f>
        <v>551798.16999999993</v>
      </c>
      <c r="Z78" s="142">
        <f>Z77+Z66+Z56+Z49</f>
        <v>539799.16999999993</v>
      </c>
      <c r="AA78" s="142">
        <f>AA77+AA66+AA56+AA49</f>
        <v>523309.17</v>
      </c>
      <c r="AB78" s="142">
        <f>AB77+AB66+AB56+AB49</f>
        <v>743258.16999999993</v>
      </c>
      <c r="AC78" s="142">
        <f t="shared" si="24"/>
        <v>6691973.0700000003</v>
      </c>
      <c r="AD78" s="129">
        <f t="shared" si="20"/>
        <v>1059292.1500000004</v>
      </c>
      <c r="AE78" s="132">
        <f t="shared" si="21"/>
        <v>0.1582929487192333</v>
      </c>
      <c r="AF78" s="129">
        <v>4390458.5</v>
      </c>
      <c r="AG78" s="201">
        <f t="shared" si="22"/>
        <v>-1242222.42</v>
      </c>
      <c r="AH78" s="129"/>
      <c r="AI78" s="251"/>
    </row>
    <row r="79" spans="1:35">
      <c r="C79" s="105" t="s">
        <v>154</v>
      </c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F79" s="129"/>
      <c r="AG79" s="201">
        <f t="shared" si="22"/>
        <v>0</v>
      </c>
      <c r="AH79" s="129"/>
      <c r="AI79" s="251"/>
    </row>
    <row r="80" spans="1:35" s="109" customFormat="1">
      <c r="A80" s="109" t="s">
        <v>141</v>
      </c>
      <c r="B80" s="109" t="s">
        <v>906</v>
      </c>
      <c r="C80" s="109" t="s">
        <v>288</v>
      </c>
      <c r="D80" s="142">
        <f>SUM(Advertising:Sales!D80)</f>
        <v>24</v>
      </c>
      <c r="E80" s="142">
        <f>SUM(Advertising:Sales!E80)</f>
        <v>24</v>
      </c>
      <c r="F80" s="142">
        <f>SUM(Advertising:Sales!F80)</f>
        <v>24</v>
      </c>
      <c r="G80" s="142">
        <f>SUM(Advertising:Sales!G80)</f>
        <v>24</v>
      </c>
      <c r="H80" s="142">
        <f>SUM(Advertising:Sales!H80)</f>
        <v>24</v>
      </c>
      <c r="I80" s="142">
        <f>SUM(Advertising:Sales!I80)</f>
        <v>24</v>
      </c>
      <c r="J80" s="142">
        <f>SUM(Advertising:Sales!J80)</f>
        <v>24</v>
      </c>
      <c r="K80" s="142">
        <f>SUM(Advertising:Sales!K80)</f>
        <v>24</v>
      </c>
      <c r="L80" s="142">
        <f>SUM(Advertising:Sales!L80)</f>
        <v>24</v>
      </c>
      <c r="M80" s="142">
        <f>SUM(Advertising:Sales!M80)</f>
        <v>24</v>
      </c>
      <c r="N80" s="142">
        <f>SUM(Advertising:Sales!N80)</f>
        <v>24</v>
      </c>
      <c r="O80" s="142">
        <f>SUM(Advertising:Sales!O80)</f>
        <v>24</v>
      </c>
      <c r="P80" s="145">
        <f>SUM(D80:O80)/12</f>
        <v>24</v>
      </c>
      <c r="Q80" s="142">
        <f>SUM(Advertising:Sales!Q80)</f>
        <v>27</v>
      </c>
      <c r="R80" s="142">
        <f>SUM(Advertising:Sales!R80)</f>
        <v>27</v>
      </c>
      <c r="S80" s="142">
        <f>SUM(Advertising:Sales!S80)</f>
        <v>27</v>
      </c>
      <c r="T80" s="142">
        <f>SUM(Advertising:Sales!T80)</f>
        <v>27</v>
      </c>
      <c r="U80" s="142">
        <f>SUM(Advertising:Sales!U80)</f>
        <v>27</v>
      </c>
      <c r="V80" s="142">
        <f>SUM(Advertising:Sales!V80)</f>
        <v>25</v>
      </c>
      <c r="W80" s="142">
        <f>SUM(Advertising:Sales!W80)</f>
        <v>24</v>
      </c>
      <c r="X80" s="142">
        <f>SUM(Advertising:Sales!X80)</f>
        <v>24</v>
      </c>
      <c r="Y80" s="142">
        <f>SUM(Advertising:Sales!Y80)</f>
        <v>32</v>
      </c>
      <c r="Z80" s="142">
        <f>SUM(Advertising:Sales!Z80)</f>
        <v>32</v>
      </c>
      <c r="AA80" s="142">
        <f>SUM(Advertising:Sales!AA80)</f>
        <v>32</v>
      </c>
      <c r="AB80" s="142">
        <f>SUM(Advertising:Sales!AB80)</f>
        <v>32</v>
      </c>
      <c r="AC80" s="142">
        <f>SUM(Q80:AB81)/12</f>
        <v>28</v>
      </c>
      <c r="AD80" s="142">
        <f>AC80-P80</f>
        <v>4</v>
      </c>
      <c r="AE80" s="211">
        <f t="shared" si="21"/>
        <v>0.14285714285714285</v>
      </c>
      <c r="AF80" s="129">
        <v>23.833333333333332</v>
      </c>
      <c r="AG80" s="133">
        <f t="shared" si="22"/>
        <v>-0.16666666666666785</v>
      </c>
      <c r="AH80" s="129"/>
      <c r="AI80" s="129"/>
    </row>
    <row r="81" spans="3:34">
      <c r="AH81" s="129"/>
    </row>
    <row r="83" spans="3:34">
      <c r="C83" s="151" t="s">
        <v>934</v>
      </c>
      <c r="D83" s="141">
        <f>+Public!D83+Sales!D84</f>
        <v>0</v>
      </c>
      <c r="E83" s="141">
        <f>+Public!E83+Sales!E84</f>
        <v>0</v>
      </c>
      <c r="F83" s="141">
        <f>+Public!F83+Sales!F84</f>
        <v>0</v>
      </c>
      <c r="G83" s="141">
        <f>+Public!G83+Sales!G84</f>
        <v>0</v>
      </c>
      <c r="H83" s="141">
        <f>+Public!H83+Sales!H84</f>
        <v>0</v>
      </c>
      <c r="I83" s="141">
        <f>+Public!I83+Sales!I84</f>
        <v>0</v>
      </c>
      <c r="J83" s="141">
        <f>+Public!J83+Sales!J84</f>
        <v>0</v>
      </c>
      <c r="K83" s="141">
        <f>+Public!K83+Sales!K84</f>
        <v>0</v>
      </c>
      <c r="L83" s="141">
        <f>+Public!L83+Sales!L84</f>
        <v>0</v>
      </c>
      <c r="M83" s="141">
        <f>+Public!M83+Sales!M84</f>
        <v>0</v>
      </c>
      <c r="N83" s="141">
        <f>+Public!N83+Sales!N84</f>
        <v>0</v>
      </c>
      <c r="O83" s="141">
        <f>+Public!O83+Sales!O84</f>
        <v>0</v>
      </c>
      <c r="P83" s="133">
        <f t="shared" ref="P83:P85" si="26">SUM(D83:O83)</f>
        <v>0</v>
      </c>
    </row>
    <row r="84" spans="3:34">
      <c r="C84" s="152" t="s">
        <v>293</v>
      </c>
      <c r="D84" s="141">
        <f>+Public!D84+Sales!D85</f>
        <v>0</v>
      </c>
      <c r="E84" s="141">
        <f>+Public!E84+Sales!E85</f>
        <v>0</v>
      </c>
      <c r="F84" s="141">
        <f>+Public!F84+Sales!F85</f>
        <v>0</v>
      </c>
      <c r="G84" s="141">
        <f>+Public!G84+Sales!G85</f>
        <v>0</v>
      </c>
      <c r="H84" s="141">
        <f>+Public!H84+Sales!H85</f>
        <v>0</v>
      </c>
      <c r="I84" s="141">
        <f>+Public!I84+Sales!I85</f>
        <v>0</v>
      </c>
      <c r="J84" s="141">
        <f>+Public!J84+Sales!J85</f>
        <v>0</v>
      </c>
      <c r="K84" s="141">
        <f>+Public!K84+Sales!K85</f>
        <v>0</v>
      </c>
      <c r="L84" s="141">
        <f>+Public!L84+Sales!L85</f>
        <v>0</v>
      </c>
      <c r="M84" s="141">
        <f>+Public!M84+Sales!M85</f>
        <v>0</v>
      </c>
      <c r="N84" s="141">
        <f>+Public!N84+Sales!N85</f>
        <v>0</v>
      </c>
      <c r="O84" s="141">
        <f>+Public!O84+Sales!O85</f>
        <v>0</v>
      </c>
      <c r="P84" s="133">
        <f t="shared" si="26"/>
        <v>0</v>
      </c>
    </row>
    <row r="85" spans="3:34">
      <c r="C85" s="151" t="s">
        <v>935</v>
      </c>
      <c r="D85" s="141">
        <f>+Public!D85+Sales!D86</f>
        <v>0</v>
      </c>
      <c r="E85" s="141">
        <f>+Public!E85+Sales!E86</f>
        <v>0</v>
      </c>
      <c r="F85" s="141">
        <f>+Public!F85+Sales!F86</f>
        <v>0</v>
      </c>
      <c r="G85" s="141">
        <f>+Public!G85+Sales!G86</f>
        <v>0</v>
      </c>
      <c r="H85" s="141">
        <f>+Public!H85+Sales!H86</f>
        <v>0</v>
      </c>
      <c r="I85" s="141">
        <f>+Public!I85+Sales!I86</f>
        <v>0</v>
      </c>
      <c r="J85" s="141">
        <f>+Public!J85+Sales!J86</f>
        <v>0</v>
      </c>
      <c r="K85" s="141">
        <f>+Public!K85+Sales!K86</f>
        <v>0</v>
      </c>
      <c r="L85" s="141">
        <f>+Public!L85+Sales!L86</f>
        <v>0</v>
      </c>
      <c r="M85" s="141">
        <f>+Public!M85+Sales!M86</f>
        <v>0</v>
      </c>
      <c r="N85" s="141">
        <f>+Public!N85+Sales!N86</f>
        <v>0</v>
      </c>
      <c r="O85" s="141">
        <f>+Public!O85+Sales!O86</f>
        <v>0</v>
      </c>
      <c r="P85" s="133">
        <f t="shared" si="26"/>
        <v>0</v>
      </c>
    </row>
    <row r="86" spans="3:34">
      <c r="C86" s="109" t="s">
        <v>476</v>
      </c>
      <c r="D86" s="117">
        <f>SUM(D83:D85)</f>
        <v>0</v>
      </c>
      <c r="E86" s="117">
        <f t="shared" ref="E86:P86" si="27">SUM(E83:E85)</f>
        <v>0</v>
      </c>
      <c r="F86" s="117">
        <f t="shared" si="27"/>
        <v>0</v>
      </c>
      <c r="G86" s="117">
        <f t="shared" si="27"/>
        <v>0</v>
      </c>
      <c r="H86" s="117">
        <f t="shared" si="27"/>
        <v>0</v>
      </c>
      <c r="I86" s="117">
        <f t="shared" si="27"/>
        <v>0</v>
      </c>
      <c r="J86" s="117">
        <f t="shared" si="27"/>
        <v>0</v>
      </c>
      <c r="K86" s="117">
        <f t="shared" si="27"/>
        <v>0</v>
      </c>
      <c r="L86" s="117">
        <f t="shared" si="27"/>
        <v>0</v>
      </c>
      <c r="M86" s="117">
        <f t="shared" si="27"/>
        <v>0</v>
      </c>
      <c r="N86" s="117">
        <f t="shared" si="27"/>
        <v>0</v>
      </c>
      <c r="O86" s="117">
        <f t="shared" si="27"/>
        <v>0</v>
      </c>
      <c r="P86" s="117">
        <f t="shared" si="27"/>
        <v>0</v>
      </c>
    </row>
  </sheetData>
  <phoneticPr fontId="7" type="noConversion"/>
  <dataValidations count="59"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28_x000d__x000a_" sqref="Q80:AB80">
      <formula1>0</formula1>
      <formula2>300</formula2>
    </dataValidation>
    <dataValidation type="textLength" errorStyle="information" allowBlank="1" showInputMessage="1" showErrorMessage="1" error="XLBVal:6=34890_x000d__x000a_" sqref="AB74">
      <formula1>0</formula1>
      <formula2>300</formula2>
    </dataValidation>
    <dataValidation type="textLength" errorStyle="information" allowBlank="1" showInputMessage="1" showErrorMessage="1" error="XLBVal:6=36218_x000d__x000a_" sqref="Z74:AA74">
      <formula1>0</formula1>
      <formula2>300</formula2>
    </dataValidation>
    <dataValidation type="textLength" errorStyle="information" allowBlank="1" showInputMessage="1" showErrorMessage="1" error="XLBVal:6=34604_x000d__x000a_" sqref="Q74:Y74">
      <formula1>0</formula1>
      <formula2>300</formula2>
    </dataValidation>
    <dataValidation type="textLength" errorStyle="information" allowBlank="1" showInputMessage="1" showErrorMessage="1" error="XLBVal:6=6506_x000d__x000a_" sqref="AB73">
      <formula1>0</formula1>
      <formula2>300</formula2>
    </dataValidation>
    <dataValidation type="textLength" errorStyle="information" allowBlank="1" showInputMessage="1" showErrorMessage="1" error="XLBVal:6=7001_x000d__x000a_" sqref="Z73:AA73">
      <formula1>0</formula1>
      <formula2>300</formula2>
    </dataValidation>
    <dataValidation type="textLength" errorStyle="information" allowBlank="1" showInputMessage="1" showErrorMessage="1" error="XLBVal:6=6949_x000d__x000a_" sqref="Q73:Y73">
      <formula1>0</formula1>
      <formula2>300</formula2>
    </dataValidation>
    <dataValidation type="textLength" errorStyle="information" allowBlank="1" showInputMessage="1" showErrorMessage="1" error="XLBVal:6=14772_x000d__x000a_" sqref="Q72:AB72">
      <formula1>0</formula1>
      <formula2>300</formula2>
    </dataValidation>
    <dataValidation type="textLength" errorStyle="information" allowBlank="1" showInputMessage="1" showErrorMessage="1" error="XLBVal:6=2341_x000d__x000a_" sqref="Q71:AB71">
      <formula1>0</formula1>
      <formula2>300</formula2>
    </dataValidation>
    <dataValidation type="textLength" errorStyle="information" allowBlank="1" showInputMessage="1" showErrorMessage="1" error="XLBVal:6=7482_x000d__x000a_" sqref="Q64:AB64">
      <formula1>0</formula1>
      <formula2>300</formula2>
    </dataValidation>
    <dataValidation type="textLength" errorStyle="information" allowBlank="1" showInputMessage="1" showErrorMessage="1" error="XLBVal:6=10944_x000d__x000a_" sqref="Q63:AB63">
      <formula1>0</formula1>
      <formula2>300</formula2>
    </dataValidation>
    <dataValidation type="textLength" errorStyle="information" allowBlank="1" showInputMessage="1" showErrorMessage="1" error="XLBVal:6=477_x000d__x000a_" sqref="Q61:AB61">
      <formula1>0</formula1>
      <formula2>300</formula2>
    </dataValidation>
    <dataValidation type="textLength" errorStyle="information" allowBlank="1" showInputMessage="1" showErrorMessage="1" error="XLBVal:6=1203_x000d__x000a_" sqref="Q60:AB60 Q62:AB62">
      <formula1>0</formula1>
      <formula2>300</formula2>
    </dataValidation>
    <dataValidation type="textLength" errorStyle="information" allowBlank="1" showInputMessage="1" showErrorMessage="1" error="XLBVal:6=17259_x000d__x000a_" sqref="Q59:AB59">
      <formula1>0</formula1>
      <formula2>300</formula2>
    </dataValidation>
    <dataValidation type="textLength" errorStyle="information" allowBlank="1" showInputMessage="1" showErrorMessage="1" error="XLBVal:6=40746_x000d__x000a_" sqref="Q58:AB58">
      <formula1>0</formula1>
      <formula2>300</formula2>
    </dataValidation>
    <dataValidation type="textLength" errorStyle="information" allowBlank="1" showInputMessage="1" showErrorMessage="1" error="XLBVal:6=68466_x000d__x000a_" sqref="Q55:AB55">
      <formula1>0</formula1>
      <formula2>300</formula2>
    </dataValidation>
    <dataValidation type="textLength" errorStyle="information" allowBlank="1" showInputMessage="1" showErrorMessage="1" error="XLBVal:6=3426_x000d__x000a_" sqref="Q53:AB53">
      <formula1>0</formula1>
      <formula2>300</formula2>
    </dataValidation>
    <dataValidation type="textLength" errorStyle="information" allowBlank="1" showInputMessage="1" showErrorMessage="1" error="XLBVal:6=49604_x000d__x000a_" sqref="Q52:AB52">
      <formula1>0</formula1>
      <formula2>300</formula2>
    </dataValidation>
    <dataValidation type="textLength" errorStyle="information" allowBlank="1" showInputMessage="1" showErrorMessage="1" error="XLBVal:6=2476_x000d__x000a_" sqref="Z51:AA51">
      <formula1>0</formula1>
      <formula2>300</formula2>
    </dataValidation>
    <dataValidation type="textLength" errorStyle="information" allowBlank="1" showInputMessage="1" showErrorMessage="1" error="XLBVal:6=1102_x000d__x000a_" sqref="Q51:Y51">
      <formula1>0</formula1>
      <formula2>300</formula2>
    </dataValidation>
    <dataValidation type="textLength" errorStyle="information" allowBlank="1" showInputMessage="1" showErrorMessage="1" error="XLBVal:6=32565_x000d__x000a_" sqref="AB48">
      <formula1>0</formula1>
      <formula2>300</formula2>
    </dataValidation>
    <dataValidation type="textLength" errorStyle="information" allowBlank="1" showInputMessage="1" showErrorMessage="1" error="XLBVal:6=30172_x000d__x000a_" sqref="Q48:AA48">
      <formula1>0</formula1>
      <formula2>300</formula2>
    </dataValidation>
    <dataValidation type="textLength" errorStyle="information" allowBlank="1" showInputMessage="1" showErrorMessage="1" error="XLBVal:6=181560_x000d__x000a_" sqref="Q47:AB47">
      <formula1>0</formula1>
      <formula2>300</formula2>
    </dataValidation>
    <dataValidation type="textLength" errorStyle="information" allowBlank="1" showInputMessage="1" showErrorMessage="1" error="XLBVal:6=540409_x000d__x000a_" sqref="AB40">
      <formula1>0</formula1>
      <formula2>300</formula2>
    </dataValidation>
    <dataValidation type="textLength" errorStyle="information" allowBlank="1" showInputMessage="1" showErrorMessage="1" error="XLBVal:6=397502_x000d__x000a_" sqref="Z40:AA40">
      <formula1>0</formula1>
      <formula2>300</formula2>
    </dataValidation>
    <dataValidation type="textLength" errorStyle="information" allowBlank="1" showInputMessage="1" showErrorMessage="1" error="XLBVal:6=285141_x000d__x000a_" sqref="Q40:Y40">
      <formula1>0</formula1>
      <formula2>300</formula2>
    </dataValidation>
    <dataValidation type="textLength" errorStyle="information" allowBlank="1" showInputMessage="1" showErrorMessage="1" error="XLBVal:6=12550_x000d__x000a_" sqref="Q37:AB37">
      <formula1>0</formula1>
      <formula2>300</formula2>
    </dataValidation>
    <dataValidation type="textLength" errorStyle="information" allowBlank="1" showInputMessage="1" showErrorMessage="1" error="XLBVal:6=1344_x000d__x000a_" sqref="Z36:AB36">
      <formula1>0</formula1>
      <formula2>300</formula2>
    </dataValidation>
    <dataValidation type="textLength" errorStyle="information" allowBlank="1" showInputMessage="1" showErrorMessage="1" error="XLBVal:6=21500_x000d__x000a_" sqref="Q35:AB35">
      <formula1>0</formula1>
      <formula2>300</formula2>
    </dataValidation>
    <dataValidation type="textLength" errorStyle="information" allowBlank="1" showInputMessage="1" showErrorMessage="1" error="XLBVal:6=2000_x000d__x000a_" sqref="Q33:AB33">
      <formula1>0</formula1>
      <formula2>300</formula2>
    </dataValidation>
    <dataValidation type="textLength" errorStyle="information" allowBlank="1" showInputMessage="1" showErrorMessage="1" error="XLBVal:6=15867_x000d__x000a_" sqref="Q28:AB28">
      <formula1>0</formula1>
      <formula2>300</formula2>
    </dataValidation>
    <dataValidation type="textLength" errorStyle="information" allowBlank="1" showInputMessage="1" showErrorMessage="1" error="XLBVal:6=10000_x000d__x000a_" sqref="AB27">
      <formula1>0</formula1>
      <formula2>300</formula2>
    </dataValidation>
    <dataValidation type="textLength" errorStyle="information" allowBlank="1" showInputMessage="1" showErrorMessage="1" error="XLBVal:6=30000_x000d__x000a_" sqref="Q27:AA27">
      <formula1>0</formula1>
      <formula2>300</formula2>
    </dataValidation>
    <dataValidation type="textLength" errorStyle="information" allowBlank="1" showInputMessage="1" showErrorMessage="1" error="XLBVal:6=7379_x000d__x000a_" sqref="Q26:AB26">
      <formula1>0</formula1>
      <formula2>300</formula2>
    </dataValidation>
    <dataValidation type="textLength" errorStyle="information" allowBlank="1" showInputMessage="1" showErrorMessage="1" error="XLBVal:6=3935_x000d__x000a_" sqref="AB25">
      <formula1>0</formula1>
      <formula2>300</formula2>
    </dataValidation>
    <dataValidation type="textLength" errorStyle="information" allowBlank="1" showInputMessage="1" showErrorMessage="1" error="XLBVal:6=5086_x000d__x000a_" sqref="Z25:AA25">
      <formula1>0</formula1>
      <formula2>300</formula2>
    </dataValidation>
    <dataValidation type="textLength" errorStyle="information" allowBlank="1" showInputMessage="1" showErrorMessage="1" error="XLBVal:6=5201_x000d__x000a_" sqref="Q25:Y25">
      <formula1>0</formula1>
      <formula2>300</formula2>
    </dataValidation>
    <dataValidation type="textLength" errorStyle="information" allowBlank="1" showInputMessage="1" showErrorMessage="1" error="XLBVal:6=342_x000d__x000a_" sqref="AB23">
      <formula1>0</formula1>
      <formula2>300</formula2>
    </dataValidation>
    <dataValidation type="textLength" errorStyle="information" allowBlank="1" showInputMessage="1" showErrorMessage="1" error="XLBVal:6=346_x000d__x000a_" sqref="Z23:AA23">
      <formula1>0</formula1>
      <formula2>300</formula2>
    </dataValidation>
    <dataValidation type="textLength" errorStyle="information" allowBlank="1" showInputMessage="1" showErrorMessage="1" error="XLBVal:6=328_x000d__x000a_" sqref="Q23:Y23">
      <formula1>0</formula1>
      <formula2>300</formula2>
    </dataValidation>
    <dataValidation type="textLength" errorStyle="information" allowBlank="1" showInputMessage="1" showErrorMessage="1" error="XLBVal:6=7561_x000d__x000a_" sqref="AB22">
      <formula1>0</formula1>
      <formula2>300</formula2>
    </dataValidation>
    <dataValidation type="textLength" errorStyle="information" allowBlank="1" showInputMessage="1" showErrorMessage="1" error="XLBVal:6=5204_x000d__x000a_" sqref="Z22:AA22">
      <formula1>0</formula1>
      <formula2>300</formula2>
    </dataValidation>
    <dataValidation type="textLength" errorStyle="information" allowBlank="1" showInputMessage="1" showErrorMessage="1" error="XLBVal:6=5087_x000d__x000a_" sqref="Q22:Y22">
      <formula1>0</formula1>
      <formula2>300</formula2>
    </dataValidation>
    <dataValidation type="textLength" errorStyle="information" allowBlank="1" showInputMessage="1" showErrorMessage="1" error="XLBVal:6=3876_x000d__x000a_" sqref="AB21">
      <formula1>0</formula1>
      <formula2>300</formula2>
    </dataValidation>
    <dataValidation type="textLength" errorStyle="information" allowBlank="1" showInputMessage="1" showErrorMessage="1" error="XLBVal:6=1562_x000d__x000a_" sqref="Z21:AA21">
      <formula1>0</formula1>
      <formula2>300</formula2>
    </dataValidation>
    <dataValidation type="textLength" errorStyle="information" allowBlank="1" showInputMessage="1" showErrorMessage="1" error="XLBVal:6=2360_x000d__x000a_" sqref="Q21:Y21">
      <formula1>0</formula1>
      <formula2>300</formula2>
    </dataValidation>
    <dataValidation type="textLength" errorStyle="information" allowBlank="1" showInputMessage="1" showErrorMessage="1" error="XLBVal:6=303_x000d__x000a_" sqref="Z20:AB20">
      <formula1>0</formula1>
      <formula2>300</formula2>
    </dataValidation>
    <dataValidation type="textLength" errorStyle="information" allowBlank="1" showInputMessage="1" showErrorMessage="1" error="XLBVal:6=167_x000d__x000a_" sqref="Q20:Y20">
      <formula1>0</formula1>
      <formula2>300</formula2>
    </dataValidation>
    <dataValidation type="textLength" errorStyle="information" allowBlank="1" showInputMessage="1" showErrorMessage="1" error="XLBVal:6=23227_x000d__x000a_" sqref="Z19:AA19">
      <formula1>0</formula1>
      <formula2>300</formula2>
    </dataValidation>
    <dataValidation type="textLength" errorStyle="information" allowBlank="1" showInputMessage="1" showErrorMessage="1" error="XLBVal:6=24499_x000d__x000a_" sqref="Q19:Y19">
      <formula1>0</formula1>
      <formula2>300</formula2>
    </dataValidation>
    <dataValidation type="textLength" errorStyle="information" allowBlank="1" showInputMessage="1" showErrorMessage="1" error="XLBVal:6=5571_x000d__x000a_" sqref="Q17:AB17">
      <formula1>0</formula1>
      <formula2>300</formula2>
    </dataValidation>
    <dataValidation type="textLength" errorStyle="information" allowBlank="1" showInputMessage="1" showErrorMessage="1" error="XLBVal:6=84700_x000d__x000a_" sqref="AB15">
      <formula1>0</formula1>
      <formula2>300</formula2>
    </dataValidation>
    <dataValidation type="textLength" errorStyle="information" allowBlank="1" showInputMessage="1" showErrorMessage="1" error="XLBVal:6=30100_x000d__x000a_" sqref="Z15:AA15">
      <formula1>0</formula1>
      <formula2>300</formula2>
    </dataValidation>
    <dataValidation type="textLength" errorStyle="information" allowBlank="1" showInputMessage="1" showErrorMessage="1" error="XLBVal:6=22000_x000d__x000a_" sqref="Q15:Y15">
      <formula1>0</formula1>
      <formula2>300</formula2>
    </dataValidation>
    <dataValidation type="textLength" errorStyle="information" allowBlank="1" showInputMessage="1" showErrorMessage="1" error="XLBVal:6=13660_x000d__x000a_" sqref="AB12">
      <formula1>0</formula1>
      <formula2>300</formula2>
    </dataValidation>
    <dataValidation type="textLength" errorStyle="information" allowBlank="1" showInputMessage="1" showErrorMessage="1" error="XLBVal:6=14693_x000d__x000a_" sqref="Z12:AA12">
      <formula1>0</formula1>
      <formula2>300</formula2>
    </dataValidation>
    <dataValidation type="textLength" errorStyle="information" allowBlank="1" showInputMessage="1" showErrorMessage="1" error="XLBVal:6=14735_x000d__x000a_" sqref="Q12:Y12">
      <formula1>0</formula1>
      <formula2>300</formula2>
    </dataValidation>
    <dataValidation type="textLength" errorStyle="information" allowBlank="1" showInputMessage="1" showErrorMessage="1" error="XLBVal:2=0_x000d__x000a_" sqref="AB51 AB19 Q36:Y36 Q16:AB16 Q18:AB18 Q41:AB41 Q13:AB14 Q54:AB54 Q29:AB32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AG80"/>
  <sheetViews>
    <sheetView view="pageBreakPreview" zoomScaleNormal="100" zoomScaleSheetLayoutView="100" workbookViewId="0">
      <pane xSplit="4" ySplit="7" topLeftCell="M8" activePane="bottomRight" state="frozen"/>
      <selection activeCell="AP43" sqref="AP43"/>
      <selection pane="topRight" activeCell="AP43" sqref="AP43"/>
      <selection pane="bottomLeft" activeCell="AP43" sqref="AP43"/>
      <selection pane="bottomRight" activeCell="O29" sqref="O29"/>
    </sheetView>
  </sheetViews>
  <sheetFormatPr defaultColWidth="9" defaultRowHeight="14.25" outlineLevelRow="1" outlineLevelCol="2"/>
  <cols>
    <col min="1" max="2" width="9" style="105" hidden="1" customWidth="1" outlineLevel="1"/>
    <col min="3" max="3" width="45.75" style="105" customWidth="1" collapsed="1"/>
    <col min="4" max="15" width="15.75" style="141" bestFit="1" customWidth="1"/>
    <col min="16" max="16" width="18.25" style="142" bestFit="1" customWidth="1"/>
    <col min="17" max="17" width="16.125" style="141" hidden="1" customWidth="1" outlineLevel="1"/>
    <col min="18" max="23" width="13.875" style="141" hidden="1" customWidth="1" outlineLevel="1"/>
    <col min="24" max="28" width="13.875" style="124" hidden="1" customWidth="1" outlineLevel="2"/>
    <col min="29" max="29" width="18.25" style="129" customWidth="1" collapsed="1"/>
    <col min="30" max="30" width="18.25" style="124" customWidth="1"/>
    <col min="31" max="31" width="9.625" style="192" customWidth="1"/>
    <col min="32" max="33" width="18.25" style="109" hidden="1" customWidth="1"/>
    <col min="34" max="16384" width="9" style="105"/>
  </cols>
  <sheetData>
    <row r="1" spans="1:33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7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E1" s="186"/>
      <c r="AF1" s="103"/>
      <c r="AG1" s="10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7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E2" s="186"/>
      <c r="AF2" s="103"/>
      <c r="AG2" s="103"/>
    </row>
    <row r="3" spans="1:33">
      <c r="C3" s="105" t="s">
        <v>936</v>
      </c>
      <c r="D3" s="2" t="s">
        <v>937</v>
      </c>
      <c r="E3" s="2" t="s">
        <v>559</v>
      </c>
      <c r="F3" s="2" t="s">
        <v>0</v>
      </c>
      <c r="G3" s="2" t="s">
        <v>937</v>
      </c>
      <c r="H3" s="2" t="s">
        <v>937</v>
      </c>
      <c r="I3" s="2" t="s">
        <v>559</v>
      </c>
      <c r="J3" s="2" t="s">
        <v>151</v>
      </c>
      <c r="K3" s="2" t="s">
        <v>938</v>
      </c>
      <c r="L3" s="2" t="s">
        <v>938</v>
      </c>
      <c r="M3" s="2" t="s">
        <v>558</v>
      </c>
      <c r="N3" s="2" t="s">
        <v>938</v>
      </c>
      <c r="O3" s="2" t="s">
        <v>939</v>
      </c>
      <c r="P3" s="209"/>
      <c r="Q3" s="108" t="s">
        <v>940</v>
      </c>
      <c r="R3" s="108" t="s">
        <v>940</v>
      </c>
      <c r="S3" s="108" t="s">
        <v>559</v>
      </c>
      <c r="T3" s="108" t="s">
        <v>559</v>
      </c>
      <c r="U3" s="108" t="s">
        <v>940</v>
      </c>
      <c r="V3" s="108" t="s">
        <v>0</v>
      </c>
      <c r="W3" s="108" t="s">
        <v>940</v>
      </c>
      <c r="X3" s="108" t="s">
        <v>0</v>
      </c>
      <c r="Y3" s="108" t="s">
        <v>940</v>
      </c>
      <c r="Z3" s="108" t="s">
        <v>941</v>
      </c>
      <c r="AA3" s="108" t="s">
        <v>942</v>
      </c>
      <c r="AB3" s="108" t="s">
        <v>0</v>
      </c>
      <c r="AC3" s="209"/>
      <c r="AD3" s="184"/>
      <c r="AE3" s="279"/>
    </row>
    <row r="4" spans="1:33" s="100" customFormat="1" ht="18">
      <c r="C4" s="18">
        <f>+'2025 Summay'!$D$7</f>
        <v>2025</v>
      </c>
      <c r="D4" s="183">
        <v>8333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72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172"/>
      <c r="AD4" s="183"/>
      <c r="AE4" s="186"/>
      <c r="AF4" s="103"/>
      <c r="AG4" s="103"/>
    </row>
    <row r="5" spans="1:33" s="100" customFormat="1">
      <c r="C5" s="100" t="s">
        <v>154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72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172"/>
      <c r="AD5" s="183"/>
      <c r="AE5" s="186"/>
      <c r="AF5" s="103"/>
      <c r="AG5" s="103"/>
    </row>
    <row r="6" spans="1:33" s="100" customFormat="1">
      <c r="C6" s="100" t="s">
        <v>154</v>
      </c>
      <c r="D6" s="319">
        <f>'S&amp;M'!D6</f>
        <v>1</v>
      </c>
      <c r="E6" s="319">
        <f>'S&amp;M'!E6</f>
        <v>2</v>
      </c>
      <c r="F6" s="319">
        <f>'S&amp;M'!F6</f>
        <v>3</v>
      </c>
      <c r="G6" s="319">
        <f>'S&amp;M'!G6</f>
        <v>4</v>
      </c>
      <c r="H6" s="319">
        <f>'S&amp;M'!H6</f>
        <v>5</v>
      </c>
      <c r="I6" s="319">
        <f>'S&amp;M'!I6</f>
        <v>6</v>
      </c>
      <c r="J6" s="319">
        <f>'S&amp;M'!J6</f>
        <v>7</v>
      </c>
      <c r="K6" s="319">
        <f>'S&amp;M'!K6</f>
        <v>8</v>
      </c>
      <c r="L6" s="319">
        <f>'S&amp;M'!L6</f>
        <v>9</v>
      </c>
      <c r="M6" s="319">
        <f>'S&amp;M'!M6</f>
        <v>10</v>
      </c>
      <c r="N6" s="319">
        <f>'S&amp;M'!N6</f>
        <v>11</v>
      </c>
      <c r="O6" s="319">
        <f>'S&amp;M'!O6</f>
        <v>12</v>
      </c>
      <c r="P6" s="320">
        <f>'S&amp;M'!P6</f>
        <v>2025</v>
      </c>
      <c r="Q6" s="114">
        <f>'S&amp;M'!Q6</f>
        <v>202401</v>
      </c>
      <c r="R6" s="114">
        <f>'S&amp;M'!R6</f>
        <v>202402</v>
      </c>
      <c r="S6" s="114">
        <f>'S&amp;M'!S6</f>
        <v>202403</v>
      </c>
      <c r="T6" s="114">
        <f>'S&amp;M'!T6</f>
        <v>202404</v>
      </c>
      <c r="U6" s="114">
        <f>'S&amp;M'!U6</f>
        <v>202405</v>
      </c>
      <c r="V6" s="114">
        <f>'S&amp;M'!V6</f>
        <v>202406</v>
      </c>
      <c r="W6" s="114">
        <f>'S&amp;M'!W6</f>
        <v>202407</v>
      </c>
      <c r="X6" s="114">
        <f>'S&amp;M'!X6</f>
        <v>202408</v>
      </c>
      <c r="Y6" s="114">
        <f>'S&amp;M'!Y6</f>
        <v>202409</v>
      </c>
      <c r="Z6" s="114">
        <f>'S&amp;M'!Z6</f>
        <v>202410</v>
      </c>
      <c r="AA6" s="114">
        <f>'S&amp;M'!AA6</f>
        <v>202411</v>
      </c>
      <c r="AB6" s="114">
        <f>'S&amp;M'!AB6</f>
        <v>202412</v>
      </c>
      <c r="AC6" s="115">
        <f>'S&amp;M'!AC6</f>
        <v>2024</v>
      </c>
      <c r="AD6" s="188" t="s">
        <v>6</v>
      </c>
      <c r="AE6" s="177" t="s">
        <v>156</v>
      </c>
      <c r="AF6" s="316">
        <v>2019</v>
      </c>
      <c r="AG6" s="103"/>
    </row>
    <row r="7" spans="1:33">
      <c r="C7" s="105" t="s">
        <v>154</v>
      </c>
      <c r="D7" s="141" t="str">
        <f>'S&amp;M'!D7</f>
        <v>Budget</v>
      </c>
      <c r="E7" s="141" t="str">
        <f>'S&amp;M'!E7</f>
        <v>Budget</v>
      </c>
      <c r="F7" s="141" t="str">
        <f>'S&amp;M'!F7</f>
        <v>Budget</v>
      </c>
      <c r="G7" s="141" t="str">
        <f>'S&amp;M'!G7</f>
        <v>Budget</v>
      </c>
      <c r="H7" s="141" t="str">
        <f>'S&amp;M'!H7</f>
        <v>Budget</v>
      </c>
      <c r="I7" s="141" t="str">
        <f>'S&amp;M'!I7</f>
        <v>Budget</v>
      </c>
      <c r="J7" s="141" t="str">
        <f>'S&amp;M'!J7</f>
        <v>Budget</v>
      </c>
      <c r="K7" s="141" t="str">
        <f>'S&amp;M'!K7</f>
        <v>Budget</v>
      </c>
      <c r="L7" s="141" t="str">
        <f>'S&amp;M'!L7</f>
        <v>Budget</v>
      </c>
      <c r="M7" s="141" t="str">
        <f>'S&amp;M'!M7</f>
        <v>Budget</v>
      </c>
      <c r="N7" s="141" t="str">
        <f>'S&amp;M'!N7</f>
        <v>Budget</v>
      </c>
      <c r="O7" s="141" t="str">
        <f>'S&amp;M'!O7</f>
        <v>Budget</v>
      </c>
      <c r="P7" s="142" t="str">
        <f>'S&amp;M'!P7</f>
        <v>Budget</v>
      </c>
      <c r="Q7" s="244" t="str">
        <f>'S&amp;M'!Q7</f>
        <v>Actual</v>
      </c>
      <c r="R7" s="244" t="str">
        <f>'S&amp;M'!R7</f>
        <v>Actual</v>
      </c>
      <c r="S7" s="244" t="str">
        <f>'S&amp;M'!S7</f>
        <v>Actual</v>
      </c>
      <c r="T7" s="244" t="str">
        <f>'S&amp;M'!T7</f>
        <v>Actual</v>
      </c>
      <c r="U7" s="244" t="str">
        <f>'S&amp;M'!U7</f>
        <v>Actual</v>
      </c>
      <c r="V7" s="244" t="str">
        <f>'S&amp;M'!V7</f>
        <v>Actual</v>
      </c>
      <c r="W7" s="244" t="str">
        <f>'S&amp;M'!W7</f>
        <v>Actual</v>
      </c>
      <c r="X7" s="244" t="str">
        <f>'S&amp;M'!X7</f>
        <v>Actual</v>
      </c>
      <c r="Y7" s="244" t="str">
        <f>'S&amp;M'!Y7</f>
        <v>Forecast</v>
      </c>
      <c r="Z7" s="244" t="str">
        <f>'S&amp;M'!Z7</f>
        <v>Forecast</v>
      </c>
      <c r="AA7" s="244" t="str">
        <f>'S&amp;M'!AA7</f>
        <v>Forecast</v>
      </c>
      <c r="AB7" s="244" t="str">
        <f>'S&amp;M'!AB7</f>
        <v>Forecast</v>
      </c>
      <c r="AC7" s="245" t="str">
        <f>'S&amp;M'!AC7</f>
        <v>Forecast</v>
      </c>
      <c r="AD7" s="189"/>
      <c r="AE7" s="132"/>
      <c r="AF7" s="133" t="s">
        <v>12</v>
      </c>
    </row>
    <row r="8" spans="1:33">
      <c r="C8" s="105" t="s">
        <v>154</v>
      </c>
      <c r="D8" s="124"/>
      <c r="E8" s="124"/>
      <c r="F8" s="124"/>
      <c r="G8" s="124"/>
      <c r="H8" s="124"/>
      <c r="I8" s="124"/>
      <c r="Q8" s="124"/>
      <c r="R8" s="124"/>
      <c r="S8" s="124"/>
      <c r="T8" s="124"/>
      <c r="U8" s="124"/>
      <c r="V8" s="124"/>
      <c r="W8" s="124"/>
      <c r="AF8" s="133"/>
    </row>
    <row r="9" spans="1:33" s="109" customFormat="1">
      <c r="A9" s="109" t="s">
        <v>905</v>
      </c>
      <c r="B9" s="109" t="s">
        <v>943</v>
      </c>
      <c r="C9" s="109" t="s">
        <v>175</v>
      </c>
      <c r="D9" s="129">
        <f t="shared" ref="D9:O9" si="0">D78</f>
        <v>0</v>
      </c>
      <c r="E9" s="129">
        <f t="shared" si="0"/>
        <v>0</v>
      </c>
      <c r="F9" s="129">
        <f t="shared" si="0"/>
        <v>0</v>
      </c>
      <c r="G9" s="129">
        <f t="shared" si="0"/>
        <v>0</v>
      </c>
      <c r="H9" s="129">
        <f t="shared" si="0"/>
        <v>0</v>
      </c>
      <c r="I9" s="129">
        <f t="shared" si="0"/>
        <v>0</v>
      </c>
      <c r="J9" s="129">
        <f t="shared" si="0"/>
        <v>0</v>
      </c>
      <c r="K9" s="129">
        <f t="shared" si="0"/>
        <v>0</v>
      </c>
      <c r="L9" s="129">
        <f t="shared" si="0"/>
        <v>0</v>
      </c>
      <c r="M9" s="129">
        <f t="shared" si="0"/>
        <v>0</v>
      </c>
      <c r="N9" s="129">
        <f t="shared" si="0"/>
        <v>0</v>
      </c>
      <c r="O9" s="129">
        <f t="shared" si="0"/>
        <v>0</v>
      </c>
      <c r="P9" s="129">
        <f>SUM(D9:O9)</f>
        <v>0</v>
      </c>
      <c r="Q9" s="142">
        <f t="shared" ref="Q9:AB9" si="1">Q78</f>
        <v>0</v>
      </c>
      <c r="R9" s="142">
        <f t="shared" si="1"/>
        <v>0</v>
      </c>
      <c r="S9" s="142">
        <f t="shared" si="1"/>
        <v>0</v>
      </c>
      <c r="T9" s="142">
        <f t="shared" si="1"/>
        <v>0</v>
      </c>
      <c r="U9" s="142">
        <f t="shared" si="1"/>
        <v>0</v>
      </c>
      <c r="V9" s="142">
        <f t="shared" si="1"/>
        <v>0</v>
      </c>
      <c r="W9" s="142">
        <f t="shared" si="1"/>
        <v>0</v>
      </c>
      <c r="X9" s="142">
        <f t="shared" si="1"/>
        <v>0</v>
      </c>
      <c r="Y9" s="142">
        <f t="shared" si="1"/>
        <v>0</v>
      </c>
      <c r="Z9" s="142">
        <f t="shared" si="1"/>
        <v>0</v>
      </c>
      <c r="AA9" s="142">
        <f t="shared" si="1"/>
        <v>0</v>
      </c>
      <c r="AB9" s="142">
        <f t="shared" si="1"/>
        <v>0</v>
      </c>
      <c r="AC9" s="129">
        <f>SUM(Q9:AB9)</f>
        <v>0</v>
      </c>
      <c r="AD9" s="129">
        <f>AC9-P9</f>
        <v>0</v>
      </c>
      <c r="AE9" s="132" t="e">
        <f>AD9/AC9</f>
        <v>#DIV/0!</v>
      </c>
      <c r="AF9" s="133">
        <v>0</v>
      </c>
      <c r="AG9" s="133">
        <f t="shared" ref="AG9:AG43" si="2">AF9-P9</f>
        <v>0</v>
      </c>
    </row>
    <row r="10" spans="1:33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9"/>
      <c r="Q10" s="124"/>
      <c r="R10" s="124"/>
      <c r="S10" s="124"/>
      <c r="T10" s="124"/>
      <c r="U10" s="124"/>
      <c r="V10" s="124"/>
      <c r="W10" s="124"/>
      <c r="AF10" s="133"/>
      <c r="AG10" s="133">
        <f t="shared" si="2"/>
        <v>0</v>
      </c>
    </row>
    <row r="11" spans="1:33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9"/>
      <c r="Q11" s="124"/>
      <c r="R11" s="124"/>
      <c r="S11" s="124"/>
      <c r="T11" s="124"/>
      <c r="U11" s="124"/>
      <c r="V11" s="124"/>
      <c r="W11" s="124"/>
      <c r="AF11" s="133"/>
      <c r="AG11" s="133">
        <f t="shared" si="2"/>
        <v>0</v>
      </c>
    </row>
    <row r="12" spans="1:33">
      <c r="A12" s="105" t="s">
        <v>687</v>
      </c>
      <c r="B12" s="105" t="s">
        <v>943</v>
      </c>
      <c r="C12" s="105" t="s">
        <v>144</v>
      </c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9">
        <f>SUM(D12:O12)</f>
        <v>0</v>
      </c>
      <c r="Q12" s="124">
        <v>0</v>
      </c>
      <c r="R12" s="124">
        <v>0</v>
      </c>
      <c r="S12" s="124">
        <v>0</v>
      </c>
      <c r="T12" s="124">
        <v>0</v>
      </c>
      <c r="U12" s="124">
        <v>0</v>
      </c>
      <c r="V12" s="124">
        <v>0</v>
      </c>
      <c r="W12" s="124">
        <v>0</v>
      </c>
      <c r="X12" s="124">
        <v>0</v>
      </c>
      <c r="Y12" s="124">
        <v>0</v>
      </c>
      <c r="Z12" s="124">
        <v>0</v>
      </c>
      <c r="AA12" s="124">
        <v>0</v>
      </c>
      <c r="AB12" s="124">
        <v>0</v>
      </c>
      <c r="AC12" s="129">
        <f t="shared" ref="AC12:AC41" si="3">SUM(Q12:AB12)</f>
        <v>0</v>
      </c>
      <c r="AD12" s="124">
        <f t="shared" ref="AD12:AD43" si="4">AC12-P12</f>
        <v>0</v>
      </c>
      <c r="AE12" s="192" t="e">
        <f t="shared" ref="AE12:AE43" si="5">AD12/AC12</f>
        <v>#DIV/0!</v>
      </c>
      <c r="AF12" s="133">
        <v>0</v>
      </c>
      <c r="AG12" s="133">
        <f t="shared" si="2"/>
        <v>0</v>
      </c>
    </row>
    <row r="13" spans="1:33">
      <c r="A13" s="105" t="s">
        <v>181</v>
      </c>
      <c r="B13" s="105" t="s">
        <v>943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9">
        <f t="shared" ref="P13:P41" si="6">SUM(D13:O13)</f>
        <v>0</v>
      </c>
      <c r="Q13" s="124"/>
      <c r="R13" s="124"/>
      <c r="S13" s="124"/>
      <c r="T13" s="124"/>
      <c r="U13" s="124"/>
      <c r="V13" s="124"/>
      <c r="W13" s="124">
        <v>0</v>
      </c>
      <c r="X13" s="124">
        <v>0</v>
      </c>
      <c r="Y13" s="124">
        <v>0</v>
      </c>
      <c r="Z13" s="124">
        <v>0</v>
      </c>
      <c r="AA13" s="124">
        <v>0</v>
      </c>
      <c r="AB13" s="124">
        <v>0</v>
      </c>
      <c r="AC13" s="129">
        <f t="shared" si="3"/>
        <v>0</v>
      </c>
      <c r="AD13" s="124">
        <f t="shared" si="4"/>
        <v>0</v>
      </c>
      <c r="AF13" s="133">
        <v>0</v>
      </c>
      <c r="AG13" s="133">
        <f t="shared" si="2"/>
        <v>0</v>
      </c>
    </row>
    <row r="14" spans="1:33">
      <c r="A14" s="105" t="s">
        <v>834</v>
      </c>
      <c r="B14" s="105" t="s">
        <v>943</v>
      </c>
      <c r="C14" s="105" t="s">
        <v>431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9">
        <f t="shared" si="6"/>
        <v>0</v>
      </c>
      <c r="Q14" s="124"/>
      <c r="R14" s="124"/>
      <c r="S14" s="124"/>
      <c r="T14" s="124"/>
      <c r="U14" s="124"/>
      <c r="V14" s="124"/>
      <c r="W14" s="124">
        <v>0</v>
      </c>
      <c r="X14" s="124">
        <v>0</v>
      </c>
      <c r="Y14" s="124">
        <v>0</v>
      </c>
      <c r="Z14" s="124">
        <v>0</v>
      </c>
      <c r="AA14" s="124">
        <v>0</v>
      </c>
      <c r="AB14" s="124">
        <v>0</v>
      </c>
      <c r="AC14" s="129">
        <f t="shared" si="3"/>
        <v>0</v>
      </c>
      <c r="AD14" s="124">
        <f t="shared" si="4"/>
        <v>0</v>
      </c>
      <c r="AF14" s="133">
        <v>0</v>
      </c>
      <c r="AG14" s="133">
        <f t="shared" si="2"/>
        <v>0</v>
      </c>
    </row>
    <row r="15" spans="1:33">
      <c r="A15" s="105" t="s">
        <v>688</v>
      </c>
      <c r="B15" s="105" t="s">
        <v>943</v>
      </c>
      <c r="C15" s="105" t="s">
        <v>184</v>
      </c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9">
        <f t="shared" si="6"/>
        <v>0</v>
      </c>
      <c r="Q15" s="124">
        <v>0</v>
      </c>
      <c r="R15" s="124">
        <v>0</v>
      </c>
      <c r="S15" s="124">
        <v>0</v>
      </c>
      <c r="T15" s="124">
        <v>0</v>
      </c>
      <c r="U15" s="124">
        <v>0</v>
      </c>
      <c r="V15" s="124">
        <v>0</v>
      </c>
      <c r="W15" s="124">
        <v>0</v>
      </c>
      <c r="X15" s="124">
        <v>0</v>
      </c>
      <c r="Y15" s="124">
        <v>0</v>
      </c>
      <c r="Z15" s="124">
        <v>0</v>
      </c>
      <c r="AA15" s="124">
        <v>0</v>
      </c>
      <c r="AB15" s="124">
        <v>0</v>
      </c>
      <c r="AC15" s="129">
        <f t="shared" si="3"/>
        <v>0</v>
      </c>
      <c r="AD15" s="124">
        <f t="shared" si="4"/>
        <v>0</v>
      </c>
      <c r="AE15" s="192" t="e">
        <f t="shared" si="5"/>
        <v>#DIV/0!</v>
      </c>
      <c r="AF15" s="133">
        <v>0</v>
      </c>
      <c r="AG15" s="133">
        <f t="shared" si="2"/>
        <v>0</v>
      </c>
    </row>
    <row r="16" spans="1:33">
      <c r="A16" s="105" t="s">
        <v>689</v>
      </c>
      <c r="B16" s="105" t="s">
        <v>943</v>
      </c>
      <c r="C16" s="105" t="s">
        <v>202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9">
        <f t="shared" si="6"/>
        <v>0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9">
        <f t="shared" si="3"/>
        <v>0</v>
      </c>
      <c r="AD16" s="124">
        <f t="shared" si="4"/>
        <v>0</v>
      </c>
      <c r="AF16" s="133">
        <v>0</v>
      </c>
      <c r="AG16" s="133">
        <f t="shared" si="2"/>
        <v>0</v>
      </c>
    </row>
    <row r="17" spans="1:33">
      <c r="A17" s="105" t="s">
        <v>692</v>
      </c>
      <c r="B17" s="105" t="s">
        <v>943</v>
      </c>
      <c r="C17" s="105" t="s">
        <v>204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9">
        <f t="shared" si="6"/>
        <v>0</v>
      </c>
      <c r="Q17" s="124">
        <v>0</v>
      </c>
      <c r="R17" s="124">
        <v>0</v>
      </c>
      <c r="S17" s="124">
        <v>0</v>
      </c>
      <c r="T17" s="124">
        <v>0</v>
      </c>
      <c r="U17" s="124">
        <v>0</v>
      </c>
      <c r="V17" s="124">
        <v>0</v>
      </c>
      <c r="W17" s="124">
        <v>0</v>
      </c>
      <c r="X17" s="124">
        <v>0</v>
      </c>
      <c r="Y17" s="124">
        <v>0</v>
      </c>
      <c r="Z17" s="124">
        <v>0</v>
      </c>
      <c r="AA17" s="124">
        <v>0</v>
      </c>
      <c r="AB17" s="124">
        <v>0</v>
      </c>
      <c r="AC17" s="129">
        <f t="shared" si="3"/>
        <v>0</v>
      </c>
      <c r="AD17" s="124">
        <f t="shared" si="4"/>
        <v>0</v>
      </c>
      <c r="AE17" s="192" t="e">
        <f t="shared" si="5"/>
        <v>#DIV/0!</v>
      </c>
      <c r="AF17" s="133">
        <v>0</v>
      </c>
      <c r="AG17" s="133">
        <f t="shared" si="2"/>
        <v>0</v>
      </c>
    </row>
    <row r="18" spans="1:33">
      <c r="A18" s="105" t="s">
        <v>907</v>
      </c>
      <c r="B18" s="105" t="s">
        <v>943</v>
      </c>
      <c r="C18" s="105" t="s">
        <v>448</v>
      </c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9">
        <f t="shared" si="6"/>
        <v>0</v>
      </c>
      <c r="Q18" s="124">
        <v>0</v>
      </c>
      <c r="R18" s="124">
        <v>0</v>
      </c>
      <c r="S18" s="124">
        <v>0</v>
      </c>
      <c r="T18" s="124">
        <v>0</v>
      </c>
      <c r="U18" s="124">
        <v>0</v>
      </c>
      <c r="V18" s="124">
        <v>0</v>
      </c>
      <c r="W18" s="124">
        <v>0</v>
      </c>
      <c r="X18" s="124">
        <v>0</v>
      </c>
      <c r="Y18" s="124">
        <v>0</v>
      </c>
      <c r="Z18" s="124">
        <v>0</v>
      </c>
      <c r="AA18" s="124">
        <v>200000</v>
      </c>
      <c r="AB18" s="124">
        <v>0</v>
      </c>
      <c r="AC18" s="129">
        <f t="shared" si="3"/>
        <v>200000</v>
      </c>
      <c r="AD18" s="124">
        <f t="shared" si="4"/>
        <v>200000</v>
      </c>
      <c r="AE18" s="192">
        <f t="shared" si="5"/>
        <v>1</v>
      </c>
      <c r="AF18" s="133">
        <v>0</v>
      </c>
      <c r="AG18" s="133">
        <f t="shared" si="2"/>
        <v>0</v>
      </c>
    </row>
    <row r="19" spans="1:33">
      <c r="A19" s="105" t="s">
        <v>734</v>
      </c>
      <c r="B19" s="105" t="s">
        <v>943</v>
      </c>
      <c r="C19" s="105" t="s">
        <v>735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9">
        <f t="shared" si="6"/>
        <v>0</v>
      </c>
      <c r="Q19" s="124">
        <v>0</v>
      </c>
      <c r="R19" s="124">
        <v>0</v>
      </c>
      <c r="S19" s="124">
        <v>0</v>
      </c>
      <c r="T19" s="124">
        <v>0</v>
      </c>
      <c r="U19" s="124">
        <v>0</v>
      </c>
      <c r="V19" s="124">
        <v>0</v>
      </c>
      <c r="W19" s="124">
        <v>0</v>
      </c>
      <c r="X19" s="124">
        <v>0</v>
      </c>
      <c r="Y19" s="124">
        <v>121700</v>
      </c>
      <c r="Z19" s="124">
        <v>121700</v>
      </c>
      <c r="AA19" s="124">
        <v>141700</v>
      </c>
      <c r="AB19" s="124">
        <v>421700</v>
      </c>
      <c r="AC19" s="129">
        <f t="shared" si="3"/>
        <v>806800</v>
      </c>
      <c r="AD19" s="124">
        <f t="shared" si="4"/>
        <v>806800</v>
      </c>
      <c r="AE19" s="192">
        <f t="shared" si="5"/>
        <v>1</v>
      </c>
      <c r="AF19" s="133">
        <v>0</v>
      </c>
      <c r="AG19" s="133">
        <f t="shared" si="2"/>
        <v>0</v>
      </c>
    </row>
    <row r="20" spans="1:33">
      <c r="A20" s="105" t="s">
        <v>717</v>
      </c>
      <c r="B20" s="105" t="s">
        <v>943</v>
      </c>
      <c r="C20" s="105" t="s">
        <v>208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9">
        <f t="shared" si="6"/>
        <v>0</v>
      </c>
      <c r="Q20" s="124">
        <v>0</v>
      </c>
      <c r="R20" s="124">
        <v>0</v>
      </c>
      <c r="S20" s="124">
        <v>0</v>
      </c>
      <c r="T20" s="124">
        <v>0</v>
      </c>
      <c r="U20" s="124">
        <v>0</v>
      </c>
      <c r="V20" s="124">
        <v>0</v>
      </c>
      <c r="W20" s="124">
        <v>0</v>
      </c>
      <c r="X20" s="124">
        <v>0</v>
      </c>
      <c r="Y20" s="124">
        <v>0</v>
      </c>
      <c r="Z20" s="124">
        <v>0</v>
      </c>
      <c r="AA20" s="124">
        <v>0</v>
      </c>
      <c r="AB20" s="124">
        <v>0</v>
      </c>
      <c r="AC20" s="129">
        <f t="shared" si="3"/>
        <v>0</v>
      </c>
      <c r="AD20" s="124">
        <f t="shared" si="4"/>
        <v>0</v>
      </c>
      <c r="AE20" s="192" t="e">
        <f t="shared" si="5"/>
        <v>#DIV/0!</v>
      </c>
      <c r="AF20" s="133">
        <v>0</v>
      </c>
      <c r="AG20" s="133">
        <f t="shared" si="2"/>
        <v>0</v>
      </c>
    </row>
    <row r="21" spans="1:33">
      <c r="A21" s="105" t="s">
        <v>690</v>
      </c>
      <c r="B21" s="105" t="s">
        <v>943</v>
      </c>
      <c r="C21" s="105" t="s">
        <v>210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9">
        <f t="shared" si="6"/>
        <v>0</v>
      </c>
      <c r="Q21" s="124">
        <v>0</v>
      </c>
      <c r="R21" s="124">
        <v>0</v>
      </c>
      <c r="S21" s="124">
        <v>0</v>
      </c>
      <c r="T21" s="124">
        <v>0</v>
      </c>
      <c r="U21" s="124">
        <v>0</v>
      </c>
      <c r="V21" s="124">
        <v>0</v>
      </c>
      <c r="W21" s="124">
        <v>0</v>
      </c>
      <c r="X21" s="124">
        <v>0</v>
      </c>
      <c r="Y21" s="124">
        <v>0</v>
      </c>
      <c r="Z21" s="124">
        <v>0</v>
      </c>
      <c r="AA21" s="124">
        <v>0</v>
      </c>
      <c r="AB21" s="124">
        <v>0</v>
      </c>
      <c r="AC21" s="129">
        <f t="shared" si="3"/>
        <v>0</v>
      </c>
      <c r="AD21" s="124">
        <f t="shared" si="4"/>
        <v>0</v>
      </c>
      <c r="AE21" s="192" t="e">
        <f t="shared" si="5"/>
        <v>#DIV/0!</v>
      </c>
      <c r="AF21" s="133">
        <v>0</v>
      </c>
      <c r="AG21" s="133">
        <f t="shared" si="2"/>
        <v>0</v>
      </c>
    </row>
    <row r="22" spans="1:33">
      <c r="A22" s="105" t="s">
        <v>694</v>
      </c>
      <c r="B22" s="105" t="s">
        <v>943</v>
      </c>
      <c r="C22" s="105" t="s">
        <v>212</v>
      </c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9">
        <f t="shared" si="6"/>
        <v>0</v>
      </c>
      <c r="Q22" s="124">
        <v>0</v>
      </c>
      <c r="R22" s="124">
        <v>0</v>
      </c>
      <c r="S22" s="124">
        <v>0</v>
      </c>
      <c r="T22" s="124">
        <v>0</v>
      </c>
      <c r="U22" s="124">
        <v>0</v>
      </c>
      <c r="V22" s="124">
        <v>0</v>
      </c>
      <c r="W22" s="124">
        <v>0</v>
      </c>
      <c r="X22" s="124">
        <v>0</v>
      </c>
      <c r="Y22" s="124">
        <v>0</v>
      </c>
      <c r="Z22" s="124">
        <v>0</v>
      </c>
      <c r="AA22" s="124">
        <v>0</v>
      </c>
      <c r="AB22" s="124">
        <v>0</v>
      </c>
      <c r="AC22" s="129">
        <f t="shared" si="3"/>
        <v>0</v>
      </c>
      <c r="AD22" s="124">
        <f t="shared" si="4"/>
        <v>0</v>
      </c>
      <c r="AE22" s="192" t="e">
        <f t="shared" si="5"/>
        <v>#DIV/0!</v>
      </c>
      <c r="AF22" s="133">
        <v>0</v>
      </c>
      <c r="AG22" s="133">
        <f t="shared" si="2"/>
        <v>0</v>
      </c>
    </row>
    <row r="23" spans="1:33">
      <c r="A23" s="105" t="s">
        <v>709</v>
      </c>
      <c r="B23" s="105" t="s">
        <v>943</v>
      </c>
      <c r="C23" s="105" t="s">
        <v>214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9">
        <f t="shared" si="6"/>
        <v>0</v>
      </c>
      <c r="Q23" s="124">
        <v>0</v>
      </c>
      <c r="R23" s="124">
        <v>0</v>
      </c>
      <c r="S23" s="124">
        <v>0</v>
      </c>
      <c r="T23" s="124">
        <v>0</v>
      </c>
      <c r="U23" s="124">
        <v>0</v>
      </c>
      <c r="V23" s="124">
        <v>0</v>
      </c>
      <c r="W23" s="124">
        <v>0</v>
      </c>
      <c r="X23" s="124">
        <v>0</v>
      </c>
      <c r="Y23" s="124">
        <v>0</v>
      </c>
      <c r="Z23" s="124">
        <v>0</v>
      </c>
      <c r="AA23" s="124">
        <v>0</v>
      </c>
      <c r="AB23" s="124">
        <v>0</v>
      </c>
      <c r="AC23" s="129">
        <f t="shared" si="3"/>
        <v>0</v>
      </c>
      <c r="AD23" s="124">
        <f t="shared" si="4"/>
        <v>0</v>
      </c>
      <c r="AE23" s="192" t="e">
        <f t="shared" si="5"/>
        <v>#DIV/0!</v>
      </c>
      <c r="AF23" s="133">
        <v>0</v>
      </c>
      <c r="AG23" s="133">
        <f t="shared" si="2"/>
        <v>0</v>
      </c>
    </row>
    <row r="24" spans="1:33">
      <c r="A24" s="105" t="s">
        <v>306</v>
      </c>
      <c r="B24" s="105" t="s">
        <v>943</v>
      </c>
      <c r="C24" s="105" t="s">
        <v>206</v>
      </c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9">
        <f t="shared" si="6"/>
        <v>0</v>
      </c>
      <c r="Q24" s="124"/>
      <c r="R24" s="124"/>
      <c r="S24" s="124"/>
      <c r="T24" s="124"/>
      <c r="U24" s="124"/>
      <c r="V24" s="124"/>
      <c r="W24" s="124">
        <v>0</v>
      </c>
      <c r="X24" s="124">
        <v>0</v>
      </c>
      <c r="Y24" s="124">
        <v>0</v>
      </c>
      <c r="Z24" s="124">
        <v>0</v>
      </c>
      <c r="AA24" s="124">
        <v>0</v>
      </c>
      <c r="AB24" s="124">
        <v>0</v>
      </c>
      <c r="AC24" s="129">
        <f t="shared" si="3"/>
        <v>0</v>
      </c>
      <c r="AD24" s="124">
        <f t="shared" si="4"/>
        <v>0</v>
      </c>
      <c r="AF24" s="133">
        <v>0</v>
      </c>
      <c r="AG24" s="133">
        <f t="shared" si="2"/>
        <v>0</v>
      </c>
    </row>
    <row r="25" spans="1:33">
      <c r="A25" s="105" t="s">
        <v>696</v>
      </c>
      <c r="B25" s="105" t="s">
        <v>943</v>
      </c>
      <c r="C25" s="105" t="s">
        <v>216</v>
      </c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9">
        <f t="shared" si="6"/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9">
        <f t="shared" si="3"/>
        <v>0</v>
      </c>
      <c r="AD25" s="124">
        <f t="shared" si="4"/>
        <v>0</v>
      </c>
      <c r="AE25" s="192" t="e">
        <f t="shared" si="5"/>
        <v>#DIV/0!</v>
      </c>
      <c r="AF25" s="133">
        <v>0</v>
      </c>
      <c r="AG25" s="133">
        <f t="shared" si="2"/>
        <v>0</v>
      </c>
    </row>
    <row r="26" spans="1:33">
      <c r="A26" s="105" t="s">
        <v>697</v>
      </c>
      <c r="B26" s="105" t="s">
        <v>943</v>
      </c>
      <c r="C26" s="105" t="s">
        <v>218</v>
      </c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9">
        <f t="shared" si="6"/>
        <v>0</v>
      </c>
      <c r="Q26" s="124">
        <v>0</v>
      </c>
      <c r="R26" s="124">
        <v>0</v>
      </c>
      <c r="S26" s="124">
        <v>0</v>
      </c>
      <c r="T26" s="124">
        <v>0</v>
      </c>
      <c r="U26" s="124">
        <v>0</v>
      </c>
      <c r="V26" s="124">
        <v>0</v>
      </c>
      <c r="W26" s="124">
        <v>0</v>
      </c>
      <c r="X26" s="124">
        <v>0</v>
      </c>
      <c r="Y26" s="124">
        <v>0</v>
      </c>
      <c r="Z26" s="124">
        <v>0</v>
      </c>
      <c r="AA26" s="124">
        <v>0</v>
      </c>
      <c r="AB26" s="124">
        <v>0</v>
      </c>
      <c r="AC26" s="129">
        <f t="shared" si="3"/>
        <v>0</v>
      </c>
      <c r="AD26" s="124">
        <f t="shared" si="4"/>
        <v>0</v>
      </c>
      <c r="AE26" s="192" t="e">
        <f t="shared" si="5"/>
        <v>#DIV/0!</v>
      </c>
      <c r="AF26" s="133">
        <v>0</v>
      </c>
      <c r="AG26" s="133">
        <f t="shared" si="2"/>
        <v>0</v>
      </c>
    </row>
    <row r="27" spans="1:33">
      <c r="A27" s="105" t="s">
        <v>836</v>
      </c>
      <c r="B27" s="105" t="s">
        <v>943</v>
      </c>
      <c r="C27" s="105" t="s">
        <v>220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9">
        <f t="shared" si="6"/>
        <v>0</v>
      </c>
      <c r="Q27" s="124">
        <v>0</v>
      </c>
      <c r="R27" s="124">
        <v>0</v>
      </c>
      <c r="S27" s="124">
        <v>0</v>
      </c>
      <c r="T27" s="124">
        <v>0</v>
      </c>
      <c r="U27" s="124">
        <v>0</v>
      </c>
      <c r="V27" s="124">
        <v>0</v>
      </c>
      <c r="W27" s="124">
        <v>0</v>
      </c>
      <c r="X27" s="124">
        <v>0</v>
      </c>
      <c r="Y27" s="124">
        <v>0</v>
      </c>
      <c r="Z27" s="124">
        <v>0</v>
      </c>
      <c r="AA27" s="124">
        <v>0</v>
      </c>
      <c r="AB27" s="124">
        <v>0</v>
      </c>
      <c r="AC27" s="129">
        <f t="shared" si="3"/>
        <v>0</v>
      </c>
      <c r="AD27" s="124">
        <f t="shared" si="4"/>
        <v>0</v>
      </c>
      <c r="AE27" s="192" t="e">
        <f t="shared" si="5"/>
        <v>#DIV/0!</v>
      </c>
      <c r="AF27" s="133">
        <v>0</v>
      </c>
      <c r="AG27" s="133">
        <f t="shared" si="2"/>
        <v>0</v>
      </c>
    </row>
    <row r="28" spans="1:33">
      <c r="A28" s="105" t="s">
        <v>908</v>
      </c>
      <c r="B28" s="105" t="s">
        <v>943</v>
      </c>
      <c r="C28" s="105" t="s">
        <v>909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9">
        <f t="shared" si="6"/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9">
        <f t="shared" si="3"/>
        <v>0</v>
      </c>
      <c r="AD28" s="124">
        <f t="shared" si="4"/>
        <v>0</v>
      </c>
      <c r="AE28" s="192" t="e">
        <f t="shared" si="5"/>
        <v>#DIV/0!</v>
      </c>
      <c r="AF28" s="133">
        <v>0</v>
      </c>
      <c r="AG28" s="133">
        <f t="shared" si="2"/>
        <v>0</v>
      </c>
    </row>
    <row r="29" spans="1:33">
      <c r="A29" s="105" t="s">
        <v>910</v>
      </c>
      <c r="B29" s="105" t="s">
        <v>943</v>
      </c>
      <c r="C29" s="105" t="s">
        <v>911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9">
        <f t="shared" si="6"/>
        <v>0</v>
      </c>
      <c r="Q29" s="124">
        <v>0</v>
      </c>
      <c r="R29" s="124">
        <v>0</v>
      </c>
      <c r="S29" s="124">
        <v>0</v>
      </c>
      <c r="T29" s="124">
        <v>0</v>
      </c>
      <c r="U29" s="124">
        <v>0</v>
      </c>
      <c r="V29" s="124">
        <v>0</v>
      </c>
      <c r="W29" s="124">
        <v>0</v>
      </c>
      <c r="X29" s="124">
        <v>0</v>
      </c>
      <c r="Y29" s="124">
        <v>0</v>
      </c>
      <c r="Z29" s="124">
        <v>0</v>
      </c>
      <c r="AA29" s="124">
        <v>0</v>
      </c>
      <c r="AB29" s="124">
        <v>0</v>
      </c>
      <c r="AC29" s="129">
        <f t="shared" si="3"/>
        <v>0</v>
      </c>
      <c r="AD29" s="124">
        <f t="shared" si="4"/>
        <v>0</v>
      </c>
      <c r="AF29" s="133">
        <v>0</v>
      </c>
      <c r="AG29" s="133">
        <f t="shared" si="2"/>
        <v>0</v>
      </c>
    </row>
    <row r="30" spans="1:33">
      <c r="A30" s="105" t="s">
        <v>912</v>
      </c>
      <c r="B30" s="105" t="s">
        <v>943</v>
      </c>
      <c r="C30" s="105" t="s">
        <v>913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9">
        <f t="shared" si="6"/>
        <v>0</v>
      </c>
      <c r="Q30" s="124">
        <v>0</v>
      </c>
      <c r="R30" s="124">
        <v>0</v>
      </c>
      <c r="S30" s="124">
        <v>0</v>
      </c>
      <c r="T30" s="124">
        <v>0</v>
      </c>
      <c r="U30" s="124">
        <v>0</v>
      </c>
      <c r="V30" s="124">
        <v>0</v>
      </c>
      <c r="W30" s="124">
        <v>0</v>
      </c>
      <c r="X30" s="124">
        <v>0</v>
      </c>
      <c r="Y30" s="124">
        <v>0</v>
      </c>
      <c r="Z30" s="124">
        <v>0</v>
      </c>
      <c r="AA30" s="124">
        <v>0</v>
      </c>
      <c r="AB30" s="124">
        <v>0</v>
      </c>
      <c r="AC30" s="129">
        <f t="shared" si="3"/>
        <v>0</v>
      </c>
      <c r="AD30" s="124">
        <f t="shared" si="4"/>
        <v>0</v>
      </c>
      <c r="AF30" s="133">
        <v>0</v>
      </c>
      <c r="AG30" s="133">
        <f t="shared" si="2"/>
        <v>0</v>
      </c>
    </row>
    <row r="31" spans="1:33">
      <c r="A31" s="105" t="s">
        <v>914</v>
      </c>
      <c r="B31" s="105" t="s">
        <v>943</v>
      </c>
      <c r="C31" s="105" t="s">
        <v>915</v>
      </c>
      <c r="D31" s="124">
        <v>11747</v>
      </c>
      <c r="E31" s="124">
        <v>11747</v>
      </c>
      <c r="F31" s="124">
        <v>11747</v>
      </c>
      <c r="G31" s="124">
        <v>9271</v>
      </c>
      <c r="H31" s="124">
        <v>9271</v>
      </c>
      <c r="I31" s="124">
        <v>5563</v>
      </c>
      <c r="J31" s="124">
        <v>3125</v>
      </c>
      <c r="K31" s="124">
        <v>3125</v>
      </c>
      <c r="L31" s="124">
        <v>3125</v>
      </c>
      <c r="M31" s="124">
        <v>3125</v>
      </c>
      <c r="N31" s="124">
        <v>3125</v>
      </c>
      <c r="O31" s="124">
        <v>3125</v>
      </c>
      <c r="P31" s="129">
        <f t="shared" si="6"/>
        <v>78096</v>
      </c>
      <c r="Q31" s="124">
        <v>11746.58</v>
      </c>
      <c r="R31" s="124">
        <v>11746.58</v>
      </c>
      <c r="S31" s="124">
        <v>11746.55</v>
      </c>
      <c r="T31" s="124">
        <v>9271.33</v>
      </c>
      <c r="U31" s="124">
        <v>9271.33</v>
      </c>
      <c r="V31" s="124">
        <v>5562.8</v>
      </c>
      <c r="W31" s="124">
        <v>5562.8</v>
      </c>
      <c r="X31" s="124">
        <v>5562.8</v>
      </c>
      <c r="Y31" s="124">
        <v>3125</v>
      </c>
      <c r="Z31" s="124">
        <v>3125</v>
      </c>
      <c r="AA31" s="124">
        <v>3125</v>
      </c>
      <c r="AB31" s="124">
        <v>3125</v>
      </c>
      <c r="AC31" s="129">
        <f t="shared" si="3"/>
        <v>82970.77</v>
      </c>
      <c r="AD31" s="124">
        <f t="shared" si="4"/>
        <v>4874.7700000000041</v>
      </c>
      <c r="AF31" s="133">
        <v>72038.83</v>
      </c>
      <c r="AG31" s="133">
        <f t="shared" si="2"/>
        <v>-6057.1699999999983</v>
      </c>
    </row>
    <row r="32" spans="1:33">
      <c r="A32" s="105" t="s">
        <v>916</v>
      </c>
      <c r="B32" s="105" t="s">
        <v>943</v>
      </c>
      <c r="C32" s="105" t="s">
        <v>917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9">
        <f t="shared" si="6"/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9">
        <f t="shared" si="3"/>
        <v>0</v>
      </c>
      <c r="AD32" s="124">
        <f t="shared" si="4"/>
        <v>0</v>
      </c>
      <c r="AE32" s="192" t="e">
        <f t="shared" si="5"/>
        <v>#DIV/0!</v>
      </c>
      <c r="AF32" s="133">
        <v>0</v>
      </c>
      <c r="AG32" s="133">
        <f t="shared" si="2"/>
        <v>0</v>
      </c>
    </row>
    <row r="33" spans="1:33">
      <c r="A33" s="105" t="s">
        <v>918</v>
      </c>
      <c r="B33" s="105" t="s">
        <v>943</v>
      </c>
      <c r="C33" s="105" t="s">
        <v>919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9">
        <f t="shared" si="6"/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9">
        <f t="shared" si="3"/>
        <v>0</v>
      </c>
      <c r="AD33" s="124">
        <f t="shared" si="4"/>
        <v>0</v>
      </c>
      <c r="AE33" s="192" t="e">
        <f t="shared" si="5"/>
        <v>#DIV/0!</v>
      </c>
      <c r="AF33" s="133">
        <v>4291.2</v>
      </c>
      <c r="AG33" s="133">
        <f t="shared" si="2"/>
        <v>4291.2</v>
      </c>
    </row>
    <row r="34" spans="1:33">
      <c r="A34" s="105" t="s">
        <v>920</v>
      </c>
      <c r="B34" s="105" t="s">
        <v>943</v>
      </c>
      <c r="C34" s="105" t="s">
        <v>921</v>
      </c>
      <c r="D34" s="124">
        <v>4567</v>
      </c>
      <c r="E34" s="124">
        <v>4567</v>
      </c>
      <c r="F34" s="124">
        <v>4567</v>
      </c>
      <c r="G34" s="124">
        <v>4567</v>
      </c>
      <c r="H34" s="124">
        <v>4567</v>
      </c>
      <c r="I34" s="124">
        <v>4567</v>
      </c>
      <c r="J34" s="124">
        <v>4567</v>
      </c>
      <c r="K34" s="124">
        <v>4567</v>
      </c>
      <c r="L34" s="124">
        <v>4567</v>
      </c>
      <c r="M34" s="124">
        <v>4567</v>
      </c>
      <c r="N34" s="124">
        <v>4567</v>
      </c>
      <c r="O34" s="124">
        <v>4567</v>
      </c>
      <c r="P34" s="129">
        <f t="shared" si="6"/>
        <v>54804</v>
      </c>
      <c r="Q34" s="124"/>
      <c r="R34" s="124"/>
      <c r="S34" s="124"/>
      <c r="T34" s="124"/>
      <c r="U34" s="124"/>
      <c r="V34" s="124"/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9">
        <f t="shared" si="3"/>
        <v>0</v>
      </c>
      <c r="AD34" s="124">
        <f t="shared" si="4"/>
        <v>-54804</v>
      </c>
      <c r="AF34" s="133">
        <v>0</v>
      </c>
      <c r="AG34" s="133">
        <f t="shared" si="2"/>
        <v>-54804</v>
      </c>
    </row>
    <row r="35" spans="1:33">
      <c r="A35" s="105" t="s">
        <v>922</v>
      </c>
      <c r="B35" s="105" t="s">
        <v>943</v>
      </c>
      <c r="C35" s="105" t="s">
        <v>923</v>
      </c>
      <c r="D35" s="124">
        <v>49400</v>
      </c>
      <c r="E35" s="124">
        <v>9400</v>
      </c>
      <c r="F35" s="124">
        <v>29400</v>
      </c>
      <c r="G35" s="124">
        <v>9400</v>
      </c>
      <c r="H35" s="124">
        <v>9400</v>
      </c>
      <c r="I35" s="124">
        <v>39400</v>
      </c>
      <c r="J35" s="124">
        <v>39400</v>
      </c>
      <c r="K35" s="124">
        <v>29400</v>
      </c>
      <c r="L35" s="124">
        <v>39400</v>
      </c>
      <c r="M35" s="124">
        <v>29400</v>
      </c>
      <c r="N35" s="124">
        <v>39400</v>
      </c>
      <c r="O35" s="124">
        <v>29400</v>
      </c>
      <c r="P35" s="129">
        <f>SUM(D35:O35)</f>
        <v>352800</v>
      </c>
      <c r="Q35" s="124">
        <v>86361.59</v>
      </c>
      <c r="R35" s="124">
        <v>65302.28</v>
      </c>
      <c r="S35" s="124">
        <v>14725.36</v>
      </c>
      <c r="T35" s="124">
        <v>26988.240000000002</v>
      </c>
      <c r="U35" s="124">
        <v>22907.96</v>
      </c>
      <c r="V35" s="124">
        <v>12641.93</v>
      </c>
      <c r="W35" s="124">
        <v>23428.240000000002</v>
      </c>
      <c r="X35" s="124">
        <v>13061.33</v>
      </c>
      <c r="Y35" s="124">
        <v>33267</v>
      </c>
      <c r="Z35" s="124">
        <v>53267</v>
      </c>
      <c r="AA35" s="124">
        <v>53267</v>
      </c>
      <c r="AB35" s="124">
        <v>64810</v>
      </c>
      <c r="AC35" s="129">
        <f t="shared" si="3"/>
        <v>470027.92999999993</v>
      </c>
      <c r="AD35" s="124">
        <f t="shared" si="4"/>
        <v>117227.92999999993</v>
      </c>
      <c r="AE35" s="192">
        <f t="shared" si="5"/>
        <v>0.24940630655714427</v>
      </c>
      <c r="AF35" s="133">
        <v>501358.75</v>
      </c>
      <c r="AG35" s="133">
        <f t="shared" si="2"/>
        <v>148558.75</v>
      </c>
    </row>
    <row r="36" spans="1:33">
      <c r="A36" s="105" t="s">
        <v>924</v>
      </c>
      <c r="B36" s="105" t="s">
        <v>943</v>
      </c>
      <c r="C36" s="105" t="s">
        <v>925</v>
      </c>
      <c r="D36" s="124">
        <v>3000</v>
      </c>
      <c r="E36" s="124">
        <v>3000</v>
      </c>
      <c r="F36" s="124">
        <v>3000</v>
      </c>
      <c r="G36" s="124">
        <v>3000</v>
      </c>
      <c r="H36" s="124">
        <v>3000</v>
      </c>
      <c r="I36" s="124">
        <v>3000</v>
      </c>
      <c r="J36" s="124">
        <v>3000</v>
      </c>
      <c r="K36" s="124">
        <v>3000</v>
      </c>
      <c r="L36" s="124">
        <v>3000</v>
      </c>
      <c r="M36" s="124">
        <v>3000</v>
      </c>
      <c r="N36" s="124">
        <v>3000</v>
      </c>
      <c r="O36" s="124">
        <v>3000</v>
      </c>
      <c r="P36" s="129">
        <f t="shared" si="6"/>
        <v>36000</v>
      </c>
      <c r="Q36" s="124">
        <v>0</v>
      </c>
      <c r="R36" s="124">
        <v>0</v>
      </c>
      <c r="S36" s="124">
        <v>0</v>
      </c>
      <c r="T36" s="124">
        <v>0</v>
      </c>
      <c r="U36" s="124">
        <v>0</v>
      </c>
      <c r="V36" s="124">
        <v>0</v>
      </c>
      <c r="W36" s="124">
        <v>0</v>
      </c>
      <c r="X36" s="124">
        <v>0</v>
      </c>
      <c r="Y36" s="124">
        <v>0</v>
      </c>
      <c r="Z36" s="124">
        <v>10000</v>
      </c>
      <c r="AA36" s="124">
        <v>0</v>
      </c>
      <c r="AB36" s="124">
        <v>10000</v>
      </c>
      <c r="AC36" s="129">
        <f t="shared" si="3"/>
        <v>20000</v>
      </c>
      <c r="AD36" s="124">
        <f t="shared" si="4"/>
        <v>-16000</v>
      </c>
      <c r="AE36" s="192">
        <f t="shared" si="5"/>
        <v>-0.8</v>
      </c>
      <c r="AF36" s="133">
        <v>0</v>
      </c>
      <c r="AG36" s="133">
        <f t="shared" si="2"/>
        <v>-36000</v>
      </c>
    </row>
    <row r="37" spans="1:33">
      <c r="A37" s="105" t="s">
        <v>926</v>
      </c>
      <c r="B37" s="105" t="s">
        <v>943</v>
      </c>
      <c r="C37" s="105" t="s">
        <v>927</v>
      </c>
      <c r="D37" s="124">
        <v>0</v>
      </c>
      <c r="E37" s="124">
        <v>0</v>
      </c>
      <c r="F37" s="124">
        <v>0</v>
      </c>
      <c r="G37" s="124">
        <v>0</v>
      </c>
      <c r="H37" s="124">
        <v>0</v>
      </c>
      <c r="I37" s="124">
        <v>0</v>
      </c>
      <c r="J37" s="124">
        <v>0</v>
      </c>
      <c r="K37" s="124">
        <v>0</v>
      </c>
      <c r="L37" s="124">
        <v>0</v>
      </c>
      <c r="M37" s="124">
        <v>0</v>
      </c>
      <c r="N37" s="124">
        <v>0</v>
      </c>
      <c r="O37" s="124">
        <v>0</v>
      </c>
      <c r="P37" s="129">
        <f t="shared" si="6"/>
        <v>0</v>
      </c>
      <c r="Q37" s="124">
        <v>0</v>
      </c>
      <c r="R37" s="124">
        <v>0</v>
      </c>
      <c r="S37" s="124">
        <v>0</v>
      </c>
      <c r="T37" s="124">
        <v>0</v>
      </c>
      <c r="U37" s="124">
        <v>0</v>
      </c>
      <c r="V37" s="124">
        <v>0</v>
      </c>
      <c r="W37" s="124">
        <v>0</v>
      </c>
      <c r="X37" s="124">
        <v>0</v>
      </c>
      <c r="Y37" s="124">
        <v>0</v>
      </c>
      <c r="Z37" s="124">
        <v>0</v>
      </c>
      <c r="AA37" s="124">
        <v>0</v>
      </c>
      <c r="AB37" s="124">
        <v>0</v>
      </c>
      <c r="AC37" s="129">
        <f t="shared" si="3"/>
        <v>0</v>
      </c>
      <c r="AD37" s="124">
        <f t="shared" si="4"/>
        <v>0</v>
      </c>
      <c r="AE37" s="192" t="e">
        <f t="shared" si="5"/>
        <v>#DIV/0!</v>
      </c>
      <c r="AF37" s="133">
        <v>0</v>
      </c>
      <c r="AG37" s="133">
        <f t="shared" si="2"/>
        <v>0</v>
      </c>
    </row>
    <row r="38" spans="1:33">
      <c r="A38" s="105" t="s">
        <v>928</v>
      </c>
      <c r="B38" s="105" t="s">
        <v>943</v>
      </c>
      <c r="C38" s="105" t="s">
        <v>929</v>
      </c>
      <c r="D38" s="124">
        <v>0</v>
      </c>
      <c r="E38" s="124">
        <v>0</v>
      </c>
      <c r="F38" s="124">
        <v>0</v>
      </c>
      <c r="G38" s="124">
        <v>0</v>
      </c>
      <c r="H38" s="124">
        <v>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  <c r="N38" s="124">
        <v>0</v>
      </c>
      <c r="O38" s="124">
        <v>0</v>
      </c>
      <c r="P38" s="129">
        <f t="shared" si="6"/>
        <v>0</v>
      </c>
      <c r="Q38" s="124"/>
      <c r="R38" s="124"/>
      <c r="S38" s="124"/>
      <c r="T38" s="124"/>
      <c r="U38" s="124"/>
      <c r="V38" s="124"/>
      <c r="W38" s="124">
        <v>0</v>
      </c>
      <c r="X38" s="124">
        <v>0</v>
      </c>
      <c r="Y38" s="124">
        <v>0</v>
      </c>
      <c r="Z38" s="124">
        <v>0</v>
      </c>
      <c r="AA38" s="124">
        <v>0</v>
      </c>
      <c r="AB38" s="124">
        <v>0</v>
      </c>
      <c r="AC38" s="129">
        <f t="shared" si="3"/>
        <v>0</v>
      </c>
      <c r="AD38" s="124">
        <f t="shared" si="4"/>
        <v>0</v>
      </c>
      <c r="AF38" s="133">
        <v>0</v>
      </c>
      <c r="AG38" s="133">
        <f t="shared" si="2"/>
        <v>0</v>
      </c>
    </row>
    <row r="39" spans="1:33">
      <c r="A39" s="105" t="s">
        <v>930</v>
      </c>
      <c r="B39" s="105" t="s">
        <v>943</v>
      </c>
      <c r="C39" s="105" t="s">
        <v>931</v>
      </c>
      <c r="D39" s="124">
        <v>0</v>
      </c>
      <c r="E39" s="124">
        <v>0</v>
      </c>
      <c r="F39" s="124">
        <v>0</v>
      </c>
      <c r="G39" s="124">
        <v>0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9">
        <f t="shared" si="6"/>
        <v>0</v>
      </c>
      <c r="Q39" s="124"/>
      <c r="R39" s="124"/>
      <c r="S39" s="124"/>
      <c r="T39" s="124"/>
      <c r="U39" s="124"/>
      <c r="V39" s="124"/>
      <c r="W39" s="124">
        <v>0</v>
      </c>
      <c r="X39" s="124">
        <v>0</v>
      </c>
      <c r="Y39" s="124">
        <v>0</v>
      </c>
      <c r="Z39" s="124">
        <v>0</v>
      </c>
      <c r="AA39" s="124">
        <v>0</v>
      </c>
      <c r="AB39" s="124">
        <v>0</v>
      </c>
      <c r="AC39" s="129">
        <f t="shared" si="3"/>
        <v>0</v>
      </c>
      <c r="AD39" s="124">
        <f t="shared" si="4"/>
        <v>0</v>
      </c>
      <c r="AF39" s="133">
        <v>0</v>
      </c>
      <c r="AG39" s="133">
        <f t="shared" si="2"/>
        <v>0</v>
      </c>
    </row>
    <row r="40" spans="1:33">
      <c r="A40" s="105" t="s">
        <v>932</v>
      </c>
      <c r="B40" s="105" t="s">
        <v>943</v>
      </c>
      <c r="C40" s="105" t="s">
        <v>933</v>
      </c>
      <c r="D40" s="212">
        <f>ROUND(('2025 Summay'!E16*1.5%+'2025 Summay'!E16*1.5%*6.72%)/1.06,0)</f>
        <v>592495</v>
      </c>
      <c r="E40" s="212">
        <f>ROUND(('2025 Summay'!F16*1.5%+'2025 Summay'!F16*1.5%*6.72%)/1.06,0)</f>
        <v>656214</v>
      </c>
      <c r="F40" s="212">
        <f>ROUND(('2025 Summay'!G16*1.5%+'2025 Summay'!G16*1.5%*6.72%)/1.06,0)</f>
        <v>408210</v>
      </c>
      <c r="G40" s="212">
        <f>ROUND(('2025 Summay'!H16*1.5%+'2025 Summay'!H16*1.5%*6.72%)/1.06,0)</f>
        <v>377959</v>
      </c>
      <c r="H40" s="212">
        <f>ROUND(('2025 Summay'!I16*1.5%+'2025 Summay'!I16*1.5%*6.72%)/1.06,0)</f>
        <v>359540</v>
      </c>
      <c r="I40" s="212">
        <f>ROUND(('2025 Summay'!J16*1.5%+'2025 Summay'!J16*1.5%*6.72%)/1.06,0)</f>
        <v>321610</v>
      </c>
      <c r="J40" s="212">
        <f>ROUND(('2025 Summay'!K16*1.5%+'2025 Summay'!K16*1.5%*6.72%)/1.06,0)</f>
        <v>466742</v>
      </c>
      <c r="K40" s="212">
        <f>ROUND(('2025 Summay'!L16*1.5%+'2025 Summay'!L16*1.5%*6.72%)/1.06,0)</f>
        <v>525837</v>
      </c>
      <c r="L40" s="212">
        <f>ROUND(('2025 Summay'!M16*1.5%+'2025 Summay'!M16*1.5%*6.72%)/1.06,0)</f>
        <v>303187</v>
      </c>
      <c r="M40" s="212">
        <f>ROUND(('2025 Summay'!N16*1.5%+'2025 Summay'!N16*1.5%*6.72%)/1.06,0)</f>
        <v>383307</v>
      </c>
      <c r="N40" s="212">
        <f>ROUND(('2025 Summay'!O16*1.5%+'2025 Summay'!O16*1.5%*6.72%)/1.06,0)</f>
        <v>331284</v>
      </c>
      <c r="O40" s="212">
        <f>ROUND(('2025 Summay'!P16*1.5%+'2025 Summay'!P16*1.5%*6.72%)/1.06,0)</f>
        <v>417711</v>
      </c>
      <c r="P40" s="129">
        <f t="shared" si="6"/>
        <v>5144096</v>
      </c>
      <c r="Q40" s="124">
        <v>632796.01</v>
      </c>
      <c r="R40" s="124">
        <v>987547.99</v>
      </c>
      <c r="S40" s="124">
        <v>452252.06</v>
      </c>
      <c r="T40" s="124">
        <v>389024.35</v>
      </c>
      <c r="U40" s="124">
        <v>364269.46</v>
      </c>
      <c r="V40" s="124">
        <v>325826.11</v>
      </c>
      <c r="W40" s="124">
        <v>467002.2</v>
      </c>
      <c r="X40" s="124">
        <v>534294.68000000005</v>
      </c>
      <c r="Y40" s="124">
        <v>285437</v>
      </c>
      <c r="Z40" s="124">
        <v>337739</v>
      </c>
      <c r="AA40" s="124">
        <v>310336</v>
      </c>
      <c r="AB40" s="124">
        <v>376532</v>
      </c>
      <c r="AC40" s="129">
        <f t="shared" si="3"/>
        <v>5463056.8600000003</v>
      </c>
      <c r="AD40" s="124">
        <f t="shared" si="4"/>
        <v>318960.86000000034</v>
      </c>
      <c r="AE40" s="192">
        <f t="shared" si="5"/>
        <v>5.8385052210494531E-2</v>
      </c>
      <c r="AF40" s="133">
        <v>5127912.9899999993</v>
      </c>
      <c r="AG40" s="133">
        <f t="shared" si="2"/>
        <v>-16183.010000000708</v>
      </c>
    </row>
    <row r="41" spans="1:33">
      <c r="A41" s="105" t="s">
        <v>698</v>
      </c>
      <c r="B41" s="105" t="s">
        <v>943</v>
      </c>
      <c r="C41" s="105" t="s">
        <v>222</v>
      </c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9">
        <f t="shared" si="6"/>
        <v>0</v>
      </c>
      <c r="Q41" s="124">
        <v>0</v>
      </c>
      <c r="R41" s="124">
        <v>0</v>
      </c>
      <c r="S41" s="124">
        <v>0</v>
      </c>
      <c r="T41" s="124">
        <v>0</v>
      </c>
      <c r="U41" s="124">
        <v>0</v>
      </c>
      <c r="V41" s="124">
        <v>0</v>
      </c>
      <c r="W41" s="124">
        <v>0</v>
      </c>
      <c r="X41" s="124">
        <v>0</v>
      </c>
      <c r="Y41" s="124">
        <v>0</v>
      </c>
      <c r="Z41" s="124">
        <v>0</v>
      </c>
      <c r="AA41" s="124">
        <v>0</v>
      </c>
      <c r="AB41" s="124">
        <v>0</v>
      </c>
      <c r="AC41" s="129">
        <f t="shared" si="3"/>
        <v>0</v>
      </c>
      <c r="AD41" s="124">
        <f t="shared" si="4"/>
        <v>0</v>
      </c>
      <c r="AE41" s="192" t="e">
        <f t="shared" si="5"/>
        <v>#DIV/0!</v>
      </c>
      <c r="AF41" s="133">
        <v>0</v>
      </c>
      <c r="AG41" s="133">
        <f t="shared" si="2"/>
        <v>0</v>
      </c>
    </row>
    <row r="42" spans="1:33" s="109" customFormat="1">
      <c r="C42" s="109" t="s">
        <v>867</v>
      </c>
      <c r="D42" s="129">
        <f t="shared" ref="D42:O42" si="7">SUM(D12:D41)</f>
        <v>661209</v>
      </c>
      <c r="E42" s="129">
        <f t="shared" si="7"/>
        <v>684928</v>
      </c>
      <c r="F42" s="129">
        <f t="shared" si="7"/>
        <v>456924</v>
      </c>
      <c r="G42" s="129">
        <f t="shared" si="7"/>
        <v>404197</v>
      </c>
      <c r="H42" s="129">
        <f t="shared" si="7"/>
        <v>385778</v>
      </c>
      <c r="I42" s="129">
        <f t="shared" si="7"/>
        <v>374140</v>
      </c>
      <c r="J42" s="129">
        <f t="shared" si="7"/>
        <v>516834</v>
      </c>
      <c r="K42" s="129">
        <f t="shared" si="7"/>
        <v>565929</v>
      </c>
      <c r="L42" s="129">
        <f t="shared" si="7"/>
        <v>353279</v>
      </c>
      <c r="M42" s="129">
        <f t="shared" si="7"/>
        <v>423399</v>
      </c>
      <c r="N42" s="129">
        <f t="shared" si="7"/>
        <v>381376</v>
      </c>
      <c r="O42" s="129">
        <f t="shared" si="7"/>
        <v>457803</v>
      </c>
      <c r="P42" s="129">
        <f>SUM(P12:P41)</f>
        <v>5665796</v>
      </c>
      <c r="Q42" s="142">
        <f t="shared" ref="Q42:AC42" si="8">SUM(Q12:Q41)</f>
        <v>730904.18</v>
      </c>
      <c r="R42" s="142">
        <f t="shared" si="8"/>
        <v>1064596.8500000001</v>
      </c>
      <c r="S42" s="142">
        <f t="shared" si="8"/>
        <v>478723.97</v>
      </c>
      <c r="T42" s="142">
        <f t="shared" si="8"/>
        <v>425283.92</v>
      </c>
      <c r="U42" s="142">
        <f t="shared" si="8"/>
        <v>396448.75</v>
      </c>
      <c r="V42" s="142">
        <f t="shared" si="8"/>
        <v>344030.83999999997</v>
      </c>
      <c r="W42" s="142">
        <f t="shared" si="8"/>
        <v>495993.24</v>
      </c>
      <c r="X42" s="142">
        <f t="shared" si="8"/>
        <v>552918.81000000006</v>
      </c>
      <c r="Y42" s="142">
        <f t="shared" si="8"/>
        <v>443529</v>
      </c>
      <c r="Z42" s="142">
        <f t="shared" si="8"/>
        <v>525831</v>
      </c>
      <c r="AA42" s="142">
        <f t="shared" si="8"/>
        <v>708428</v>
      </c>
      <c r="AB42" s="142">
        <f t="shared" si="8"/>
        <v>876167</v>
      </c>
      <c r="AC42" s="129">
        <f t="shared" si="8"/>
        <v>7042855.5600000005</v>
      </c>
      <c r="AD42" s="129">
        <f t="shared" si="4"/>
        <v>1377059.5600000005</v>
      </c>
      <c r="AE42" s="132">
        <f t="shared" si="5"/>
        <v>0.19552574211815874</v>
      </c>
      <c r="AF42" s="133">
        <v>5705601.7699999996</v>
      </c>
      <c r="AG42" s="133">
        <f t="shared" si="2"/>
        <v>39805.769999999553</v>
      </c>
    </row>
    <row r="43" spans="1:33" s="109" customFormat="1">
      <c r="C43" s="109" t="s">
        <v>868</v>
      </c>
      <c r="D43" s="129">
        <f t="shared" ref="D43:AC43" si="9">D42+D78</f>
        <v>661209</v>
      </c>
      <c r="E43" s="129">
        <f t="shared" si="9"/>
        <v>684928</v>
      </c>
      <c r="F43" s="129">
        <f t="shared" si="9"/>
        <v>456924</v>
      </c>
      <c r="G43" s="129">
        <f t="shared" si="9"/>
        <v>404197</v>
      </c>
      <c r="H43" s="129">
        <f t="shared" si="9"/>
        <v>385778</v>
      </c>
      <c r="I43" s="129">
        <f t="shared" si="9"/>
        <v>374140</v>
      </c>
      <c r="J43" s="129">
        <f t="shared" si="9"/>
        <v>516834</v>
      </c>
      <c r="K43" s="129">
        <f t="shared" si="9"/>
        <v>565929</v>
      </c>
      <c r="L43" s="129">
        <f t="shared" si="9"/>
        <v>353279</v>
      </c>
      <c r="M43" s="129">
        <f t="shared" si="9"/>
        <v>423399</v>
      </c>
      <c r="N43" s="129">
        <f t="shared" si="9"/>
        <v>381376</v>
      </c>
      <c r="O43" s="129">
        <f t="shared" si="9"/>
        <v>457803</v>
      </c>
      <c r="P43" s="129">
        <f t="shared" si="9"/>
        <v>5665796</v>
      </c>
      <c r="Q43" s="142">
        <f t="shared" si="9"/>
        <v>730904.18</v>
      </c>
      <c r="R43" s="142">
        <f t="shared" si="9"/>
        <v>1064596.8500000001</v>
      </c>
      <c r="S43" s="142">
        <f t="shared" si="9"/>
        <v>478723.97</v>
      </c>
      <c r="T43" s="142">
        <f t="shared" si="9"/>
        <v>425283.92</v>
      </c>
      <c r="U43" s="142">
        <f t="shared" si="9"/>
        <v>396448.75</v>
      </c>
      <c r="V43" s="142">
        <f t="shared" si="9"/>
        <v>344030.83999999997</v>
      </c>
      <c r="W43" s="142">
        <f t="shared" si="9"/>
        <v>495993.24</v>
      </c>
      <c r="X43" s="142">
        <f t="shared" si="9"/>
        <v>552918.81000000006</v>
      </c>
      <c r="Y43" s="142">
        <f t="shared" si="9"/>
        <v>443529</v>
      </c>
      <c r="Z43" s="142">
        <f t="shared" si="9"/>
        <v>525831</v>
      </c>
      <c r="AA43" s="142">
        <f t="shared" si="9"/>
        <v>708428</v>
      </c>
      <c r="AB43" s="142">
        <f t="shared" si="9"/>
        <v>876167</v>
      </c>
      <c r="AC43" s="129">
        <f t="shared" si="9"/>
        <v>7042855.5600000005</v>
      </c>
      <c r="AD43" s="129">
        <f t="shared" si="4"/>
        <v>1377059.5600000005</v>
      </c>
      <c r="AE43" s="132">
        <f t="shared" si="5"/>
        <v>0.19552574211815874</v>
      </c>
      <c r="AF43" s="133">
        <v>5705601.7699999996</v>
      </c>
      <c r="AG43" s="133">
        <f t="shared" si="2"/>
        <v>39805.769999999553</v>
      </c>
    </row>
    <row r="44" spans="1:33">
      <c r="C44" s="105" t="s">
        <v>154</v>
      </c>
      <c r="Q44" s="124"/>
      <c r="R44" s="124"/>
      <c r="S44" s="124"/>
      <c r="T44" s="124"/>
      <c r="U44" s="124"/>
      <c r="V44" s="124"/>
      <c r="W44" s="124"/>
      <c r="AF44" s="332"/>
    </row>
    <row r="45" spans="1:33" outlineLevel="1">
      <c r="C45" s="105" t="s">
        <v>869</v>
      </c>
      <c r="Q45" s="124"/>
      <c r="R45" s="124"/>
      <c r="S45" s="124"/>
      <c r="T45" s="124"/>
      <c r="U45" s="124"/>
      <c r="V45" s="124"/>
      <c r="W45" s="124"/>
      <c r="AF45" s="332"/>
    </row>
    <row r="46" spans="1:33" outlineLevel="1">
      <c r="C46" s="105" t="s">
        <v>465</v>
      </c>
      <c r="Q46" s="124"/>
      <c r="R46" s="124"/>
      <c r="S46" s="124"/>
      <c r="T46" s="124"/>
      <c r="U46" s="124"/>
      <c r="V46" s="124"/>
      <c r="W46" s="124"/>
      <c r="AF46" s="332"/>
    </row>
    <row r="47" spans="1:33" outlineLevel="1">
      <c r="A47" s="105" t="s">
        <v>248</v>
      </c>
      <c r="B47" s="105" t="s">
        <v>943</v>
      </c>
      <c r="C47" s="105" t="s">
        <v>250</v>
      </c>
      <c r="P47" s="142">
        <f>SUM(D47:O47)</f>
        <v>0</v>
      </c>
      <c r="Q47" s="124">
        <v>0</v>
      </c>
      <c r="R47" s="124">
        <v>0</v>
      </c>
      <c r="S47" s="124">
        <v>0</v>
      </c>
      <c r="T47" s="124">
        <v>0</v>
      </c>
      <c r="U47" s="124">
        <v>0</v>
      </c>
      <c r="V47" s="124">
        <v>0</v>
      </c>
      <c r="W47" s="124">
        <v>0</v>
      </c>
      <c r="X47" s="124">
        <v>0</v>
      </c>
      <c r="Y47" s="124">
        <v>0</v>
      </c>
      <c r="Z47" s="124">
        <v>0</v>
      </c>
      <c r="AA47" s="124">
        <v>0</v>
      </c>
      <c r="AB47" s="124">
        <v>0</v>
      </c>
      <c r="AC47" s="129">
        <f>SUM(Q47:AB47)</f>
        <v>0</v>
      </c>
      <c r="AD47" s="124">
        <f>AC47-P47</f>
        <v>0</v>
      </c>
      <c r="AE47" s="192" t="e">
        <f>AD47/AC47</f>
        <v>#DIV/0!</v>
      </c>
      <c r="AF47" s="332"/>
    </row>
    <row r="48" spans="1:33" outlineLevel="1">
      <c r="A48" s="105" t="s">
        <v>251</v>
      </c>
      <c r="B48" s="105" t="s">
        <v>943</v>
      </c>
      <c r="C48" s="105" t="s">
        <v>468</v>
      </c>
      <c r="P48" s="142">
        <f>SUM(D48:O48)</f>
        <v>0</v>
      </c>
      <c r="Q48" s="124">
        <v>0</v>
      </c>
      <c r="R48" s="124">
        <v>0</v>
      </c>
      <c r="S48" s="124">
        <v>0</v>
      </c>
      <c r="T48" s="124">
        <v>0</v>
      </c>
      <c r="U48" s="124">
        <v>0</v>
      </c>
      <c r="V48" s="124">
        <v>0</v>
      </c>
      <c r="W48" s="124">
        <v>0</v>
      </c>
      <c r="X48" s="124">
        <v>0</v>
      </c>
      <c r="Y48" s="124">
        <v>0</v>
      </c>
      <c r="Z48" s="124">
        <v>0</v>
      </c>
      <c r="AA48" s="124">
        <v>0</v>
      </c>
      <c r="AB48" s="124">
        <v>0</v>
      </c>
      <c r="AC48" s="129">
        <f>SUM(Q48:AB48)</f>
        <v>0</v>
      </c>
      <c r="AD48" s="124">
        <f>AC48-P48</f>
        <v>0</v>
      </c>
      <c r="AE48" s="192" t="e">
        <f>AD48/AC48</f>
        <v>#DIV/0!</v>
      </c>
      <c r="AF48" s="332"/>
    </row>
    <row r="49" spans="1:32" s="109" customFormat="1" outlineLevel="1">
      <c r="C49" s="109" t="s">
        <v>471</v>
      </c>
      <c r="D49" s="142">
        <f>SUM(D47:D48)</f>
        <v>0</v>
      </c>
      <c r="E49" s="142">
        <f t="shared" ref="E49:AC49" si="10">SUM(E47:E48)</f>
        <v>0</v>
      </c>
      <c r="F49" s="142">
        <f t="shared" si="10"/>
        <v>0</v>
      </c>
      <c r="G49" s="142">
        <f t="shared" si="10"/>
        <v>0</v>
      </c>
      <c r="H49" s="142">
        <f t="shared" si="10"/>
        <v>0</v>
      </c>
      <c r="I49" s="142">
        <f t="shared" si="10"/>
        <v>0</v>
      </c>
      <c r="J49" s="142">
        <f t="shared" si="10"/>
        <v>0</v>
      </c>
      <c r="K49" s="142">
        <f t="shared" si="10"/>
        <v>0</v>
      </c>
      <c r="L49" s="142">
        <f t="shared" si="10"/>
        <v>0</v>
      </c>
      <c r="M49" s="142">
        <f t="shared" si="10"/>
        <v>0</v>
      </c>
      <c r="N49" s="142">
        <f t="shared" si="10"/>
        <v>0</v>
      </c>
      <c r="O49" s="142">
        <f t="shared" si="10"/>
        <v>0</v>
      </c>
      <c r="P49" s="142">
        <f t="shared" si="10"/>
        <v>0</v>
      </c>
      <c r="Q49" s="142">
        <f t="shared" si="10"/>
        <v>0</v>
      </c>
      <c r="R49" s="142">
        <f t="shared" si="10"/>
        <v>0</v>
      </c>
      <c r="S49" s="142">
        <f t="shared" si="10"/>
        <v>0</v>
      </c>
      <c r="T49" s="142">
        <f t="shared" si="10"/>
        <v>0</v>
      </c>
      <c r="U49" s="142">
        <f t="shared" si="10"/>
        <v>0</v>
      </c>
      <c r="V49" s="142">
        <f t="shared" si="10"/>
        <v>0</v>
      </c>
      <c r="W49" s="142">
        <f t="shared" si="10"/>
        <v>0</v>
      </c>
      <c r="X49" s="142">
        <f t="shared" si="10"/>
        <v>0</v>
      </c>
      <c r="Y49" s="142">
        <f>SUM(Y47:Y48)</f>
        <v>0</v>
      </c>
      <c r="Z49" s="142">
        <f>SUM(Z47:Z48)</f>
        <v>0</v>
      </c>
      <c r="AA49" s="142">
        <f>SUM(AA47:AA48)</f>
        <v>0</v>
      </c>
      <c r="AB49" s="142">
        <f>SUM(AB47:AB48)</f>
        <v>0</v>
      </c>
      <c r="AC49" s="142">
        <f t="shared" si="10"/>
        <v>0</v>
      </c>
      <c r="AD49" s="129">
        <f>AC49-P49</f>
        <v>0</v>
      </c>
      <c r="AE49" s="132" t="e">
        <f>AD49/AC49</f>
        <v>#DIV/0!</v>
      </c>
      <c r="AF49" s="332"/>
    </row>
    <row r="50" spans="1:32" outlineLevel="1">
      <c r="Q50" s="124"/>
      <c r="R50" s="124"/>
      <c r="S50" s="124"/>
      <c r="T50" s="124"/>
      <c r="U50" s="124"/>
      <c r="V50" s="124"/>
      <c r="W50" s="124"/>
      <c r="AF50" s="332"/>
    </row>
    <row r="51" spans="1:32" outlineLevel="1">
      <c r="A51" s="105" t="s">
        <v>870</v>
      </c>
      <c r="B51" s="105" t="s">
        <v>943</v>
      </c>
      <c r="C51" s="105" t="s">
        <v>260</v>
      </c>
      <c r="P51" s="142">
        <f>SUM(D51:O51)</f>
        <v>0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0</v>
      </c>
      <c r="AA51" s="124">
        <v>0</v>
      </c>
      <c r="AB51" s="124">
        <v>0</v>
      </c>
      <c r="AC51" s="129">
        <f>SUM(Q51:AB51)</f>
        <v>0</v>
      </c>
      <c r="AD51" s="124">
        <f t="shared" ref="AD51:AD56" si="11">AC51-P51</f>
        <v>0</v>
      </c>
      <c r="AE51" s="192" t="e">
        <f t="shared" ref="AE51:AE56" si="12">AD51/AC51</f>
        <v>#DIV/0!</v>
      </c>
      <c r="AF51" s="332"/>
    </row>
    <row r="52" spans="1:32" outlineLevel="1">
      <c r="A52" s="105" t="s">
        <v>120</v>
      </c>
      <c r="B52" s="105" t="s">
        <v>943</v>
      </c>
      <c r="C52" s="105" t="s">
        <v>261</v>
      </c>
      <c r="P52" s="142">
        <f>SUM(D52:O52)</f>
        <v>0</v>
      </c>
      <c r="Q52" s="124">
        <v>0</v>
      </c>
      <c r="R52" s="124">
        <v>0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  <c r="AC52" s="129">
        <f>SUM(Q52:AB52)</f>
        <v>0</v>
      </c>
      <c r="AD52" s="124">
        <f t="shared" si="11"/>
        <v>0</v>
      </c>
      <c r="AE52" s="192" t="e">
        <f t="shared" si="12"/>
        <v>#DIV/0!</v>
      </c>
      <c r="AF52" s="332"/>
    </row>
    <row r="53" spans="1:32" outlineLevel="1">
      <c r="A53" s="105" t="s">
        <v>871</v>
      </c>
      <c r="B53" s="105" t="s">
        <v>943</v>
      </c>
      <c r="C53" s="105" t="s">
        <v>262</v>
      </c>
      <c r="P53" s="142">
        <f>SUM(D53:O53)</f>
        <v>0</v>
      </c>
      <c r="Q53" s="124">
        <v>0</v>
      </c>
      <c r="R53" s="124">
        <v>0</v>
      </c>
      <c r="S53" s="124">
        <v>0</v>
      </c>
      <c r="T53" s="124">
        <v>0</v>
      </c>
      <c r="U53" s="124">
        <v>0</v>
      </c>
      <c r="V53" s="124">
        <v>0</v>
      </c>
      <c r="W53" s="124">
        <v>0</v>
      </c>
      <c r="X53" s="124">
        <v>0</v>
      </c>
      <c r="Y53" s="124">
        <v>0</v>
      </c>
      <c r="Z53" s="124">
        <v>0</v>
      </c>
      <c r="AA53" s="124">
        <v>0</v>
      </c>
      <c r="AB53" s="124">
        <v>0</v>
      </c>
      <c r="AC53" s="129">
        <f>SUM(Q53:AB53)</f>
        <v>0</v>
      </c>
      <c r="AD53" s="124">
        <f t="shared" si="11"/>
        <v>0</v>
      </c>
      <c r="AE53" s="192" t="e">
        <f t="shared" si="12"/>
        <v>#DIV/0!</v>
      </c>
      <c r="AF53" s="332"/>
    </row>
    <row r="54" spans="1:32" outlineLevel="1">
      <c r="A54" s="105" t="s">
        <v>872</v>
      </c>
      <c r="B54" s="105" t="s">
        <v>943</v>
      </c>
      <c r="C54" s="105" t="s">
        <v>263</v>
      </c>
      <c r="P54" s="142">
        <f>SUM(D54:O54)</f>
        <v>0</v>
      </c>
      <c r="Q54" s="124">
        <v>0</v>
      </c>
      <c r="R54" s="124">
        <v>0</v>
      </c>
      <c r="S54" s="124">
        <v>0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  <c r="AC54" s="129">
        <f>SUM(Q54:AB54)</f>
        <v>0</v>
      </c>
      <c r="AD54" s="124">
        <f t="shared" si="11"/>
        <v>0</v>
      </c>
      <c r="AE54" s="192" t="e">
        <f t="shared" si="12"/>
        <v>#DIV/0!</v>
      </c>
      <c r="AF54" s="332"/>
    </row>
    <row r="55" spans="1:32" outlineLevel="1">
      <c r="A55" s="105" t="s">
        <v>873</v>
      </c>
      <c r="B55" s="105" t="s">
        <v>943</v>
      </c>
      <c r="C55" s="105" t="s">
        <v>264</v>
      </c>
      <c r="P55" s="142">
        <f>SUM(D55:O55)</f>
        <v>0</v>
      </c>
      <c r="Q55" s="124">
        <v>0</v>
      </c>
      <c r="R55" s="124">
        <v>0</v>
      </c>
      <c r="S55" s="124">
        <v>0</v>
      </c>
      <c r="T55" s="124">
        <v>0</v>
      </c>
      <c r="U55" s="124">
        <v>0</v>
      </c>
      <c r="V55" s="124">
        <v>0</v>
      </c>
      <c r="W55" s="124">
        <v>0</v>
      </c>
      <c r="X55" s="124">
        <v>0</v>
      </c>
      <c r="Y55" s="124">
        <v>0</v>
      </c>
      <c r="Z55" s="124">
        <v>0</v>
      </c>
      <c r="AA55" s="124">
        <v>0</v>
      </c>
      <c r="AB55" s="124">
        <v>0</v>
      </c>
      <c r="AC55" s="129">
        <f>SUM(Q55:AB55)</f>
        <v>0</v>
      </c>
      <c r="AD55" s="124">
        <f t="shared" si="11"/>
        <v>0</v>
      </c>
      <c r="AE55" s="192" t="e">
        <f t="shared" si="12"/>
        <v>#DIV/0!</v>
      </c>
      <c r="AF55" s="332"/>
    </row>
    <row r="56" spans="1:32" s="109" customFormat="1" outlineLevel="1">
      <c r="C56" s="109" t="s">
        <v>265</v>
      </c>
      <c r="D56" s="142">
        <f>SUM(D51:D55)</f>
        <v>0</v>
      </c>
      <c r="E56" s="142">
        <f t="shared" ref="E56:AC56" si="13">SUM(E51:E55)</f>
        <v>0</v>
      </c>
      <c r="F56" s="142">
        <f t="shared" si="13"/>
        <v>0</v>
      </c>
      <c r="G56" s="142">
        <f t="shared" si="13"/>
        <v>0</v>
      </c>
      <c r="H56" s="142">
        <f t="shared" si="13"/>
        <v>0</v>
      </c>
      <c r="I56" s="142">
        <f t="shared" si="13"/>
        <v>0</v>
      </c>
      <c r="J56" s="142">
        <f t="shared" si="13"/>
        <v>0</v>
      </c>
      <c r="K56" s="142">
        <f t="shared" si="13"/>
        <v>0</v>
      </c>
      <c r="L56" s="142">
        <f t="shared" si="13"/>
        <v>0</v>
      </c>
      <c r="M56" s="142">
        <f t="shared" si="13"/>
        <v>0</v>
      </c>
      <c r="N56" s="142">
        <f t="shared" si="13"/>
        <v>0</v>
      </c>
      <c r="O56" s="142">
        <f t="shared" si="13"/>
        <v>0</v>
      </c>
      <c r="P56" s="142">
        <f t="shared" si="13"/>
        <v>0</v>
      </c>
      <c r="Q56" s="142">
        <f t="shared" si="13"/>
        <v>0</v>
      </c>
      <c r="R56" s="142">
        <f t="shared" si="13"/>
        <v>0</v>
      </c>
      <c r="S56" s="142">
        <f t="shared" si="13"/>
        <v>0</v>
      </c>
      <c r="T56" s="142">
        <f t="shared" si="13"/>
        <v>0</v>
      </c>
      <c r="U56" s="142">
        <f t="shared" si="13"/>
        <v>0</v>
      </c>
      <c r="V56" s="142">
        <f t="shared" si="13"/>
        <v>0</v>
      </c>
      <c r="W56" s="142">
        <f t="shared" si="13"/>
        <v>0</v>
      </c>
      <c r="X56" s="142">
        <f t="shared" si="13"/>
        <v>0</v>
      </c>
      <c r="Y56" s="142">
        <f>SUM(Y51:Y55)</f>
        <v>0</v>
      </c>
      <c r="Z56" s="142">
        <f>SUM(Z51:Z55)</f>
        <v>0</v>
      </c>
      <c r="AA56" s="142">
        <f>SUM(AA51:AA55)</f>
        <v>0</v>
      </c>
      <c r="AB56" s="142">
        <f>SUM(AB51:AB55)</f>
        <v>0</v>
      </c>
      <c r="AC56" s="142">
        <f t="shared" si="13"/>
        <v>0</v>
      </c>
      <c r="AD56" s="129">
        <f t="shared" si="11"/>
        <v>0</v>
      </c>
      <c r="AE56" s="132" t="e">
        <f t="shared" si="12"/>
        <v>#DIV/0!</v>
      </c>
      <c r="AF56" s="332"/>
    </row>
    <row r="57" spans="1:32" outlineLevel="1">
      <c r="C57" s="105" t="s">
        <v>154</v>
      </c>
      <c r="Q57" s="124"/>
      <c r="R57" s="124"/>
      <c r="S57" s="124"/>
      <c r="T57" s="124"/>
      <c r="U57" s="124"/>
      <c r="V57" s="124"/>
      <c r="W57" s="124"/>
      <c r="AF57" s="332"/>
    </row>
    <row r="58" spans="1:32" outlineLevel="1">
      <c r="A58" s="105" t="s">
        <v>874</v>
      </c>
      <c r="B58" s="105" t="s">
        <v>943</v>
      </c>
      <c r="C58" s="105" t="s">
        <v>266</v>
      </c>
      <c r="P58" s="142">
        <f t="shared" ref="P58:P65" si="14">SUM(D58:O58)</f>
        <v>0</v>
      </c>
      <c r="Q58" s="124">
        <v>0</v>
      </c>
      <c r="R58" s="124">
        <v>0</v>
      </c>
      <c r="S58" s="124">
        <v>0</v>
      </c>
      <c r="T58" s="124">
        <v>0</v>
      </c>
      <c r="U58" s="124">
        <v>0</v>
      </c>
      <c r="V58" s="124">
        <v>0</v>
      </c>
      <c r="W58" s="124">
        <v>0</v>
      </c>
      <c r="X58" s="124">
        <v>0</v>
      </c>
      <c r="Y58" s="124">
        <v>0</v>
      </c>
      <c r="Z58" s="124">
        <v>0</v>
      </c>
      <c r="AA58" s="124">
        <v>0</v>
      </c>
      <c r="AB58" s="124">
        <v>0</v>
      </c>
      <c r="AC58" s="129">
        <f t="shared" ref="AC58:AC65" si="15">SUM(Q58:AB58)</f>
        <v>0</v>
      </c>
      <c r="AD58" s="124">
        <f t="shared" ref="AD58:AD66" si="16">AC58-P58</f>
        <v>0</v>
      </c>
      <c r="AE58" s="192" t="e">
        <f t="shared" ref="AE58:AE66" si="17">AD58/AC58</f>
        <v>#DIV/0!</v>
      </c>
      <c r="AF58" s="332"/>
    </row>
    <row r="59" spans="1:32" outlineLevel="1">
      <c r="A59" s="105" t="s">
        <v>875</v>
      </c>
      <c r="B59" s="105" t="s">
        <v>943</v>
      </c>
      <c r="C59" s="105" t="s">
        <v>267</v>
      </c>
      <c r="P59" s="142">
        <f t="shared" si="14"/>
        <v>0</v>
      </c>
      <c r="Q59" s="124">
        <v>0</v>
      </c>
      <c r="R59" s="124">
        <v>0</v>
      </c>
      <c r="S59" s="124">
        <v>0</v>
      </c>
      <c r="T59" s="124">
        <v>0</v>
      </c>
      <c r="U59" s="124">
        <v>0</v>
      </c>
      <c r="V59" s="124">
        <v>0</v>
      </c>
      <c r="W59" s="124">
        <v>0</v>
      </c>
      <c r="X59" s="124">
        <v>0</v>
      </c>
      <c r="Y59" s="124">
        <v>0</v>
      </c>
      <c r="Z59" s="124">
        <v>0</v>
      </c>
      <c r="AA59" s="124">
        <v>0</v>
      </c>
      <c r="AB59" s="124">
        <v>0</v>
      </c>
      <c r="AC59" s="129">
        <f t="shared" si="15"/>
        <v>0</v>
      </c>
      <c r="AD59" s="124">
        <f t="shared" si="16"/>
        <v>0</v>
      </c>
      <c r="AE59" s="192" t="e">
        <f t="shared" si="17"/>
        <v>#DIV/0!</v>
      </c>
      <c r="AF59" s="332"/>
    </row>
    <row r="60" spans="1:32" outlineLevel="1">
      <c r="A60" s="105" t="s">
        <v>876</v>
      </c>
      <c r="B60" s="105" t="s">
        <v>943</v>
      </c>
      <c r="C60" s="105" t="s">
        <v>268</v>
      </c>
      <c r="P60" s="142">
        <f t="shared" si="14"/>
        <v>0</v>
      </c>
      <c r="Q60" s="124">
        <v>0</v>
      </c>
      <c r="R60" s="124">
        <v>0</v>
      </c>
      <c r="S60" s="124">
        <v>0</v>
      </c>
      <c r="T60" s="124">
        <v>0</v>
      </c>
      <c r="U60" s="124">
        <v>0</v>
      </c>
      <c r="V60" s="124">
        <v>0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  <c r="AC60" s="129">
        <f t="shared" si="15"/>
        <v>0</v>
      </c>
      <c r="AD60" s="124">
        <f t="shared" si="16"/>
        <v>0</v>
      </c>
      <c r="AE60" s="192" t="e">
        <f t="shared" si="17"/>
        <v>#DIV/0!</v>
      </c>
      <c r="AF60" s="332"/>
    </row>
    <row r="61" spans="1:32" outlineLevel="1">
      <c r="A61" s="105" t="s">
        <v>877</v>
      </c>
      <c r="B61" s="105" t="s">
        <v>943</v>
      </c>
      <c r="C61" s="105" t="s">
        <v>269</v>
      </c>
      <c r="P61" s="142">
        <f t="shared" si="14"/>
        <v>0</v>
      </c>
      <c r="Q61" s="124">
        <v>0</v>
      </c>
      <c r="R61" s="124">
        <v>0</v>
      </c>
      <c r="S61" s="124">
        <v>0</v>
      </c>
      <c r="T61" s="124">
        <v>0</v>
      </c>
      <c r="U61" s="124">
        <v>0</v>
      </c>
      <c r="V61" s="124">
        <v>0</v>
      </c>
      <c r="W61" s="124">
        <v>0</v>
      </c>
      <c r="X61" s="124">
        <v>0</v>
      </c>
      <c r="Y61" s="124">
        <v>0</v>
      </c>
      <c r="Z61" s="124">
        <v>0</v>
      </c>
      <c r="AA61" s="124">
        <v>0</v>
      </c>
      <c r="AB61" s="124">
        <v>0</v>
      </c>
      <c r="AC61" s="129">
        <f t="shared" si="15"/>
        <v>0</v>
      </c>
      <c r="AD61" s="124">
        <f t="shared" si="16"/>
        <v>0</v>
      </c>
      <c r="AE61" s="192" t="e">
        <f t="shared" si="17"/>
        <v>#DIV/0!</v>
      </c>
      <c r="AF61" s="332"/>
    </row>
    <row r="62" spans="1:32" outlineLevel="1">
      <c r="A62" s="105" t="s">
        <v>878</v>
      </c>
      <c r="B62" s="105" t="s">
        <v>943</v>
      </c>
      <c r="C62" s="105" t="s">
        <v>270</v>
      </c>
      <c r="P62" s="142">
        <f t="shared" si="14"/>
        <v>0</v>
      </c>
      <c r="Q62" s="124">
        <v>0</v>
      </c>
      <c r="R62" s="124">
        <v>0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9">
        <f t="shared" si="15"/>
        <v>0</v>
      </c>
      <c r="AD62" s="124">
        <f t="shared" si="16"/>
        <v>0</v>
      </c>
      <c r="AE62" s="192" t="e">
        <f t="shared" si="17"/>
        <v>#DIV/0!</v>
      </c>
      <c r="AF62" s="332"/>
    </row>
    <row r="63" spans="1:32" outlineLevel="1">
      <c r="A63" s="105" t="s">
        <v>879</v>
      </c>
      <c r="B63" s="105" t="s">
        <v>943</v>
      </c>
      <c r="C63" s="105" t="s">
        <v>271</v>
      </c>
      <c r="P63" s="142">
        <f t="shared" si="14"/>
        <v>0</v>
      </c>
      <c r="Q63" s="124">
        <v>0</v>
      </c>
      <c r="R63" s="124">
        <v>0</v>
      </c>
      <c r="S63" s="124">
        <v>0</v>
      </c>
      <c r="T63" s="124">
        <v>0</v>
      </c>
      <c r="U63" s="124">
        <v>0</v>
      </c>
      <c r="V63" s="124">
        <v>0</v>
      </c>
      <c r="W63" s="124">
        <v>0</v>
      </c>
      <c r="X63" s="124">
        <v>0</v>
      </c>
      <c r="Y63" s="124">
        <v>0</v>
      </c>
      <c r="Z63" s="124">
        <v>0</v>
      </c>
      <c r="AA63" s="124">
        <v>0</v>
      </c>
      <c r="AB63" s="124">
        <v>0</v>
      </c>
      <c r="AC63" s="129">
        <f t="shared" si="15"/>
        <v>0</v>
      </c>
      <c r="AD63" s="124">
        <f t="shared" si="16"/>
        <v>0</v>
      </c>
      <c r="AE63" s="192" t="e">
        <f t="shared" si="17"/>
        <v>#DIV/0!</v>
      </c>
      <c r="AF63" s="332"/>
    </row>
    <row r="64" spans="1:32" outlineLevel="1">
      <c r="A64" s="105" t="s">
        <v>880</v>
      </c>
      <c r="B64" s="105" t="s">
        <v>943</v>
      </c>
      <c r="C64" s="105" t="s">
        <v>272</v>
      </c>
      <c r="P64" s="142">
        <f t="shared" si="14"/>
        <v>0</v>
      </c>
      <c r="Q64" s="124">
        <v>0</v>
      </c>
      <c r="R64" s="124">
        <v>0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9">
        <f t="shared" si="15"/>
        <v>0</v>
      </c>
      <c r="AD64" s="124">
        <f t="shared" si="16"/>
        <v>0</v>
      </c>
      <c r="AE64" s="192" t="e">
        <f t="shared" si="17"/>
        <v>#DIV/0!</v>
      </c>
      <c r="AF64" s="332"/>
    </row>
    <row r="65" spans="1:32" outlineLevel="1">
      <c r="A65" s="105" t="s">
        <v>587</v>
      </c>
      <c r="C65" s="105" t="s">
        <v>274</v>
      </c>
      <c r="D65" s="141" t="s">
        <v>372</v>
      </c>
      <c r="E65" s="141" t="s">
        <v>372</v>
      </c>
      <c r="F65" s="141" t="s">
        <v>372</v>
      </c>
      <c r="G65" s="141" t="s">
        <v>372</v>
      </c>
      <c r="H65" s="141" t="s">
        <v>372</v>
      </c>
      <c r="I65" s="141" t="s">
        <v>372</v>
      </c>
      <c r="J65" s="141" t="s">
        <v>372</v>
      </c>
      <c r="K65" s="141" t="s">
        <v>372</v>
      </c>
      <c r="L65" s="141" t="s">
        <v>372</v>
      </c>
      <c r="M65" s="141" t="s">
        <v>372</v>
      </c>
      <c r="N65" s="141" t="s">
        <v>372</v>
      </c>
      <c r="O65" s="141" t="s">
        <v>372</v>
      </c>
      <c r="P65" s="142">
        <f t="shared" si="14"/>
        <v>0</v>
      </c>
      <c r="Q65" s="124"/>
      <c r="R65" s="124"/>
      <c r="S65" s="124"/>
      <c r="T65" s="124"/>
      <c r="U65" s="124"/>
      <c r="V65" s="124"/>
      <c r="W65" s="124"/>
      <c r="AC65" s="129">
        <f t="shared" si="15"/>
        <v>0</v>
      </c>
      <c r="AD65" s="124">
        <f t="shared" si="16"/>
        <v>0</v>
      </c>
      <c r="AF65" s="332"/>
    </row>
    <row r="66" spans="1:32" s="109" customFormat="1" outlineLevel="1">
      <c r="C66" s="109" t="s">
        <v>275</v>
      </c>
      <c r="D66" s="142">
        <f>SUM(D58:D65)</f>
        <v>0</v>
      </c>
      <c r="E66" s="142">
        <f t="shared" ref="E66:AC66" si="18">SUM(E58:E65)</f>
        <v>0</v>
      </c>
      <c r="F66" s="142">
        <f t="shared" si="18"/>
        <v>0</v>
      </c>
      <c r="G66" s="142">
        <f t="shared" si="18"/>
        <v>0</v>
      </c>
      <c r="H66" s="142">
        <f t="shared" si="18"/>
        <v>0</v>
      </c>
      <c r="I66" s="142">
        <f t="shared" si="18"/>
        <v>0</v>
      </c>
      <c r="J66" s="142">
        <f t="shared" si="18"/>
        <v>0</v>
      </c>
      <c r="K66" s="142">
        <f t="shared" si="18"/>
        <v>0</v>
      </c>
      <c r="L66" s="142">
        <f t="shared" si="18"/>
        <v>0</v>
      </c>
      <c r="M66" s="142">
        <f t="shared" si="18"/>
        <v>0</v>
      </c>
      <c r="N66" s="142">
        <f t="shared" si="18"/>
        <v>0</v>
      </c>
      <c r="O66" s="142">
        <f t="shared" si="18"/>
        <v>0</v>
      </c>
      <c r="P66" s="142">
        <f t="shared" si="18"/>
        <v>0</v>
      </c>
      <c r="Q66" s="142">
        <f t="shared" si="18"/>
        <v>0</v>
      </c>
      <c r="R66" s="142">
        <f t="shared" si="18"/>
        <v>0</v>
      </c>
      <c r="S66" s="142">
        <f t="shared" si="18"/>
        <v>0</v>
      </c>
      <c r="T66" s="142">
        <f t="shared" si="18"/>
        <v>0</v>
      </c>
      <c r="U66" s="142">
        <f t="shared" si="18"/>
        <v>0</v>
      </c>
      <c r="V66" s="142">
        <f t="shared" si="18"/>
        <v>0</v>
      </c>
      <c r="W66" s="142">
        <f t="shared" si="18"/>
        <v>0</v>
      </c>
      <c r="X66" s="142">
        <f t="shared" si="18"/>
        <v>0</v>
      </c>
      <c r="Y66" s="142">
        <f>SUM(Y58:Y65)</f>
        <v>0</v>
      </c>
      <c r="Z66" s="142">
        <f>SUM(Z58:Z65)</f>
        <v>0</v>
      </c>
      <c r="AA66" s="142">
        <f>SUM(AA58:AA65)</f>
        <v>0</v>
      </c>
      <c r="AB66" s="142">
        <f>SUM(AB58:AB65)</f>
        <v>0</v>
      </c>
      <c r="AC66" s="142">
        <f t="shared" si="18"/>
        <v>0</v>
      </c>
      <c r="AD66" s="129">
        <f t="shared" si="16"/>
        <v>0</v>
      </c>
      <c r="AE66" s="132" t="e">
        <f t="shared" si="17"/>
        <v>#DIV/0!</v>
      </c>
      <c r="AF66" s="332"/>
    </row>
    <row r="67" spans="1:32" outlineLevel="1">
      <c r="C67" s="105" t="s">
        <v>154</v>
      </c>
      <c r="Q67" s="124"/>
      <c r="R67" s="124"/>
      <c r="S67" s="124"/>
      <c r="T67" s="124"/>
      <c r="U67" s="124"/>
      <c r="V67" s="124"/>
      <c r="W67" s="124"/>
      <c r="AF67" s="332"/>
    </row>
    <row r="68" spans="1:32" outlineLevel="1">
      <c r="A68" s="105" t="s">
        <v>131</v>
      </c>
      <c r="B68" s="105" t="s">
        <v>943</v>
      </c>
      <c r="C68" s="105" t="s">
        <v>276</v>
      </c>
      <c r="D68" s="141">
        <v>0</v>
      </c>
      <c r="E68" s="141">
        <v>0</v>
      </c>
      <c r="F68" s="141">
        <v>0</v>
      </c>
      <c r="G68" s="141">
        <v>0</v>
      </c>
      <c r="H68" s="141">
        <v>0</v>
      </c>
      <c r="I68" s="141">
        <v>0</v>
      </c>
      <c r="J68" s="141">
        <v>0</v>
      </c>
      <c r="K68" s="141">
        <v>0</v>
      </c>
      <c r="L68" s="141">
        <v>0</v>
      </c>
      <c r="M68" s="141">
        <v>0</v>
      </c>
      <c r="N68" s="141">
        <v>0</v>
      </c>
      <c r="O68" s="141">
        <v>0</v>
      </c>
      <c r="P68" s="142">
        <f t="shared" ref="P68:P76" si="19">SUM(D68:O68)</f>
        <v>0</v>
      </c>
      <c r="Q68" s="124"/>
      <c r="R68" s="124"/>
      <c r="S68" s="124"/>
      <c r="T68" s="124"/>
      <c r="U68" s="124"/>
      <c r="V68" s="124"/>
      <c r="W68" s="124"/>
      <c r="AC68" s="129">
        <f t="shared" ref="AC68:AC76" si="20">SUM(Q68:AB68)</f>
        <v>0</v>
      </c>
      <c r="AD68" s="124">
        <f t="shared" ref="AD68:AD80" si="21">AC68-P68</f>
        <v>0</v>
      </c>
      <c r="AF68" s="332"/>
    </row>
    <row r="69" spans="1:32" outlineLevel="1">
      <c r="A69" s="105" t="s">
        <v>132</v>
      </c>
      <c r="B69" s="105" t="s">
        <v>943</v>
      </c>
      <c r="C69" s="105" t="s">
        <v>277</v>
      </c>
      <c r="D69" s="141">
        <v>0</v>
      </c>
      <c r="E69" s="141">
        <v>0</v>
      </c>
      <c r="F69" s="141">
        <v>0</v>
      </c>
      <c r="G69" s="141">
        <v>0</v>
      </c>
      <c r="H69" s="141">
        <v>0</v>
      </c>
      <c r="I69" s="141">
        <v>0</v>
      </c>
      <c r="J69" s="141">
        <v>0</v>
      </c>
      <c r="K69" s="141">
        <v>0</v>
      </c>
      <c r="L69" s="141">
        <v>0</v>
      </c>
      <c r="M69" s="141">
        <v>0</v>
      </c>
      <c r="N69" s="141">
        <v>0</v>
      </c>
      <c r="O69" s="141">
        <v>0</v>
      </c>
      <c r="P69" s="142">
        <f t="shared" si="19"/>
        <v>0</v>
      </c>
      <c r="Q69" s="124"/>
      <c r="R69" s="124"/>
      <c r="S69" s="124"/>
      <c r="T69" s="124"/>
      <c r="U69" s="124"/>
      <c r="V69" s="124"/>
      <c r="W69" s="124"/>
      <c r="AC69" s="129">
        <f t="shared" si="20"/>
        <v>0</v>
      </c>
      <c r="AD69" s="124">
        <f t="shared" si="21"/>
        <v>0</v>
      </c>
      <c r="AF69" s="332"/>
    </row>
    <row r="70" spans="1:32" outlineLevel="1">
      <c r="A70" s="105" t="s">
        <v>133</v>
      </c>
      <c r="B70" s="105" t="s">
        <v>943</v>
      </c>
      <c r="C70" s="105" t="s">
        <v>278</v>
      </c>
      <c r="D70" s="141">
        <v>0</v>
      </c>
      <c r="E70" s="141">
        <v>0</v>
      </c>
      <c r="F70" s="141">
        <v>0</v>
      </c>
      <c r="G70" s="141">
        <v>0</v>
      </c>
      <c r="H70" s="141">
        <v>0</v>
      </c>
      <c r="I70" s="141">
        <v>0</v>
      </c>
      <c r="J70" s="141">
        <v>0</v>
      </c>
      <c r="K70" s="141">
        <v>0</v>
      </c>
      <c r="L70" s="141">
        <v>0</v>
      </c>
      <c r="M70" s="141">
        <v>0</v>
      </c>
      <c r="N70" s="141">
        <v>0</v>
      </c>
      <c r="O70" s="141">
        <v>0</v>
      </c>
      <c r="P70" s="142">
        <f t="shared" si="19"/>
        <v>0</v>
      </c>
      <c r="Q70" s="124"/>
      <c r="R70" s="124"/>
      <c r="S70" s="124"/>
      <c r="T70" s="124"/>
      <c r="U70" s="124"/>
      <c r="V70" s="124"/>
      <c r="W70" s="124"/>
      <c r="AC70" s="129">
        <f t="shared" si="20"/>
        <v>0</v>
      </c>
      <c r="AD70" s="124">
        <f t="shared" si="21"/>
        <v>0</v>
      </c>
      <c r="AF70" s="332"/>
    </row>
    <row r="71" spans="1:32" outlineLevel="1">
      <c r="A71" s="105" t="s">
        <v>134</v>
      </c>
      <c r="B71" s="105" t="s">
        <v>943</v>
      </c>
      <c r="C71" s="105" t="s">
        <v>279</v>
      </c>
      <c r="P71" s="142">
        <f t="shared" si="19"/>
        <v>0</v>
      </c>
      <c r="Q71" s="124">
        <v>0</v>
      </c>
      <c r="R71" s="124">
        <v>0</v>
      </c>
      <c r="S71" s="124">
        <v>0</v>
      </c>
      <c r="T71" s="124">
        <v>0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  <c r="AC71" s="129">
        <f t="shared" si="20"/>
        <v>0</v>
      </c>
      <c r="AD71" s="124">
        <f t="shared" si="21"/>
        <v>0</v>
      </c>
      <c r="AE71" s="192" t="e">
        <f t="shared" ref="AE71:AE78" si="22">AD71/AC71</f>
        <v>#DIV/0!</v>
      </c>
      <c r="AF71" s="332"/>
    </row>
    <row r="72" spans="1:32" outlineLevel="1">
      <c r="A72" s="105" t="s">
        <v>135</v>
      </c>
      <c r="B72" s="105" t="s">
        <v>943</v>
      </c>
      <c r="C72" s="105" t="s">
        <v>280</v>
      </c>
      <c r="P72" s="142">
        <f t="shared" si="19"/>
        <v>0</v>
      </c>
      <c r="Q72" s="124">
        <v>0</v>
      </c>
      <c r="R72" s="124">
        <v>0</v>
      </c>
      <c r="S72" s="124">
        <v>0</v>
      </c>
      <c r="T72" s="124">
        <v>0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  <c r="AC72" s="129">
        <f t="shared" si="20"/>
        <v>0</v>
      </c>
      <c r="AD72" s="124">
        <f t="shared" si="21"/>
        <v>0</v>
      </c>
      <c r="AE72" s="192" t="e">
        <f t="shared" si="22"/>
        <v>#DIV/0!</v>
      </c>
      <c r="AF72" s="332"/>
    </row>
    <row r="73" spans="1:32" outlineLevel="1">
      <c r="A73" s="105" t="s">
        <v>281</v>
      </c>
      <c r="B73" s="105" t="s">
        <v>943</v>
      </c>
      <c r="C73" s="105" t="s">
        <v>282</v>
      </c>
      <c r="P73" s="142">
        <f t="shared" si="19"/>
        <v>0</v>
      </c>
      <c r="Q73" s="124">
        <v>0</v>
      </c>
      <c r="R73" s="124">
        <v>0</v>
      </c>
      <c r="S73" s="124">
        <v>0</v>
      </c>
      <c r="T73" s="124">
        <v>0</v>
      </c>
      <c r="U73" s="124">
        <v>0</v>
      </c>
      <c r="V73" s="124">
        <v>0</v>
      </c>
      <c r="W73" s="124">
        <v>0</v>
      </c>
      <c r="X73" s="124">
        <v>0</v>
      </c>
      <c r="Y73" s="124">
        <v>0</v>
      </c>
      <c r="Z73" s="124">
        <v>0</v>
      </c>
      <c r="AA73" s="124">
        <v>0</v>
      </c>
      <c r="AB73" s="124">
        <v>0</v>
      </c>
      <c r="AC73" s="129">
        <f t="shared" si="20"/>
        <v>0</v>
      </c>
      <c r="AD73" s="124">
        <f t="shared" si="21"/>
        <v>0</v>
      </c>
      <c r="AE73" s="192" t="e">
        <f t="shared" si="22"/>
        <v>#DIV/0!</v>
      </c>
      <c r="AF73" s="332"/>
    </row>
    <row r="74" spans="1:32" outlineLevel="1">
      <c r="A74" s="105" t="s">
        <v>137</v>
      </c>
      <c r="B74" s="105" t="s">
        <v>943</v>
      </c>
      <c r="C74" s="105" t="s">
        <v>283</v>
      </c>
      <c r="P74" s="142">
        <f t="shared" si="19"/>
        <v>0</v>
      </c>
      <c r="Q74" s="124">
        <v>0</v>
      </c>
      <c r="R74" s="124">
        <v>0</v>
      </c>
      <c r="S74" s="124">
        <v>0</v>
      </c>
      <c r="T74" s="124">
        <v>0</v>
      </c>
      <c r="U74" s="124">
        <v>0</v>
      </c>
      <c r="V74" s="124">
        <v>0</v>
      </c>
      <c r="W74" s="124">
        <v>0</v>
      </c>
      <c r="X74" s="124">
        <v>0</v>
      </c>
      <c r="Y74" s="124">
        <v>0</v>
      </c>
      <c r="Z74" s="124">
        <v>0</v>
      </c>
      <c r="AA74" s="124">
        <v>0</v>
      </c>
      <c r="AB74" s="124">
        <v>0</v>
      </c>
      <c r="AC74" s="129">
        <f t="shared" si="20"/>
        <v>0</v>
      </c>
      <c r="AD74" s="124">
        <f t="shared" si="21"/>
        <v>0</v>
      </c>
      <c r="AE74" s="192" t="e">
        <f t="shared" si="22"/>
        <v>#DIV/0!</v>
      </c>
      <c r="AF74" s="332"/>
    </row>
    <row r="75" spans="1:32" outlineLevel="1">
      <c r="A75" s="105" t="s">
        <v>138</v>
      </c>
      <c r="B75" s="105" t="s">
        <v>943</v>
      </c>
      <c r="C75" s="105" t="s">
        <v>881</v>
      </c>
      <c r="P75" s="142">
        <f t="shared" si="19"/>
        <v>0</v>
      </c>
      <c r="Q75" s="124"/>
      <c r="R75" s="124"/>
      <c r="S75" s="124"/>
      <c r="T75" s="124"/>
      <c r="U75" s="124"/>
      <c r="V75" s="124"/>
      <c r="W75" s="124"/>
      <c r="AC75" s="129">
        <f t="shared" si="20"/>
        <v>0</v>
      </c>
      <c r="AF75" s="332"/>
    </row>
    <row r="76" spans="1:32" outlineLevel="1">
      <c r="A76" s="105" t="s">
        <v>140</v>
      </c>
      <c r="B76" s="105" t="s">
        <v>943</v>
      </c>
      <c r="C76" s="105" t="s">
        <v>882</v>
      </c>
      <c r="P76" s="142">
        <f t="shared" si="19"/>
        <v>0</v>
      </c>
      <c r="Q76" s="124"/>
      <c r="R76" s="124"/>
      <c r="S76" s="124"/>
      <c r="T76" s="124"/>
      <c r="U76" s="124"/>
      <c r="V76" s="124"/>
      <c r="W76" s="124"/>
      <c r="AC76" s="129">
        <f t="shared" si="20"/>
        <v>0</v>
      </c>
      <c r="AF76" s="332"/>
    </row>
    <row r="77" spans="1:32" s="109" customFormat="1" outlineLevel="1">
      <c r="C77" s="109" t="s">
        <v>286</v>
      </c>
      <c r="D77" s="142">
        <f>SUM(D68:D74)</f>
        <v>0</v>
      </c>
      <c r="E77" s="142">
        <f t="shared" ref="E77:AC77" si="23">SUM(E68:E74)</f>
        <v>0</v>
      </c>
      <c r="F77" s="142">
        <f t="shared" si="23"/>
        <v>0</v>
      </c>
      <c r="G77" s="142">
        <f t="shared" si="23"/>
        <v>0</v>
      </c>
      <c r="H77" s="142">
        <f t="shared" si="23"/>
        <v>0</v>
      </c>
      <c r="I77" s="142">
        <f t="shared" si="23"/>
        <v>0</v>
      </c>
      <c r="J77" s="142">
        <f t="shared" si="23"/>
        <v>0</v>
      </c>
      <c r="K77" s="142">
        <f t="shared" si="23"/>
        <v>0</v>
      </c>
      <c r="L77" s="142">
        <f t="shared" si="23"/>
        <v>0</v>
      </c>
      <c r="M77" s="142">
        <f t="shared" si="23"/>
        <v>0</v>
      </c>
      <c r="N77" s="142">
        <f t="shared" si="23"/>
        <v>0</v>
      </c>
      <c r="O77" s="142">
        <f t="shared" si="23"/>
        <v>0</v>
      </c>
      <c r="P77" s="142">
        <f t="shared" si="23"/>
        <v>0</v>
      </c>
      <c r="Q77" s="142">
        <f t="shared" si="23"/>
        <v>0</v>
      </c>
      <c r="R77" s="142">
        <f t="shared" si="23"/>
        <v>0</v>
      </c>
      <c r="S77" s="142">
        <f t="shared" si="23"/>
        <v>0</v>
      </c>
      <c r="T77" s="142">
        <f t="shared" si="23"/>
        <v>0</v>
      </c>
      <c r="U77" s="142">
        <f t="shared" si="23"/>
        <v>0</v>
      </c>
      <c r="V77" s="142">
        <f t="shared" si="23"/>
        <v>0</v>
      </c>
      <c r="W77" s="142">
        <f t="shared" si="23"/>
        <v>0</v>
      </c>
      <c r="X77" s="142">
        <f t="shared" si="23"/>
        <v>0</v>
      </c>
      <c r="Y77" s="142">
        <f>SUM(Y68:Y74)</f>
        <v>0</v>
      </c>
      <c r="Z77" s="142">
        <f>SUM(Z68:Z74)</f>
        <v>0</v>
      </c>
      <c r="AA77" s="142">
        <f>SUM(AA68:AA74)</f>
        <v>0</v>
      </c>
      <c r="AB77" s="142">
        <f>SUM(AB68:AB74)</f>
        <v>0</v>
      </c>
      <c r="AC77" s="142">
        <f t="shared" si="23"/>
        <v>0</v>
      </c>
      <c r="AD77" s="129">
        <f t="shared" si="21"/>
        <v>0</v>
      </c>
      <c r="AE77" s="132" t="e">
        <f t="shared" si="22"/>
        <v>#DIV/0!</v>
      </c>
      <c r="AF77" s="332"/>
    </row>
    <row r="78" spans="1:32" s="109" customFormat="1" outlineLevel="1">
      <c r="C78" s="109" t="s">
        <v>287</v>
      </c>
      <c r="D78" s="142">
        <f>D77+D66+D56+D49</f>
        <v>0</v>
      </c>
      <c r="E78" s="142">
        <f t="shared" ref="E78:AC78" si="24">E77+E66+E56+E49</f>
        <v>0</v>
      </c>
      <c r="F78" s="142">
        <f t="shared" si="24"/>
        <v>0</v>
      </c>
      <c r="G78" s="142">
        <f t="shared" si="24"/>
        <v>0</v>
      </c>
      <c r="H78" s="142">
        <f t="shared" si="24"/>
        <v>0</v>
      </c>
      <c r="I78" s="142">
        <f t="shared" si="24"/>
        <v>0</v>
      </c>
      <c r="J78" s="142">
        <f t="shared" si="24"/>
        <v>0</v>
      </c>
      <c r="K78" s="142">
        <f t="shared" si="24"/>
        <v>0</v>
      </c>
      <c r="L78" s="142">
        <f t="shared" si="24"/>
        <v>0</v>
      </c>
      <c r="M78" s="142">
        <f t="shared" si="24"/>
        <v>0</v>
      </c>
      <c r="N78" s="142">
        <f t="shared" si="24"/>
        <v>0</v>
      </c>
      <c r="O78" s="142">
        <f t="shared" si="24"/>
        <v>0</v>
      </c>
      <c r="P78" s="142">
        <f>P77+P66+P56+P49</f>
        <v>0</v>
      </c>
      <c r="Q78" s="142">
        <f t="shared" ref="Q78:W78" si="25">Q77+Q66+Q56+Q49</f>
        <v>0</v>
      </c>
      <c r="R78" s="142">
        <f t="shared" si="25"/>
        <v>0</v>
      </c>
      <c r="S78" s="142">
        <f t="shared" si="25"/>
        <v>0</v>
      </c>
      <c r="T78" s="142">
        <f t="shared" si="25"/>
        <v>0</v>
      </c>
      <c r="U78" s="142">
        <f t="shared" si="25"/>
        <v>0</v>
      </c>
      <c r="V78" s="142">
        <f t="shared" si="25"/>
        <v>0</v>
      </c>
      <c r="W78" s="142">
        <f t="shared" si="25"/>
        <v>0</v>
      </c>
      <c r="X78" s="142">
        <f t="shared" si="24"/>
        <v>0</v>
      </c>
      <c r="Y78" s="142">
        <f>Y77+Y66+Y56+Y49</f>
        <v>0</v>
      </c>
      <c r="Z78" s="142">
        <f>Z77+Z66+Z56+Z49</f>
        <v>0</v>
      </c>
      <c r="AA78" s="142">
        <f>AA77+AA66+AA56+AA49</f>
        <v>0</v>
      </c>
      <c r="AB78" s="142">
        <f>AB77+AB66+AB56+AB49</f>
        <v>0</v>
      </c>
      <c r="AC78" s="142">
        <f t="shared" si="24"/>
        <v>0</v>
      </c>
      <c r="AD78" s="129">
        <f t="shared" si="21"/>
        <v>0</v>
      </c>
      <c r="AE78" s="132" t="e">
        <f t="shared" si="22"/>
        <v>#DIV/0!</v>
      </c>
      <c r="AF78" s="332"/>
    </row>
    <row r="79" spans="1:32" outlineLevel="1">
      <c r="C79" s="105" t="s">
        <v>154</v>
      </c>
      <c r="Q79" s="124"/>
      <c r="R79" s="124"/>
      <c r="S79" s="124"/>
      <c r="T79" s="124"/>
      <c r="U79" s="124"/>
      <c r="V79" s="124"/>
      <c r="W79" s="124"/>
    </row>
    <row r="80" spans="1:32" outlineLevel="1">
      <c r="A80" s="105" t="s">
        <v>141</v>
      </c>
      <c r="B80" s="105" t="s">
        <v>943</v>
      </c>
      <c r="C80" s="105" t="s">
        <v>288</v>
      </c>
      <c r="P80" s="142">
        <f>SUM(D80:O80)/12</f>
        <v>0</v>
      </c>
      <c r="Q80" s="124">
        <v>0</v>
      </c>
      <c r="R80" s="124">
        <v>0</v>
      </c>
      <c r="S80" s="124">
        <v>0</v>
      </c>
      <c r="T80" s="124">
        <v>0</v>
      </c>
      <c r="U80" s="124">
        <v>0</v>
      </c>
      <c r="V80" s="124">
        <v>0</v>
      </c>
      <c r="W80" s="124">
        <v>0</v>
      </c>
      <c r="X80" s="124">
        <v>0</v>
      </c>
      <c r="Y80" s="124">
        <v>0</v>
      </c>
      <c r="Z80" s="124">
        <v>0</v>
      </c>
      <c r="AA80" s="124">
        <v>0</v>
      </c>
      <c r="AB80" s="124">
        <v>0</v>
      </c>
      <c r="AC80" s="129">
        <f>SUM(Q80:AB80)/12</f>
        <v>0</v>
      </c>
      <c r="AD80" s="129">
        <f t="shared" si="21"/>
        <v>0</v>
      </c>
    </row>
  </sheetData>
  <phoneticPr fontId="7" type="noConversion"/>
  <dataValidations count="32">
    <dataValidation type="textLength" errorStyle="information" allowBlank="1" showInputMessage="1" showErrorMessage="1" error="XLBVal:6=65302.28_x000d__x000a_" sqref="R35">
      <formula1>0</formula1>
      <formula2>300</formula2>
    </dataValidation>
    <dataValidation type="textLength" errorStyle="information" allowBlank="1" showInputMessage="1" showErrorMessage="1" error="XLBVal:6=409598.53_x000d__x000a_" sqref="AB40">
      <formula1>0</formula1>
      <formula2>300</formula2>
    </dataValidation>
    <dataValidation type="textLength" errorStyle="information" allowBlank="1" showInputMessage="1" showErrorMessage="1" error="XLBVal:6=18454.07_x000d__x000a_" sqref="AB35">
      <formula1>0</formula1>
      <formula2>300</formula2>
    </dataValidation>
    <dataValidation type="textLength" errorStyle="information" allowBlank="1" showInputMessage="1" showErrorMessage="1" error="XLBVal:6=210259.16_x000d__x000a_" sqref="AA40">
      <formula1>0</formula1>
      <formula2>300</formula2>
    </dataValidation>
    <dataValidation type="textLength" errorStyle="information" allowBlank="1" showInputMessage="1" showErrorMessage="1" error="XLBVal:6=-67019.02_x000d__x000a_" sqref="Z40">
      <formula1>0</formula1>
      <formula2>300</formula2>
    </dataValidation>
    <dataValidation type="textLength" errorStyle="information" allowBlank="1" showInputMessage="1" showErrorMessage="1" error="XLBVal:6=16745.34_x000d__x000a_" sqref="AA35">
      <formula1>0</formula1>
      <formula2>300</formula2>
    </dataValidation>
    <dataValidation type="textLength" errorStyle="information" allowBlank="1" showInputMessage="1" showErrorMessage="1" error="XLBVal:6=20512.33_x000d__x000a_" sqref="Z35">
      <formula1>0</formula1>
      <formula2>300</formula2>
    </dataValidation>
    <dataValidation type="textLength" errorStyle="information" allowBlank="1" showInputMessage="1" showErrorMessage="1" error="XLBVal:6=67145.81_x000d__x000a_" sqref="Y40">
      <formula1>0</formula1>
      <formula2>300</formula2>
    </dataValidation>
    <dataValidation type="textLength" errorStyle="information" allowBlank="1" showInputMessage="1" showErrorMessage="1" error="XLBVal:6=228784.74_x000d__x000a_" sqref="X40">
      <formula1>0</formula1>
      <formula2>300</formula2>
    </dataValidation>
    <dataValidation type="textLength" errorStyle="information" allowBlank="1" showInputMessage="1" showErrorMessage="1" error="XLBVal:6=20745.34_x000d__x000a_" sqref="X35:Y35">
      <formula1>0</formula1>
      <formula2>300</formula2>
    </dataValidation>
    <dataValidation type="textLength" errorStyle="information" allowBlank="1" showInputMessage="1" showErrorMessage="1" error="XLBVal:6=21645.34_x000d__x000a_" sqref="W35">
      <formula1>0</formula1>
      <formula2>300</formula2>
    </dataValidation>
    <dataValidation type="textLength" errorStyle="information" allowBlank="1" showInputMessage="1" showErrorMessage="1" error="XLBVal:6=12641.93_x000d__x000a_" sqref="V35">
      <formula1>0</formula1>
      <formula2>300</formula2>
    </dataValidation>
    <dataValidation type="textLength" errorStyle="information" allowBlank="1" showInputMessage="1" showErrorMessage="1" error="XLBVal:6=86361.59_x000d__x000a_" sqref="Q35">
      <formula1>0</formula1>
      <formula2>300</formula2>
    </dataValidation>
    <dataValidation type="textLength" errorStyle="information" allowBlank="1" showInputMessage="1" showErrorMessage="1" error="XLBVal:6=11746.55_x000d__x000a_" sqref="S31">
      <formula1>0</formula1>
      <formula2>300</formula2>
    </dataValidation>
    <dataValidation type="textLength" errorStyle="information" allowBlank="1" showInputMessage="1" showErrorMessage="1" error="XLBVal:6=11746.58_x000d__x000a_" sqref="Q31:R31">
      <formula1>0</formula1>
      <formula2>300</formula2>
    </dataValidation>
    <dataValidation type="textLength" errorStyle="information" allowBlank="1" showInputMessage="1" showErrorMessage="1" error="XLBVal:6=104435.82_x000d__x000a_" sqref="W40">
      <formula1>0</formula1>
      <formula2>300</formula2>
    </dataValidation>
    <dataValidation type="textLength" errorStyle="information" allowBlank="1" showInputMessage="1" showErrorMessage="1" error="XLBVal:6=4950.49_x000d__x000a_" sqref="W31:AB31">
      <formula1>0</formula1>
      <formula2>300</formula2>
    </dataValidation>
    <dataValidation type="textLength" errorStyle="information" allowBlank="1" showInputMessage="1" showErrorMessage="1" error="XLBVal:6=5562.8_x000d__x000a_" sqref="V31">
      <formula1>0</formula1>
      <formula2>300</formula2>
    </dataValidation>
    <dataValidation type="textLength" errorStyle="information" allowBlank="1" showInputMessage="1" showErrorMessage="1" error="XLBVal:6=9271.33_x000d__x000a_" sqref="T31:U31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325826.11_x000d__x000a_" sqref="V40">
      <formula1>0</formula1>
      <formula2>300</formula2>
    </dataValidation>
    <dataValidation type="textLength" errorStyle="information" allowBlank="1" showInputMessage="1" showErrorMessage="1" error="XLBVal:6=364269.46_x000d__x000a_" sqref="U40">
      <formula1>0</formula1>
      <formula2>300</formula2>
    </dataValidation>
    <dataValidation type="textLength" errorStyle="information" allowBlank="1" showInputMessage="1" showErrorMessage="1" error="XLBVal:6=389024.35_x000d__x000a_" sqref="T40">
      <formula1>0</formula1>
      <formula2>300</formula2>
    </dataValidation>
    <dataValidation type="textLength" errorStyle="information" allowBlank="1" showInputMessage="1" showErrorMessage="1" error="XLBVal:6=452252.06_x000d__x000a_" sqref="S40">
      <formula1>0</formula1>
      <formula2>300</formula2>
    </dataValidation>
    <dataValidation type="textLength" errorStyle="information" allowBlank="1" showInputMessage="1" showErrorMessage="1" error="XLBVal:6=987547.99_x000d__x000a_" sqref="R40">
      <formula1>0</formula1>
      <formula2>300</formula2>
    </dataValidation>
    <dataValidation type="textLength" errorStyle="information" allowBlank="1" showInputMessage="1" showErrorMessage="1" error="XLBVal:6=632796.01_x000d__x000a_" sqref="Q40">
      <formula1>0</formula1>
      <formula2>300</formula2>
    </dataValidation>
    <dataValidation type="textLength" errorStyle="information" allowBlank="1" showInputMessage="1" showErrorMessage="1" error="XLBVal:6=26988.24_x000d__x000a_" sqref="T35">
      <formula1>0</formula1>
      <formula2>300</formula2>
    </dataValidation>
    <dataValidation type="textLength" errorStyle="information" allowBlank="1" showInputMessage="1" showErrorMessage="1" error="XLBVal:6=14725.36_x000d__x000a_" sqref="S35">
      <formula1>0</formula1>
      <formula2>300</formula2>
    </dataValidation>
    <dataValidation type="textLength" errorStyle="information" allowBlank="1" showInputMessage="1" showErrorMessage="1" error="XLBVal:6=22907.96_x000d__x000a_" sqref="U35">
      <formula1>0</formula1>
      <formula2>300</formula2>
    </dataValidation>
    <dataValidation type="textLength" errorStyle="information" allowBlank="1" showInputMessage="1" showErrorMessage="1" error="XLBVal:6=351527_x000d__x000a_" sqref="D40:O40">
      <formula1>0</formula1>
      <formula2>300</formula2>
    </dataValidation>
    <dataValidation type="textLength" errorStyle="information" allowBlank="1" showInputMessage="1" showErrorMessage="1" error="XLBVal:6=320379.46_x000d__x000a_" sqref="Q75:AB76">
      <formula1>0</formula1>
      <formula2>300</formula2>
    </dataValidation>
    <dataValidation type="textLength" errorStyle="information" allowBlank="1" showInputMessage="1" showErrorMessage="1" error="XLBVal:2=0_x000d__x000a_" sqref="Q71:AB74 Q58:AB64 Q51:AB55 Q80:AB80 Q47:AB48 D41:I41 Q36:AB37 Q41:AB41 Q25:AB30 Q32:AB33 Q15:AB23 Q12:AB12 D13:O17 D20:O34 D36:O3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AG86"/>
  <sheetViews>
    <sheetView view="pageBreakPreview" topLeftCell="C1" zoomScaleNormal="100" zoomScaleSheetLayoutView="100" workbookViewId="0">
      <pane xSplit="2" ySplit="7" topLeftCell="L8" activePane="bottomRight" state="frozen"/>
      <selection activeCell="AP43" sqref="AP43"/>
      <selection pane="topRight" activeCell="AP43" sqref="AP43"/>
      <selection pane="bottomLeft" activeCell="AP43" sqref="AP43"/>
      <selection pane="bottomRight" activeCell="O23" sqref="O23"/>
    </sheetView>
  </sheetViews>
  <sheetFormatPr defaultColWidth="9" defaultRowHeight="14.25" outlineLevelRow="1" outlineLevelCol="2"/>
  <cols>
    <col min="1" max="2" width="9" style="105" hidden="1" customWidth="1" outlineLevel="1"/>
    <col min="3" max="3" width="45.75" style="105" customWidth="1" collapsed="1"/>
    <col min="4" max="13" width="13.875" style="141" customWidth="1"/>
    <col min="14" max="14" width="14.125" style="141" customWidth="1"/>
    <col min="15" max="15" width="13.875" style="141" customWidth="1"/>
    <col min="16" max="16" width="18.25" style="142" bestFit="1" customWidth="1"/>
    <col min="17" max="23" width="13.5" style="141" hidden="1" customWidth="1" outlineLevel="1"/>
    <col min="24" max="28" width="13.5" style="124" hidden="1" customWidth="1" outlineLevel="2"/>
    <col min="29" max="29" width="14.5" style="129" customWidth="1" collapsed="1"/>
    <col min="30" max="30" width="15.75" style="124" bestFit="1" customWidth="1"/>
    <col min="31" max="31" width="10.75" style="192" bestFit="1" customWidth="1"/>
    <col min="32" max="32" width="15.75" style="109" hidden="1" customWidth="1"/>
    <col min="33" max="33" width="17" style="105" hidden="1" customWidth="1"/>
    <col min="34" max="16384" width="9" style="105"/>
  </cols>
  <sheetData>
    <row r="1" spans="1:33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7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E1" s="186"/>
      <c r="AF1" s="10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7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E2" s="186"/>
      <c r="AF2" s="103"/>
    </row>
    <row r="3" spans="1:33">
      <c r="C3" s="105" t="s">
        <v>944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558</v>
      </c>
      <c r="O3" s="2" t="s">
        <v>151</v>
      </c>
      <c r="P3" s="209"/>
      <c r="Q3" s="108" t="s">
        <v>0</v>
      </c>
      <c r="R3" s="108" t="s">
        <v>945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09"/>
      <c r="AD3" s="184"/>
      <c r="AE3" s="279"/>
    </row>
    <row r="4" spans="1:33" s="100" customFormat="1" ht="18">
      <c r="C4" s="18">
        <f>+'2025 Summay'!$D$7</f>
        <v>2025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72"/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172"/>
      <c r="AD4" s="183"/>
      <c r="AE4" s="186"/>
      <c r="AF4" s="103"/>
    </row>
    <row r="5" spans="1:33" s="100" customFormat="1">
      <c r="C5" s="100" t="s">
        <v>154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72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172"/>
      <c r="AD5" s="183"/>
      <c r="AE5" s="186"/>
      <c r="AF5" s="103"/>
    </row>
    <row r="6" spans="1:33" s="100" customFormat="1">
      <c r="C6" s="100" t="s">
        <v>154</v>
      </c>
      <c r="D6" s="319">
        <f>'S&amp;M'!D6</f>
        <v>1</v>
      </c>
      <c r="E6" s="319">
        <f>'S&amp;M'!E6</f>
        <v>2</v>
      </c>
      <c r="F6" s="319">
        <f>'S&amp;M'!F6</f>
        <v>3</v>
      </c>
      <c r="G6" s="319">
        <f>'S&amp;M'!G6</f>
        <v>4</v>
      </c>
      <c r="H6" s="319">
        <f>'S&amp;M'!H6</f>
        <v>5</v>
      </c>
      <c r="I6" s="319">
        <f>'S&amp;M'!I6</f>
        <v>6</v>
      </c>
      <c r="J6" s="319">
        <f>'S&amp;M'!J6</f>
        <v>7</v>
      </c>
      <c r="K6" s="319">
        <f>'S&amp;M'!K6</f>
        <v>8</v>
      </c>
      <c r="L6" s="319">
        <f>'S&amp;M'!L6</f>
        <v>9</v>
      </c>
      <c r="M6" s="319">
        <f>'S&amp;M'!M6</f>
        <v>10</v>
      </c>
      <c r="N6" s="319">
        <f>'S&amp;M'!N6</f>
        <v>11</v>
      </c>
      <c r="O6" s="319">
        <f>'S&amp;M'!O6</f>
        <v>12</v>
      </c>
      <c r="P6" s="320">
        <f>'S&amp;M'!P6</f>
        <v>2025</v>
      </c>
      <c r="Q6" s="114">
        <f>'S&amp;M'!Q6</f>
        <v>202401</v>
      </c>
      <c r="R6" s="114">
        <f>'S&amp;M'!R6</f>
        <v>202402</v>
      </c>
      <c r="S6" s="114">
        <f>'S&amp;M'!S6</f>
        <v>202403</v>
      </c>
      <c r="T6" s="114">
        <f>'S&amp;M'!T6</f>
        <v>202404</v>
      </c>
      <c r="U6" s="114">
        <f>'S&amp;M'!U6</f>
        <v>202405</v>
      </c>
      <c r="V6" s="114">
        <f>'S&amp;M'!V6</f>
        <v>202406</v>
      </c>
      <c r="W6" s="114">
        <f>'S&amp;M'!W6</f>
        <v>202407</v>
      </c>
      <c r="X6" s="114">
        <f>'S&amp;M'!X6</f>
        <v>202408</v>
      </c>
      <c r="Y6" s="114">
        <f>'S&amp;M'!Y6</f>
        <v>202409</v>
      </c>
      <c r="Z6" s="114">
        <f>'S&amp;M'!Z6</f>
        <v>202410</v>
      </c>
      <c r="AA6" s="114">
        <f>'S&amp;M'!AA6</f>
        <v>202411</v>
      </c>
      <c r="AB6" s="114">
        <f>'S&amp;M'!AB6</f>
        <v>202412</v>
      </c>
      <c r="AC6" s="115">
        <f>'S&amp;M'!AC6</f>
        <v>2024</v>
      </c>
      <c r="AD6" s="188" t="s">
        <v>6</v>
      </c>
      <c r="AE6" s="177" t="s">
        <v>156</v>
      </c>
      <c r="AF6" s="316">
        <v>2019</v>
      </c>
    </row>
    <row r="7" spans="1:33">
      <c r="C7" s="105" t="s">
        <v>154</v>
      </c>
      <c r="D7" s="141" t="str">
        <f>'S&amp;M'!D7</f>
        <v>Budget</v>
      </c>
      <c r="E7" s="141" t="str">
        <f>'S&amp;M'!E7</f>
        <v>Budget</v>
      </c>
      <c r="F7" s="141" t="str">
        <f>'S&amp;M'!F7</f>
        <v>Budget</v>
      </c>
      <c r="G7" s="141" t="str">
        <f>'S&amp;M'!G7</f>
        <v>Budget</v>
      </c>
      <c r="H7" s="141" t="str">
        <f>'S&amp;M'!H7</f>
        <v>Budget</v>
      </c>
      <c r="I7" s="141" t="str">
        <f>'S&amp;M'!I7</f>
        <v>Budget</v>
      </c>
      <c r="J7" s="141" t="str">
        <f>'S&amp;M'!J7</f>
        <v>Budget</v>
      </c>
      <c r="K7" s="141" t="str">
        <f>'S&amp;M'!K7</f>
        <v>Budget</v>
      </c>
      <c r="L7" s="141" t="str">
        <f>'S&amp;M'!L7</f>
        <v>Budget</v>
      </c>
      <c r="M7" s="141" t="str">
        <f>'S&amp;M'!M7</f>
        <v>Budget</v>
      </c>
      <c r="N7" s="141" t="str">
        <f>'S&amp;M'!N7</f>
        <v>Budget</v>
      </c>
      <c r="O7" s="141" t="str">
        <f>'S&amp;M'!O7</f>
        <v>Budget</v>
      </c>
      <c r="P7" s="142" t="str">
        <f>'S&amp;M'!P7</f>
        <v>Budget</v>
      </c>
      <c r="Q7" s="244" t="str">
        <f>'S&amp;M'!Q7</f>
        <v>Actual</v>
      </c>
      <c r="R7" s="244" t="str">
        <f>'S&amp;M'!R7</f>
        <v>Actual</v>
      </c>
      <c r="S7" s="244" t="str">
        <f>'S&amp;M'!S7</f>
        <v>Actual</v>
      </c>
      <c r="T7" s="244" t="str">
        <f>'S&amp;M'!T7</f>
        <v>Actual</v>
      </c>
      <c r="U7" s="244" t="str">
        <f>'S&amp;M'!U7</f>
        <v>Actual</v>
      </c>
      <c r="V7" s="244" t="str">
        <f>'S&amp;M'!V7</f>
        <v>Actual</v>
      </c>
      <c r="W7" s="244" t="str">
        <f>'S&amp;M'!W7</f>
        <v>Actual</v>
      </c>
      <c r="X7" s="244" t="str">
        <f>'S&amp;M'!X7</f>
        <v>Actual</v>
      </c>
      <c r="Y7" s="244" t="str">
        <f>'S&amp;M'!Y7</f>
        <v>Forecast</v>
      </c>
      <c r="Z7" s="244" t="str">
        <f>'S&amp;M'!Z7</f>
        <v>Forecast</v>
      </c>
      <c r="AA7" s="244" t="str">
        <f>'S&amp;M'!AA7</f>
        <v>Forecast</v>
      </c>
      <c r="AB7" s="244" t="str">
        <f>'S&amp;M'!AB7</f>
        <v>Forecast</v>
      </c>
      <c r="AC7" s="245" t="str">
        <f>'S&amp;M'!AC7</f>
        <v>Forecast</v>
      </c>
      <c r="AD7" s="189"/>
      <c r="AE7" s="132"/>
      <c r="AF7" s="133" t="s">
        <v>12</v>
      </c>
    </row>
    <row r="8" spans="1:33">
      <c r="C8" s="105" t="s">
        <v>154</v>
      </c>
      <c r="D8" s="124"/>
      <c r="E8" s="124"/>
      <c r="F8" s="124"/>
      <c r="G8" s="124"/>
      <c r="H8" s="124"/>
      <c r="I8" s="124"/>
      <c r="Q8" s="124"/>
      <c r="R8" s="124"/>
      <c r="S8" s="124"/>
      <c r="T8" s="124"/>
      <c r="U8" s="124"/>
      <c r="V8" s="124"/>
      <c r="W8" s="124"/>
      <c r="AF8" s="133"/>
    </row>
    <row r="9" spans="1:33" s="109" customFormat="1">
      <c r="A9" s="109" t="s">
        <v>905</v>
      </c>
      <c r="B9" s="109" t="s">
        <v>946</v>
      </c>
      <c r="C9" s="109" t="s">
        <v>175</v>
      </c>
      <c r="D9" s="129">
        <f t="shared" ref="D9:O9" si="0">D78</f>
        <v>65472.44</v>
      </c>
      <c r="E9" s="129">
        <f t="shared" si="0"/>
        <v>62472.959999999999</v>
      </c>
      <c r="F9" s="129">
        <f t="shared" si="0"/>
        <v>62822.259999999995</v>
      </c>
      <c r="G9" s="129">
        <f t="shared" si="0"/>
        <v>70524.260000000009</v>
      </c>
      <c r="H9" s="129">
        <f t="shared" si="0"/>
        <v>69754.28</v>
      </c>
      <c r="I9" s="129">
        <f t="shared" si="0"/>
        <v>69242.98000000001</v>
      </c>
      <c r="J9" s="129">
        <f t="shared" si="0"/>
        <v>69465.850000000006</v>
      </c>
      <c r="K9" s="129">
        <f t="shared" si="0"/>
        <v>69444.33</v>
      </c>
      <c r="L9" s="129">
        <f t="shared" si="0"/>
        <v>75921.47</v>
      </c>
      <c r="M9" s="129">
        <f t="shared" si="0"/>
        <v>79485.359999999986</v>
      </c>
      <c r="N9" s="129">
        <f t="shared" si="0"/>
        <v>75822.48</v>
      </c>
      <c r="O9" s="129">
        <f t="shared" si="0"/>
        <v>75752.959999999992</v>
      </c>
      <c r="P9" s="129">
        <f>SUM(D9:O9)</f>
        <v>846181.62999999977</v>
      </c>
      <c r="Q9" s="142">
        <f t="shared" ref="Q9:AB9" si="1">Q78</f>
        <v>72144.760000000009</v>
      </c>
      <c r="R9" s="142">
        <f t="shared" si="1"/>
        <v>73461.709999999992</v>
      </c>
      <c r="S9" s="142">
        <f t="shared" si="1"/>
        <v>76221.86</v>
      </c>
      <c r="T9" s="142">
        <f t="shared" si="1"/>
        <v>72580.149999999994</v>
      </c>
      <c r="U9" s="142">
        <f t="shared" si="1"/>
        <v>70824.350000000006</v>
      </c>
      <c r="V9" s="142">
        <f t="shared" si="1"/>
        <v>64371.570000000007</v>
      </c>
      <c r="W9" s="142">
        <f t="shared" si="1"/>
        <v>63816.4</v>
      </c>
      <c r="X9" s="142">
        <f t="shared" si="1"/>
        <v>60715.380000000005</v>
      </c>
      <c r="Y9" s="142">
        <f t="shared" si="1"/>
        <v>79704</v>
      </c>
      <c r="Z9" s="142">
        <f t="shared" si="1"/>
        <v>80258</v>
      </c>
      <c r="AA9" s="142">
        <f t="shared" si="1"/>
        <v>79780</v>
      </c>
      <c r="AB9" s="142">
        <f t="shared" si="1"/>
        <v>79880</v>
      </c>
      <c r="AC9" s="142">
        <f>SUM(Q9:AB9)</f>
        <v>873758.17999999993</v>
      </c>
      <c r="AD9" s="142">
        <f>AC9-P9</f>
        <v>27576.550000000163</v>
      </c>
      <c r="AE9" s="132">
        <f>AD9/AC9</f>
        <v>3.1560849021179026E-2</v>
      </c>
      <c r="AF9" s="133">
        <v>636786.8899999999</v>
      </c>
      <c r="AG9" s="133">
        <f t="shared" ref="AG9:AG72" si="2">AF9-P9</f>
        <v>-209394.73999999987</v>
      </c>
    </row>
    <row r="10" spans="1:33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9"/>
      <c r="X10" s="141"/>
      <c r="Y10" s="141"/>
      <c r="Z10" s="141"/>
      <c r="AA10" s="141"/>
      <c r="AB10" s="141"/>
      <c r="AC10" s="142"/>
      <c r="AD10" s="141"/>
      <c r="AF10" s="133"/>
      <c r="AG10" s="133">
        <f t="shared" si="2"/>
        <v>0</v>
      </c>
    </row>
    <row r="11" spans="1:33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9"/>
      <c r="X11" s="141"/>
      <c r="Y11" s="141"/>
      <c r="Z11" s="141"/>
      <c r="AA11" s="141"/>
      <c r="AB11" s="141"/>
      <c r="AC11" s="142"/>
      <c r="AD11" s="141"/>
      <c r="AF11" s="133"/>
      <c r="AG11" s="133">
        <f t="shared" si="2"/>
        <v>0</v>
      </c>
    </row>
    <row r="12" spans="1:33">
      <c r="A12" s="105" t="s">
        <v>687</v>
      </c>
      <c r="B12" s="105" t="s">
        <v>946</v>
      </c>
      <c r="C12" s="105" t="s">
        <v>144</v>
      </c>
      <c r="D12" s="212">
        <f>+D83+D84+D85</f>
        <v>0</v>
      </c>
      <c r="E12" s="212">
        <f t="shared" ref="E12:O12" si="3">+E83+E84+E85</f>
        <v>0</v>
      </c>
      <c r="F12" s="212">
        <f t="shared" si="3"/>
        <v>0</v>
      </c>
      <c r="G12" s="212">
        <f t="shared" si="3"/>
        <v>0</v>
      </c>
      <c r="H12" s="212">
        <f t="shared" si="3"/>
        <v>0</v>
      </c>
      <c r="I12" s="212">
        <f t="shared" si="3"/>
        <v>0</v>
      </c>
      <c r="J12" s="212">
        <f t="shared" si="3"/>
        <v>0</v>
      </c>
      <c r="K12" s="212">
        <f t="shared" si="3"/>
        <v>0</v>
      </c>
      <c r="L12" s="212">
        <f t="shared" si="3"/>
        <v>0</v>
      </c>
      <c r="M12" s="212">
        <f t="shared" si="3"/>
        <v>0</v>
      </c>
      <c r="N12" s="212">
        <f t="shared" si="3"/>
        <v>0</v>
      </c>
      <c r="O12" s="212">
        <f t="shared" si="3"/>
        <v>0</v>
      </c>
      <c r="P12" s="129">
        <f>SUM(D12:O12)</f>
        <v>0</v>
      </c>
      <c r="Q12" s="141">
        <v>21060.17</v>
      </c>
      <c r="R12" s="141">
        <v>13701.37</v>
      </c>
      <c r="S12" s="141">
        <v>13293.18</v>
      </c>
      <c r="T12" s="141">
        <v>13293.18</v>
      </c>
      <c r="U12" s="141">
        <v>13293.19</v>
      </c>
      <c r="V12" s="141">
        <v>13214.01</v>
      </c>
      <c r="W12" s="141">
        <v>13699.64</v>
      </c>
      <c r="X12" s="141">
        <v>13699.64</v>
      </c>
      <c r="Y12" s="141">
        <v>3293.1800000000003</v>
      </c>
      <c r="Z12" s="141">
        <v>3293.1800000000003</v>
      </c>
      <c r="AA12" s="141">
        <v>3293.1800000000003</v>
      </c>
      <c r="AB12" s="141">
        <v>3293.1800000000003</v>
      </c>
      <c r="AC12" s="142">
        <f t="shared" ref="AC12:AC41" si="4">SUM(Q12:AB12)</f>
        <v>128427.09999999998</v>
      </c>
      <c r="AD12" s="141">
        <f t="shared" ref="AD12:AD43" si="5">AC12-P12</f>
        <v>128427.09999999998</v>
      </c>
      <c r="AE12" s="192">
        <f t="shared" ref="AE12:AE43" si="6">AD12/AC12</f>
        <v>1</v>
      </c>
      <c r="AF12" s="133">
        <v>120351.82999999999</v>
      </c>
      <c r="AG12" s="133">
        <f t="shared" si="2"/>
        <v>120351.82999999999</v>
      </c>
    </row>
    <row r="13" spans="1:33">
      <c r="A13" s="105" t="s">
        <v>181</v>
      </c>
      <c r="B13" s="105" t="s">
        <v>946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9">
        <f t="shared" ref="P13:P41" si="7">SUM(D13:O13)</f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142">
        <f t="shared" si="4"/>
        <v>0</v>
      </c>
      <c r="AD13" s="141">
        <f t="shared" si="5"/>
        <v>0</v>
      </c>
      <c r="AF13" s="133">
        <v>0</v>
      </c>
      <c r="AG13" s="133">
        <f t="shared" si="2"/>
        <v>0</v>
      </c>
    </row>
    <row r="14" spans="1:33">
      <c r="A14" s="105" t="s">
        <v>834</v>
      </c>
      <c r="B14" s="105" t="s">
        <v>946</v>
      </c>
      <c r="C14" s="105" t="s">
        <v>431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9">
        <f t="shared" si="7"/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142">
        <f t="shared" si="4"/>
        <v>0</v>
      </c>
      <c r="AD14" s="141">
        <f t="shared" si="5"/>
        <v>0</v>
      </c>
      <c r="AF14" s="133">
        <v>0</v>
      </c>
      <c r="AG14" s="133">
        <f t="shared" si="2"/>
        <v>0</v>
      </c>
    </row>
    <row r="15" spans="1:33">
      <c r="A15" s="105" t="s">
        <v>688</v>
      </c>
      <c r="B15" s="105" t="s">
        <v>946</v>
      </c>
      <c r="C15" s="105" t="s">
        <v>184</v>
      </c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9">
        <f t="shared" si="7"/>
        <v>0</v>
      </c>
      <c r="Q15" s="141">
        <v>10087.719999999999</v>
      </c>
      <c r="R15" s="141">
        <v>13116.59</v>
      </c>
      <c r="S15" s="141">
        <v>8226.02</v>
      </c>
      <c r="T15" s="141">
        <v>-919.09</v>
      </c>
      <c r="U15" s="141">
        <v>7733.65</v>
      </c>
      <c r="V15" s="141">
        <v>6958.17</v>
      </c>
      <c r="W15" s="141">
        <v>7976.48</v>
      </c>
      <c r="X15" s="141">
        <v>6594.11</v>
      </c>
      <c r="Y15" s="141">
        <v>0</v>
      </c>
      <c r="Z15" s="141">
        <v>0</v>
      </c>
      <c r="AA15" s="141">
        <v>0</v>
      </c>
      <c r="AB15" s="141">
        <v>0</v>
      </c>
      <c r="AC15" s="142">
        <f t="shared" si="4"/>
        <v>59773.649999999994</v>
      </c>
      <c r="AD15" s="141">
        <f t="shared" si="5"/>
        <v>59773.649999999994</v>
      </c>
      <c r="AE15" s="192">
        <f t="shared" si="6"/>
        <v>1</v>
      </c>
      <c r="AF15" s="133">
        <v>17707.330000000002</v>
      </c>
      <c r="AG15" s="133">
        <f t="shared" si="2"/>
        <v>17707.330000000002</v>
      </c>
    </row>
    <row r="16" spans="1:33">
      <c r="A16" s="105" t="s">
        <v>689</v>
      </c>
      <c r="B16" s="105" t="s">
        <v>946</v>
      </c>
      <c r="C16" s="105" t="s">
        <v>202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9">
        <f t="shared" si="7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142">
        <f t="shared" si="4"/>
        <v>0</v>
      </c>
      <c r="AD16" s="141">
        <f t="shared" si="5"/>
        <v>0</v>
      </c>
      <c r="AF16" s="133">
        <v>0</v>
      </c>
      <c r="AG16" s="133">
        <f t="shared" si="2"/>
        <v>0</v>
      </c>
    </row>
    <row r="17" spans="1:33">
      <c r="A17" s="105" t="s">
        <v>692</v>
      </c>
      <c r="B17" s="105" t="s">
        <v>946</v>
      </c>
      <c r="C17" s="105" t="s">
        <v>204</v>
      </c>
      <c r="D17" s="124">
        <v>192</v>
      </c>
      <c r="E17" s="124">
        <v>192</v>
      </c>
      <c r="F17" s="124">
        <v>192</v>
      </c>
      <c r="G17" s="124">
        <v>192</v>
      </c>
      <c r="H17" s="124">
        <v>192</v>
      </c>
      <c r="I17" s="124">
        <v>192</v>
      </c>
      <c r="J17" s="124">
        <v>192</v>
      </c>
      <c r="K17" s="124">
        <v>192</v>
      </c>
      <c r="L17" s="124">
        <v>192</v>
      </c>
      <c r="M17" s="124">
        <v>192</v>
      </c>
      <c r="N17" s="124">
        <v>192</v>
      </c>
      <c r="O17" s="124">
        <v>192</v>
      </c>
      <c r="P17" s="129">
        <f t="shared" si="7"/>
        <v>2304</v>
      </c>
      <c r="Q17" s="141">
        <v>232</v>
      </c>
      <c r="R17" s="141">
        <v>232</v>
      </c>
      <c r="S17" s="141">
        <v>232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142">
        <f t="shared" si="4"/>
        <v>696</v>
      </c>
      <c r="AD17" s="141">
        <f t="shared" si="5"/>
        <v>-1608</v>
      </c>
      <c r="AE17" s="192">
        <f t="shared" si="6"/>
        <v>-2.3103448275862069</v>
      </c>
      <c r="AF17" s="133">
        <v>11667.64</v>
      </c>
      <c r="AG17" s="133">
        <f t="shared" si="2"/>
        <v>9363.64</v>
      </c>
    </row>
    <row r="18" spans="1:33">
      <c r="A18" s="105" t="s">
        <v>907</v>
      </c>
      <c r="B18" s="105" t="s">
        <v>946</v>
      </c>
      <c r="C18" s="105" t="s">
        <v>448</v>
      </c>
      <c r="D18" s="124">
        <v>2000</v>
      </c>
      <c r="E18" s="124">
        <v>6000</v>
      </c>
      <c r="F18" s="124">
        <v>1000</v>
      </c>
      <c r="G18" s="124">
        <v>1000</v>
      </c>
      <c r="H18" s="124">
        <v>1000</v>
      </c>
      <c r="I18" s="124">
        <v>1000</v>
      </c>
      <c r="J18" s="124">
        <v>1000</v>
      </c>
      <c r="K18" s="124">
        <v>1000</v>
      </c>
      <c r="L18" s="124">
        <v>1000</v>
      </c>
      <c r="M18" s="124">
        <v>2000</v>
      </c>
      <c r="N18" s="124">
        <v>2000</v>
      </c>
      <c r="O18" s="124">
        <v>5000</v>
      </c>
      <c r="P18" s="129">
        <f t="shared" si="7"/>
        <v>24000</v>
      </c>
      <c r="Q18" s="141">
        <v>1201.33</v>
      </c>
      <c r="R18" s="141">
        <v>0</v>
      </c>
      <c r="S18" s="141">
        <v>0</v>
      </c>
      <c r="T18" s="141">
        <v>0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  <c r="AA18" s="141">
        <v>0</v>
      </c>
      <c r="AB18" s="141">
        <v>0</v>
      </c>
      <c r="AC18" s="142">
        <f t="shared" si="4"/>
        <v>1201.33</v>
      </c>
      <c r="AD18" s="141">
        <f t="shared" si="5"/>
        <v>-22798.67</v>
      </c>
      <c r="AE18" s="192">
        <f t="shared" si="6"/>
        <v>-18.977857874189439</v>
      </c>
      <c r="AF18" s="133">
        <v>0</v>
      </c>
      <c r="AG18" s="133">
        <f t="shared" si="2"/>
        <v>-24000</v>
      </c>
    </row>
    <row r="19" spans="1:33">
      <c r="A19" s="105" t="s">
        <v>734</v>
      </c>
      <c r="B19" s="105" t="s">
        <v>946</v>
      </c>
      <c r="C19" s="105" t="s">
        <v>735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9">
        <f t="shared" si="7"/>
        <v>0</v>
      </c>
      <c r="Q19" s="141">
        <v>5.99</v>
      </c>
      <c r="R19" s="141">
        <v>0</v>
      </c>
      <c r="S19" s="141">
        <v>0</v>
      </c>
      <c r="T19" s="141">
        <v>0</v>
      </c>
      <c r="U19" s="141">
        <v>454.5</v>
      </c>
      <c r="V19" s="141">
        <v>0</v>
      </c>
      <c r="W19" s="141">
        <v>0</v>
      </c>
      <c r="X19" s="141">
        <v>754.4</v>
      </c>
      <c r="Y19" s="141">
        <v>0</v>
      </c>
      <c r="Z19" s="141">
        <v>0</v>
      </c>
      <c r="AA19" s="141">
        <v>0</v>
      </c>
      <c r="AB19" s="141">
        <v>0</v>
      </c>
      <c r="AC19" s="142">
        <f t="shared" si="4"/>
        <v>1214.8899999999999</v>
      </c>
      <c r="AD19" s="141">
        <f t="shared" si="5"/>
        <v>1214.8899999999999</v>
      </c>
      <c r="AE19" s="192">
        <f t="shared" si="6"/>
        <v>1</v>
      </c>
      <c r="AF19" s="133">
        <v>0</v>
      </c>
      <c r="AG19" s="133">
        <f t="shared" si="2"/>
        <v>0</v>
      </c>
    </row>
    <row r="20" spans="1:33">
      <c r="A20" s="105" t="s">
        <v>717</v>
      </c>
      <c r="B20" s="105" t="s">
        <v>946</v>
      </c>
      <c r="C20" s="105" t="s">
        <v>208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9">
        <f t="shared" si="7"/>
        <v>0</v>
      </c>
      <c r="Q20" s="141">
        <v>0</v>
      </c>
      <c r="R20" s="141">
        <v>0</v>
      </c>
      <c r="S20" s="141">
        <v>0</v>
      </c>
      <c r="T20" s="141">
        <v>0</v>
      </c>
      <c r="U20" s="141">
        <v>0</v>
      </c>
      <c r="V20" s="141">
        <v>0</v>
      </c>
      <c r="W20" s="141">
        <v>0</v>
      </c>
      <c r="X20" s="141">
        <v>0</v>
      </c>
      <c r="Y20" s="141">
        <v>0</v>
      </c>
      <c r="Z20" s="141">
        <v>0</v>
      </c>
      <c r="AA20" s="141">
        <v>0</v>
      </c>
      <c r="AB20" s="141">
        <v>0</v>
      </c>
      <c r="AC20" s="142">
        <f t="shared" si="4"/>
        <v>0</v>
      </c>
      <c r="AD20" s="141">
        <f t="shared" si="5"/>
        <v>0</v>
      </c>
      <c r="AE20" s="192" t="e">
        <f t="shared" si="6"/>
        <v>#DIV/0!</v>
      </c>
      <c r="AF20" s="133">
        <v>392.40999999999997</v>
      </c>
      <c r="AG20" s="133">
        <f t="shared" si="2"/>
        <v>392.40999999999997</v>
      </c>
    </row>
    <row r="21" spans="1:33">
      <c r="A21" s="105" t="s">
        <v>690</v>
      </c>
      <c r="B21" s="105" t="s">
        <v>946</v>
      </c>
      <c r="C21" s="105" t="s">
        <v>210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9">
        <f t="shared" si="7"/>
        <v>0</v>
      </c>
      <c r="Q21" s="141">
        <v>0</v>
      </c>
      <c r="R21" s="141">
        <v>0</v>
      </c>
      <c r="S21" s="141">
        <v>0</v>
      </c>
      <c r="T21" s="141">
        <v>0</v>
      </c>
      <c r="U21" s="141">
        <v>77.040000000000006</v>
      </c>
      <c r="V21" s="141">
        <v>0</v>
      </c>
      <c r="W21" s="141">
        <v>0</v>
      </c>
      <c r="X21" s="141">
        <v>0</v>
      </c>
      <c r="Y21" s="141">
        <v>0</v>
      </c>
      <c r="Z21" s="141">
        <v>0</v>
      </c>
      <c r="AA21" s="141">
        <v>0</v>
      </c>
      <c r="AB21" s="141">
        <v>0</v>
      </c>
      <c r="AC21" s="142">
        <f t="shared" si="4"/>
        <v>77.040000000000006</v>
      </c>
      <c r="AD21" s="141">
        <f t="shared" si="5"/>
        <v>77.040000000000006</v>
      </c>
      <c r="AE21" s="192">
        <f t="shared" si="6"/>
        <v>1</v>
      </c>
      <c r="AF21" s="133">
        <v>0</v>
      </c>
      <c r="AG21" s="133">
        <f t="shared" si="2"/>
        <v>0</v>
      </c>
    </row>
    <row r="22" spans="1:33">
      <c r="A22" s="105" t="s">
        <v>694</v>
      </c>
      <c r="B22" s="105" t="s">
        <v>946</v>
      </c>
      <c r="C22" s="105" t="s">
        <v>212</v>
      </c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9">
        <f t="shared" si="7"/>
        <v>0</v>
      </c>
      <c r="Q22" s="141">
        <v>0</v>
      </c>
      <c r="R22" s="141">
        <v>0</v>
      </c>
      <c r="S22" s="141">
        <v>0</v>
      </c>
      <c r="T22" s="141">
        <v>0</v>
      </c>
      <c r="U22" s="141">
        <v>930.7</v>
      </c>
      <c r="V22" s="141">
        <v>0</v>
      </c>
      <c r="W22" s="141">
        <v>0</v>
      </c>
      <c r="X22" s="141">
        <v>0</v>
      </c>
      <c r="Y22" s="141">
        <v>0</v>
      </c>
      <c r="Z22" s="141">
        <v>0</v>
      </c>
      <c r="AA22" s="141">
        <v>0</v>
      </c>
      <c r="AB22" s="141">
        <v>0</v>
      </c>
      <c r="AC22" s="142">
        <f t="shared" si="4"/>
        <v>930.7</v>
      </c>
      <c r="AD22" s="141">
        <f t="shared" si="5"/>
        <v>930.7</v>
      </c>
      <c r="AE22" s="192">
        <f t="shared" si="6"/>
        <v>1</v>
      </c>
      <c r="AF22" s="133">
        <v>929.42</v>
      </c>
      <c r="AG22" s="133">
        <f t="shared" si="2"/>
        <v>929.42</v>
      </c>
    </row>
    <row r="23" spans="1:33">
      <c r="A23" s="105" t="s">
        <v>709</v>
      </c>
      <c r="B23" s="105" t="s">
        <v>946</v>
      </c>
      <c r="C23" s="105" t="s">
        <v>214</v>
      </c>
      <c r="D23" s="212">
        <f>Laundry!E160</f>
        <v>52</v>
      </c>
      <c r="E23" s="212">
        <f>Laundry!F160</f>
        <v>47</v>
      </c>
      <c r="F23" s="212">
        <f>Laundry!G160</f>
        <v>48</v>
      </c>
      <c r="G23" s="212">
        <f>Laundry!H160</f>
        <v>49</v>
      </c>
      <c r="H23" s="212">
        <f>Laundry!I160</f>
        <v>51</v>
      </c>
      <c r="I23" s="212">
        <f>Laundry!J160</f>
        <v>48</v>
      </c>
      <c r="J23" s="212">
        <f>Laundry!K160</f>
        <v>52</v>
      </c>
      <c r="K23" s="212">
        <f>Laundry!L160</f>
        <v>51</v>
      </c>
      <c r="L23" s="212">
        <f>Laundry!M160</f>
        <v>50</v>
      </c>
      <c r="M23" s="212">
        <f>Laundry!N160</f>
        <v>57</v>
      </c>
      <c r="N23" s="212">
        <f>Laundry!O160</f>
        <v>50</v>
      </c>
      <c r="O23" s="212">
        <f>Laundry!P160</f>
        <v>50</v>
      </c>
      <c r="P23" s="129">
        <f t="shared" si="7"/>
        <v>605</v>
      </c>
      <c r="Q23" s="141">
        <v>36.69</v>
      </c>
      <c r="R23" s="141">
        <v>41.72</v>
      </c>
      <c r="S23" s="141">
        <v>28.8</v>
      </c>
      <c r="T23" s="141">
        <v>26.94</v>
      </c>
      <c r="U23" s="141">
        <v>10.08</v>
      </c>
      <c r="V23" s="141">
        <v>90.32</v>
      </c>
      <c r="W23" s="141">
        <v>83.49</v>
      </c>
      <c r="X23" s="141">
        <v>45.12</v>
      </c>
      <c r="Y23" s="141">
        <v>44</v>
      </c>
      <c r="Z23" s="141">
        <v>49</v>
      </c>
      <c r="AA23" s="141">
        <v>41</v>
      </c>
      <c r="AB23" s="141">
        <v>42</v>
      </c>
      <c r="AC23" s="142">
        <f t="shared" si="4"/>
        <v>539.16000000000008</v>
      </c>
      <c r="AD23" s="141">
        <f t="shared" si="5"/>
        <v>-65.839999999999918</v>
      </c>
      <c r="AE23" s="192">
        <f t="shared" si="6"/>
        <v>-0.12211588396765322</v>
      </c>
      <c r="AF23" s="133">
        <v>485.20999999999992</v>
      </c>
      <c r="AG23" s="133">
        <f t="shared" si="2"/>
        <v>-119.79000000000008</v>
      </c>
    </row>
    <row r="24" spans="1:33">
      <c r="A24" s="105" t="s">
        <v>306</v>
      </c>
      <c r="B24" s="105" t="s">
        <v>946</v>
      </c>
      <c r="C24" s="105" t="s">
        <v>206</v>
      </c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9">
        <f t="shared" si="7"/>
        <v>0</v>
      </c>
      <c r="W24" s="141">
        <v>0</v>
      </c>
      <c r="X24" s="141">
        <v>0</v>
      </c>
      <c r="Y24" s="141">
        <v>0</v>
      </c>
      <c r="Z24" s="141">
        <v>0</v>
      </c>
      <c r="AA24" s="141">
        <v>0</v>
      </c>
      <c r="AB24" s="141">
        <v>0</v>
      </c>
      <c r="AC24" s="142">
        <f t="shared" si="4"/>
        <v>0</v>
      </c>
      <c r="AD24" s="141">
        <f t="shared" si="5"/>
        <v>0</v>
      </c>
      <c r="AF24" s="133">
        <v>0</v>
      </c>
      <c r="AG24" s="133">
        <f t="shared" si="2"/>
        <v>0</v>
      </c>
    </row>
    <row r="25" spans="1:33">
      <c r="A25" s="105" t="s">
        <v>696</v>
      </c>
      <c r="B25" s="105" t="s">
        <v>946</v>
      </c>
      <c r="C25" s="105" t="s">
        <v>216</v>
      </c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9">
        <f t="shared" si="7"/>
        <v>0</v>
      </c>
      <c r="Q25" s="141">
        <v>7.74</v>
      </c>
      <c r="R25" s="141">
        <v>9</v>
      </c>
      <c r="S25" s="141">
        <v>9</v>
      </c>
      <c r="T25" s="141">
        <v>9</v>
      </c>
      <c r="U25" s="141">
        <v>9</v>
      </c>
      <c r="V25" s="141">
        <v>9</v>
      </c>
      <c r="W25" s="141">
        <v>9</v>
      </c>
      <c r="X25" s="141">
        <v>9</v>
      </c>
      <c r="Y25" s="141">
        <v>0</v>
      </c>
      <c r="Z25" s="141">
        <v>0</v>
      </c>
      <c r="AA25" s="141">
        <v>0</v>
      </c>
      <c r="AB25" s="141">
        <v>0</v>
      </c>
      <c r="AC25" s="142">
        <f t="shared" si="4"/>
        <v>70.740000000000009</v>
      </c>
      <c r="AD25" s="141">
        <f t="shared" si="5"/>
        <v>70.740000000000009</v>
      </c>
      <c r="AE25" s="192">
        <f t="shared" si="6"/>
        <v>1</v>
      </c>
      <c r="AF25" s="133">
        <v>402.96000000000015</v>
      </c>
      <c r="AG25" s="133">
        <f t="shared" si="2"/>
        <v>402.96000000000015</v>
      </c>
    </row>
    <row r="26" spans="1:33">
      <c r="A26" s="105" t="s">
        <v>697</v>
      </c>
      <c r="B26" s="105" t="s">
        <v>946</v>
      </c>
      <c r="C26" s="105" t="s">
        <v>218</v>
      </c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9">
        <f t="shared" si="7"/>
        <v>0</v>
      </c>
      <c r="Q26" s="141">
        <v>0</v>
      </c>
      <c r="R26" s="141">
        <v>0</v>
      </c>
      <c r="S26" s="141">
        <v>0</v>
      </c>
      <c r="T26" s="141">
        <v>0</v>
      </c>
      <c r="U26" s="141">
        <v>0</v>
      </c>
      <c r="V26" s="141">
        <v>0</v>
      </c>
      <c r="W26" s="141">
        <v>0</v>
      </c>
      <c r="X26" s="141">
        <v>0</v>
      </c>
      <c r="Y26" s="141">
        <v>0</v>
      </c>
      <c r="Z26" s="141">
        <v>0</v>
      </c>
      <c r="AA26" s="141">
        <v>0</v>
      </c>
      <c r="AB26" s="141">
        <v>0</v>
      </c>
      <c r="AC26" s="142">
        <f t="shared" si="4"/>
        <v>0</v>
      </c>
      <c r="AD26" s="141">
        <f t="shared" si="5"/>
        <v>0</v>
      </c>
      <c r="AE26" s="192" t="e">
        <f t="shared" si="6"/>
        <v>#DIV/0!</v>
      </c>
      <c r="AF26" s="133">
        <v>0</v>
      </c>
      <c r="AG26" s="133">
        <f t="shared" si="2"/>
        <v>0</v>
      </c>
    </row>
    <row r="27" spans="1:33">
      <c r="A27" s="105" t="s">
        <v>836</v>
      </c>
      <c r="B27" s="105" t="s">
        <v>946</v>
      </c>
      <c r="C27" s="105" t="s">
        <v>220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9">
        <f t="shared" si="7"/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0</v>
      </c>
      <c r="AC27" s="142">
        <f t="shared" si="4"/>
        <v>0</v>
      </c>
      <c r="AD27" s="141">
        <f t="shared" si="5"/>
        <v>0</v>
      </c>
      <c r="AE27" s="192" t="e">
        <f t="shared" si="6"/>
        <v>#DIV/0!</v>
      </c>
      <c r="AF27" s="133">
        <v>138.91</v>
      </c>
      <c r="AG27" s="133">
        <f t="shared" si="2"/>
        <v>138.91</v>
      </c>
    </row>
    <row r="28" spans="1:33" hidden="1" outlineLevel="1">
      <c r="A28" s="105" t="s">
        <v>908</v>
      </c>
      <c r="B28" s="105" t="s">
        <v>946</v>
      </c>
      <c r="C28" s="105" t="s">
        <v>909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9">
        <f t="shared" si="7"/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0</v>
      </c>
      <c r="AC28" s="142">
        <f t="shared" si="4"/>
        <v>0</v>
      </c>
      <c r="AD28" s="141">
        <f t="shared" si="5"/>
        <v>0</v>
      </c>
      <c r="AE28" s="192" t="e">
        <f t="shared" si="6"/>
        <v>#DIV/0!</v>
      </c>
      <c r="AF28" s="133">
        <v>0</v>
      </c>
      <c r="AG28" s="133">
        <f t="shared" si="2"/>
        <v>0</v>
      </c>
    </row>
    <row r="29" spans="1:33" hidden="1" outlineLevel="1">
      <c r="A29" s="105" t="s">
        <v>910</v>
      </c>
      <c r="B29" s="105" t="s">
        <v>946</v>
      </c>
      <c r="C29" s="105" t="s">
        <v>911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9">
        <f t="shared" si="7"/>
        <v>0</v>
      </c>
      <c r="W29" s="141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142">
        <f t="shared" si="4"/>
        <v>0</v>
      </c>
      <c r="AD29" s="141">
        <f t="shared" si="5"/>
        <v>0</v>
      </c>
      <c r="AF29" s="133">
        <v>0</v>
      </c>
      <c r="AG29" s="133">
        <f t="shared" si="2"/>
        <v>0</v>
      </c>
    </row>
    <row r="30" spans="1:33" hidden="1" outlineLevel="1">
      <c r="A30" s="105" t="s">
        <v>912</v>
      </c>
      <c r="B30" s="105" t="s">
        <v>946</v>
      </c>
      <c r="C30" s="105" t="s">
        <v>913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9">
        <f t="shared" si="7"/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0</v>
      </c>
      <c r="AC30" s="142">
        <f t="shared" si="4"/>
        <v>0</v>
      </c>
      <c r="AD30" s="141">
        <f t="shared" si="5"/>
        <v>0</v>
      </c>
      <c r="AF30" s="133">
        <v>0</v>
      </c>
      <c r="AG30" s="133">
        <f t="shared" si="2"/>
        <v>0</v>
      </c>
    </row>
    <row r="31" spans="1:33" hidden="1" outlineLevel="1">
      <c r="A31" s="105" t="s">
        <v>914</v>
      </c>
      <c r="B31" s="105" t="s">
        <v>946</v>
      </c>
      <c r="C31" s="105" t="s">
        <v>915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9">
        <f t="shared" si="7"/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142">
        <f t="shared" si="4"/>
        <v>0</v>
      </c>
      <c r="AD31" s="141">
        <f t="shared" si="5"/>
        <v>0</v>
      </c>
      <c r="AF31" s="133">
        <v>0</v>
      </c>
      <c r="AG31" s="133">
        <f t="shared" si="2"/>
        <v>0</v>
      </c>
    </row>
    <row r="32" spans="1:33" hidden="1" outlineLevel="1">
      <c r="A32" s="105" t="s">
        <v>916</v>
      </c>
      <c r="B32" s="105" t="s">
        <v>946</v>
      </c>
      <c r="C32" s="105" t="s">
        <v>917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9">
        <f t="shared" si="7"/>
        <v>0</v>
      </c>
      <c r="Q32" s="141">
        <v>0</v>
      </c>
      <c r="R32" s="141">
        <v>0</v>
      </c>
      <c r="S32" s="141">
        <v>0</v>
      </c>
      <c r="T32" s="141">
        <v>0</v>
      </c>
      <c r="U32" s="141">
        <v>0</v>
      </c>
      <c r="V32" s="141">
        <v>0</v>
      </c>
      <c r="W32" s="141">
        <v>0</v>
      </c>
      <c r="X32" s="141">
        <v>0</v>
      </c>
      <c r="Y32" s="141">
        <v>0</v>
      </c>
      <c r="Z32" s="141">
        <v>0</v>
      </c>
      <c r="AA32" s="141">
        <v>0</v>
      </c>
      <c r="AB32" s="141">
        <v>0</v>
      </c>
      <c r="AC32" s="142">
        <f t="shared" si="4"/>
        <v>0</v>
      </c>
      <c r="AD32" s="141">
        <f t="shared" si="5"/>
        <v>0</v>
      </c>
      <c r="AE32" s="192" t="e">
        <f t="shared" si="6"/>
        <v>#DIV/0!</v>
      </c>
      <c r="AF32" s="133">
        <v>0</v>
      </c>
      <c r="AG32" s="133">
        <f t="shared" si="2"/>
        <v>0</v>
      </c>
    </row>
    <row r="33" spans="1:33" hidden="1" outlineLevel="1">
      <c r="A33" s="105" t="s">
        <v>918</v>
      </c>
      <c r="B33" s="105" t="s">
        <v>946</v>
      </c>
      <c r="C33" s="105" t="s">
        <v>919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9">
        <f t="shared" si="7"/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  <c r="AA33" s="141">
        <v>0</v>
      </c>
      <c r="AB33" s="141">
        <v>0</v>
      </c>
      <c r="AC33" s="142">
        <f t="shared" si="4"/>
        <v>0</v>
      </c>
      <c r="AD33" s="141">
        <f t="shared" si="5"/>
        <v>0</v>
      </c>
      <c r="AE33" s="192" t="e">
        <f t="shared" si="6"/>
        <v>#DIV/0!</v>
      </c>
      <c r="AF33" s="133">
        <v>0</v>
      </c>
      <c r="AG33" s="133">
        <f t="shared" si="2"/>
        <v>0</v>
      </c>
    </row>
    <row r="34" spans="1:33" hidden="1" outlineLevel="1">
      <c r="A34" s="105" t="s">
        <v>920</v>
      </c>
      <c r="B34" s="105" t="s">
        <v>946</v>
      </c>
      <c r="C34" s="105" t="s">
        <v>921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9">
        <f t="shared" si="7"/>
        <v>0</v>
      </c>
      <c r="W34" s="141">
        <v>0</v>
      </c>
      <c r="X34" s="141">
        <v>0</v>
      </c>
      <c r="Y34" s="141">
        <v>0</v>
      </c>
      <c r="Z34" s="141">
        <v>0</v>
      </c>
      <c r="AA34" s="141">
        <v>0</v>
      </c>
      <c r="AB34" s="141">
        <v>0</v>
      </c>
      <c r="AC34" s="142">
        <f t="shared" si="4"/>
        <v>0</v>
      </c>
      <c r="AD34" s="141">
        <f t="shared" si="5"/>
        <v>0</v>
      </c>
      <c r="AF34" s="133">
        <v>0</v>
      </c>
      <c r="AG34" s="133">
        <f t="shared" si="2"/>
        <v>0</v>
      </c>
    </row>
    <row r="35" spans="1:33" hidden="1" outlineLevel="1">
      <c r="A35" s="105" t="s">
        <v>922</v>
      </c>
      <c r="B35" s="105" t="s">
        <v>946</v>
      </c>
      <c r="C35" s="105" t="s">
        <v>923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9">
        <f t="shared" si="7"/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142">
        <f t="shared" si="4"/>
        <v>0</v>
      </c>
      <c r="AD35" s="141">
        <f t="shared" si="5"/>
        <v>0</v>
      </c>
      <c r="AE35" s="192" t="e">
        <f t="shared" si="6"/>
        <v>#DIV/0!</v>
      </c>
      <c r="AF35" s="133">
        <v>0</v>
      </c>
      <c r="AG35" s="133">
        <f t="shared" si="2"/>
        <v>0</v>
      </c>
    </row>
    <row r="36" spans="1:33" collapsed="1">
      <c r="A36" s="105" t="s">
        <v>924</v>
      </c>
      <c r="B36" s="105" t="s">
        <v>946</v>
      </c>
      <c r="C36" s="105" t="s">
        <v>925</v>
      </c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9">
        <f t="shared" si="7"/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142">
        <f t="shared" si="4"/>
        <v>0</v>
      </c>
      <c r="AD36" s="141">
        <f t="shared" si="5"/>
        <v>0</v>
      </c>
      <c r="AE36" s="192" t="e">
        <f t="shared" si="6"/>
        <v>#DIV/0!</v>
      </c>
      <c r="AF36" s="133">
        <v>59292.04</v>
      </c>
      <c r="AG36" s="133">
        <f t="shared" si="2"/>
        <v>59292.04</v>
      </c>
    </row>
    <row r="37" spans="1:33">
      <c r="A37" s="105" t="s">
        <v>926</v>
      </c>
      <c r="B37" s="105" t="s">
        <v>946</v>
      </c>
      <c r="C37" s="105" t="s">
        <v>927</v>
      </c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9">
        <f t="shared" si="7"/>
        <v>0</v>
      </c>
      <c r="Q37" s="141">
        <v>23252.080000000002</v>
      </c>
      <c r="R37" s="141">
        <v>104194.95</v>
      </c>
      <c r="S37" s="141">
        <v>2626.6</v>
      </c>
      <c r="T37" s="141">
        <v>-87763.31</v>
      </c>
      <c r="U37" s="141">
        <v>0</v>
      </c>
      <c r="V37" s="141">
        <v>0</v>
      </c>
      <c r="W37" s="141">
        <v>0</v>
      </c>
      <c r="X37" s="141">
        <v>0</v>
      </c>
      <c r="Y37" s="141">
        <v>0</v>
      </c>
      <c r="Z37" s="141">
        <v>0</v>
      </c>
      <c r="AA37" s="141">
        <v>0</v>
      </c>
      <c r="AB37" s="141">
        <v>0</v>
      </c>
      <c r="AC37" s="142">
        <f t="shared" si="4"/>
        <v>42310.320000000007</v>
      </c>
      <c r="AD37" s="141">
        <f t="shared" si="5"/>
        <v>42310.320000000007</v>
      </c>
      <c r="AE37" s="192">
        <f t="shared" si="6"/>
        <v>1</v>
      </c>
      <c r="AF37" s="133">
        <v>41091.300000000003</v>
      </c>
      <c r="AG37" s="133">
        <f t="shared" si="2"/>
        <v>41091.300000000003</v>
      </c>
    </row>
    <row r="38" spans="1:33">
      <c r="A38" s="105" t="s">
        <v>928</v>
      </c>
      <c r="B38" s="105" t="s">
        <v>946</v>
      </c>
      <c r="C38" s="105" t="s">
        <v>929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9">
        <f t="shared" si="7"/>
        <v>0</v>
      </c>
      <c r="W38" s="141">
        <v>0</v>
      </c>
      <c r="X38" s="141">
        <v>0</v>
      </c>
      <c r="Y38" s="141">
        <v>0</v>
      </c>
      <c r="Z38" s="141">
        <v>0</v>
      </c>
      <c r="AA38" s="141">
        <v>0</v>
      </c>
      <c r="AB38" s="141">
        <v>0</v>
      </c>
      <c r="AC38" s="142">
        <f t="shared" si="4"/>
        <v>0</v>
      </c>
      <c r="AD38" s="141">
        <f t="shared" si="5"/>
        <v>0</v>
      </c>
      <c r="AF38" s="133">
        <v>0</v>
      </c>
      <c r="AG38" s="133">
        <f t="shared" si="2"/>
        <v>0</v>
      </c>
    </row>
    <row r="39" spans="1:33">
      <c r="A39" s="105" t="s">
        <v>930</v>
      </c>
      <c r="B39" s="105" t="s">
        <v>946</v>
      </c>
      <c r="C39" s="105" t="s">
        <v>931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9">
        <f t="shared" si="7"/>
        <v>0</v>
      </c>
      <c r="W39" s="141">
        <v>0</v>
      </c>
      <c r="X39" s="141">
        <v>0</v>
      </c>
      <c r="Y39" s="141">
        <v>0</v>
      </c>
      <c r="Z39" s="141">
        <v>0</v>
      </c>
      <c r="AA39" s="141">
        <v>0</v>
      </c>
      <c r="AB39" s="141">
        <v>0</v>
      </c>
      <c r="AC39" s="142">
        <f t="shared" si="4"/>
        <v>0</v>
      </c>
      <c r="AD39" s="141">
        <f t="shared" si="5"/>
        <v>0</v>
      </c>
      <c r="AF39" s="133">
        <v>0</v>
      </c>
      <c r="AG39" s="133">
        <f t="shared" si="2"/>
        <v>0</v>
      </c>
    </row>
    <row r="40" spans="1:33">
      <c r="A40" s="105" t="s">
        <v>932</v>
      </c>
      <c r="B40" s="105" t="s">
        <v>946</v>
      </c>
      <c r="C40" s="105" t="s">
        <v>933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9">
        <f t="shared" si="7"/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41">
        <v>0</v>
      </c>
      <c r="W40" s="141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142">
        <f t="shared" si="4"/>
        <v>0</v>
      </c>
      <c r="AD40" s="141">
        <f t="shared" si="5"/>
        <v>0</v>
      </c>
      <c r="AE40" s="192" t="e">
        <f t="shared" si="6"/>
        <v>#DIV/0!</v>
      </c>
      <c r="AF40" s="133">
        <v>0</v>
      </c>
      <c r="AG40" s="133">
        <f t="shared" si="2"/>
        <v>0</v>
      </c>
    </row>
    <row r="41" spans="1:33">
      <c r="A41" s="105" t="s">
        <v>698</v>
      </c>
      <c r="B41" s="105" t="s">
        <v>946</v>
      </c>
      <c r="C41" s="105" t="s">
        <v>222</v>
      </c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9">
        <f t="shared" si="7"/>
        <v>0</v>
      </c>
      <c r="Q41" s="141">
        <v>0</v>
      </c>
      <c r="R41" s="141">
        <v>0</v>
      </c>
      <c r="S41" s="141">
        <v>0</v>
      </c>
      <c r="T41" s="141">
        <v>0</v>
      </c>
      <c r="U41" s="141">
        <v>350</v>
      </c>
      <c r="V41" s="141">
        <v>0</v>
      </c>
      <c r="W41" s="141">
        <v>0</v>
      </c>
      <c r="X41" s="141">
        <v>0</v>
      </c>
      <c r="Y41" s="141">
        <v>0</v>
      </c>
      <c r="Z41" s="141">
        <v>0</v>
      </c>
      <c r="AA41" s="141">
        <v>0</v>
      </c>
      <c r="AB41" s="141">
        <v>0</v>
      </c>
      <c r="AC41" s="142">
        <f t="shared" si="4"/>
        <v>350</v>
      </c>
      <c r="AD41" s="141">
        <f t="shared" si="5"/>
        <v>350</v>
      </c>
      <c r="AE41" s="192">
        <f t="shared" si="6"/>
        <v>1</v>
      </c>
      <c r="AF41" s="133">
        <v>7008.08</v>
      </c>
      <c r="AG41" s="133">
        <f t="shared" si="2"/>
        <v>7008.08</v>
      </c>
    </row>
    <row r="42" spans="1:33" s="109" customFormat="1">
      <c r="C42" s="109" t="s">
        <v>867</v>
      </c>
      <c r="D42" s="129">
        <f t="shared" ref="D42:AC42" si="8">SUM(D12:D41)</f>
        <v>2244</v>
      </c>
      <c r="E42" s="129">
        <f t="shared" si="8"/>
        <v>6239</v>
      </c>
      <c r="F42" s="129">
        <f t="shared" si="8"/>
        <v>1240</v>
      </c>
      <c r="G42" s="129">
        <f t="shared" si="8"/>
        <v>1241</v>
      </c>
      <c r="H42" s="129">
        <f t="shared" si="8"/>
        <v>1243</v>
      </c>
      <c r="I42" s="129">
        <f t="shared" si="8"/>
        <v>1240</v>
      </c>
      <c r="J42" s="129">
        <f t="shared" si="8"/>
        <v>1244</v>
      </c>
      <c r="K42" s="129">
        <f t="shared" si="8"/>
        <v>1243</v>
      </c>
      <c r="L42" s="129">
        <f t="shared" si="8"/>
        <v>1242</v>
      </c>
      <c r="M42" s="129">
        <f t="shared" si="8"/>
        <v>2249</v>
      </c>
      <c r="N42" s="129">
        <f t="shared" si="8"/>
        <v>2242</v>
      </c>
      <c r="O42" s="129">
        <f t="shared" si="8"/>
        <v>5242</v>
      </c>
      <c r="P42" s="129">
        <f t="shared" si="8"/>
        <v>26909</v>
      </c>
      <c r="Q42" s="142">
        <f t="shared" si="8"/>
        <v>55883.72</v>
      </c>
      <c r="R42" s="142">
        <f t="shared" si="8"/>
        <v>131295.63</v>
      </c>
      <c r="S42" s="142">
        <f t="shared" si="8"/>
        <v>24415.599999999999</v>
      </c>
      <c r="T42" s="142">
        <f t="shared" si="8"/>
        <v>-75353.279999999999</v>
      </c>
      <c r="U42" s="142">
        <f t="shared" si="8"/>
        <v>22858.160000000003</v>
      </c>
      <c r="V42" s="142">
        <f t="shared" si="8"/>
        <v>20271.5</v>
      </c>
      <c r="W42" s="142">
        <f t="shared" si="8"/>
        <v>21768.61</v>
      </c>
      <c r="X42" s="142">
        <f t="shared" si="8"/>
        <v>21102.27</v>
      </c>
      <c r="Y42" s="142">
        <f t="shared" si="8"/>
        <v>3337.1800000000003</v>
      </c>
      <c r="Z42" s="142">
        <f t="shared" si="8"/>
        <v>3342.1800000000003</v>
      </c>
      <c r="AA42" s="142">
        <f t="shared" si="8"/>
        <v>3334.1800000000003</v>
      </c>
      <c r="AB42" s="142">
        <f t="shared" si="8"/>
        <v>3335.1800000000003</v>
      </c>
      <c r="AC42" s="142">
        <f t="shared" si="8"/>
        <v>235590.93</v>
      </c>
      <c r="AD42" s="142">
        <f t="shared" si="5"/>
        <v>208681.93</v>
      </c>
      <c r="AE42" s="132">
        <f t="shared" si="6"/>
        <v>0.88578083205495217</v>
      </c>
      <c r="AF42" s="133">
        <v>259467.12999999998</v>
      </c>
      <c r="AG42" s="133">
        <f t="shared" si="2"/>
        <v>232558.12999999998</v>
      </c>
    </row>
    <row r="43" spans="1:33" s="109" customFormat="1">
      <c r="C43" s="109" t="s">
        <v>868</v>
      </c>
      <c r="D43" s="129">
        <f t="shared" ref="D43:AC43" si="9">D42+D78</f>
        <v>67716.44</v>
      </c>
      <c r="E43" s="129">
        <f t="shared" si="9"/>
        <v>68711.959999999992</v>
      </c>
      <c r="F43" s="129">
        <f t="shared" si="9"/>
        <v>64062.259999999995</v>
      </c>
      <c r="G43" s="129">
        <f t="shared" si="9"/>
        <v>71765.260000000009</v>
      </c>
      <c r="H43" s="129">
        <f t="shared" si="9"/>
        <v>70997.279999999999</v>
      </c>
      <c r="I43" s="129">
        <f t="shared" si="9"/>
        <v>70482.98000000001</v>
      </c>
      <c r="J43" s="129">
        <f t="shared" si="9"/>
        <v>70709.850000000006</v>
      </c>
      <c r="K43" s="129">
        <f t="shared" si="9"/>
        <v>70687.33</v>
      </c>
      <c r="L43" s="129">
        <f t="shared" si="9"/>
        <v>77163.47</v>
      </c>
      <c r="M43" s="129">
        <f t="shared" si="9"/>
        <v>81734.359999999986</v>
      </c>
      <c r="N43" s="129">
        <f t="shared" si="9"/>
        <v>78064.479999999996</v>
      </c>
      <c r="O43" s="129">
        <f t="shared" si="9"/>
        <v>80994.959999999992</v>
      </c>
      <c r="P43" s="129">
        <f t="shared" si="9"/>
        <v>873090.63000000012</v>
      </c>
      <c r="Q43" s="142">
        <f t="shared" si="9"/>
        <v>128028.48000000001</v>
      </c>
      <c r="R43" s="142">
        <f t="shared" si="9"/>
        <v>204757.34</v>
      </c>
      <c r="S43" s="142">
        <f t="shared" si="9"/>
        <v>100637.45999999999</v>
      </c>
      <c r="T43" s="142">
        <f t="shared" si="9"/>
        <v>-2773.1300000000047</v>
      </c>
      <c r="U43" s="142">
        <f t="shared" si="9"/>
        <v>93682.510000000009</v>
      </c>
      <c r="V43" s="142">
        <f t="shared" si="9"/>
        <v>84643.07</v>
      </c>
      <c r="W43" s="142">
        <f t="shared" si="9"/>
        <v>85585.010000000009</v>
      </c>
      <c r="X43" s="142">
        <f t="shared" si="9"/>
        <v>81817.650000000009</v>
      </c>
      <c r="Y43" s="142">
        <f t="shared" si="9"/>
        <v>83041.179999999993</v>
      </c>
      <c r="Z43" s="142">
        <f t="shared" si="9"/>
        <v>83600.179999999993</v>
      </c>
      <c r="AA43" s="142">
        <f t="shared" si="9"/>
        <v>83114.179999999993</v>
      </c>
      <c r="AB43" s="142">
        <f t="shared" si="9"/>
        <v>83215.179999999993</v>
      </c>
      <c r="AC43" s="142">
        <f t="shared" si="9"/>
        <v>1109349.1099999999</v>
      </c>
      <c r="AD43" s="142">
        <f t="shared" si="5"/>
        <v>236258.47999999975</v>
      </c>
      <c r="AE43" s="132">
        <f t="shared" si="6"/>
        <v>0.2129703606108268</v>
      </c>
      <c r="AF43" s="133">
        <v>896254.0199999999</v>
      </c>
      <c r="AG43" s="133">
        <f t="shared" si="2"/>
        <v>23163.389999999781</v>
      </c>
    </row>
    <row r="44" spans="1:33">
      <c r="C44" s="105" t="s">
        <v>154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9"/>
      <c r="X44" s="141"/>
      <c r="Y44" s="141"/>
      <c r="Z44" s="141"/>
      <c r="AA44" s="141"/>
      <c r="AB44" s="141"/>
      <c r="AC44" s="142"/>
      <c r="AD44" s="141"/>
      <c r="AF44" s="133"/>
      <c r="AG44" s="133">
        <f t="shared" si="2"/>
        <v>0</v>
      </c>
    </row>
    <row r="45" spans="1:33">
      <c r="C45" s="105" t="s">
        <v>869</v>
      </c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9"/>
      <c r="X45" s="141"/>
      <c r="Y45" s="141"/>
      <c r="Z45" s="141"/>
      <c r="AA45" s="141"/>
      <c r="AB45" s="141"/>
      <c r="AC45" s="142"/>
      <c r="AD45" s="141"/>
      <c r="AF45" s="133"/>
      <c r="AG45" s="133">
        <f t="shared" si="2"/>
        <v>0</v>
      </c>
    </row>
    <row r="46" spans="1:33">
      <c r="C46" s="105" t="s">
        <v>465</v>
      </c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9"/>
      <c r="X46" s="141"/>
      <c r="Y46" s="141"/>
      <c r="Z46" s="141"/>
      <c r="AA46" s="141"/>
      <c r="AB46" s="141"/>
      <c r="AC46" s="142"/>
      <c r="AD46" s="141"/>
      <c r="AF46" s="133"/>
      <c r="AG46" s="133">
        <f t="shared" si="2"/>
        <v>0</v>
      </c>
    </row>
    <row r="47" spans="1:33">
      <c r="A47" s="105" t="s">
        <v>248</v>
      </c>
      <c r="B47" s="105" t="s">
        <v>946</v>
      </c>
      <c r="C47" s="105" t="s">
        <v>250</v>
      </c>
      <c r="D47" s="293">
        <v>27102.5</v>
      </c>
      <c r="E47" s="124">
        <v>27102.5</v>
      </c>
      <c r="F47" s="124">
        <v>27238.01</v>
      </c>
      <c r="G47" s="124">
        <v>27238.01</v>
      </c>
      <c r="H47" s="124">
        <v>27238.01</v>
      </c>
      <c r="I47" s="124">
        <v>27238.01</v>
      </c>
      <c r="J47" s="124">
        <v>28353.56</v>
      </c>
      <c r="K47" s="124">
        <v>28353.56</v>
      </c>
      <c r="L47" s="124">
        <v>33709.31</v>
      </c>
      <c r="M47" s="124">
        <v>33709.31</v>
      </c>
      <c r="N47" s="124">
        <v>33709.31</v>
      </c>
      <c r="O47" s="124">
        <v>33709.31</v>
      </c>
      <c r="P47" s="129">
        <f>SUM(D47:O47)</f>
        <v>354701.4</v>
      </c>
      <c r="Q47" s="141">
        <v>29300</v>
      </c>
      <c r="R47" s="141">
        <v>29300</v>
      </c>
      <c r="S47" s="141">
        <v>29300</v>
      </c>
      <c r="T47" s="141">
        <v>29300</v>
      </c>
      <c r="U47" s="141">
        <v>29300</v>
      </c>
      <c r="V47" s="141">
        <v>29148.27</v>
      </c>
      <c r="W47" s="141">
        <v>29300</v>
      </c>
      <c r="X47" s="141">
        <v>29300</v>
      </c>
      <c r="Y47" s="141">
        <v>29923</v>
      </c>
      <c r="Z47" s="141">
        <v>29923</v>
      </c>
      <c r="AA47" s="141">
        <v>29923</v>
      </c>
      <c r="AB47" s="141">
        <v>29923</v>
      </c>
      <c r="AC47" s="142">
        <f>SUM(Q47:AB47)</f>
        <v>353940.27</v>
      </c>
      <c r="AD47" s="141">
        <f>AC47-P47</f>
        <v>-761.13000000000466</v>
      </c>
      <c r="AE47" s="192">
        <f>AD47/AC47</f>
        <v>-2.1504475882329088E-3</v>
      </c>
      <c r="AF47" s="133">
        <v>315749.34999999992</v>
      </c>
      <c r="AG47" s="133">
        <f t="shared" si="2"/>
        <v>-38952.050000000105</v>
      </c>
    </row>
    <row r="48" spans="1:33">
      <c r="A48" s="105" t="s">
        <v>251</v>
      </c>
      <c r="B48" s="105" t="s">
        <v>946</v>
      </c>
      <c r="C48" s="105" t="s">
        <v>468</v>
      </c>
      <c r="D48" s="293">
        <v>3311.9999999999995</v>
      </c>
      <c r="E48" s="124">
        <v>3311.9999999999995</v>
      </c>
      <c r="F48" s="124">
        <v>3477.6</v>
      </c>
      <c r="G48" s="124">
        <v>6955.2</v>
      </c>
      <c r="H48" s="124">
        <v>6955.2</v>
      </c>
      <c r="I48" s="124">
        <v>6955.2</v>
      </c>
      <c r="J48" s="124">
        <v>6955.2</v>
      </c>
      <c r="K48" s="124">
        <v>6955.2</v>
      </c>
      <c r="L48" s="124">
        <v>6955.2</v>
      </c>
      <c r="M48" s="124">
        <v>6955.2</v>
      </c>
      <c r="N48" s="124">
        <v>6955.2</v>
      </c>
      <c r="O48" s="124">
        <v>6955.2</v>
      </c>
      <c r="P48" s="129">
        <f>SUM(D48:O48)</f>
        <v>72698.399999999994</v>
      </c>
      <c r="Q48" s="141">
        <v>6400</v>
      </c>
      <c r="R48" s="141">
        <v>6105.74</v>
      </c>
      <c r="S48" s="141">
        <v>7200</v>
      </c>
      <c r="T48" s="141">
        <v>7181.61</v>
      </c>
      <c r="U48" s="141">
        <v>6648.27</v>
      </c>
      <c r="V48" s="141">
        <v>2500.4699999999998</v>
      </c>
      <c r="W48" s="141">
        <v>3598.43</v>
      </c>
      <c r="X48" s="141">
        <v>2333.33</v>
      </c>
      <c r="Y48" s="141">
        <v>16545</v>
      </c>
      <c r="Z48" s="141">
        <v>16545</v>
      </c>
      <c r="AA48" s="141">
        <v>16545</v>
      </c>
      <c r="AB48" s="141">
        <v>16545</v>
      </c>
      <c r="AC48" s="142">
        <f>SUM(Q48:AB48)</f>
        <v>108147.85</v>
      </c>
      <c r="AD48" s="141">
        <f>AC48-P48</f>
        <v>35449.450000000012</v>
      </c>
      <c r="AE48" s="192">
        <f>AD48/AC48</f>
        <v>0.32778691393310183</v>
      </c>
      <c r="AF48" s="133">
        <v>34579.31</v>
      </c>
      <c r="AG48" s="133">
        <f t="shared" si="2"/>
        <v>-38119.089999999997</v>
      </c>
    </row>
    <row r="49" spans="1:33" s="109" customFormat="1">
      <c r="C49" s="109" t="s">
        <v>471</v>
      </c>
      <c r="D49" s="129">
        <f t="shared" ref="D49:AC49" si="10">SUM(D47:D48)</f>
        <v>30414.5</v>
      </c>
      <c r="E49" s="129">
        <f t="shared" si="10"/>
        <v>30414.5</v>
      </c>
      <c r="F49" s="129">
        <f t="shared" si="10"/>
        <v>30715.609999999997</v>
      </c>
      <c r="G49" s="129">
        <f t="shared" si="10"/>
        <v>34193.21</v>
      </c>
      <c r="H49" s="129">
        <f t="shared" si="10"/>
        <v>34193.21</v>
      </c>
      <c r="I49" s="129">
        <f t="shared" si="10"/>
        <v>34193.21</v>
      </c>
      <c r="J49" s="129">
        <f t="shared" si="10"/>
        <v>35308.76</v>
      </c>
      <c r="K49" s="129">
        <f t="shared" si="10"/>
        <v>35308.76</v>
      </c>
      <c r="L49" s="129">
        <f t="shared" si="10"/>
        <v>40664.509999999995</v>
      </c>
      <c r="M49" s="129">
        <f t="shared" si="10"/>
        <v>40664.509999999995</v>
      </c>
      <c r="N49" s="129">
        <f t="shared" si="10"/>
        <v>40664.509999999995</v>
      </c>
      <c r="O49" s="129">
        <f t="shared" si="10"/>
        <v>40664.509999999995</v>
      </c>
      <c r="P49" s="129">
        <f t="shared" si="10"/>
        <v>427399.80000000005</v>
      </c>
      <c r="Q49" s="142">
        <f t="shared" si="10"/>
        <v>35700</v>
      </c>
      <c r="R49" s="142">
        <f t="shared" si="10"/>
        <v>35405.74</v>
      </c>
      <c r="S49" s="142">
        <f t="shared" si="10"/>
        <v>36500</v>
      </c>
      <c r="T49" s="142">
        <f t="shared" si="10"/>
        <v>36481.61</v>
      </c>
      <c r="U49" s="142">
        <f t="shared" si="10"/>
        <v>35948.270000000004</v>
      </c>
      <c r="V49" s="142">
        <f t="shared" si="10"/>
        <v>31648.74</v>
      </c>
      <c r="W49" s="142">
        <f t="shared" si="10"/>
        <v>32898.43</v>
      </c>
      <c r="X49" s="142">
        <f t="shared" si="10"/>
        <v>31633.33</v>
      </c>
      <c r="Y49" s="142">
        <f t="shared" si="10"/>
        <v>46468</v>
      </c>
      <c r="Z49" s="142">
        <f t="shared" si="10"/>
        <v>46468</v>
      </c>
      <c r="AA49" s="142">
        <f t="shared" si="10"/>
        <v>46468</v>
      </c>
      <c r="AB49" s="142">
        <f t="shared" si="10"/>
        <v>46468</v>
      </c>
      <c r="AC49" s="142">
        <f t="shared" si="10"/>
        <v>462088.12</v>
      </c>
      <c r="AD49" s="142">
        <f>AC49-P49</f>
        <v>34688.319999999949</v>
      </c>
      <c r="AE49" s="132">
        <f>AD49/AC49</f>
        <v>7.5068625438801481E-2</v>
      </c>
      <c r="AF49" s="133">
        <v>350328.65999999992</v>
      </c>
      <c r="AG49" s="133">
        <f t="shared" si="2"/>
        <v>-77071.14000000013</v>
      </c>
    </row>
    <row r="50" spans="1:33"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9"/>
      <c r="X50" s="141"/>
      <c r="Y50" s="141"/>
      <c r="Z50" s="141"/>
      <c r="AA50" s="141"/>
      <c r="AB50" s="141"/>
      <c r="AC50" s="142"/>
      <c r="AD50" s="141"/>
      <c r="AF50" s="133"/>
      <c r="AG50" s="133">
        <f t="shared" si="2"/>
        <v>0</v>
      </c>
    </row>
    <row r="51" spans="1:33">
      <c r="A51" s="105" t="s">
        <v>870</v>
      </c>
      <c r="B51" s="105" t="s">
        <v>946</v>
      </c>
      <c r="C51" s="105" t="s">
        <v>260</v>
      </c>
      <c r="D51" s="293">
        <v>1834.48</v>
      </c>
      <c r="E51" s="293">
        <v>0</v>
      </c>
      <c r="F51" s="293">
        <v>0</v>
      </c>
      <c r="G51" s="293">
        <v>1213.79</v>
      </c>
      <c r="H51" s="293">
        <v>0</v>
      </c>
      <c r="I51" s="293">
        <v>0</v>
      </c>
      <c r="J51" s="293">
        <v>0</v>
      </c>
      <c r="K51" s="293">
        <v>0</v>
      </c>
      <c r="L51" s="293">
        <v>0</v>
      </c>
      <c r="M51" s="293">
        <v>2621.37</v>
      </c>
      <c r="N51" s="293">
        <v>0</v>
      </c>
      <c r="O51" s="293">
        <v>0</v>
      </c>
      <c r="P51" s="129">
        <f>SUM(D51:O51)</f>
        <v>5669.6399999999994</v>
      </c>
      <c r="Q51" s="141">
        <v>0</v>
      </c>
      <c r="R51" s="141">
        <v>0</v>
      </c>
      <c r="S51" s="141">
        <v>0</v>
      </c>
      <c r="T51" s="141">
        <v>0</v>
      </c>
      <c r="U51" s="141">
        <v>910.35</v>
      </c>
      <c r="V51" s="141">
        <v>0</v>
      </c>
      <c r="W51" s="141">
        <v>0</v>
      </c>
      <c r="X51" s="141">
        <v>0</v>
      </c>
      <c r="Y51" s="141">
        <v>0</v>
      </c>
      <c r="Z51" s="141">
        <v>0</v>
      </c>
      <c r="AA51" s="141">
        <v>0</v>
      </c>
      <c r="AB51" s="141">
        <v>0</v>
      </c>
      <c r="AC51" s="142">
        <f>SUM(Q51:AB51)</f>
        <v>910.35</v>
      </c>
      <c r="AD51" s="141">
        <f t="shared" ref="AD51:AD56" si="11">AC51-P51</f>
        <v>-4759.2899999999991</v>
      </c>
      <c r="AE51" s="192">
        <f t="shared" ref="AE51:AE56" si="12">AD51/AC51</f>
        <v>-5.2279782501235781</v>
      </c>
      <c r="AF51" s="133">
        <v>0</v>
      </c>
      <c r="AG51" s="133">
        <f t="shared" si="2"/>
        <v>-5669.6399999999994</v>
      </c>
    </row>
    <row r="52" spans="1:33">
      <c r="A52" s="105" t="s">
        <v>120</v>
      </c>
      <c r="B52" s="105" t="s">
        <v>946</v>
      </c>
      <c r="C52" s="105" t="s">
        <v>261</v>
      </c>
      <c r="D52" s="293">
        <v>5683.34</v>
      </c>
      <c r="E52" s="293">
        <v>5683.34</v>
      </c>
      <c r="F52" s="293">
        <v>5683.34</v>
      </c>
      <c r="G52" s="293">
        <v>6483.34</v>
      </c>
      <c r="H52" s="293">
        <v>6483.34</v>
      </c>
      <c r="I52" s="293">
        <v>6483.34</v>
      </c>
      <c r="J52" s="293">
        <v>6683.34</v>
      </c>
      <c r="K52" s="293">
        <v>6683.34</v>
      </c>
      <c r="L52" s="293">
        <v>7516.67</v>
      </c>
      <c r="M52" s="293">
        <v>7516.67</v>
      </c>
      <c r="N52" s="293">
        <v>7516.67</v>
      </c>
      <c r="O52" s="293">
        <v>7516.67</v>
      </c>
      <c r="P52" s="129">
        <f>SUM(D52:O52)</f>
        <v>79933.399999999994</v>
      </c>
      <c r="Q52" s="141">
        <v>8895.61</v>
      </c>
      <c r="R52" s="141">
        <v>8899.42</v>
      </c>
      <c r="S52" s="141">
        <v>9139.43</v>
      </c>
      <c r="T52" s="141">
        <v>6077.39</v>
      </c>
      <c r="U52" s="141">
        <v>6081.2</v>
      </c>
      <c r="V52" s="141">
        <v>6074.25</v>
      </c>
      <c r="W52" s="141">
        <v>6006.06</v>
      </c>
      <c r="X52" s="141">
        <v>5487.71</v>
      </c>
      <c r="Y52" s="141">
        <v>6078</v>
      </c>
      <c r="Z52" s="141">
        <v>6078</v>
      </c>
      <c r="AA52" s="141">
        <v>6078</v>
      </c>
      <c r="AB52" s="141">
        <v>6078</v>
      </c>
      <c r="AC52" s="142">
        <f>SUM(Q52:AB52)</f>
        <v>80973.069999999992</v>
      </c>
      <c r="AD52" s="141">
        <f t="shared" si="11"/>
        <v>1039.6699999999983</v>
      </c>
      <c r="AE52" s="192">
        <f t="shared" si="12"/>
        <v>1.2839700903028604E-2</v>
      </c>
      <c r="AF52" s="133">
        <v>79725.119999999995</v>
      </c>
      <c r="AG52" s="133">
        <f t="shared" si="2"/>
        <v>-208.27999999999884</v>
      </c>
    </row>
    <row r="53" spans="1:33">
      <c r="A53" s="105" t="s">
        <v>871</v>
      </c>
      <c r="B53" s="105" t="s">
        <v>946</v>
      </c>
      <c r="C53" s="105" t="s">
        <v>262</v>
      </c>
      <c r="D53" s="293">
        <v>1890</v>
      </c>
      <c r="E53" s="293">
        <v>1890</v>
      </c>
      <c r="F53" s="293">
        <v>1890</v>
      </c>
      <c r="G53" s="293">
        <v>2220</v>
      </c>
      <c r="H53" s="293">
        <v>2220</v>
      </c>
      <c r="I53" s="293">
        <v>2220</v>
      </c>
      <c r="J53" s="293">
        <v>1820</v>
      </c>
      <c r="K53" s="293">
        <v>1820</v>
      </c>
      <c r="L53" s="293">
        <v>1820</v>
      </c>
      <c r="M53" s="293">
        <v>1820</v>
      </c>
      <c r="N53" s="293">
        <v>1820</v>
      </c>
      <c r="O53" s="293">
        <v>1820</v>
      </c>
      <c r="P53" s="129">
        <f>SUM(D53:O53)</f>
        <v>23250</v>
      </c>
      <c r="Q53" s="141">
        <v>2220</v>
      </c>
      <c r="R53" s="141">
        <v>1997.24</v>
      </c>
      <c r="S53" s="141">
        <v>2208.62</v>
      </c>
      <c r="T53" s="141">
        <v>2097.33</v>
      </c>
      <c r="U53" s="141">
        <v>2187</v>
      </c>
      <c r="V53" s="141">
        <v>1881.76</v>
      </c>
      <c r="W53" s="141">
        <v>1684.5</v>
      </c>
      <c r="X53" s="141">
        <v>1604.84</v>
      </c>
      <c r="Y53" s="141">
        <v>2650</v>
      </c>
      <c r="Z53" s="141">
        <v>2650</v>
      </c>
      <c r="AA53" s="141">
        <v>2750</v>
      </c>
      <c r="AB53" s="141">
        <v>2850</v>
      </c>
      <c r="AC53" s="142">
        <f>SUM(Q53:AB53)</f>
        <v>26781.29</v>
      </c>
      <c r="AD53" s="141">
        <f t="shared" si="11"/>
        <v>3531.2900000000009</v>
      </c>
      <c r="AE53" s="192">
        <f t="shared" si="12"/>
        <v>0.13185660586177891</v>
      </c>
      <c r="AF53" s="133">
        <v>2700</v>
      </c>
      <c r="AG53" s="133">
        <f t="shared" si="2"/>
        <v>-20550</v>
      </c>
    </row>
    <row r="54" spans="1:33">
      <c r="A54" s="105" t="s">
        <v>872</v>
      </c>
      <c r="B54" s="105" t="s">
        <v>946</v>
      </c>
      <c r="C54" s="105" t="s">
        <v>263</v>
      </c>
      <c r="D54" s="293">
        <v>0</v>
      </c>
      <c r="E54" s="293">
        <v>0</v>
      </c>
      <c r="F54" s="293">
        <v>0</v>
      </c>
      <c r="G54" s="293">
        <v>0</v>
      </c>
      <c r="H54" s="293">
        <v>0</v>
      </c>
      <c r="I54" s="293">
        <v>0</v>
      </c>
      <c r="J54" s="293">
        <v>0</v>
      </c>
      <c r="K54" s="293">
        <v>0</v>
      </c>
      <c r="L54" s="293">
        <v>0</v>
      </c>
      <c r="M54" s="293">
        <v>0</v>
      </c>
      <c r="N54" s="293">
        <v>0</v>
      </c>
      <c r="O54" s="293">
        <v>0</v>
      </c>
      <c r="P54" s="129">
        <f>SUM(D54:O54)</f>
        <v>0</v>
      </c>
      <c r="Q54" s="141">
        <v>0</v>
      </c>
      <c r="R54" s="141">
        <v>0</v>
      </c>
      <c r="S54" s="141">
        <v>0</v>
      </c>
      <c r="T54" s="141">
        <v>0</v>
      </c>
      <c r="U54" s="141">
        <v>0</v>
      </c>
      <c r="V54" s="141">
        <v>0</v>
      </c>
      <c r="W54" s="141">
        <v>0</v>
      </c>
      <c r="X54" s="141">
        <v>0</v>
      </c>
      <c r="Y54" s="141">
        <v>0</v>
      </c>
      <c r="Z54" s="141">
        <v>0</v>
      </c>
      <c r="AA54" s="141">
        <v>0</v>
      </c>
      <c r="AB54" s="141">
        <v>0</v>
      </c>
      <c r="AC54" s="142">
        <f>SUM(Q54:AB54)</f>
        <v>0</v>
      </c>
      <c r="AD54" s="141">
        <f t="shared" si="11"/>
        <v>0</v>
      </c>
      <c r="AE54" s="192" t="e">
        <f t="shared" si="12"/>
        <v>#DIV/0!</v>
      </c>
      <c r="AF54" s="133">
        <v>0</v>
      </c>
      <c r="AG54" s="133">
        <f t="shared" si="2"/>
        <v>0</v>
      </c>
    </row>
    <row r="55" spans="1:33">
      <c r="A55" s="105" t="s">
        <v>873</v>
      </c>
      <c r="B55" s="105" t="s">
        <v>946</v>
      </c>
      <c r="C55" s="105" t="s">
        <v>264</v>
      </c>
      <c r="D55" s="293">
        <v>0</v>
      </c>
      <c r="E55" s="293">
        <v>0</v>
      </c>
      <c r="F55" s="293">
        <v>0</v>
      </c>
      <c r="G55" s="293">
        <v>0</v>
      </c>
      <c r="H55" s="293">
        <v>0</v>
      </c>
      <c r="I55" s="293">
        <v>0</v>
      </c>
      <c r="J55" s="293">
        <v>0</v>
      </c>
      <c r="K55" s="293">
        <v>0</v>
      </c>
      <c r="L55" s="293">
        <v>0</v>
      </c>
      <c r="M55" s="293">
        <v>0</v>
      </c>
      <c r="N55" s="293">
        <v>0</v>
      </c>
      <c r="O55" s="293">
        <v>0</v>
      </c>
      <c r="P55" s="129">
        <f>SUM(D55:O55)</f>
        <v>0</v>
      </c>
      <c r="Q55" s="141">
        <v>0</v>
      </c>
      <c r="R55" s="141">
        <v>0</v>
      </c>
      <c r="S55" s="141">
        <v>0</v>
      </c>
      <c r="T55" s="141">
        <v>0</v>
      </c>
      <c r="U55" s="141">
        <v>0</v>
      </c>
      <c r="V55" s="141">
        <v>0</v>
      </c>
      <c r="W55" s="141">
        <v>0</v>
      </c>
      <c r="X55" s="141">
        <v>0</v>
      </c>
      <c r="Y55" s="141">
        <v>0</v>
      </c>
      <c r="Z55" s="141">
        <v>0</v>
      </c>
      <c r="AA55" s="141">
        <v>0</v>
      </c>
      <c r="AB55" s="141">
        <v>0</v>
      </c>
      <c r="AC55" s="142">
        <f>SUM(Q55:AB55)</f>
        <v>0</v>
      </c>
      <c r="AD55" s="141">
        <f t="shared" si="11"/>
        <v>0</v>
      </c>
      <c r="AE55" s="192" t="e">
        <f t="shared" si="12"/>
        <v>#DIV/0!</v>
      </c>
      <c r="AF55" s="133">
        <v>0</v>
      </c>
      <c r="AG55" s="133">
        <f t="shared" si="2"/>
        <v>0</v>
      </c>
    </row>
    <row r="56" spans="1:33" s="109" customFormat="1">
      <c r="C56" s="109" t="s">
        <v>265</v>
      </c>
      <c r="D56" s="129">
        <f t="shared" ref="D56:AC56" si="13">SUM(D51:D55)</f>
        <v>9407.82</v>
      </c>
      <c r="E56" s="129">
        <f t="shared" si="13"/>
        <v>7573.34</v>
      </c>
      <c r="F56" s="129">
        <f t="shared" si="13"/>
        <v>7573.34</v>
      </c>
      <c r="G56" s="129">
        <f t="shared" si="13"/>
        <v>9917.130000000001</v>
      </c>
      <c r="H56" s="129">
        <f t="shared" si="13"/>
        <v>8703.34</v>
      </c>
      <c r="I56" s="129">
        <f t="shared" si="13"/>
        <v>8703.34</v>
      </c>
      <c r="J56" s="129">
        <f t="shared" si="13"/>
        <v>8503.34</v>
      </c>
      <c r="K56" s="129">
        <f t="shared" si="13"/>
        <v>8503.34</v>
      </c>
      <c r="L56" s="129">
        <f t="shared" si="13"/>
        <v>9336.67</v>
      </c>
      <c r="M56" s="129">
        <f t="shared" si="13"/>
        <v>11958.04</v>
      </c>
      <c r="N56" s="129">
        <f t="shared" si="13"/>
        <v>9336.67</v>
      </c>
      <c r="O56" s="129">
        <f t="shared" si="13"/>
        <v>9336.67</v>
      </c>
      <c r="P56" s="129">
        <f t="shared" si="13"/>
        <v>108853.04</v>
      </c>
      <c r="Q56" s="142">
        <f t="shared" si="13"/>
        <v>11115.61</v>
      </c>
      <c r="R56" s="142">
        <f t="shared" si="13"/>
        <v>10896.66</v>
      </c>
      <c r="S56" s="142">
        <f t="shared" si="13"/>
        <v>11348.05</v>
      </c>
      <c r="T56" s="142">
        <f t="shared" si="13"/>
        <v>8174.72</v>
      </c>
      <c r="U56" s="142">
        <f t="shared" si="13"/>
        <v>9178.5499999999993</v>
      </c>
      <c r="V56" s="142">
        <f t="shared" si="13"/>
        <v>7956.01</v>
      </c>
      <c r="W56" s="142">
        <f t="shared" si="13"/>
        <v>7690.56</v>
      </c>
      <c r="X56" s="142">
        <f t="shared" si="13"/>
        <v>7092.55</v>
      </c>
      <c r="Y56" s="142">
        <f t="shared" si="13"/>
        <v>8728</v>
      </c>
      <c r="Z56" s="142">
        <f t="shared" si="13"/>
        <v>8728</v>
      </c>
      <c r="AA56" s="142">
        <f t="shared" si="13"/>
        <v>8828</v>
      </c>
      <c r="AB56" s="142">
        <f t="shared" si="13"/>
        <v>8928</v>
      </c>
      <c r="AC56" s="142">
        <f t="shared" si="13"/>
        <v>108664.70999999999</v>
      </c>
      <c r="AD56" s="142">
        <f t="shared" si="11"/>
        <v>-188.33000000000175</v>
      </c>
      <c r="AE56" s="132">
        <f t="shared" si="12"/>
        <v>-1.7331293664705105E-3</v>
      </c>
      <c r="AF56" s="133">
        <v>82425.119999999995</v>
      </c>
      <c r="AG56" s="133">
        <f t="shared" si="2"/>
        <v>-26427.919999999998</v>
      </c>
    </row>
    <row r="57" spans="1:33">
      <c r="C57" s="105" t="s">
        <v>154</v>
      </c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9"/>
      <c r="X57" s="141"/>
      <c r="Y57" s="141"/>
      <c r="Z57" s="141"/>
      <c r="AA57" s="141"/>
      <c r="AB57" s="141"/>
      <c r="AC57" s="142"/>
      <c r="AD57" s="141"/>
      <c r="AF57" s="133"/>
      <c r="AG57" s="133">
        <f t="shared" si="2"/>
        <v>0</v>
      </c>
    </row>
    <row r="58" spans="1:33">
      <c r="A58" s="105" t="s">
        <v>874</v>
      </c>
      <c r="B58" s="105" t="s">
        <v>946</v>
      </c>
      <c r="C58" s="105" t="s">
        <v>266</v>
      </c>
      <c r="D58" s="293">
        <v>7547.4599999999991</v>
      </c>
      <c r="E58" s="293">
        <v>7547.4599999999991</v>
      </c>
      <c r="F58" s="293">
        <v>7547.4599999999991</v>
      </c>
      <c r="G58" s="293">
        <v>8374.6999999999989</v>
      </c>
      <c r="H58" s="293">
        <v>8374.6999999999989</v>
      </c>
      <c r="I58" s="293">
        <v>8374.6999999999989</v>
      </c>
      <c r="J58" s="293">
        <v>7965.3899999999994</v>
      </c>
      <c r="K58" s="293">
        <v>7965.3899999999994</v>
      </c>
      <c r="L58" s="293">
        <v>8035.41</v>
      </c>
      <c r="M58" s="293">
        <v>8035.41</v>
      </c>
      <c r="N58" s="293">
        <v>8035.41</v>
      </c>
      <c r="O58" s="293">
        <v>8035.41</v>
      </c>
      <c r="P58" s="129">
        <f t="shared" ref="P58:P65" si="14">SUM(D58:O58)</f>
        <v>95838.9</v>
      </c>
      <c r="Q58" s="141">
        <v>10625.36</v>
      </c>
      <c r="R58" s="141">
        <v>10625.36</v>
      </c>
      <c r="S58" s="141">
        <v>10625.36</v>
      </c>
      <c r="T58" s="141">
        <v>10625.36</v>
      </c>
      <c r="U58" s="141">
        <v>10625.36</v>
      </c>
      <c r="V58" s="141">
        <v>9464.89</v>
      </c>
      <c r="W58" s="141">
        <v>9434.99</v>
      </c>
      <c r="X58" s="141">
        <v>9434.99</v>
      </c>
      <c r="Y58" s="141">
        <v>9010</v>
      </c>
      <c r="Z58" s="141">
        <v>9010</v>
      </c>
      <c r="AA58" s="141">
        <v>9010</v>
      </c>
      <c r="AB58" s="141">
        <v>9010</v>
      </c>
      <c r="AC58" s="142">
        <f t="shared" ref="AC58:AC65" si="15">SUM(Q58:AB58)</f>
        <v>117501.67000000001</v>
      </c>
      <c r="AD58" s="141">
        <f t="shared" ref="AD58:AD66" si="16">AC58-P58</f>
        <v>21662.770000000019</v>
      </c>
      <c r="AE58" s="192">
        <f t="shared" ref="AE58:AE66" si="17">AD58/AC58</f>
        <v>0.18436137971485866</v>
      </c>
      <c r="AF58" s="133">
        <v>54327.12999999999</v>
      </c>
      <c r="AG58" s="133">
        <f t="shared" si="2"/>
        <v>-41511.770000000004</v>
      </c>
    </row>
    <row r="59" spans="1:33">
      <c r="A59" s="105" t="s">
        <v>875</v>
      </c>
      <c r="B59" s="105" t="s">
        <v>946</v>
      </c>
      <c r="C59" s="105" t="s">
        <v>267</v>
      </c>
      <c r="D59" s="293">
        <v>3395.3799999999997</v>
      </c>
      <c r="E59" s="293">
        <v>3395.3799999999997</v>
      </c>
      <c r="F59" s="293">
        <v>3395.3799999999997</v>
      </c>
      <c r="G59" s="293">
        <v>3728.02</v>
      </c>
      <c r="H59" s="293">
        <v>3728.02</v>
      </c>
      <c r="I59" s="293">
        <v>3728.02</v>
      </c>
      <c r="J59" s="293">
        <v>3573.57</v>
      </c>
      <c r="K59" s="293">
        <v>3573.57</v>
      </c>
      <c r="L59" s="293">
        <v>3602.01</v>
      </c>
      <c r="M59" s="293">
        <v>3602.01</v>
      </c>
      <c r="N59" s="293">
        <v>3602.01</v>
      </c>
      <c r="O59" s="293">
        <v>3602.01</v>
      </c>
      <c r="P59" s="129">
        <f t="shared" si="14"/>
        <v>42925.380000000005</v>
      </c>
      <c r="Q59" s="141">
        <v>5644.72</v>
      </c>
      <c r="R59" s="141">
        <v>5644.72</v>
      </c>
      <c r="S59" s="141">
        <v>5644.72</v>
      </c>
      <c r="T59" s="141">
        <v>5644.72</v>
      </c>
      <c r="U59" s="141">
        <v>5644.72</v>
      </c>
      <c r="V59" s="141">
        <v>5028.22</v>
      </c>
      <c r="W59" s="141">
        <v>3832.96</v>
      </c>
      <c r="X59" s="141">
        <v>3832.96</v>
      </c>
      <c r="Y59" s="141">
        <v>4613</v>
      </c>
      <c r="Z59" s="141">
        <v>4613</v>
      </c>
      <c r="AA59" s="141">
        <v>4613</v>
      </c>
      <c r="AB59" s="141">
        <v>4613</v>
      </c>
      <c r="AC59" s="142">
        <f t="shared" si="15"/>
        <v>59369.74</v>
      </c>
      <c r="AD59" s="141">
        <f t="shared" si="16"/>
        <v>16444.359999999993</v>
      </c>
      <c r="AE59" s="192">
        <f t="shared" si="17"/>
        <v>0.27698217981079237</v>
      </c>
      <c r="AF59" s="133">
        <v>26237.81</v>
      </c>
      <c r="AG59" s="133">
        <f t="shared" si="2"/>
        <v>-16687.570000000003</v>
      </c>
    </row>
    <row r="60" spans="1:33">
      <c r="A60" s="105" t="s">
        <v>876</v>
      </c>
      <c r="B60" s="105" t="s">
        <v>946</v>
      </c>
      <c r="C60" s="105" t="s">
        <v>268</v>
      </c>
      <c r="D60" s="293">
        <v>235.59</v>
      </c>
      <c r="E60" s="293">
        <v>235.59</v>
      </c>
      <c r="F60" s="293">
        <v>235.59</v>
      </c>
      <c r="G60" s="293">
        <v>261.18</v>
      </c>
      <c r="H60" s="293">
        <v>261.18</v>
      </c>
      <c r="I60" s="293">
        <v>261.18</v>
      </c>
      <c r="J60" s="293">
        <v>247.87</v>
      </c>
      <c r="K60" s="293">
        <v>247.87</v>
      </c>
      <c r="L60" s="293">
        <v>250.06</v>
      </c>
      <c r="M60" s="293">
        <v>250.06</v>
      </c>
      <c r="N60" s="293">
        <v>250.06</v>
      </c>
      <c r="O60" s="293">
        <v>250.06</v>
      </c>
      <c r="P60" s="129">
        <f t="shared" si="14"/>
        <v>2986.29</v>
      </c>
      <c r="Q60" s="141">
        <v>332.04</v>
      </c>
      <c r="R60" s="141">
        <v>332.04</v>
      </c>
      <c r="S60" s="141">
        <v>332.04</v>
      </c>
      <c r="T60" s="141">
        <v>332.04</v>
      </c>
      <c r="U60" s="141">
        <v>332.04</v>
      </c>
      <c r="V60" s="141">
        <v>295.77999999999997</v>
      </c>
      <c r="W60" s="141">
        <v>294.85000000000002</v>
      </c>
      <c r="X60" s="141">
        <v>294.85000000000002</v>
      </c>
      <c r="Y60" s="141">
        <v>288</v>
      </c>
      <c r="Z60" s="141">
        <v>288</v>
      </c>
      <c r="AA60" s="141">
        <v>288</v>
      </c>
      <c r="AB60" s="141">
        <v>288</v>
      </c>
      <c r="AC60" s="142">
        <f t="shared" si="15"/>
        <v>3697.68</v>
      </c>
      <c r="AD60" s="141">
        <f t="shared" si="16"/>
        <v>711.38999999999987</v>
      </c>
      <c r="AE60" s="192">
        <f t="shared" si="17"/>
        <v>0.19238820016875444</v>
      </c>
      <c r="AF60" s="133">
        <v>1614.7099999999998</v>
      </c>
      <c r="AG60" s="133">
        <f t="shared" si="2"/>
        <v>-1371.5800000000002</v>
      </c>
    </row>
    <row r="61" spans="1:33">
      <c r="A61" s="105" t="s">
        <v>877</v>
      </c>
      <c r="B61" s="105" t="s">
        <v>946</v>
      </c>
      <c r="C61" s="105" t="s">
        <v>269</v>
      </c>
      <c r="D61" s="293">
        <v>56.540000000000006</v>
      </c>
      <c r="E61" s="293">
        <v>56.540000000000006</v>
      </c>
      <c r="F61" s="293">
        <v>56.540000000000006</v>
      </c>
      <c r="G61" s="293">
        <v>62.680000000000007</v>
      </c>
      <c r="H61" s="293">
        <v>62.680000000000007</v>
      </c>
      <c r="I61" s="293">
        <v>62.680000000000007</v>
      </c>
      <c r="J61" s="293">
        <v>59.490000000000009</v>
      </c>
      <c r="K61" s="293">
        <v>59.490000000000009</v>
      </c>
      <c r="L61" s="293">
        <v>60.02</v>
      </c>
      <c r="M61" s="293">
        <v>60.02</v>
      </c>
      <c r="N61" s="293">
        <v>60.02</v>
      </c>
      <c r="O61" s="293">
        <v>60.02</v>
      </c>
      <c r="P61" s="129">
        <f t="shared" si="14"/>
        <v>716.72</v>
      </c>
      <c r="Q61" s="141">
        <v>79.69</v>
      </c>
      <c r="R61" s="141">
        <v>79.69</v>
      </c>
      <c r="S61" s="141">
        <v>79.69</v>
      </c>
      <c r="T61" s="141">
        <v>79.69</v>
      </c>
      <c r="U61" s="141">
        <v>79.69</v>
      </c>
      <c r="V61" s="141">
        <v>70.989999999999995</v>
      </c>
      <c r="W61" s="141">
        <v>70.77</v>
      </c>
      <c r="X61" s="141">
        <v>70.77</v>
      </c>
      <c r="Y61" s="141">
        <v>80</v>
      </c>
      <c r="Z61" s="141">
        <v>80</v>
      </c>
      <c r="AA61" s="141">
        <v>80</v>
      </c>
      <c r="AB61" s="141">
        <v>80</v>
      </c>
      <c r="AC61" s="142">
        <f t="shared" si="15"/>
        <v>930.98</v>
      </c>
      <c r="AD61" s="141">
        <f t="shared" si="16"/>
        <v>214.26</v>
      </c>
      <c r="AE61" s="192">
        <f t="shared" si="17"/>
        <v>0.23014457883090936</v>
      </c>
      <c r="AF61" s="133">
        <v>516.77</v>
      </c>
      <c r="AG61" s="133">
        <f t="shared" si="2"/>
        <v>-199.95000000000005</v>
      </c>
    </row>
    <row r="62" spans="1:33">
      <c r="A62" s="105" t="s">
        <v>878</v>
      </c>
      <c r="B62" s="105" t="s">
        <v>946</v>
      </c>
      <c r="C62" s="105" t="s">
        <v>270</v>
      </c>
      <c r="D62" s="293">
        <v>0</v>
      </c>
      <c r="E62" s="293">
        <v>0</v>
      </c>
      <c r="F62" s="293">
        <v>0</v>
      </c>
      <c r="G62" s="293">
        <v>0</v>
      </c>
      <c r="H62" s="293">
        <v>0</v>
      </c>
      <c r="I62" s="293">
        <v>0</v>
      </c>
      <c r="J62" s="293">
        <v>0</v>
      </c>
      <c r="K62" s="293">
        <v>0</v>
      </c>
      <c r="L62" s="293">
        <v>0</v>
      </c>
      <c r="M62" s="293">
        <v>0</v>
      </c>
      <c r="N62" s="293">
        <v>0</v>
      </c>
      <c r="O62" s="293">
        <v>0</v>
      </c>
      <c r="P62" s="129">
        <f t="shared" si="14"/>
        <v>0</v>
      </c>
      <c r="Q62" s="141">
        <v>0</v>
      </c>
      <c r="R62" s="141">
        <v>0</v>
      </c>
      <c r="S62" s="141">
        <v>0</v>
      </c>
      <c r="T62" s="141">
        <v>0</v>
      </c>
      <c r="U62" s="141">
        <v>0</v>
      </c>
      <c r="V62" s="141">
        <v>0</v>
      </c>
      <c r="W62" s="141">
        <v>0</v>
      </c>
      <c r="X62" s="141">
        <v>0</v>
      </c>
      <c r="Y62" s="141">
        <v>0</v>
      </c>
      <c r="Z62" s="141">
        <v>0</v>
      </c>
      <c r="AA62" s="141">
        <v>0</v>
      </c>
      <c r="AB62" s="141">
        <v>0</v>
      </c>
      <c r="AC62" s="142">
        <f t="shared" si="15"/>
        <v>0</v>
      </c>
      <c r="AD62" s="141">
        <f t="shared" si="16"/>
        <v>0</v>
      </c>
      <c r="AE62" s="192" t="e">
        <f t="shared" si="17"/>
        <v>#DIV/0!</v>
      </c>
      <c r="AF62" s="133">
        <v>1211.21</v>
      </c>
      <c r="AG62" s="133">
        <f t="shared" si="2"/>
        <v>1211.21</v>
      </c>
    </row>
    <row r="63" spans="1:33">
      <c r="A63" s="105" t="s">
        <v>879</v>
      </c>
      <c r="B63" s="105" t="s">
        <v>946</v>
      </c>
      <c r="C63" s="105" t="s">
        <v>271</v>
      </c>
      <c r="D63" s="293">
        <v>2340.08</v>
      </c>
      <c r="E63" s="293">
        <v>2340.08</v>
      </c>
      <c r="F63" s="293">
        <v>2340.08</v>
      </c>
      <c r="G63" s="293">
        <v>2580.08</v>
      </c>
      <c r="H63" s="293">
        <v>2580.08</v>
      </c>
      <c r="I63" s="293">
        <v>2580.08</v>
      </c>
      <c r="J63" s="293">
        <v>2478.66</v>
      </c>
      <c r="K63" s="293">
        <v>2418.14</v>
      </c>
      <c r="L63" s="293">
        <v>2440.02</v>
      </c>
      <c r="M63" s="293">
        <v>2440.02</v>
      </c>
      <c r="N63" s="293">
        <v>2500.54</v>
      </c>
      <c r="O63" s="293">
        <v>2440.02</v>
      </c>
      <c r="P63" s="129">
        <f t="shared" si="14"/>
        <v>29477.88</v>
      </c>
      <c r="Q63" s="141">
        <v>3321</v>
      </c>
      <c r="R63" s="141">
        <v>3321</v>
      </c>
      <c r="S63" s="141">
        <v>3321</v>
      </c>
      <c r="T63" s="141">
        <v>3321</v>
      </c>
      <c r="U63" s="141">
        <v>3321</v>
      </c>
      <c r="V63" s="141">
        <v>2958</v>
      </c>
      <c r="W63" s="141">
        <v>2882</v>
      </c>
      <c r="X63" s="141">
        <v>2882</v>
      </c>
      <c r="Y63" s="141">
        <v>2722</v>
      </c>
      <c r="Z63" s="141">
        <v>2722</v>
      </c>
      <c r="AA63" s="141">
        <v>2722</v>
      </c>
      <c r="AB63" s="141">
        <v>2722</v>
      </c>
      <c r="AC63" s="142">
        <f t="shared" si="15"/>
        <v>36215</v>
      </c>
      <c r="AD63" s="141">
        <f t="shared" si="16"/>
        <v>6737.119999999999</v>
      </c>
      <c r="AE63" s="192">
        <f t="shared" si="17"/>
        <v>0.1860312025403838</v>
      </c>
      <c r="AF63" s="133">
        <v>15185</v>
      </c>
      <c r="AG63" s="133">
        <f t="shared" si="2"/>
        <v>-14292.880000000001</v>
      </c>
    </row>
    <row r="64" spans="1:33">
      <c r="A64" s="105" t="s">
        <v>880</v>
      </c>
      <c r="B64" s="105" t="s">
        <v>946</v>
      </c>
      <c r="C64" s="105" t="s">
        <v>272</v>
      </c>
      <c r="D64" s="293">
        <v>796</v>
      </c>
      <c r="E64" s="293">
        <v>760</v>
      </c>
      <c r="F64" s="293">
        <v>766</v>
      </c>
      <c r="G64" s="293">
        <v>882</v>
      </c>
      <c r="H64" s="293">
        <v>858</v>
      </c>
      <c r="I64" s="293">
        <v>858</v>
      </c>
      <c r="J64" s="293">
        <v>876</v>
      </c>
      <c r="K64" s="293">
        <v>876</v>
      </c>
      <c r="L64" s="293">
        <v>1000</v>
      </c>
      <c r="M64" s="293">
        <v>1052</v>
      </c>
      <c r="N64" s="293">
        <v>1000</v>
      </c>
      <c r="O64" s="293">
        <v>1000</v>
      </c>
      <c r="P64" s="129">
        <f t="shared" si="14"/>
        <v>10724</v>
      </c>
      <c r="Q64" s="141">
        <v>758.4</v>
      </c>
      <c r="R64" s="141">
        <v>748.44</v>
      </c>
      <c r="S64" s="141">
        <v>1719.67</v>
      </c>
      <c r="T64" s="141">
        <v>1397.95</v>
      </c>
      <c r="U64" s="141">
        <v>780.91</v>
      </c>
      <c r="V64" s="141">
        <v>700.82</v>
      </c>
      <c r="W64" s="141">
        <v>882.48</v>
      </c>
      <c r="X64" s="141">
        <v>674.76</v>
      </c>
      <c r="Y64" s="141">
        <v>930</v>
      </c>
      <c r="Z64" s="141">
        <v>930</v>
      </c>
      <c r="AA64" s="141">
        <v>930</v>
      </c>
      <c r="AB64" s="141">
        <v>930</v>
      </c>
      <c r="AC64" s="142">
        <f t="shared" si="15"/>
        <v>11383.43</v>
      </c>
      <c r="AD64" s="141">
        <f t="shared" si="16"/>
        <v>659.43000000000029</v>
      </c>
      <c r="AE64" s="192">
        <f t="shared" si="17"/>
        <v>5.7928937060270962E-2</v>
      </c>
      <c r="AF64" s="133">
        <v>11856.53</v>
      </c>
      <c r="AG64" s="133">
        <f t="shared" si="2"/>
        <v>1132.5300000000007</v>
      </c>
    </row>
    <row r="65" spans="1:33">
      <c r="A65" s="105" t="s">
        <v>273</v>
      </c>
      <c r="C65" s="105" t="s">
        <v>274</v>
      </c>
      <c r="D65" s="293">
        <v>0</v>
      </c>
      <c r="E65" s="293">
        <v>0</v>
      </c>
      <c r="F65" s="293">
        <v>0</v>
      </c>
      <c r="G65" s="293">
        <v>0</v>
      </c>
      <c r="H65" s="293">
        <v>0</v>
      </c>
      <c r="I65" s="293">
        <v>0</v>
      </c>
      <c r="J65" s="293">
        <v>0</v>
      </c>
      <c r="K65" s="293">
        <v>0</v>
      </c>
      <c r="L65" s="293">
        <v>0</v>
      </c>
      <c r="M65" s="293">
        <v>0</v>
      </c>
      <c r="N65" s="293">
        <v>0</v>
      </c>
      <c r="O65" s="293">
        <v>0</v>
      </c>
      <c r="P65" s="129">
        <f t="shared" si="14"/>
        <v>0</v>
      </c>
      <c r="W65" s="141">
        <v>0</v>
      </c>
      <c r="X65" s="141">
        <v>0</v>
      </c>
      <c r="Y65" s="141">
        <v>0</v>
      </c>
      <c r="Z65" s="141">
        <v>0</v>
      </c>
      <c r="AA65" s="141">
        <v>0</v>
      </c>
      <c r="AB65" s="141">
        <v>0</v>
      </c>
      <c r="AC65" s="142">
        <f t="shared" si="15"/>
        <v>0</v>
      </c>
      <c r="AD65" s="141">
        <f t="shared" si="16"/>
        <v>0</v>
      </c>
      <c r="AF65" s="133">
        <v>0</v>
      </c>
      <c r="AG65" s="133">
        <f t="shared" si="2"/>
        <v>0</v>
      </c>
    </row>
    <row r="66" spans="1:33" s="109" customFormat="1">
      <c r="C66" s="109" t="s">
        <v>275</v>
      </c>
      <c r="D66" s="129">
        <f t="shared" ref="D66:AC66" si="18">SUM(D58:D65)</f>
        <v>14371.05</v>
      </c>
      <c r="E66" s="129">
        <f t="shared" si="18"/>
        <v>14335.05</v>
      </c>
      <c r="F66" s="129">
        <f t="shared" si="18"/>
        <v>14341.05</v>
      </c>
      <c r="G66" s="129">
        <f t="shared" si="18"/>
        <v>15888.66</v>
      </c>
      <c r="H66" s="129">
        <f t="shared" si="18"/>
        <v>15864.66</v>
      </c>
      <c r="I66" s="129">
        <f t="shared" si="18"/>
        <v>15864.66</v>
      </c>
      <c r="J66" s="129">
        <f t="shared" si="18"/>
        <v>15200.98</v>
      </c>
      <c r="K66" s="129">
        <f t="shared" si="18"/>
        <v>15140.46</v>
      </c>
      <c r="L66" s="129">
        <f t="shared" si="18"/>
        <v>15387.52</v>
      </c>
      <c r="M66" s="129">
        <f t="shared" si="18"/>
        <v>15439.52</v>
      </c>
      <c r="N66" s="129">
        <f t="shared" si="18"/>
        <v>15448.04</v>
      </c>
      <c r="O66" s="129">
        <f t="shared" si="18"/>
        <v>15387.52</v>
      </c>
      <c r="P66" s="129">
        <f t="shared" si="18"/>
        <v>182669.17</v>
      </c>
      <c r="Q66" s="142">
        <f t="shared" si="18"/>
        <v>20761.210000000003</v>
      </c>
      <c r="R66" s="142">
        <f t="shared" si="18"/>
        <v>20751.25</v>
      </c>
      <c r="S66" s="142">
        <f t="shared" si="18"/>
        <v>21722.480000000003</v>
      </c>
      <c r="T66" s="142">
        <f t="shared" si="18"/>
        <v>21400.760000000002</v>
      </c>
      <c r="U66" s="142">
        <f t="shared" si="18"/>
        <v>20783.72</v>
      </c>
      <c r="V66" s="142">
        <f t="shared" si="18"/>
        <v>18518.7</v>
      </c>
      <c r="W66" s="142">
        <f t="shared" si="18"/>
        <v>17398.05</v>
      </c>
      <c r="X66" s="142">
        <f t="shared" si="18"/>
        <v>17190.329999999998</v>
      </c>
      <c r="Y66" s="142">
        <f t="shared" si="18"/>
        <v>17643</v>
      </c>
      <c r="Z66" s="142">
        <f t="shared" si="18"/>
        <v>17643</v>
      </c>
      <c r="AA66" s="142">
        <f t="shared" si="18"/>
        <v>17643</v>
      </c>
      <c r="AB66" s="142">
        <f t="shared" si="18"/>
        <v>17643</v>
      </c>
      <c r="AC66" s="142">
        <f t="shared" si="18"/>
        <v>229098.5</v>
      </c>
      <c r="AD66" s="142">
        <f t="shared" si="16"/>
        <v>46429.329999999987</v>
      </c>
      <c r="AE66" s="132">
        <f t="shared" si="17"/>
        <v>0.20266099516146979</v>
      </c>
      <c r="AF66" s="133">
        <v>110949.16</v>
      </c>
      <c r="AG66" s="133">
        <f t="shared" si="2"/>
        <v>-71720.010000000009</v>
      </c>
    </row>
    <row r="67" spans="1:33">
      <c r="C67" s="105" t="s">
        <v>154</v>
      </c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9"/>
      <c r="X67" s="141"/>
      <c r="Y67" s="141"/>
      <c r="Z67" s="141"/>
      <c r="AA67" s="141"/>
      <c r="AB67" s="141"/>
      <c r="AC67" s="142"/>
      <c r="AD67" s="141"/>
      <c r="AF67" s="133"/>
      <c r="AG67" s="133">
        <f t="shared" si="2"/>
        <v>0</v>
      </c>
    </row>
    <row r="68" spans="1:33">
      <c r="A68" s="105" t="s">
        <v>131</v>
      </c>
      <c r="B68" s="105" t="s">
        <v>946</v>
      </c>
      <c r="C68" s="105" t="s">
        <v>276</v>
      </c>
      <c r="D68" s="293">
        <v>0</v>
      </c>
      <c r="E68" s="293">
        <v>0</v>
      </c>
      <c r="F68" s="293">
        <v>0</v>
      </c>
      <c r="G68" s="293">
        <v>0</v>
      </c>
      <c r="H68" s="293">
        <v>0</v>
      </c>
      <c r="I68" s="293">
        <v>0</v>
      </c>
      <c r="J68" s="293">
        <v>0</v>
      </c>
      <c r="K68" s="293">
        <v>0</v>
      </c>
      <c r="L68" s="293">
        <v>0</v>
      </c>
      <c r="M68" s="293">
        <v>0</v>
      </c>
      <c r="N68" s="293">
        <v>0</v>
      </c>
      <c r="O68" s="293">
        <v>0</v>
      </c>
      <c r="P68" s="129">
        <f t="shared" ref="P68:P76" si="19">SUM(D68:O68)</f>
        <v>0</v>
      </c>
      <c r="X68" s="141"/>
      <c r="Y68" s="141"/>
      <c r="Z68" s="141"/>
      <c r="AA68" s="141"/>
      <c r="AB68" s="141"/>
      <c r="AC68" s="142">
        <f t="shared" ref="AC68:AC76" si="20">SUM(Q68:AB68)</f>
        <v>0</v>
      </c>
      <c r="AD68" s="141">
        <f t="shared" ref="AD68:AD80" si="21">AC68-P68</f>
        <v>0</v>
      </c>
      <c r="AF68" s="133">
        <v>0</v>
      </c>
      <c r="AG68" s="133">
        <f t="shared" si="2"/>
        <v>0</v>
      </c>
    </row>
    <row r="69" spans="1:33">
      <c r="A69" s="105" t="s">
        <v>132</v>
      </c>
      <c r="B69" s="105" t="s">
        <v>946</v>
      </c>
      <c r="C69" s="105" t="s">
        <v>277</v>
      </c>
      <c r="D69" s="293">
        <v>0</v>
      </c>
      <c r="E69" s="293">
        <v>0</v>
      </c>
      <c r="F69" s="293">
        <v>0</v>
      </c>
      <c r="G69" s="293">
        <v>0</v>
      </c>
      <c r="H69" s="293">
        <v>0</v>
      </c>
      <c r="I69" s="293">
        <v>0</v>
      </c>
      <c r="J69" s="293">
        <v>0</v>
      </c>
      <c r="K69" s="293">
        <v>0</v>
      </c>
      <c r="L69" s="293">
        <v>0</v>
      </c>
      <c r="M69" s="293">
        <v>0</v>
      </c>
      <c r="N69" s="293">
        <v>0</v>
      </c>
      <c r="O69" s="293">
        <v>0</v>
      </c>
      <c r="P69" s="129">
        <f t="shared" si="19"/>
        <v>0</v>
      </c>
      <c r="W69" s="141">
        <v>0</v>
      </c>
      <c r="X69" s="141">
        <v>0</v>
      </c>
      <c r="Y69" s="141">
        <v>0</v>
      </c>
      <c r="Z69" s="141">
        <v>0</v>
      </c>
      <c r="AA69" s="141">
        <v>0</v>
      </c>
      <c r="AB69" s="141">
        <v>0</v>
      </c>
      <c r="AC69" s="142">
        <f t="shared" si="20"/>
        <v>0</v>
      </c>
      <c r="AD69" s="141">
        <f t="shared" si="21"/>
        <v>0</v>
      </c>
      <c r="AF69" s="133">
        <v>0</v>
      </c>
      <c r="AG69" s="133">
        <f t="shared" si="2"/>
        <v>0</v>
      </c>
    </row>
    <row r="70" spans="1:33">
      <c r="A70" s="105" t="s">
        <v>133</v>
      </c>
      <c r="B70" s="105" t="s">
        <v>946</v>
      </c>
      <c r="C70" s="105" t="s">
        <v>278</v>
      </c>
      <c r="D70" s="293">
        <v>0</v>
      </c>
      <c r="E70" s="293">
        <v>0</v>
      </c>
      <c r="F70" s="293">
        <v>0</v>
      </c>
      <c r="G70" s="293">
        <v>0</v>
      </c>
      <c r="H70" s="293">
        <v>0</v>
      </c>
      <c r="I70" s="293">
        <v>0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129">
        <f t="shared" si="19"/>
        <v>0</v>
      </c>
      <c r="W70" s="141">
        <v>0</v>
      </c>
      <c r="X70" s="141">
        <v>0</v>
      </c>
      <c r="Y70" s="141">
        <v>0</v>
      </c>
      <c r="Z70" s="141">
        <v>0</v>
      </c>
      <c r="AA70" s="141">
        <v>0</v>
      </c>
      <c r="AB70" s="141">
        <v>0</v>
      </c>
      <c r="AC70" s="142">
        <f t="shared" si="20"/>
        <v>0</v>
      </c>
      <c r="AD70" s="141">
        <f t="shared" si="21"/>
        <v>0</v>
      </c>
      <c r="AF70" s="133">
        <v>0</v>
      </c>
      <c r="AG70" s="133">
        <f t="shared" si="2"/>
        <v>0</v>
      </c>
    </row>
    <row r="71" spans="1:33">
      <c r="A71" s="105" t="s">
        <v>134</v>
      </c>
      <c r="B71" s="105" t="s">
        <v>946</v>
      </c>
      <c r="C71" s="105" t="s">
        <v>279</v>
      </c>
      <c r="D71" s="293">
        <v>133.33000000000001</v>
      </c>
      <c r="E71" s="293">
        <v>133.33000000000001</v>
      </c>
      <c r="F71" s="293">
        <v>133.33000000000001</v>
      </c>
      <c r="G71" s="293">
        <v>133.33000000000001</v>
      </c>
      <c r="H71" s="293">
        <v>133.33000000000001</v>
      </c>
      <c r="I71" s="293">
        <v>133.33000000000001</v>
      </c>
      <c r="J71" s="293">
        <v>133.33000000000001</v>
      </c>
      <c r="K71" s="293">
        <v>133.33000000000001</v>
      </c>
      <c r="L71" s="293">
        <v>133.33000000000001</v>
      </c>
      <c r="M71" s="293">
        <v>133.33000000000001</v>
      </c>
      <c r="N71" s="293">
        <v>133.33000000000001</v>
      </c>
      <c r="O71" s="293">
        <v>133.33000000000001</v>
      </c>
      <c r="P71" s="129">
        <f t="shared" si="19"/>
        <v>1599.9599999999998</v>
      </c>
      <c r="Q71" s="141">
        <v>0</v>
      </c>
      <c r="R71" s="141">
        <v>0</v>
      </c>
      <c r="S71" s="141">
        <v>0</v>
      </c>
      <c r="T71" s="141">
        <v>0</v>
      </c>
      <c r="U71" s="141">
        <v>0</v>
      </c>
      <c r="V71" s="141">
        <v>0</v>
      </c>
      <c r="W71" s="141">
        <v>0</v>
      </c>
      <c r="X71" s="141">
        <v>0</v>
      </c>
      <c r="Y71" s="141">
        <v>133</v>
      </c>
      <c r="Z71" s="141">
        <v>133</v>
      </c>
      <c r="AA71" s="141">
        <v>133</v>
      </c>
      <c r="AB71" s="141">
        <v>133</v>
      </c>
      <c r="AC71" s="142">
        <f t="shared" si="20"/>
        <v>532</v>
      </c>
      <c r="AD71" s="141">
        <f t="shared" si="21"/>
        <v>-1067.9599999999998</v>
      </c>
      <c r="AE71" s="192">
        <f t="shared" ref="AE71:AE78" si="22">AD71/AC71</f>
        <v>-2.0074436090225563</v>
      </c>
      <c r="AF71" s="133">
        <v>893.63000000000011</v>
      </c>
      <c r="AG71" s="133">
        <f t="shared" si="2"/>
        <v>-706.3299999999997</v>
      </c>
    </row>
    <row r="72" spans="1:33">
      <c r="A72" s="105" t="s">
        <v>135</v>
      </c>
      <c r="B72" s="105" t="s">
        <v>946</v>
      </c>
      <c r="C72" s="105" t="s">
        <v>280</v>
      </c>
      <c r="D72" s="293">
        <v>2013.56</v>
      </c>
      <c r="E72" s="293">
        <v>2013.56</v>
      </c>
      <c r="F72" s="293">
        <v>2013.56</v>
      </c>
      <c r="G72" s="293">
        <v>2013.56</v>
      </c>
      <c r="H72" s="293">
        <v>2013.56</v>
      </c>
      <c r="I72" s="293">
        <v>2013.56</v>
      </c>
      <c r="J72" s="293">
        <v>2013.56</v>
      </c>
      <c r="K72" s="293">
        <v>2013.56</v>
      </c>
      <c r="L72" s="293">
        <v>2013.56</v>
      </c>
      <c r="M72" s="293">
        <v>2013.56</v>
      </c>
      <c r="N72" s="293">
        <v>2013.56</v>
      </c>
      <c r="O72" s="293">
        <v>2013.56</v>
      </c>
      <c r="P72" s="129">
        <f t="shared" si="19"/>
        <v>24162.720000000001</v>
      </c>
      <c r="Q72" s="141">
        <v>94.25</v>
      </c>
      <c r="R72" s="141">
        <v>95.05</v>
      </c>
      <c r="S72" s="141">
        <v>94.25</v>
      </c>
      <c r="T72" s="141">
        <v>94.25</v>
      </c>
      <c r="U72" s="141">
        <v>98.37</v>
      </c>
      <c r="V72" s="141">
        <v>98.8</v>
      </c>
      <c r="W72" s="141">
        <v>99.9</v>
      </c>
      <c r="X72" s="141">
        <v>78.349999999999994</v>
      </c>
      <c r="Y72" s="141">
        <v>70</v>
      </c>
      <c r="Z72" s="141">
        <v>70</v>
      </c>
      <c r="AA72" s="141">
        <v>70</v>
      </c>
      <c r="AB72" s="141">
        <v>70</v>
      </c>
      <c r="AC72" s="142">
        <f t="shared" si="20"/>
        <v>1033.22</v>
      </c>
      <c r="AD72" s="141">
        <f t="shared" si="21"/>
        <v>-23129.5</v>
      </c>
      <c r="AE72" s="192">
        <f t="shared" si="22"/>
        <v>-22.385842318189738</v>
      </c>
      <c r="AF72" s="133">
        <v>14970.73</v>
      </c>
      <c r="AG72" s="133">
        <f t="shared" si="2"/>
        <v>-9191.9900000000016</v>
      </c>
    </row>
    <row r="73" spans="1:33">
      <c r="A73" s="105" t="s">
        <v>281</v>
      </c>
      <c r="B73" s="105" t="s">
        <v>946</v>
      </c>
      <c r="C73" s="105" t="s">
        <v>282</v>
      </c>
      <c r="D73" s="212">
        <v>2034</v>
      </c>
      <c r="E73" s="212">
        <v>1870</v>
      </c>
      <c r="F73" s="212">
        <v>1895</v>
      </c>
      <c r="G73" s="212">
        <v>2137</v>
      </c>
      <c r="H73" s="212">
        <v>2210</v>
      </c>
      <c r="I73" s="212">
        <v>2096</v>
      </c>
      <c r="J73" s="212">
        <v>2106</v>
      </c>
      <c r="K73" s="212">
        <v>2150</v>
      </c>
      <c r="L73" s="212">
        <v>2151</v>
      </c>
      <c r="M73" s="212">
        <v>2160</v>
      </c>
      <c r="N73" s="212">
        <v>2005</v>
      </c>
      <c r="O73" s="212">
        <v>2001</v>
      </c>
      <c r="P73" s="129">
        <f t="shared" si="19"/>
        <v>24815</v>
      </c>
      <c r="Q73" s="141">
        <v>427.33</v>
      </c>
      <c r="R73" s="141">
        <v>132.69</v>
      </c>
      <c r="S73" s="141">
        <v>475.71</v>
      </c>
      <c r="T73" s="141">
        <v>537.6</v>
      </c>
      <c r="U73" s="141">
        <v>573.59</v>
      </c>
      <c r="V73" s="141">
        <v>1052.95</v>
      </c>
      <c r="W73" s="141">
        <v>533.04</v>
      </c>
      <c r="X73" s="141">
        <v>171.08</v>
      </c>
      <c r="Y73" s="141">
        <v>871</v>
      </c>
      <c r="Z73" s="141">
        <v>828</v>
      </c>
      <c r="AA73" s="141">
        <v>775</v>
      </c>
      <c r="AB73" s="141">
        <v>775</v>
      </c>
      <c r="AC73" s="142">
        <f t="shared" si="20"/>
        <v>7152.99</v>
      </c>
      <c r="AD73" s="141">
        <f t="shared" si="21"/>
        <v>-17662.010000000002</v>
      </c>
      <c r="AE73" s="192">
        <f t="shared" si="22"/>
        <v>-2.4691786232051216</v>
      </c>
      <c r="AF73" s="133">
        <v>8790.48</v>
      </c>
      <c r="AG73" s="133">
        <f t="shared" ref="AG73:AG80" si="23">AF73-P73</f>
        <v>-16024.52</v>
      </c>
    </row>
    <row r="74" spans="1:33">
      <c r="A74" s="105" t="s">
        <v>137</v>
      </c>
      <c r="B74" s="105" t="s">
        <v>946</v>
      </c>
      <c r="C74" s="105" t="s">
        <v>283</v>
      </c>
      <c r="D74" s="212">
        <v>7098.18</v>
      </c>
      <c r="E74" s="212">
        <v>6133.18</v>
      </c>
      <c r="F74" s="212">
        <v>6150.37</v>
      </c>
      <c r="G74" s="212">
        <v>6241.37</v>
      </c>
      <c r="H74" s="212">
        <v>6636.18</v>
      </c>
      <c r="I74" s="212">
        <v>6238.88</v>
      </c>
      <c r="J74" s="212">
        <v>6199.88</v>
      </c>
      <c r="K74" s="212">
        <v>6194.88</v>
      </c>
      <c r="L74" s="212">
        <v>6234.88</v>
      </c>
      <c r="M74" s="212">
        <v>7116.4</v>
      </c>
      <c r="N74" s="212">
        <v>6221.37</v>
      </c>
      <c r="O74" s="212">
        <v>6216.37</v>
      </c>
      <c r="P74" s="129">
        <f t="shared" si="19"/>
        <v>76681.939999999988</v>
      </c>
      <c r="Q74" s="141">
        <v>4046.36</v>
      </c>
      <c r="R74" s="141">
        <v>6180.32</v>
      </c>
      <c r="S74" s="141">
        <v>6081.37</v>
      </c>
      <c r="T74" s="141">
        <v>5891.21</v>
      </c>
      <c r="U74" s="141">
        <v>4241.8500000000004</v>
      </c>
      <c r="V74" s="141">
        <v>5096.37</v>
      </c>
      <c r="W74" s="141">
        <v>5196.42</v>
      </c>
      <c r="X74" s="141">
        <v>4549.74</v>
      </c>
      <c r="Y74" s="141">
        <v>5791</v>
      </c>
      <c r="Z74" s="141">
        <v>6388</v>
      </c>
      <c r="AA74" s="141">
        <v>5863</v>
      </c>
      <c r="AB74" s="141">
        <v>5863</v>
      </c>
      <c r="AC74" s="142">
        <f t="shared" si="20"/>
        <v>65188.639999999999</v>
      </c>
      <c r="AD74" s="141">
        <f t="shared" si="21"/>
        <v>-11493.299999999988</v>
      </c>
      <c r="AE74" s="192">
        <f t="shared" si="22"/>
        <v>-0.17630832611326128</v>
      </c>
      <c r="AF74" s="133">
        <v>68429.11</v>
      </c>
      <c r="AG74" s="133">
        <f t="shared" si="23"/>
        <v>-8252.8299999999872</v>
      </c>
    </row>
    <row r="75" spans="1:33">
      <c r="A75" s="105" t="s">
        <v>138</v>
      </c>
      <c r="B75" s="105" t="s">
        <v>946</v>
      </c>
      <c r="C75" s="105" t="s">
        <v>881</v>
      </c>
      <c r="D75" s="124">
        <v>0</v>
      </c>
      <c r="E75" s="124">
        <v>0</v>
      </c>
      <c r="F75" s="124">
        <v>0</v>
      </c>
      <c r="G75" s="124">
        <v>0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0</v>
      </c>
      <c r="N75" s="124">
        <v>0</v>
      </c>
      <c r="O75" s="124">
        <v>0</v>
      </c>
      <c r="P75" s="129">
        <f t="shared" si="19"/>
        <v>0</v>
      </c>
      <c r="W75" s="141">
        <v>0</v>
      </c>
      <c r="X75" s="141">
        <v>0</v>
      </c>
      <c r="Y75" s="141">
        <v>0</v>
      </c>
      <c r="Z75" s="141">
        <v>0</v>
      </c>
      <c r="AA75" s="141">
        <v>0</v>
      </c>
      <c r="AB75" s="141">
        <v>0</v>
      </c>
      <c r="AC75" s="142">
        <f t="shared" si="20"/>
        <v>0</v>
      </c>
      <c r="AD75" s="141">
        <f t="shared" si="21"/>
        <v>0</v>
      </c>
      <c r="AF75" s="133">
        <v>0</v>
      </c>
      <c r="AG75" s="133">
        <f t="shared" si="23"/>
        <v>0</v>
      </c>
    </row>
    <row r="76" spans="1:33">
      <c r="A76" s="105" t="s">
        <v>140</v>
      </c>
      <c r="B76" s="105" t="s">
        <v>946</v>
      </c>
      <c r="C76" s="105" t="s">
        <v>882</v>
      </c>
      <c r="D76" s="124">
        <v>0</v>
      </c>
      <c r="E76" s="124">
        <v>0</v>
      </c>
      <c r="F76" s="124">
        <v>0</v>
      </c>
      <c r="G76" s="124">
        <v>0</v>
      </c>
      <c r="H76" s="124">
        <v>0</v>
      </c>
      <c r="I76" s="124">
        <v>0</v>
      </c>
      <c r="J76" s="124">
        <v>0</v>
      </c>
      <c r="K76" s="124">
        <v>0</v>
      </c>
      <c r="L76" s="124">
        <v>0</v>
      </c>
      <c r="M76" s="124">
        <v>0</v>
      </c>
      <c r="N76" s="124">
        <v>0</v>
      </c>
      <c r="O76" s="124">
        <v>0</v>
      </c>
      <c r="P76" s="129">
        <f t="shared" si="19"/>
        <v>0</v>
      </c>
      <c r="W76" s="141">
        <v>0</v>
      </c>
      <c r="X76" s="141">
        <v>0</v>
      </c>
      <c r="Y76" s="141">
        <v>0</v>
      </c>
      <c r="Z76" s="141">
        <v>0</v>
      </c>
      <c r="AA76" s="141">
        <v>0</v>
      </c>
      <c r="AB76" s="141">
        <v>0</v>
      </c>
      <c r="AC76" s="142">
        <f t="shared" si="20"/>
        <v>0</v>
      </c>
      <c r="AD76" s="141">
        <f t="shared" si="21"/>
        <v>0</v>
      </c>
      <c r="AF76" s="133">
        <v>0</v>
      </c>
      <c r="AG76" s="133">
        <f t="shared" si="23"/>
        <v>0</v>
      </c>
    </row>
    <row r="77" spans="1:33" s="109" customFormat="1">
      <c r="C77" s="109" t="s">
        <v>286</v>
      </c>
      <c r="D77" s="129">
        <f t="shared" ref="D77:AB77" si="24">SUM(D68:D74)</f>
        <v>11279.07</v>
      </c>
      <c r="E77" s="129">
        <f t="shared" si="24"/>
        <v>10150.07</v>
      </c>
      <c r="F77" s="129">
        <f t="shared" si="24"/>
        <v>10192.26</v>
      </c>
      <c r="G77" s="129">
        <f t="shared" si="24"/>
        <v>10525.259999999998</v>
      </c>
      <c r="H77" s="129">
        <f t="shared" si="24"/>
        <v>10993.07</v>
      </c>
      <c r="I77" s="129">
        <f t="shared" si="24"/>
        <v>10481.77</v>
      </c>
      <c r="J77" s="129">
        <f t="shared" si="24"/>
        <v>10452.77</v>
      </c>
      <c r="K77" s="129">
        <f t="shared" si="24"/>
        <v>10491.77</v>
      </c>
      <c r="L77" s="129">
        <f t="shared" si="24"/>
        <v>10532.77</v>
      </c>
      <c r="M77" s="129">
        <f t="shared" si="24"/>
        <v>11423.289999999999</v>
      </c>
      <c r="N77" s="129">
        <f t="shared" si="24"/>
        <v>10373.259999999998</v>
      </c>
      <c r="O77" s="129">
        <f t="shared" si="24"/>
        <v>10364.259999999998</v>
      </c>
      <c r="P77" s="129">
        <f t="shared" si="24"/>
        <v>127259.62</v>
      </c>
      <c r="Q77" s="142">
        <f t="shared" si="24"/>
        <v>4567.9400000000005</v>
      </c>
      <c r="R77" s="142">
        <f t="shared" si="24"/>
        <v>6408.0599999999995</v>
      </c>
      <c r="S77" s="142">
        <f t="shared" si="24"/>
        <v>6651.33</v>
      </c>
      <c r="T77" s="142">
        <f t="shared" si="24"/>
        <v>6523.06</v>
      </c>
      <c r="U77" s="142">
        <f t="shared" si="24"/>
        <v>4913.8100000000004</v>
      </c>
      <c r="V77" s="142">
        <f t="shared" si="24"/>
        <v>6248.12</v>
      </c>
      <c r="W77" s="142">
        <f t="shared" si="24"/>
        <v>5829.36</v>
      </c>
      <c r="X77" s="142">
        <f t="shared" si="24"/>
        <v>4799.17</v>
      </c>
      <c r="Y77" s="142">
        <f t="shared" si="24"/>
        <v>6865</v>
      </c>
      <c r="Z77" s="142">
        <f t="shared" si="24"/>
        <v>7419</v>
      </c>
      <c r="AA77" s="142">
        <f t="shared" si="24"/>
        <v>6841</v>
      </c>
      <c r="AB77" s="142">
        <f t="shared" si="24"/>
        <v>6841</v>
      </c>
      <c r="AC77" s="142">
        <f>SUM(AC68:AC76)</f>
        <v>73906.850000000006</v>
      </c>
      <c r="AD77" s="142">
        <f t="shared" si="21"/>
        <v>-53352.76999999999</v>
      </c>
      <c r="AE77" s="132">
        <f t="shared" si="22"/>
        <v>-0.72189208442789787</v>
      </c>
      <c r="AF77" s="133">
        <v>93083.95</v>
      </c>
      <c r="AG77" s="133">
        <f t="shared" si="23"/>
        <v>-34175.67</v>
      </c>
    </row>
    <row r="78" spans="1:33" s="109" customFormat="1">
      <c r="C78" s="109" t="s">
        <v>287</v>
      </c>
      <c r="D78" s="129">
        <f t="shared" ref="D78:AC78" si="25">D77+D66+D56+D49</f>
        <v>65472.44</v>
      </c>
      <c r="E78" s="129">
        <f t="shared" si="25"/>
        <v>62472.959999999999</v>
      </c>
      <c r="F78" s="129">
        <f t="shared" si="25"/>
        <v>62822.259999999995</v>
      </c>
      <c r="G78" s="129">
        <f t="shared" si="25"/>
        <v>70524.260000000009</v>
      </c>
      <c r="H78" s="129">
        <f t="shared" si="25"/>
        <v>69754.28</v>
      </c>
      <c r="I78" s="129">
        <f t="shared" si="25"/>
        <v>69242.98000000001</v>
      </c>
      <c r="J78" s="129">
        <f t="shared" si="25"/>
        <v>69465.850000000006</v>
      </c>
      <c r="K78" s="129">
        <f t="shared" si="25"/>
        <v>69444.33</v>
      </c>
      <c r="L78" s="129">
        <f t="shared" si="25"/>
        <v>75921.47</v>
      </c>
      <c r="M78" s="129">
        <f t="shared" si="25"/>
        <v>79485.359999999986</v>
      </c>
      <c r="N78" s="129">
        <f t="shared" si="25"/>
        <v>75822.48</v>
      </c>
      <c r="O78" s="129">
        <f t="shared" si="25"/>
        <v>75752.959999999992</v>
      </c>
      <c r="P78" s="129">
        <f t="shared" si="25"/>
        <v>846181.63000000012</v>
      </c>
      <c r="Q78" s="142">
        <f t="shared" si="25"/>
        <v>72144.760000000009</v>
      </c>
      <c r="R78" s="142">
        <f t="shared" si="25"/>
        <v>73461.709999999992</v>
      </c>
      <c r="S78" s="142">
        <f t="shared" si="25"/>
        <v>76221.86</v>
      </c>
      <c r="T78" s="142">
        <f t="shared" si="25"/>
        <v>72580.149999999994</v>
      </c>
      <c r="U78" s="142">
        <f t="shared" si="25"/>
        <v>70824.350000000006</v>
      </c>
      <c r="V78" s="142">
        <f t="shared" si="25"/>
        <v>64371.570000000007</v>
      </c>
      <c r="W78" s="142">
        <f t="shared" si="25"/>
        <v>63816.4</v>
      </c>
      <c r="X78" s="142">
        <f t="shared" si="25"/>
        <v>60715.380000000005</v>
      </c>
      <c r="Y78" s="142">
        <f t="shared" si="25"/>
        <v>79704</v>
      </c>
      <c r="Z78" s="142">
        <f t="shared" si="25"/>
        <v>80258</v>
      </c>
      <c r="AA78" s="142">
        <f t="shared" si="25"/>
        <v>79780</v>
      </c>
      <c r="AB78" s="142">
        <f t="shared" si="25"/>
        <v>79880</v>
      </c>
      <c r="AC78" s="142">
        <f t="shared" si="25"/>
        <v>873758.17999999993</v>
      </c>
      <c r="AD78" s="142">
        <f t="shared" si="21"/>
        <v>27576.549999999814</v>
      </c>
      <c r="AE78" s="132">
        <f t="shared" si="22"/>
        <v>3.1560849021178623E-2</v>
      </c>
      <c r="AF78" s="133">
        <v>636786.8899999999</v>
      </c>
      <c r="AG78" s="133">
        <f t="shared" si="23"/>
        <v>-209394.74000000022</v>
      </c>
    </row>
    <row r="79" spans="1:33">
      <c r="C79" s="105" t="s">
        <v>154</v>
      </c>
      <c r="X79" s="141"/>
      <c r="Y79" s="141"/>
      <c r="Z79" s="141"/>
      <c r="AA79" s="141"/>
      <c r="AB79" s="141"/>
      <c r="AC79" s="142"/>
      <c r="AD79" s="141"/>
      <c r="AF79" s="133"/>
      <c r="AG79" s="133">
        <f t="shared" si="23"/>
        <v>0</v>
      </c>
    </row>
    <row r="80" spans="1:33" s="109" customFormat="1">
      <c r="A80" s="109" t="s">
        <v>141</v>
      </c>
      <c r="B80" s="109" t="s">
        <v>946</v>
      </c>
      <c r="C80" s="109" t="s">
        <v>288</v>
      </c>
      <c r="D80" s="215">
        <v>5</v>
      </c>
      <c r="E80" s="215">
        <v>5</v>
      </c>
      <c r="F80" s="215">
        <v>5</v>
      </c>
      <c r="G80" s="215">
        <v>5</v>
      </c>
      <c r="H80" s="215">
        <v>5</v>
      </c>
      <c r="I80" s="215">
        <v>5</v>
      </c>
      <c r="J80" s="215">
        <v>5</v>
      </c>
      <c r="K80" s="215">
        <v>5</v>
      </c>
      <c r="L80" s="215">
        <v>5</v>
      </c>
      <c r="M80" s="215">
        <v>5</v>
      </c>
      <c r="N80" s="215">
        <v>5</v>
      </c>
      <c r="O80" s="215">
        <v>5</v>
      </c>
      <c r="P80" s="142">
        <f>SUM(D80:O80)/12</f>
        <v>5</v>
      </c>
      <c r="Q80" s="142">
        <v>5</v>
      </c>
      <c r="R80" s="142">
        <v>5</v>
      </c>
      <c r="S80" s="142">
        <v>5</v>
      </c>
      <c r="T80" s="142">
        <v>5</v>
      </c>
      <c r="U80" s="142">
        <v>5</v>
      </c>
      <c r="V80" s="142">
        <v>5</v>
      </c>
      <c r="W80" s="142">
        <v>5</v>
      </c>
      <c r="X80" s="142">
        <v>4</v>
      </c>
      <c r="Y80" s="142">
        <v>6</v>
      </c>
      <c r="Z80" s="142">
        <v>6</v>
      </c>
      <c r="AA80" s="142">
        <v>6</v>
      </c>
      <c r="AB80" s="142">
        <v>6</v>
      </c>
      <c r="AC80" s="142">
        <f>SUM(Q80:AB80)/12</f>
        <v>5.25</v>
      </c>
      <c r="AD80" s="142">
        <f t="shared" si="21"/>
        <v>0.25</v>
      </c>
      <c r="AE80" s="132"/>
      <c r="AF80" s="133">
        <v>4.166666666666667</v>
      </c>
      <c r="AG80" s="133">
        <f t="shared" si="23"/>
        <v>-0.83333333333333304</v>
      </c>
    </row>
    <row r="82" spans="3:29">
      <c r="P82" s="142">
        <f>P78/P80</f>
        <v>169236.32600000003</v>
      </c>
      <c r="AC82" s="142">
        <f>AC78/AC80</f>
        <v>166430.1295238095</v>
      </c>
    </row>
    <row r="83" spans="3:29">
      <c r="C83" s="151" t="s">
        <v>292</v>
      </c>
      <c r="D83" s="141">
        <v>0</v>
      </c>
      <c r="E83" s="141">
        <v>0</v>
      </c>
      <c r="F83" s="141">
        <v>0</v>
      </c>
      <c r="G83" s="141">
        <v>0</v>
      </c>
      <c r="H83" s="141">
        <v>0</v>
      </c>
      <c r="I83" s="141">
        <v>0</v>
      </c>
      <c r="J83" s="141">
        <v>0</v>
      </c>
      <c r="K83" s="141">
        <v>0</v>
      </c>
      <c r="L83" s="141">
        <v>0</v>
      </c>
      <c r="M83" s="141">
        <v>0</v>
      </c>
      <c r="N83" s="141">
        <v>0</v>
      </c>
      <c r="O83" s="141">
        <v>0</v>
      </c>
      <c r="P83" s="129">
        <f t="shared" ref="P83:P85" si="26">SUM(D83:O83)</f>
        <v>0</v>
      </c>
    </row>
    <row r="84" spans="3:29">
      <c r="C84" s="152" t="s">
        <v>366</v>
      </c>
      <c r="D84" s="136">
        <v>0</v>
      </c>
      <c r="E84" s="136">
        <v>0</v>
      </c>
      <c r="F84" s="136">
        <v>0</v>
      </c>
      <c r="G84" s="136">
        <v>0</v>
      </c>
      <c r="H84" s="136">
        <v>0</v>
      </c>
      <c r="I84" s="136">
        <v>0</v>
      </c>
      <c r="J84" s="136">
        <v>0</v>
      </c>
      <c r="K84" s="136">
        <v>0</v>
      </c>
      <c r="L84" s="136">
        <v>0</v>
      </c>
      <c r="M84" s="136">
        <v>0</v>
      </c>
      <c r="N84" s="136">
        <v>0</v>
      </c>
      <c r="O84" s="136">
        <v>0</v>
      </c>
      <c r="P84" s="129">
        <f t="shared" si="26"/>
        <v>0</v>
      </c>
    </row>
    <row r="85" spans="3:29">
      <c r="C85" s="151" t="s">
        <v>367</v>
      </c>
      <c r="D85" s="136">
        <v>0</v>
      </c>
      <c r="E85" s="136">
        <v>0</v>
      </c>
      <c r="F85" s="136">
        <v>0</v>
      </c>
      <c r="G85" s="136">
        <v>0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0</v>
      </c>
      <c r="O85" s="136">
        <v>0</v>
      </c>
      <c r="P85" s="129">
        <f t="shared" si="26"/>
        <v>0</v>
      </c>
    </row>
    <row r="86" spans="3:29">
      <c r="C86" s="109" t="s">
        <v>476</v>
      </c>
      <c r="D86" s="117">
        <f>SUM(D83:D85)</f>
        <v>0</v>
      </c>
      <c r="E86" s="117">
        <f t="shared" ref="E86:P86" si="27">SUM(E83:E85)</f>
        <v>0</v>
      </c>
      <c r="F86" s="117">
        <f t="shared" si="27"/>
        <v>0</v>
      </c>
      <c r="G86" s="117">
        <f t="shared" si="27"/>
        <v>0</v>
      </c>
      <c r="H86" s="117">
        <f t="shared" si="27"/>
        <v>0</v>
      </c>
      <c r="I86" s="117">
        <f t="shared" si="27"/>
        <v>0</v>
      </c>
      <c r="J86" s="117">
        <f t="shared" si="27"/>
        <v>0</v>
      </c>
      <c r="K86" s="117">
        <f t="shared" si="27"/>
        <v>0</v>
      </c>
      <c r="L86" s="117">
        <f t="shared" si="27"/>
        <v>0</v>
      </c>
      <c r="M86" s="117">
        <f t="shared" si="27"/>
        <v>0</v>
      </c>
      <c r="N86" s="117">
        <f t="shared" si="27"/>
        <v>0</v>
      </c>
      <c r="O86" s="117">
        <f t="shared" si="27"/>
        <v>0</v>
      </c>
      <c r="P86" s="117">
        <f t="shared" si="27"/>
        <v>0</v>
      </c>
    </row>
  </sheetData>
  <phoneticPr fontId="7" type="noConversion"/>
  <dataValidations count="112">
    <dataValidation type="textLength" errorStyle="information" allowBlank="1" showInputMessage="1" showErrorMessage="1" error="XLBVal:6=910.35_x000d__x000a_" sqref="U51">
      <formula1>0</formula1>
      <formula2>300</formula2>
    </dataValidation>
    <dataValidation type="textLength" errorStyle="information" allowBlank="1" showInputMessage="1" showErrorMessage="1" error="XLBVal:6=350_x000d__x000a_" sqref="U41">
      <formula1>0</formula1>
      <formula2>300</formula2>
    </dataValidation>
    <dataValidation type="textLength" errorStyle="information" allowBlank="1" showInputMessage="1" showErrorMessage="1" error="XLBVal:6=-87763.31_x000d__x000a_" sqref="T37">
      <formula1>0</formula1>
      <formula2>300</formula2>
    </dataValidation>
    <dataValidation type="textLength" errorStyle="information" allowBlank="1" showInputMessage="1" showErrorMessage="1" error="XLBVal:6=2626.6_x000d__x000a_" sqref="S37">
      <formula1>0</formula1>
      <formula2>300</formula2>
    </dataValidation>
    <dataValidation type="textLength" errorStyle="information" allowBlank="1" showInputMessage="1" showErrorMessage="1" error="XLBVal:6=104194.95_x000d__x000a_" sqref="R37">
      <formula1>0</formula1>
      <formula2>300</formula2>
    </dataValidation>
    <dataValidation type="textLength" errorStyle="information" allowBlank="1" showInputMessage="1" showErrorMessage="1" error="XLBVal:6=7.74_x000d__x000a_" sqref="Q25">
      <formula1>0</formula1>
      <formula2>300</formula2>
    </dataValidation>
    <dataValidation type="textLength" errorStyle="information" allowBlank="1" showInputMessage="1" showErrorMessage="1" error="XLBVal:6=77.04_x000d__x000a_" sqref="U21">
      <formula1>0</formula1>
      <formula2>300</formula2>
    </dataValidation>
    <dataValidation type="textLength" errorStyle="information" allowBlank="1" showInputMessage="1" showErrorMessage="1" error="XLBVal:6=454.5_x000d__x000a_" sqref="U19">
      <formula1>0</formula1>
      <formula2>300</formula2>
    </dataValidation>
    <dataValidation type="textLength" errorStyle="information" allowBlank="1" showInputMessage="1" showErrorMessage="1" error="XLBVal:6=0_x000d__x000a_" sqref="T17">
      <formula1>0</formula1>
      <formula2>300</formula2>
    </dataValidation>
    <dataValidation type="textLength" errorStyle="information" allowBlank="1" showInputMessage="1" showErrorMessage="1" error="XLBVal:6=232_x000d__x000a_" sqref="Q17:S17">
      <formula1>0</formula1>
      <formula2>300</formula2>
    </dataValidation>
    <dataValidation type="textLength" errorStyle="information" allowBlank="1" showInputMessage="1" showErrorMessage="1" error="XLBVal:6=10087.72_x000d__x000a_" sqref="Q15">
      <formula1>0</formula1>
      <formula2>300</formula2>
    </dataValidation>
    <dataValidation type="textLength" errorStyle="information" allowBlank="1" showInputMessage="1" showErrorMessage="1" error="XLBVal:6=13701.37_x000d__x000a_" sqref="R12">
      <formula1>0</formula1>
      <formula2>300</formula2>
    </dataValidation>
    <dataValidation type="textLength" errorStyle="information" allowBlank="1" showInputMessage="1" showErrorMessage="1" error="XLBVal:6=34143_x000d__x000a_" sqref="D47:D48 D51:O55 D58:O65 D68:O72 D80:O80">
      <formula1>0</formula1>
      <formula2>300</formula2>
    </dataValidation>
    <dataValidation type="textLength" errorStyle="information" allowBlank="1" showInputMessage="1" showErrorMessage="1" error="XLBVal:6=1997.24_x000d__x000a_" sqref="R53">
      <formula1>0</formula1>
      <formula2>300</formula2>
    </dataValidation>
    <dataValidation type="textLength" errorStyle="information" allowBlank="1" showInputMessage="1" showErrorMessage="1" error="XLBVal:6=2220_x000d__x000a_" sqref="Q53">
      <formula1>0</formula1>
      <formula2>300</formula2>
    </dataValidation>
    <dataValidation type="textLength" errorStyle="information" allowBlank="1" showInputMessage="1" showErrorMessage="1" error="XLBVal:6=6074.25_x000d__x000a_" sqref="V52">
      <formula1>0</formula1>
      <formula2>300</formula2>
    </dataValidation>
    <dataValidation type="textLength" errorStyle="information" allowBlank="1" showInputMessage="1" showErrorMessage="1" error="XLBVal:6=6081.2_x000d__x000a_" sqref="U52">
      <formula1>0</formula1>
      <formula2>300</formula2>
    </dataValidation>
    <dataValidation type="textLength" errorStyle="information" allowBlank="1" showInputMessage="1" showErrorMessage="1" error="XLBVal:6=6077.39_x000d__x000a_" sqref="T52">
      <formula1>0</formula1>
      <formula2>300</formula2>
    </dataValidation>
    <dataValidation type="textLength" errorStyle="information" allowBlank="1" showInputMessage="1" showErrorMessage="1" error="XLBVal:6=6105.74_x000d__x000a_" sqref="R48">
      <formula1>0</formula1>
      <formula2>300</formula2>
    </dataValidation>
    <dataValidation type="textLength" errorStyle="information" allowBlank="1" showInputMessage="1" showErrorMessage="1" error="XLBVal:6=6400_x000d__x000a_" sqref="Q48">
      <formula1>0</formula1>
      <formula2>300</formula2>
    </dataValidation>
    <dataValidation type="textLength" errorStyle="information" allowBlank="1" showInputMessage="1" showErrorMessage="1" error="XLBVal:6=23252.08_x000d__x000a_" sqref="Q37">
      <formula1>0</formula1>
      <formula2>300</formula2>
    </dataValidation>
    <dataValidation type="textLength" errorStyle="information" allowBlank="1" showInputMessage="1" showErrorMessage="1" error="XLBVal:6=930.7_x000d__x000a_" sqref="U22">
      <formula1>0</formula1>
      <formula2>300</formula2>
    </dataValidation>
    <dataValidation type="textLength" errorStyle="information" allowBlank="1" showInputMessage="1" showErrorMessage="1" error="XLBVal:6=5.99_x000d__x000a_" sqref="Q19">
      <formula1>0</formula1>
      <formula2>300</formula2>
    </dataValidation>
    <dataValidation type="textLength" errorStyle="information" allowBlank="1" showInputMessage="1" showErrorMessage="1" error="XLBVal:6=1201.33_x000d__x000a_" sqref="Q18">
      <formula1>0</formula1>
      <formula2>300</formula2>
    </dataValidation>
    <dataValidation type="textLength" errorStyle="information" allowBlank="1" showInputMessage="1" showErrorMessage="1" error="XLBVal:6=21060.17_x000d__x000a_" sqref="Q12">
      <formula1>0</formula1>
      <formula2>300</formula2>
    </dataValidation>
    <dataValidation type="textLength" errorStyle="information" allowBlank="1" showInputMessage="1" showErrorMessage="1" error="XLBVal:6=1513.27_x000d__x000a_" sqref="AB41">
      <formula1>0</formula1>
      <formula2>300</formula2>
    </dataValidation>
    <dataValidation type="textLength" errorStyle="information" allowBlank="1" showInputMessage="1" showErrorMessage="1" error="XLBVal:6=8.57_x000d__x000a_" sqref="AB25">
      <formula1>0</formula1>
      <formula2>300</formula2>
    </dataValidation>
    <dataValidation type="textLength" errorStyle="information" allowBlank="1" showInputMessage="1" showErrorMessage="1" error="XLBVal:6=22.72_x000d__x000a_" sqref="AB23">
      <formula1>0</formula1>
      <formula2>300</formula2>
    </dataValidation>
    <dataValidation type="textLength" errorStyle="information" allowBlank="1" showInputMessage="1" showErrorMessage="1" error="XLBVal:6=19955.3_x000d__x000a_" sqref="AB15">
      <formula1>0</formula1>
      <formula2>300</formula2>
    </dataValidation>
    <dataValidation type="textLength" errorStyle="information" allowBlank="1" showInputMessage="1" showErrorMessage="1" error="XLBVal:6=3168.14_x000d__x000a_" sqref="Z41">
      <formula1>0</formula1>
      <formula2>300</formula2>
    </dataValidation>
    <dataValidation type="textLength" errorStyle="information" allowBlank="1" showInputMessage="1" showErrorMessage="1" error="XLBVal:6=7.89_x000d__x000a_" sqref="AA25">
      <formula1>0</formula1>
      <formula2>300</formula2>
    </dataValidation>
    <dataValidation type="textLength" errorStyle="information" allowBlank="1" showInputMessage="1" showErrorMessage="1" error="XLBVal:6=24.19_x000d__x000a_" sqref="AA23">
      <formula1>0</formula1>
      <formula2>300</formula2>
    </dataValidation>
    <dataValidation type="textLength" errorStyle="information" allowBlank="1" showInputMessage="1" showErrorMessage="1" error="XLBVal:6=18.36_x000d__x000a_" sqref="Z23">
      <formula1>0</formula1>
      <formula2>300</formula2>
    </dataValidation>
    <dataValidation type="textLength" errorStyle="information" allowBlank="1" showInputMessage="1" showErrorMessage="1" error="XLBVal:6=15411.35_x000d__x000a_" sqref="AA15">
      <formula1>0</formula1>
      <formula2>300</formula2>
    </dataValidation>
    <dataValidation type="textLength" errorStyle="information" allowBlank="1" showInputMessage="1" showErrorMessage="1" error="XLBVal:6=9708.46_x000d__x000a_" sqref="Z15">
      <formula1>0</formula1>
      <formula2>300</formula2>
    </dataValidation>
    <dataValidation type="textLength" errorStyle="information" allowBlank="1" showInputMessage="1" showErrorMessage="1" error="XLBVal:6=2448.55_x000d__x000a_" sqref="Y15">
      <formula1>0</formula1>
      <formula2>300</formula2>
    </dataValidation>
    <dataValidation type="textLength" errorStyle="information" allowBlank="1" showInputMessage="1" showErrorMessage="1" error="XLBVal:6=-12948_x000d__x000a_" sqref="X37">
      <formula1>0</formula1>
      <formula2>300</formula2>
    </dataValidation>
    <dataValidation type="textLength" errorStyle="information" allowBlank="1" showInputMessage="1" showErrorMessage="1" error="XLBVal:6=24726_x000d__x000a_" sqref="X18">
      <formula1>0</formula1>
      <formula2>300</formula2>
    </dataValidation>
    <dataValidation type="textLength" errorStyle="information" allowBlank="1" showInputMessage="1" showErrorMessage="1" error="XLBVal:6=2566.12_x000d__x000a_" sqref="X15">
      <formula1>0</formula1>
      <formula2>300</formula2>
    </dataValidation>
    <dataValidation type="textLength" errorStyle="information" allowBlank="1" showInputMessage="1" showErrorMessage="1" error="XLBVal:6=700.82_x000d__x000a_" sqref="V64">
      <formula1>0</formula1>
      <formula2>300</formula2>
    </dataValidation>
    <dataValidation type="textLength" errorStyle="information" allowBlank="1" showInputMessage="1" showErrorMessage="1" error="XLBVal:6=780.91_x000d__x000a_" sqref="U64">
      <formula1>0</formula1>
      <formula2>300</formula2>
    </dataValidation>
    <dataValidation type="textLength" errorStyle="information" allowBlank="1" showInputMessage="1" showErrorMessage="1" error="XLBVal:6=1397.95_x000d__x000a_" sqref="T64">
      <formula1>0</formula1>
      <formula2>300</formula2>
    </dataValidation>
    <dataValidation type="textLength" errorStyle="information" allowBlank="1" showInputMessage="1" showErrorMessage="1" error="XLBVal:6=1719.67_x000d__x000a_" sqref="S64">
      <formula1>0</formula1>
      <formula2>300</formula2>
    </dataValidation>
    <dataValidation type="textLength" errorStyle="information" allowBlank="1" showInputMessage="1" showErrorMessage="1" error="XLBVal:6=748.44_x000d__x000a_" sqref="R64">
      <formula1>0</formula1>
      <formula2>300</formula2>
    </dataValidation>
    <dataValidation type="textLength" errorStyle="information" allowBlank="1" showInputMessage="1" showErrorMessage="1" error="XLBVal:6=758.4_x000d__x000a_" sqref="Q64">
      <formula1>0</formula1>
      <formula2>300</formula2>
    </dataValidation>
    <dataValidation type="textLength" errorStyle="information" allowBlank="1" showInputMessage="1" showErrorMessage="1" error="XLBVal:6=2958_x000d__x000a_" sqref="V63">
      <formula1>0</formula1>
      <formula2>300</formula2>
    </dataValidation>
    <dataValidation type="textLength" errorStyle="information" allowBlank="1" showInputMessage="1" showErrorMessage="1" error="XLBVal:6=70.99_x000d__x000a_" sqref="V61">
      <formula1>0</formula1>
      <formula2>300</formula2>
    </dataValidation>
    <dataValidation type="textLength" errorStyle="information" allowBlank="1" showInputMessage="1" showErrorMessage="1" error="XLBVal:6=295.78_x000d__x000a_" sqref="V60">
      <formula1>0</formula1>
      <formula2>300</formula2>
    </dataValidation>
    <dataValidation type="textLength" errorStyle="information" allowBlank="1" showInputMessage="1" showErrorMessage="1" error="XLBVal:6=5028.22_x000d__x000a_" sqref="V59">
      <formula1>0</formula1>
      <formula2>300</formula2>
    </dataValidation>
    <dataValidation type="textLength" errorStyle="information" allowBlank="1" showInputMessage="1" showErrorMessage="1" error="XLBVal:6=9464.89_x000d__x000a_" sqref="V58">
      <formula1>0</formula1>
      <formula2>300</formula2>
    </dataValidation>
    <dataValidation type="textLength" errorStyle="information" allowBlank="1" showInputMessage="1" showErrorMessage="1" error="XLBVal:6=1881.76_x000d__x000a_" sqref="V53">
      <formula1>0</formula1>
      <formula2>300</formula2>
    </dataValidation>
    <dataValidation type="textLength" errorStyle="information" allowBlank="1" showInputMessage="1" showErrorMessage="1" error="XLBVal:6=2187_x000d__x000a_" sqref="U53">
      <formula1>0</formula1>
      <formula2>300</formula2>
    </dataValidation>
    <dataValidation type="textLength" errorStyle="information" allowBlank="1" showInputMessage="1" showErrorMessage="1" error="XLBVal:6=2097.33_x000d__x000a_" sqref="T53">
      <formula1>0</formula1>
      <formula2>300</formula2>
    </dataValidation>
    <dataValidation type="textLength" errorStyle="information" allowBlank="1" showInputMessage="1" showErrorMessage="1" error="XLBVal:6=8899.42_x000d__x000a_" sqref="R52">
      <formula1>0</formula1>
      <formula2>300</formula2>
    </dataValidation>
    <dataValidation type="textLength" errorStyle="information" allowBlank="1" showInputMessage="1" showErrorMessage="1" error="XLBVal:6=7181.61_x000d__x000a_" sqref="T48">
      <formula1>0</formula1>
      <formula2>300</formula2>
    </dataValidation>
    <dataValidation type="textLength" errorStyle="information" allowBlank="1" showInputMessage="1" showErrorMessage="1" error="XLBVal:6=29148.27_x000d__x000a_" sqref="V47">
      <formula1>0</formula1>
      <formula2>300</formula2>
    </dataValidation>
    <dataValidation type="textLength" errorStyle="information" allowBlank="1" showInputMessage="1" showErrorMessage="1" error="XLBVal:6=41162.48_x000d__x000a_" sqref="W37">
      <formula1>0</formula1>
      <formula2>300</formula2>
    </dataValidation>
    <dataValidation type="textLength" errorStyle="information" allowBlank="1" showInputMessage="1" showErrorMessage="1" error="XLBVal:6=113.25_x000d__x000a_" sqref="W25">
      <formula1>0</formula1>
      <formula2>300</formula2>
    </dataValidation>
    <dataValidation type="textLength" errorStyle="information" allowBlank="1" showInputMessage="1" showErrorMessage="1" error="XLBVal:6=1033_x000d__x000a_" sqref="AA17:AB17 W17">
      <formula1>0</formula1>
      <formula2>300</formula2>
    </dataValidation>
    <dataValidation type="textLength" errorStyle="information" allowBlank="1" showInputMessage="1" showErrorMessage="1" error="XLBVal:6=20373.38_x000d__x000a_" sqref="Q11:V11">
      <formula1>0</formula1>
      <formula2>300</formula2>
    </dataValidation>
    <dataValidation type="textLength" errorStyle="information" allowBlank="1" showInputMessage="1" showErrorMessage="1" error="XLBVal:6=13214.01_x000d__x000a_" sqref="V12">
      <formula1>0</formula1>
      <formula2>300</formula2>
    </dataValidation>
    <dataValidation type="textLength" errorStyle="information" allowBlank="1" showInputMessage="1" showErrorMessage="1" error="XLBVal:6=79.69_x000d__x000a_" sqref="Q61:U61">
      <formula1>0</formula1>
      <formula2>300</formula2>
    </dataValidation>
    <dataValidation type="textLength" errorStyle="information" allowBlank="1" showInputMessage="1" showErrorMessage="1" error="XLBVal:6=332.04_x000d__x000a_" sqref="Q60:U60">
      <formula1>0</formula1>
      <formula2>300</formula2>
    </dataValidation>
    <dataValidation type="textLength" errorStyle="information" allowBlank="1" showInputMessage="1" showErrorMessage="1" error="XLBVal:6=5644.72_x000d__x000a_" sqref="Q59:U59">
      <formula1>0</formula1>
      <formula2>300</formula2>
    </dataValidation>
    <dataValidation type="textLength" errorStyle="information" allowBlank="1" showInputMessage="1" showErrorMessage="1" error="XLBVal:6=10625.36_x000d__x000a_" sqref="Q58:U58">
      <formula1>0</formula1>
      <formula2>300</formula2>
    </dataValidation>
    <dataValidation type="textLength" errorStyle="information" allowBlank="1" showInputMessage="1" showErrorMessage="1" error="XLBVal:6=2208.62_x000d__x000a_" sqref="S53">
      <formula1>0</formula1>
      <formula2>300</formula2>
    </dataValidation>
    <dataValidation type="textLength" errorStyle="information" allowBlank="1" showInputMessage="1" showErrorMessage="1" error="XLBVal:6=7200_x000d__x000a_" sqref="S48">
      <formula1>0</formula1>
      <formula2>300</formula2>
    </dataValidation>
    <dataValidation type="textLength" errorStyle="information" allowBlank="1" showInputMessage="1" showErrorMessage="1" error="XLBVal:6=13293.19_x000d__x000a_" sqref="U12">
      <formula1>0</formula1>
      <formula2>300</formula2>
    </dataValidation>
    <dataValidation type="textLength" errorStyle="information" allowBlank="1" showInputMessage="1" showErrorMessage="1" error="XLBVal:6=3321_x000d__x000a_" sqref="Q63:U63">
      <formula1>0</formula1>
      <formula2>300</formula2>
    </dataValidation>
    <dataValidation type="textLength" errorStyle="information" allowBlank="1" showInputMessage="1" showErrorMessage="1" error="XLBVal:6=8895.61_x000d__x000a_" sqref="Q52">
      <formula1>0</formula1>
      <formula2>300</formula2>
    </dataValidation>
    <dataValidation type="textLength" errorStyle="information" allowBlank="1" showInputMessage="1" showErrorMessage="1" error="XLBVal:6=46744.35_x000d__x000a_" sqref="W15">
      <formula1>0</formula1>
      <formula2>300</formula2>
    </dataValidation>
    <dataValidation type="textLength" errorStyle="information" allowBlank="1" showInputMessage="1" showErrorMessage="1" error="XLBVal:6=13293.18_x000d__x000a_" sqref="W12:AB12 S12:T12">
      <formula1>0</formula1>
      <formula2>300</formula2>
    </dataValidation>
    <dataValidation type="textLength" errorStyle="information" allowBlank="1" showInputMessage="1" showErrorMessage="1" error="XLBVal:6=5_x000d__x000a_" sqref="Q80:V80">
      <formula1>0</formula1>
      <formula2>300</formula2>
    </dataValidation>
    <dataValidation type="textLength" errorStyle="information" allowBlank="1" showInputMessage="1" showErrorMessage="1" error="XLBVal:6=6648.27_x000d__x000a_" sqref="U48">
      <formula1>0</formula1>
      <formula2>300</formula2>
    </dataValidation>
    <dataValidation type="textLength" errorStyle="information" allowBlank="1" showInputMessage="1" showErrorMessage="1" error="XLBVal:6=9139.43_x000d__x000a_" sqref="S52">
      <formula1>0</formula1>
      <formula2>300</formula2>
    </dataValidation>
    <dataValidation type="textLength" errorStyle="information" allowBlank="1" showInputMessage="1" showErrorMessage="1" error="XLBVal:6=13116.59_x000d__x000a_" sqref="R15">
      <formula1>0</formula1>
      <formula2>300</formula2>
    </dataValidation>
    <dataValidation type="textLength" errorStyle="information" allowBlank="1" showInputMessage="1" showErrorMessage="1" error="XLBVal:6=29300_x000d__x000a_" sqref="Q47:U47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5096.37_x000d__x000a_" sqref="V74">
      <formula1>0</formula1>
      <formula2>300</formula2>
    </dataValidation>
    <dataValidation type="textLength" errorStyle="information" allowBlank="1" showInputMessage="1" showErrorMessage="1" error="XLBVal:6=4241.85_x000d__x000a_" sqref="U74">
      <formula1>0</formula1>
      <formula2>300</formula2>
    </dataValidation>
    <dataValidation type="textLength" errorStyle="information" allowBlank="1" showInputMessage="1" showErrorMessage="1" error="XLBVal:6=5891.21_x000d__x000a_" sqref="T74">
      <formula1>0</formula1>
      <formula2>300</formula2>
    </dataValidation>
    <dataValidation type="textLength" errorStyle="information" allowBlank="1" showInputMessage="1" showErrorMessage="1" error="XLBVal:6=6081.37_x000d__x000a_" sqref="S74">
      <formula1>0</formula1>
      <formula2>300</formula2>
    </dataValidation>
    <dataValidation type="textLength" errorStyle="information" allowBlank="1" showInputMessage="1" showErrorMessage="1" error="XLBVal:6=6180.32_x000d__x000a_" sqref="R74">
      <formula1>0</formula1>
      <formula2>300</formula2>
    </dataValidation>
    <dataValidation type="textLength" errorStyle="information" allowBlank="1" showInputMessage="1" showErrorMessage="1" error="XLBVal:6=4046.36_x000d__x000a_" sqref="Q74">
      <formula1>0</formula1>
      <formula2>300</formula2>
    </dataValidation>
    <dataValidation type="textLength" errorStyle="information" allowBlank="1" showInputMessage="1" showErrorMessage="1" error="XLBVal:6=1052.95_x000d__x000a_" sqref="V73">
      <formula1>0</formula1>
      <formula2>300</formula2>
    </dataValidation>
    <dataValidation type="textLength" errorStyle="information" allowBlank="1" showInputMessage="1" showErrorMessage="1" error="XLBVal:6=573.59_x000d__x000a_" sqref="U73">
      <formula1>0</formula1>
      <formula2>300</formula2>
    </dataValidation>
    <dataValidation type="textLength" errorStyle="information" allowBlank="1" showInputMessage="1" showErrorMessage="1" error="XLBVal:6=537.6_x000d__x000a_" sqref="T73">
      <formula1>0</formula1>
      <formula2>300</formula2>
    </dataValidation>
    <dataValidation type="textLength" errorStyle="information" allowBlank="1" showInputMessage="1" showErrorMessage="1" error="XLBVal:6=475.71_x000d__x000a_" sqref="S73">
      <formula1>0</formula1>
      <formula2>300</formula2>
    </dataValidation>
    <dataValidation type="textLength" errorStyle="information" allowBlank="1" showInputMessage="1" showErrorMessage="1" error="XLBVal:6=132.69_x000d__x000a_" sqref="R73">
      <formula1>0</formula1>
      <formula2>300</formula2>
    </dataValidation>
    <dataValidation type="textLength" errorStyle="information" allowBlank="1" showInputMessage="1" showErrorMessage="1" error="XLBVal:6=427.33_x000d__x000a_" sqref="Q73">
      <formula1>0</formula1>
      <formula2>300</formula2>
    </dataValidation>
    <dataValidation type="textLength" errorStyle="information" allowBlank="1" showInputMessage="1" showErrorMessage="1" error="XLBVal:6=98.8_x000d__x000a_" sqref="V72">
      <formula1>0</formula1>
      <formula2>300</formula2>
    </dataValidation>
    <dataValidation type="textLength" errorStyle="information" allowBlank="1" showInputMessage="1" showErrorMessage="1" error="XLBVal:6=98.37_x000d__x000a_" sqref="U72">
      <formula1>0</formula1>
      <formula2>300</formula2>
    </dataValidation>
    <dataValidation type="textLength" errorStyle="information" allowBlank="1" showInputMessage="1" showErrorMessage="1" error="XLBVal:6=94.25_x000d__x000a_" sqref="Q72 S72:T72">
      <formula1>0</formula1>
      <formula2>300</formula2>
    </dataValidation>
    <dataValidation type="textLength" errorStyle="information" allowBlank="1" showInputMessage="1" showErrorMessage="1" error="XLBVal:6=95.05_x000d__x000a_" sqref="R72">
      <formula1>0</formula1>
      <formula2>300</formula2>
    </dataValidation>
    <dataValidation type="textLength" errorStyle="information" allowBlank="1" showInputMessage="1" showErrorMessage="1" error="XLBVal:6=42700_x000d__x000a_" sqref="E47:O48">
      <formula1>0</formula1>
      <formula2>300</formula2>
    </dataValidation>
    <dataValidation type="textLength" errorStyle="information" allowBlank="1" showInputMessage="1" showErrorMessage="1" error="XLBVal:6=90.32_x000d__x000a_" sqref="V23">
      <formula1>0</formula1>
      <formula2>300</formula2>
    </dataValidation>
    <dataValidation type="textLength" errorStyle="information" allowBlank="1" showInputMessage="1" showErrorMessage="1" error="XLBVal:6=10.08_x000d__x000a_" sqref="U23">
      <formula1>0</formula1>
      <formula2>300</formula2>
    </dataValidation>
    <dataValidation type="textLength" errorStyle="information" allowBlank="1" showInputMessage="1" showErrorMessage="1" error="XLBVal:6=26.94_x000d__x000a_" sqref="T23">
      <formula1>0</formula1>
      <formula2>300</formula2>
    </dataValidation>
    <dataValidation type="textLength" errorStyle="information" allowBlank="1" showInputMessage="1" showErrorMessage="1" error="XLBVal:6=28.8_x000d__x000a_" sqref="S23">
      <formula1>0</formula1>
      <formula2>300</formula2>
    </dataValidation>
    <dataValidation type="textLength" errorStyle="information" allowBlank="1" showInputMessage="1" showErrorMessage="1" error="XLBVal:6=41.72_x000d__x000a_" sqref="R23">
      <formula1>0</formula1>
      <formula2>300</formula2>
    </dataValidation>
    <dataValidation type="textLength" errorStyle="information" allowBlank="1" showInputMessage="1" showErrorMessage="1" error="XLBVal:6=36.69_x000d__x000a_" sqref="Q23">
      <formula1>0</formula1>
      <formula2>300</formula2>
    </dataValidation>
    <dataValidation type="textLength" errorStyle="information" allowBlank="1" showInputMessage="1" showErrorMessage="1" error="XLBVal:6=6958.17_x000d__x000a_" sqref="V15">
      <formula1>0</formula1>
      <formula2>300</formula2>
    </dataValidation>
    <dataValidation type="textLength" errorStyle="information" allowBlank="1" showInputMessage="1" showErrorMessage="1" error="XLBVal:6=7733.65_x000d__x000a_" sqref="U15">
      <formula1>0</formula1>
      <formula2>300</formula2>
    </dataValidation>
    <dataValidation type="textLength" errorStyle="information" allowBlank="1" showInputMessage="1" showErrorMessage="1" error="XLBVal:6=-919.09_x000d__x000a_" sqref="T15">
      <formula1>0</formula1>
      <formula2>300</formula2>
    </dataValidation>
    <dataValidation type="textLength" errorStyle="information" allowBlank="1" showInputMessage="1" showErrorMessage="1" error="XLBVal:6=8226.02_x000d__x000a_" sqref="S15">
      <formula1>0</formula1>
      <formula2>300</formula2>
    </dataValidation>
    <dataValidation type="textLength" errorStyle="information" allowBlank="1" showInputMessage="1" showErrorMessage="1" error="XLBVal:6=6522.25_x000d__x000a_" sqref="D15:O15">
      <formula1>0</formula1>
      <formula2>300</formula2>
    </dataValidation>
    <dataValidation type="textLength" errorStyle="information" allowBlank="1" showInputMessage="1" showErrorMessage="1" error="XLBVal:6=12103.86_x000d__x000a_" sqref="D12:O12">
      <formula1>0</formula1>
      <formula2>300</formula2>
    </dataValidation>
    <dataValidation type="textLength" errorStyle="information" allowBlank="1" showInputMessage="1" showErrorMessage="1" error="XLBVal:6=2500.47_x000d__x000a_" sqref="V48">
      <formula1>0</formula1>
      <formula2>300</formula2>
    </dataValidation>
    <dataValidation type="textLength" errorStyle="information" allowBlank="1" showInputMessage="1" showErrorMessage="1" error="XLBVal:6=9_x000d__x000a_" sqref="D25:I25 X25:Z25 R25:V25">
      <formula1>0</formula1>
      <formula2>300</formula2>
    </dataValidation>
    <dataValidation type="textLength" errorStyle="information" allowBlank="1" showInputMessage="1" showErrorMessage="1" error="XLBVal:6=320379.46_x000d__x000a_" sqref="D75:I76 Q75:V76">
      <formula1>0</formula1>
      <formula2>300</formula2>
    </dataValidation>
    <dataValidation type="textLength" errorStyle="information" allowBlank="1" showInputMessage="1" showErrorMessage="1" error="XLBVal:6=351527_x000d__x000a_" sqref="J40:O40">
      <formula1>0</formula1>
      <formula2>300</formula2>
    </dataValidation>
    <dataValidation type="textLength" errorStyle="information" allowBlank="1" showInputMessage="1" showErrorMessage="1" error="XLBVal:2=0_x000d__x000a_" sqref="U20 D32:I33 D26:I28 D40:I41 D20:I22 D35:I37 R18:W18 W23:Y23 Y18:AB18 U40 Y37:AB37 Q54:V55 Q62:V62 Q26:AB28 Q32:AB33 V51 Z40 D16:I16 Q16:AB16 X17:Z17 U37:V37 AB40 AA40:AA41 Q20:Q22 Q71:V71 Q40:T41 V40:Y41 U17:V17 Q13:V14 Q51:T51 Q35:AB36 R19:T22 V19:AB22 D17:O19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H87"/>
  <sheetViews>
    <sheetView view="pageBreakPreview" topLeftCell="C1" zoomScaleNormal="100" zoomScaleSheetLayoutView="100" workbookViewId="0">
      <pane xSplit="2" ySplit="7" topLeftCell="J8" activePane="bottomRight" state="frozen"/>
      <selection activeCell="AP43" sqref="AP43"/>
      <selection pane="topRight" activeCell="AP43" sqref="AP43"/>
      <selection pane="bottomLeft" activeCell="AP43" sqref="AP43"/>
      <selection pane="bottomRight" activeCell="M36" sqref="M36"/>
    </sheetView>
  </sheetViews>
  <sheetFormatPr defaultColWidth="9" defaultRowHeight="14.25" outlineLevelRow="1" outlineLevelCol="2"/>
  <cols>
    <col min="1" max="2" width="9" style="105" hidden="1" customWidth="1" outlineLevel="1"/>
    <col min="3" max="3" width="40.75" style="105" customWidth="1" collapsed="1"/>
    <col min="4" max="14" width="14.375" style="141" customWidth="1"/>
    <col min="15" max="15" width="18.25" style="141" bestFit="1" customWidth="1"/>
    <col min="16" max="16" width="18.25" style="145" bestFit="1" customWidth="1"/>
    <col min="17" max="23" width="14.25" style="231" hidden="1" customWidth="1" outlineLevel="1"/>
    <col min="24" max="25" width="14.25" style="124" hidden="1" customWidth="1" outlineLevel="2"/>
    <col min="26" max="28" width="18.25" style="124" hidden="1" customWidth="1" outlineLevel="2"/>
    <col min="29" max="29" width="14.5" style="129" customWidth="1" collapsed="1"/>
    <col min="30" max="30" width="15.75" style="124" bestFit="1" customWidth="1"/>
    <col min="31" max="31" width="9.625" style="192" bestFit="1" customWidth="1"/>
    <col min="32" max="32" width="18.25" style="109" hidden="1" customWidth="1"/>
    <col min="33" max="33" width="19.5" style="105" hidden="1" customWidth="1"/>
    <col min="34" max="16384" width="9" style="105"/>
  </cols>
  <sheetData>
    <row r="1" spans="1:33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316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E1" s="186"/>
      <c r="AF1" s="103"/>
    </row>
    <row r="2" spans="1:33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316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E2" s="186"/>
      <c r="AF2" s="103"/>
    </row>
    <row r="3" spans="1:33">
      <c r="C3" s="105" t="s">
        <v>947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317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09"/>
      <c r="AD3" s="184"/>
      <c r="AE3" s="279"/>
    </row>
    <row r="4" spans="1:33" s="100" customFormat="1" ht="18">
      <c r="C4" s="18">
        <f>+'2025 Summay'!$D$7</f>
        <v>2025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3"/>
      <c r="AE4" s="186"/>
      <c r="AF4" s="103"/>
    </row>
    <row r="5" spans="1:33" s="100" customFormat="1">
      <c r="C5" s="100" t="s">
        <v>154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316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172"/>
      <c r="AD5" s="183"/>
      <c r="AE5" s="186"/>
      <c r="AF5" s="103"/>
    </row>
    <row r="6" spans="1:33" s="100" customFormat="1">
      <c r="C6" s="100" t="s">
        <v>154</v>
      </c>
      <c r="D6" s="319">
        <f>'S&amp;M'!D6</f>
        <v>1</v>
      </c>
      <c r="E6" s="319">
        <f>'S&amp;M'!E6</f>
        <v>2</v>
      </c>
      <c r="F6" s="319">
        <f>'S&amp;M'!F6</f>
        <v>3</v>
      </c>
      <c r="G6" s="319">
        <f>'S&amp;M'!G6</f>
        <v>4</v>
      </c>
      <c r="H6" s="319">
        <f>'S&amp;M'!H6</f>
        <v>5</v>
      </c>
      <c r="I6" s="319">
        <f>'S&amp;M'!I6</f>
        <v>6</v>
      </c>
      <c r="J6" s="319">
        <f>'S&amp;M'!J6</f>
        <v>7</v>
      </c>
      <c r="K6" s="319">
        <f>'S&amp;M'!K6</f>
        <v>8</v>
      </c>
      <c r="L6" s="319">
        <f>'S&amp;M'!L6</f>
        <v>9</v>
      </c>
      <c r="M6" s="319">
        <f>'S&amp;M'!M6</f>
        <v>10</v>
      </c>
      <c r="N6" s="319">
        <f>'S&amp;M'!N6</f>
        <v>11</v>
      </c>
      <c r="O6" s="319">
        <f>'S&amp;M'!O6</f>
        <v>12</v>
      </c>
      <c r="P6" s="320">
        <f>'S&amp;M'!P6</f>
        <v>2025</v>
      </c>
      <c r="Q6" s="114">
        <f>'S&amp;M'!Q6</f>
        <v>202401</v>
      </c>
      <c r="R6" s="114">
        <f>'S&amp;M'!R6</f>
        <v>202402</v>
      </c>
      <c r="S6" s="114">
        <f>'S&amp;M'!S6</f>
        <v>202403</v>
      </c>
      <c r="T6" s="114">
        <f>'S&amp;M'!T6</f>
        <v>202404</v>
      </c>
      <c r="U6" s="114">
        <f>'S&amp;M'!U6</f>
        <v>202405</v>
      </c>
      <c r="V6" s="114">
        <f>'S&amp;M'!V6</f>
        <v>202406</v>
      </c>
      <c r="W6" s="114">
        <f>'S&amp;M'!W6</f>
        <v>202407</v>
      </c>
      <c r="X6" s="114">
        <f>'S&amp;M'!X6</f>
        <v>202408</v>
      </c>
      <c r="Y6" s="114">
        <f>'S&amp;M'!Y6</f>
        <v>202409</v>
      </c>
      <c r="Z6" s="114">
        <f>'S&amp;M'!Z6</f>
        <v>202410</v>
      </c>
      <c r="AA6" s="114">
        <f>'S&amp;M'!AA6</f>
        <v>202411</v>
      </c>
      <c r="AB6" s="114">
        <f>'S&amp;M'!AB6</f>
        <v>202412</v>
      </c>
      <c r="AC6" s="115">
        <f>'S&amp;M'!AC6</f>
        <v>2024</v>
      </c>
      <c r="AD6" s="188" t="s">
        <v>6</v>
      </c>
      <c r="AE6" s="177" t="s">
        <v>156</v>
      </c>
      <c r="AF6" s="316">
        <v>2019</v>
      </c>
    </row>
    <row r="7" spans="1:33">
      <c r="C7" s="105" t="s">
        <v>154</v>
      </c>
      <c r="D7" s="141" t="str">
        <f>'S&amp;M'!D7</f>
        <v>Budget</v>
      </c>
      <c r="E7" s="141" t="str">
        <f>'S&amp;M'!E7</f>
        <v>Budget</v>
      </c>
      <c r="F7" s="141" t="str">
        <f>'S&amp;M'!F7</f>
        <v>Budget</v>
      </c>
      <c r="G7" s="141" t="str">
        <f>'S&amp;M'!G7</f>
        <v>Budget</v>
      </c>
      <c r="H7" s="141" t="str">
        <f>'S&amp;M'!H7</f>
        <v>Budget</v>
      </c>
      <c r="I7" s="141" t="str">
        <f>'S&amp;M'!I7</f>
        <v>Budget</v>
      </c>
      <c r="J7" s="141" t="str">
        <f>'S&amp;M'!J7</f>
        <v>Budget</v>
      </c>
      <c r="K7" s="141" t="str">
        <f>'S&amp;M'!K7</f>
        <v>Budget</v>
      </c>
      <c r="L7" s="141" t="str">
        <f>'S&amp;M'!L7</f>
        <v>Budget</v>
      </c>
      <c r="M7" s="141" t="str">
        <f>'S&amp;M'!M7</f>
        <v>Budget</v>
      </c>
      <c r="N7" s="141" t="str">
        <f>'S&amp;M'!N7</f>
        <v>Budget</v>
      </c>
      <c r="O7" s="141" t="str">
        <f>'S&amp;M'!O7</f>
        <v>Budget</v>
      </c>
      <c r="P7" s="322" t="str">
        <f>'S&amp;M'!P7</f>
        <v>Budget</v>
      </c>
      <c r="Q7" s="244" t="str">
        <f>'S&amp;M'!Q7</f>
        <v>Actual</v>
      </c>
      <c r="R7" s="244" t="str">
        <f>'S&amp;M'!R7</f>
        <v>Actual</v>
      </c>
      <c r="S7" s="244" t="str">
        <f>'S&amp;M'!S7</f>
        <v>Actual</v>
      </c>
      <c r="T7" s="244" t="str">
        <f>'S&amp;M'!T7</f>
        <v>Actual</v>
      </c>
      <c r="U7" s="244" t="str">
        <f>'S&amp;M'!U7</f>
        <v>Actual</v>
      </c>
      <c r="V7" s="244" t="str">
        <f>'S&amp;M'!V7</f>
        <v>Actual</v>
      </c>
      <c r="W7" s="244" t="str">
        <f>'S&amp;M'!W7</f>
        <v>Actual</v>
      </c>
      <c r="X7" s="244" t="str">
        <f>'S&amp;M'!X7</f>
        <v>Actual</v>
      </c>
      <c r="Y7" s="244" t="str">
        <f>'S&amp;M'!Y7</f>
        <v>Forecast</v>
      </c>
      <c r="Z7" s="244" t="str">
        <f>'S&amp;M'!Z7</f>
        <v>Forecast</v>
      </c>
      <c r="AA7" s="244" t="str">
        <f>'S&amp;M'!AA7</f>
        <v>Forecast</v>
      </c>
      <c r="AB7" s="244" t="str">
        <f>'S&amp;M'!AB7</f>
        <v>Forecast</v>
      </c>
      <c r="AC7" s="245" t="str">
        <f>'S&amp;M'!AC7</f>
        <v>Forecast</v>
      </c>
      <c r="AD7" s="189"/>
      <c r="AE7" s="132"/>
      <c r="AF7" s="133" t="s">
        <v>12</v>
      </c>
    </row>
    <row r="8" spans="1:33">
      <c r="C8" s="105" t="s">
        <v>154</v>
      </c>
      <c r="D8" s="124"/>
      <c r="E8" s="124"/>
      <c r="F8" s="124"/>
      <c r="G8" s="124"/>
      <c r="H8" s="124"/>
      <c r="I8" s="124"/>
      <c r="Q8" s="124"/>
      <c r="R8" s="124"/>
      <c r="S8" s="124"/>
      <c r="T8" s="124"/>
      <c r="U8" s="124"/>
      <c r="V8" s="124"/>
      <c r="W8" s="124"/>
      <c r="AF8" s="133"/>
    </row>
    <row r="9" spans="1:33" s="109" customFormat="1">
      <c r="A9" s="109" t="s">
        <v>905</v>
      </c>
      <c r="B9" s="109" t="s">
        <v>948</v>
      </c>
      <c r="C9" s="109" t="s">
        <v>175</v>
      </c>
      <c r="D9" s="129">
        <f t="shared" ref="D9:O9" si="0">D78</f>
        <v>417465.57</v>
      </c>
      <c r="E9" s="129">
        <f t="shared" si="0"/>
        <v>414159.07</v>
      </c>
      <c r="F9" s="129">
        <f t="shared" si="0"/>
        <v>388859.05000000005</v>
      </c>
      <c r="G9" s="129">
        <f t="shared" si="0"/>
        <v>393983.61</v>
      </c>
      <c r="H9" s="129">
        <f t="shared" si="0"/>
        <v>393478.92000000004</v>
      </c>
      <c r="I9" s="129">
        <f t="shared" si="0"/>
        <v>382795.42000000004</v>
      </c>
      <c r="J9" s="129">
        <f t="shared" si="0"/>
        <v>405315.35</v>
      </c>
      <c r="K9" s="129">
        <f t="shared" si="0"/>
        <v>414086.85</v>
      </c>
      <c r="L9" s="129">
        <f t="shared" si="0"/>
        <v>386700.85</v>
      </c>
      <c r="M9" s="129">
        <f t="shared" si="0"/>
        <v>399453.37</v>
      </c>
      <c r="N9" s="129">
        <f t="shared" si="0"/>
        <v>387756.95</v>
      </c>
      <c r="O9" s="129">
        <f t="shared" si="0"/>
        <v>402444.28</v>
      </c>
      <c r="P9" s="133">
        <f>SUM(D9:O9)</f>
        <v>4786499.29</v>
      </c>
      <c r="Q9" s="142">
        <f t="shared" ref="Q9:AB9" si="1">Q78</f>
        <v>529848.13</v>
      </c>
      <c r="R9" s="142">
        <f t="shared" si="1"/>
        <v>625732.92999999993</v>
      </c>
      <c r="S9" s="142">
        <f t="shared" si="1"/>
        <v>533403.87</v>
      </c>
      <c r="T9" s="142">
        <f t="shared" si="1"/>
        <v>458198.68</v>
      </c>
      <c r="U9" s="142">
        <f t="shared" si="1"/>
        <v>444632.24</v>
      </c>
      <c r="V9" s="142">
        <f t="shared" si="1"/>
        <v>405501.47</v>
      </c>
      <c r="W9" s="142">
        <f t="shared" si="1"/>
        <v>418995.14999999997</v>
      </c>
      <c r="X9" s="142">
        <f t="shared" si="1"/>
        <v>363359.74</v>
      </c>
      <c r="Y9" s="142">
        <f t="shared" si="1"/>
        <v>472094.17</v>
      </c>
      <c r="Z9" s="142">
        <f t="shared" si="1"/>
        <v>459541.17</v>
      </c>
      <c r="AA9" s="142">
        <f t="shared" si="1"/>
        <v>443529.17</v>
      </c>
      <c r="AB9" s="142">
        <f t="shared" si="1"/>
        <v>663378.16999999993</v>
      </c>
      <c r="AC9" s="142">
        <f>SUM(Q9:AB9)</f>
        <v>5818214.8899999997</v>
      </c>
      <c r="AD9" s="142">
        <f>AC9-P9</f>
        <v>1031715.5999999996</v>
      </c>
      <c r="AE9" s="132">
        <f>AD9/AC9</f>
        <v>0.17732511079528032</v>
      </c>
      <c r="AF9" s="133">
        <v>3753671.61</v>
      </c>
      <c r="AG9" s="133">
        <f t="shared" ref="AG9:AG72" si="2">AF9-P9</f>
        <v>-1032827.6800000002</v>
      </c>
    </row>
    <row r="10" spans="1:33">
      <c r="C10" s="105" t="s">
        <v>154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33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2"/>
      <c r="AD10" s="141"/>
      <c r="AF10" s="133"/>
      <c r="AG10" s="133">
        <f t="shared" si="2"/>
        <v>0</v>
      </c>
    </row>
    <row r="11" spans="1:33">
      <c r="C11" s="105" t="s">
        <v>176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33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2"/>
      <c r="AD11" s="141"/>
      <c r="AF11" s="133"/>
      <c r="AG11" s="133">
        <f t="shared" si="2"/>
        <v>0</v>
      </c>
    </row>
    <row r="12" spans="1:33">
      <c r="A12" s="105" t="s">
        <v>687</v>
      </c>
      <c r="B12" s="105" t="s">
        <v>948</v>
      </c>
      <c r="C12" s="105" t="s">
        <v>144</v>
      </c>
      <c r="D12" s="212">
        <f>+D84+D85+D86</f>
        <v>0</v>
      </c>
      <c r="E12" s="212">
        <f t="shared" ref="E12:O12" si="3">+E84+E85+E86</f>
        <v>0</v>
      </c>
      <c r="F12" s="212">
        <f t="shared" si="3"/>
        <v>0</v>
      </c>
      <c r="G12" s="212">
        <f t="shared" si="3"/>
        <v>0</v>
      </c>
      <c r="H12" s="212">
        <f t="shared" si="3"/>
        <v>0</v>
      </c>
      <c r="I12" s="212">
        <f t="shared" si="3"/>
        <v>0</v>
      </c>
      <c r="J12" s="212">
        <f t="shared" si="3"/>
        <v>0</v>
      </c>
      <c r="K12" s="212">
        <f t="shared" si="3"/>
        <v>0</v>
      </c>
      <c r="L12" s="212">
        <f t="shared" si="3"/>
        <v>0</v>
      </c>
      <c r="M12" s="212">
        <f t="shared" si="3"/>
        <v>0</v>
      </c>
      <c r="N12" s="212">
        <f t="shared" si="3"/>
        <v>0</v>
      </c>
      <c r="O12" s="212">
        <f t="shared" si="3"/>
        <v>0</v>
      </c>
      <c r="P12" s="133">
        <f>SUM(D12:O12)</f>
        <v>0</v>
      </c>
      <c r="Q12" s="141">
        <v>4346.3900000000003</v>
      </c>
      <c r="R12" s="141">
        <v>11304.13</v>
      </c>
      <c r="S12" s="141">
        <v>10871.88</v>
      </c>
      <c r="T12" s="141">
        <v>19531.45</v>
      </c>
      <c r="U12" s="141">
        <v>15182.89</v>
      </c>
      <c r="V12" s="141">
        <v>11632.19</v>
      </c>
      <c r="W12" s="141">
        <v>12032.47</v>
      </c>
      <c r="X12" s="141">
        <v>3699.58</v>
      </c>
      <c r="Y12" s="141">
        <v>9508</v>
      </c>
      <c r="Z12" s="141">
        <v>9508</v>
      </c>
      <c r="AA12" s="141">
        <v>9508</v>
      </c>
      <c r="AB12" s="141">
        <v>9508</v>
      </c>
      <c r="AC12" s="142">
        <f t="shared" ref="AC12:AC41" si="4">SUM(Q12:AB12)</f>
        <v>126632.98000000001</v>
      </c>
      <c r="AD12" s="141">
        <f t="shared" ref="AD12:AD43" si="5">AC12-P12</f>
        <v>126632.98000000001</v>
      </c>
      <c r="AE12" s="192">
        <f t="shared" ref="AE12:AE43" si="6">AD12/AC12</f>
        <v>1</v>
      </c>
      <c r="AF12" s="133">
        <v>53182.039999999994</v>
      </c>
      <c r="AG12" s="133">
        <f t="shared" si="2"/>
        <v>53182.039999999994</v>
      </c>
    </row>
    <row r="13" spans="1:33">
      <c r="A13" s="105" t="s">
        <v>181</v>
      </c>
      <c r="B13" s="105" t="s">
        <v>948</v>
      </c>
      <c r="C13" s="105" t="s">
        <v>182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33">
        <f t="shared" ref="P13:P41" si="7">SUM(D13:O13)</f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142">
        <f t="shared" si="4"/>
        <v>0</v>
      </c>
      <c r="AD13" s="141">
        <f t="shared" si="5"/>
        <v>0</v>
      </c>
      <c r="AF13" s="133">
        <v>0</v>
      </c>
      <c r="AG13" s="133">
        <f t="shared" si="2"/>
        <v>0</v>
      </c>
    </row>
    <row r="14" spans="1:33">
      <c r="A14" s="105" t="s">
        <v>834</v>
      </c>
      <c r="B14" s="105" t="s">
        <v>948</v>
      </c>
      <c r="C14" s="105" t="s">
        <v>431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33">
        <f t="shared" si="7"/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142">
        <f t="shared" si="4"/>
        <v>0</v>
      </c>
      <c r="AD14" s="141">
        <f t="shared" si="5"/>
        <v>0</v>
      </c>
      <c r="AF14" s="133">
        <v>1000</v>
      </c>
      <c r="AG14" s="133">
        <f t="shared" si="2"/>
        <v>1000</v>
      </c>
    </row>
    <row r="15" spans="1:33">
      <c r="A15" s="105" t="s">
        <v>688</v>
      </c>
      <c r="B15" s="105" t="s">
        <v>948</v>
      </c>
      <c r="C15" s="105" t="s">
        <v>184</v>
      </c>
      <c r="D15" s="124">
        <v>15000</v>
      </c>
      <c r="E15" s="124">
        <v>20000</v>
      </c>
      <c r="F15" s="124">
        <v>35000</v>
      </c>
      <c r="G15" s="124">
        <v>50000</v>
      </c>
      <c r="H15" s="124">
        <v>30000</v>
      </c>
      <c r="I15" s="124">
        <v>20000</v>
      </c>
      <c r="J15" s="124">
        <v>30000</v>
      </c>
      <c r="K15" s="124">
        <v>30000</v>
      </c>
      <c r="L15" s="124">
        <v>30000</v>
      </c>
      <c r="M15" s="124">
        <v>10000</v>
      </c>
      <c r="N15" s="124">
        <v>30000</v>
      </c>
      <c r="O15" s="124">
        <v>30000</v>
      </c>
      <c r="P15" s="133">
        <f t="shared" si="7"/>
        <v>330000</v>
      </c>
      <c r="Q15" s="141">
        <v>8976.94</v>
      </c>
      <c r="R15" s="141">
        <v>4000.84</v>
      </c>
      <c r="S15" s="141">
        <v>26720.14</v>
      </c>
      <c r="T15" s="141">
        <v>113630.59</v>
      </c>
      <c r="U15" s="141">
        <v>12624.15</v>
      </c>
      <c r="V15" s="141">
        <v>18076.599999999999</v>
      </c>
      <c r="W15" s="141">
        <v>17222.77</v>
      </c>
      <c r="X15" s="141">
        <v>11198.15</v>
      </c>
      <c r="Y15" s="141">
        <v>20000</v>
      </c>
      <c r="Z15" s="141">
        <v>40000</v>
      </c>
      <c r="AA15" s="141">
        <v>20000</v>
      </c>
      <c r="AB15" s="141">
        <v>20000</v>
      </c>
      <c r="AC15" s="142">
        <f t="shared" si="4"/>
        <v>312450.18</v>
      </c>
      <c r="AD15" s="141">
        <f t="shared" si="5"/>
        <v>-17549.820000000007</v>
      </c>
      <c r="AE15" s="192">
        <f t="shared" si="6"/>
        <v>-5.6168378587587969E-2</v>
      </c>
      <c r="AF15" s="133">
        <v>247057.82</v>
      </c>
      <c r="AG15" s="133">
        <f t="shared" si="2"/>
        <v>-82942.179999999993</v>
      </c>
    </row>
    <row r="16" spans="1:33">
      <c r="A16" s="105" t="s">
        <v>689</v>
      </c>
      <c r="B16" s="105" t="s">
        <v>948</v>
      </c>
      <c r="C16" s="105" t="s">
        <v>202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33">
        <f t="shared" si="7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142">
        <f t="shared" si="4"/>
        <v>0</v>
      </c>
      <c r="AD16" s="141">
        <f t="shared" si="5"/>
        <v>0</v>
      </c>
      <c r="AF16" s="133">
        <v>0</v>
      </c>
      <c r="AG16" s="133">
        <f t="shared" si="2"/>
        <v>0</v>
      </c>
    </row>
    <row r="17" spans="1:34">
      <c r="A17" s="105" t="s">
        <v>692</v>
      </c>
      <c r="B17" s="105" t="s">
        <v>948</v>
      </c>
      <c r="C17" s="105" t="s">
        <v>204</v>
      </c>
      <c r="D17" s="124">
        <v>749</v>
      </c>
      <c r="E17" s="124">
        <v>749</v>
      </c>
      <c r="F17" s="124">
        <v>749</v>
      </c>
      <c r="G17" s="124">
        <v>749</v>
      </c>
      <c r="H17" s="124">
        <v>749</v>
      </c>
      <c r="I17" s="124">
        <v>749</v>
      </c>
      <c r="J17" s="124">
        <v>749</v>
      </c>
      <c r="K17" s="124">
        <v>749</v>
      </c>
      <c r="L17" s="124">
        <v>749</v>
      </c>
      <c r="M17" s="124">
        <v>749</v>
      </c>
      <c r="N17" s="124">
        <v>749</v>
      </c>
      <c r="O17" s="124">
        <v>749</v>
      </c>
      <c r="P17" s="133">
        <f t="shared" si="7"/>
        <v>8988</v>
      </c>
      <c r="Q17" s="141">
        <v>809</v>
      </c>
      <c r="R17" s="141">
        <v>809</v>
      </c>
      <c r="S17" s="141">
        <v>809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142">
        <f t="shared" si="4"/>
        <v>2427</v>
      </c>
      <c r="AD17" s="141">
        <f t="shared" si="5"/>
        <v>-6561</v>
      </c>
      <c r="AE17" s="192">
        <f t="shared" si="6"/>
        <v>-2.7033374536464772</v>
      </c>
      <c r="AF17" s="133">
        <v>50079.14</v>
      </c>
      <c r="AG17" s="133">
        <f t="shared" si="2"/>
        <v>41091.14</v>
      </c>
    </row>
    <row r="18" spans="1:34">
      <c r="A18" s="105" t="s">
        <v>907</v>
      </c>
      <c r="B18" s="105" t="s">
        <v>948</v>
      </c>
      <c r="C18" s="105" t="s">
        <v>448</v>
      </c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33">
        <f t="shared" si="7"/>
        <v>0</v>
      </c>
      <c r="Q18" s="141">
        <v>0</v>
      </c>
      <c r="R18" s="141">
        <v>0</v>
      </c>
      <c r="S18" s="141">
        <v>0</v>
      </c>
      <c r="T18" s="141">
        <v>0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  <c r="AA18" s="141">
        <v>0</v>
      </c>
      <c r="AB18" s="141">
        <v>0</v>
      </c>
      <c r="AC18" s="142">
        <f t="shared" si="4"/>
        <v>0</v>
      </c>
      <c r="AD18" s="141">
        <f t="shared" si="5"/>
        <v>0</v>
      </c>
      <c r="AE18" s="192" t="e">
        <f t="shared" si="6"/>
        <v>#DIV/0!</v>
      </c>
      <c r="AF18" s="133">
        <v>22625.54</v>
      </c>
      <c r="AG18" s="133">
        <f t="shared" si="2"/>
        <v>22625.54</v>
      </c>
    </row>
    <row r="19" spans="1:34">
      <c r="A19" s="105" t="s">
        <v>734</v>
      </c>
      <c r="B19" s="105" t="s">
        <v>948</v>
      </c>
      <c r="C19" s="105" t="s">
        <v>735</v>
      </c>
      <c r="D19" s="124">
        <v>124117</v>
      </c>
      <c r="E19" s="124">
        <f>184081-50000</f>
        <v>134081</v>
      </c>
      <c r="F19" s="124">
        <v>91641</v>
      </c>
      <c r="G19" s="124">
        <v>88641</v>
      </c>
      <c r="H19" s="124">
        <v>88641</v>
      </c>
      <c r="I19" s="124">
        <f>118641-20000</f>
        <v>98641</v>
      </c>
      <c r="J19" s="124">
        <f>128641-30000</f>
        <v>98641</v>
      </c>
      <c r="K19" s="124">
        <f>88641</f>
        <v>88641</v>
      </c>
      <c r="L19" s="124">
        <f>128641-30000</f>
        <v>98641</v>
      </c>
      <c r="M19" s="124">
        <f>140641</f>
        <v>140641</v>
      </c>
      <c r="N19" s="124">
        <v>174641</v>
      </c>
      <c r="O19" s="124">
        <f>218641-30000</f>
        <v>188641</v>
      </c>
      <c r="P19" s="133">
        <f t="shared" si="7"/>
        <v>1415608</v>
      </c>
      <c r="Q19" s="141">
        <v>95270.11</v>
      </c>
      <c r="R19" s="141">
        <v>155240.01999999999</v>
      </c>
      <c r="S19" s="141">
        <v>80454.45</v>
      </c>
      <c r="T19" s="141">
        <v>61632.61</v>
      </c>
      <c r="U19" s="141">
        <v>56598.1</v>
      </c>
      <c r="V19" s="141">
        <v>67122.84</v>
      </c>
      <c r="W19" s="141">
        <v>65353.4</v>
      </c>
      <c r="X19" s="141">
        <v>79704.92</v>
      </c>
      <c r="Y19" s="141">
        <v>40000</v>
      </c>
      <c r="Z19" s="141">
        <v>40000</v>
      </c>
      <c r="AA19" s="141">
        <v>40000</v>
      </c>
      <c r="AB19" s="141">
        <v>200000</v>
      </c>
      <c r="AC19" s="142">
        <f t="shared" si="4"/>
        <v>981376.45000000007</v>
      </c>
      <c r="AD19" s="141">
        <f t="shared" si="5"/>
        <v>-434231.54999999993</v>
      </c>
      <c r="AE19" s="192">
        <f t="shared" si="6"/>
        <v>-0.44247194845566135</v>
      </c>
      <c r="AF19" s="133">
        <v>850859.57000000007</v>
      </c>
      <c r="AG19" s="133">
        <f t="shared" si="2"/>
        <v>-564748.42999999993</v>
      </c>
      <c r="AH19" s="106"/>
    </row>
    <row r="20" spans="1:34">
      <c r="A20" s="105" t="s">
        <v>717</v>
      </c>
      <c r="B20" s="105" t="s">
        <v>948</v>
      </c>
      <c r="C20" s="105" t="s">
        <v>208</v>
      </c>
      <c r="D20" s="124">
        <v>500</v>
      </c>
      <c r="E20" s="124">
        <v>500</v>
      </c>
      <c r="F20" s="124">
        <v>500</v>
      </c>
      <c r="G20" s="124">
        <v>500</v>
      </c>
      <c r="H20" s="124">
        <v>500</v>
      </c>
      <c r="I20" s="124">
        <v>500</v>
      </c>
      <c r="J20" s="124">
        <v>500</v>
      </c>
      <c r="K20" s="124">
        <v>500</v>
      </c>
      <c r="L20" s="124">
        <v>500</v>
      </c>
      <c r="M20" s="124">
        <v>500</v>
      </c>
      <c r="N20" s="124">
        <v>500</v>
      </c>
      <c r="O20" s="124">
        <v>500</v>
      </c>
      <c r="P20" s="133">
        <f t="shared" si="7"/>
        <v>6000</v>
      </c>
      <c r="Q20" s="141">
        <v>465.74</v>
      </c>
      <c r="R20" s="141">
        <v>463.38</v>
      </c>
      <c r="S20" s="141">
        <v>500</v>
      </c>
      <c r="T20" s="141">
        <v>500</v>
      </c>
      <c r="U20" s="141">
        <v>500</v>
      </c>
      <c r="V20" s="141">
        <v>500</v>
      </c>
      <c r="W20" s="141">
        <v>500</v>
      </c>
      <c r="X20" s="141">
        <v>588.5</v>
      </c>
      <c r="Y20" s="141">
        <v>500</v>
      </c>
      <c r="Z20" s="141">
        <v>500</v>
      </c>
      <c r="AA20" s="141">
        <v>500</v>
      </c>
      <c r="AB20" s="141">
        <v>500</v>
      </c>
      <c r="AC20" s="142">
        <f t="shared" si="4"/>
        <v>6017.62</v>
      </c>
      <c r="AD20" s="141">
        <f t="shared" si="5"/>
        <v>17.619999999999891</v>
      </c>
      <c r="AE20" s="192">
        <f t="shared" si="6"/>
        <v>2.9280679072457038E-3</v>
      </c>
      <c r="AF20" s="133">
        <v>2001.5200000000002</v>
      </c>
      <c r="AG20" s="133">
        <f t="shared" si="2"/>
        <v>-3998.4799999999996</v>
      </c>
    </row>
    <row r="21" spans="1:34">
      <c r="A21" s="105" t="s">
        <v>690</v>
      </c>
      <c r="B21" s="105" t="s">
        <v>948</v>
      </c>
      <c r="C21" s="105" t="s">
        <v>210</v>
      </c>
      <c r="D21" s="124">
        <v>1000</v>
      </c>
      <c r="E21" s="124">
        <v>1000</v>
      </c>
      <c r="F21" s="124">
        <v>1000</v>
      </c>
      <c r="G21" s="124">
        <v>1000</v>
      </c>
      <c r="H21" s="124">
        <v>1000</v>
      </c>
      <c r="I21" s="124">
        <v>1000</v>
      </c>
      <c r="J21" s="124">
        <v>1000</v>
      </c>
      <c r="K21" s="124">
        <v>1000</v>
      </c>
      <c r="L21" s="124">
        <v>1000</v>
      </c>
      <c r="M21" s="124">
        <v>1000</v>
      </c>
      <c r="N21" s="124">
        <v>1000</v>
      </c>
      <c r="O21" s="124">
        <v>1000</v>
      </c>
      <c r="P21" s="133">
        <f t="shared" si="7"/>
        <v>12000</v>
      </c>
      <c r="Q21" s="141">
        <v>426.42</v>
      </c>
      <c r="R21" s="141">
        <v>0</v>
      </c>
      <c r="S21" s="141">
        <v>518.87</v>
      </c>
      <c r="T21" s="141">
        <v>1569.81</v>
      </c>
      <c r="U21" s="141">
        <v>32</v>
      </c>
      <c r="V21" s="141">
        <v>1222.06</v>
      </c>
      <c r="W21" s="141">
        <v>1132.08</v>
      </c>
      <c r="X21" s="141">
        <v>0</v>
      </c>
      <c r="Y21" s="141">
        <v>1000</v>
      </c>
      <c r="Z21" s="141">
        <v>1000</v>
      </c>
      <c r="AA21" s="141">
        <v>1000</v>
      </c>
      <c r="AB21" s="141">
        <v>1000</v>
      </c>
      <c r="AC21" s="142">
        <f t="shared" si="4"/>
        <v>8901.24</v>
      </c>
      <c r="AD21" s="141">
        <f t="shared" si="5"/>
        <v>-3098.76</v>
      </c>
      <c r="AE21" s="192">
        <f t="shared" si="6"/>
        <v>-0.34812677784218832</v>
      </c>
      <c r="AF21" s="133">
        <v>4787.63</v>
      </c>
      <c r="AG21" s="133">
        <f t="shared" si="2"/>
        <v>-7212.37</v>
      </c>
    </row>
    <row r="22" spans="1:34">
      <c r="A22" s="105" t="s">
        <v>694</v>
      </c>
      <c r="B22" s="105" t="s">
        <v>948</v>
      </c>
      <c r="C22" s="105" t="s">
        <v>212</v>
      </c>
      <c r="D22" s="124">
        <v>5000</v>
      </c>
      <c r="E22" s="124">
        <v>5000</v>
      </c>
      <c r="F22" s="124">
        <v>5000</v>
      </c>
      <c r="G22" s="124">
        <v>5000</v>
      </c>
      <c r="H22" s="124">
        <v>5000</v>
      </c>
      <c r="I22" s="124">
        <v>5000</v>
      </c>
      <c r="J22" s="124">
        <v>5000</v>
      </c>
      <c r="K22" s="124">
        <v>5000</v>
      </c>
      <c r="L22" s="124">
        <v>5000</v>
      </c>
      <c r="M22" s="124">
        <v>5000</v>
      </c>
      <c r="N22" s="124">
        <v>5000</v>
      </c>
      <c r="O22" s="124">
        <v>5000</v>
      </c>
      <c r="P22" s="133">
        <f t="shared" si="7"/>
        <v>60000</v>
      </c>
      <c r="Q22" s="141">
        <v>4911.8500000000004</v>
      </c>
      <c r="R22" s="141">
        <v>12866.78</v>
      </c>
      <c r="S22" s="141">
        <v>1769.39</v>
      </c>
      <c r="T22" s="141">
        <v>6459.57</v>
      </c>
      <c r="U22" s="141">
        <v>5504.19</v>
      </c>
      <c r="V22" s="141">
        <v>5614</v>
      </c>
      <c r="W22" s="141">
        <v>9410.42</v>
      </c>
      <c r="X22" s="141">
        <v>1618.7</v>
      </c>
      <c r="Y22" s="141">
        <v>3200</v>
      </c>
      <c r="Z22" s="141">
        <v>3200</v>
      </c>
      <c r="AA22" s="141">
        <v>3200</v>
      </c>
      <c r="AB22" s="141">
        <v>3200</v>
      </c>
      <c r="AC22" s="142">
        <f t="shared" si="4"/>
        <v>60954.899999999994</v>
      </c>
      <c r="AD22" s="141">
        <f t="shared" si="5"/>
        <v>954.89999999999418</v>
      </c>
      <c r="AE22" s="192">
        <f t="shared" si="6"/>
        <v>1.5665680691790064E-2</v>
      </c>
      <c r="AF22" s="133">
        <v>30473.059999999998</v>
      </c>
      <c r="AG22" s="133">
        <f t="shared" si="2"/>
        <v>-29526.940000000002</v>
      </c>
    </row>
    <row r="23" spans="1:34">
      <c r="A23" s="105" t="s">
        <v>709</v>
      </c>
      <c r="B23" s="105" t="s">
        <v>948</v>
      </c>
      <c r="C23" s="105" t="s">
        <v>214</v>
      </c>
      <c r="D23" s="212">
        <f>Laundry!E161</f>
        <v>271</v>
      </c>
      <c r="E23" s="212">
        <f>Laundry!F161</f>
        <v>247</v>
      </c>
      <c r="F23" s="212">
        <f>Laundry!G161</f>
        <v>250</v>
      </c>
      <c r="G23" s="212">
        <f>Laundry!H161</f>
        <v>257</v>
      </c>
      <c r="H23" s="212">
        <f>Laundry!I161</f>
        <v>264</v>
      </c>
      <c r="I23" s="212">
        <f>Laundry!J161</f>
        <v>252</v>
      </c>
      <c r="J23" s="212">
        <f>Laundry!K161</f>
        <v>269</v>
      </c>
      <c r="K23" s="212">
        <f>Laundry!L161</f>
        <v>268</v>
      </c>
      <c r="L23" s="212">
        <f>Laundry!M161</f>
        <v>259</v>
      </c>
      <c r="M23" s="212">
        <f>Laundry!N161</f>
        <v>294</v>
      </c>
      <c r="N23" s="212">
        <f>Laundry!O161</f>
        <v>260</v>
      </c>
      <c r="O23" s="212">
        <f>Laundry!P161</f>
        <v>259</v>
      </c>
      <c r="P23" s="133">
        <f t="shared" si="7"/>
        <v>3150</v>
      </c>
      <c r="Q23" s="141">
        <v>403.56</v>
      </c>
      <c r="R23" s="141">
        <v>333.75</v>
      </c>
      <c r="S23" s="141">
        <v>288</v>
      </c>
      <c r="T23" s="141">
        <v>269.41000000000003</v>
      </c>
      <c r="U23" s="141">
        <v>90.7</v>
      </c>
      <c r="V23" s="141">
        <v>481.67</v>
      </c>
      <c r="W23" s="141">
        <v>333.94</v>
      </c>
      <c r="X23" s="141">
        <v>203.04</v>
      </c>
      <c r="Y23" s="141">
        <v>365</v>
      </c>
      <c r="Z23" s="141">
        <v>408</v>
      </c>
      <c r="AA23" s="141">
        <v>343</v>
      </c>
      <c r="AB23" s="141">
        <v>350</v>
      </c>
      <c r="AC23" s="142">
        <f t="shared" si="4"/>
        <v>3870.07</v>
      </c>
      <c r="AD23" s="141">
        <f t="shared" si="5"/>
        <v>720.07000000000016</v>
      </c>
      <c r="AE23" s="192">
        <f t="shared" si="6"/>
        <v>0.18606123403452654</v>
      </c>
      <c r="AF23" s="133">
        <v>3226.1499999999996</v>
      </c>
      <c r="AG23" s="133">
        <f t="shared" si="2"/>
        <v>76.149999999999636</v>
      </c>
    </row>
    <row r="24" spans="1:34">
      <c r="A24" s="105" t="s">
        <v>306</v>
      </c>
      <c r="B24" s="105" t="s">
        <v>948</v>
      </c>
      <c r="C24" s="105" t="s">
        <v>206</v>
      </c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33">
        <f t="shared" si="7"/>
        <v>0</v>
      </c>
      <c r="Q24" s="141"/>
      <c r="R24" s="141"/>
      <c r="S24" s="141"/>
      <c r="T24" s="141"/>
      <c r="U24" s="141"/>
      <c r="V24" s="141"/>
      <c r="W24" s="141">
        <v>0</v>
      </c>
      <c r="X24" s="141">
        <v>0</v>
      </c>
      <c r="Y24" s="141">
        <v>0</v>
      </c>
      <c r="Z24" s="141">
        <v>0</v>
      </c>
      <c r="AA24" s="141">
        <v>0</v>
      </c>
      <c r="AB24" s="141">
        <v>0</v>
      </c>
      <c r="AC24" s="142">
        <f t="shared" si="4"/>
        <v>0</v>
      </c>
      <c r="AD24" s="141">
        <f t="shared" si="5"/>
        <v>0</v>
      </c>
      <c r="AF24" s="133">
        <v>0</v>
      </c>
      <c r="AG24" s="133">
        <f t="shared" si="2"/>
        <v>0</v>
      </c>
    </row>
    <row r="25" spans="1:34">
      <c r="A25" s="105" t="s">
        <v>696</v>
      </c>
      <c r="B25" s="105" t="s">
        <v>948</v>
      </c>
      <c r="C25" s="105" t="s">
        <v>216</v>
      </c>
      <c r="D25" s="124">
        <f>5000-4470</f>
        <v>530</v>
      </c>
      <c r="E25" s="124">
        <f t="shared" ref="E25:O25" si="8">5000-4470</f>
        <v>530</v>
      </c>
      <c r="F25" s="124">
        <f t="shared" si="8"/>
        <v>530</v>
      </c>
      <c r="G25" s="124">
        <f t="shared" si="8"/>
        <v>530</v>
      </c>
      <c r="H25" s="124">
        <f t="shared" si="8"/>
        <v>530</v>
      </c>
      <c r="I25" s="124">
        <f t="shared" si="8"/>
        <v>530</v>
      </c>
      <c r="J25" s="124">
        <f t="shared" si="8"/>
        <v>530</v>
      </c>
      <c r="K25" s="124">
        <f t="shared" si="8"/>
        <v>530</v>
      </c>
      <c r="L25" s="124">
        <f t="shared" si="8"/>
        <v>530</v>
      </c>
      <c r="M25" s="124">
        <f t="shared" si="8"/>
        <v>530</v>
      </c>
      <c r="N25" s="124">
        <f t="shared" si="8"/>
        <v>530</v>
      </c>
      <c r="O25" s="124">
        <f t="shared" si="8"/>
        <v>530</v>
      </c>
      <c r="P25" s="133">
        <f t="shared" si="7"/>
        <v>6360</v>
      </c>
      <c r="Q25" s="141">
        <v>6562.58</v>
      </c>
      <c r="R25" s="141">
        <v>5818.04</v>
      </c>
      <c r="S25" s="141">
        <v>3987.26</v>
      </c>
      <c r="T25" s="141">
        <v>7330.31</v>
      </c>
      <c r="U25" s="141">
        <v>3540.99</v>
      </c>
      <c r="V25" s="141">
        <v>6362.74</v>
      </c>
      <c r="W25" s="141">
        <v>4631.54</v>
      </c>
      <c r="X25" s="141">
        <v>5410.35</v>
      </c>
      <c r="Y25" s="141">
        <v>5000</v>
      </c>
      <c r="Z25" s="141">
        <v>5000</v>
      </c>
      <c r="AA25" s="141">
        <v>5000</v>
      </c>
      <c r="AB25" s="141">
        <v>5000</v>
      </c>
      <c r="AC25" s="142">
        <f t="shared" si="4"/>
        <v>63643.81</v>
      </c>
      <c r="AD25" s="141">
        <f t="shared" si="5"/>
        <v>57283.81</v>
      </c>
      <c r="AE25" s="192">
        <f t="shared" si="6"/>
        <v>0.90006883623089184</v>
      </c>
      <c r="AF25" s="133">
        <v>47355.58</v>
      </c>
      <c r="AG25" s="133">
        <f t="shared" si="2"/>
        <v>40995.58</v>
      </c>
    </row>
    <row r="26" spans="1:34">
      <c r="A26" s="105" t="s">
        <v>697</v>
      </c>
      <c r="B26" s="105" t="s">
        <v>948</v>
      </c>
      <c r="C26" s="105" t="s">
        <v>218</v>
      </c>
      <c r="D26" s="124">
        <v>3000</v>
      </c>
      <c r="E26" s="124">
        <v>3000</v>
      </c>
      <c r="F26" s="124">
        <v>3000</v>
      </c>
      <c r="G26" s="124">
        <v>3000</v>
      </c>
      <c r="H26" s="124">
        <v>3000</v>
      </c>
      <c r="I26" s="124">
        <v>3000</v>
      </c>
      <c r="J26" s="124">
        <v>3000</v>
      </c>
      <c r="K26" s="124">
        <v>3000</v>
      </c>
      <c r="L26" s="124">
        <v>3000</v>
      </c>
      <c r="M26" s="124">
        <v>3000</v>
      </c>
      <c r="N26" s="124">
        <v>3000</v>
      </c>
      <c r="O26" s="124">
        <v>3000</v>
      </c>
      <c r="P26" s="133">
        <f t="shared" si="7"/>
        <v>36000</v>
      </c>
      <c r="Q26" s="141">
        <v>4125.93</v>
      </c>
      <c r="R26" s="141">
        <v>4801.22</v>
      </c>
      <c r="S26" s="141">
        <v>5487.26</v>
      </c>
      <c r="T26" s="141">
        <v>4333.75</v>
      </c>
      <c r="U26" s="141">
        <v>162.44999999999999</v>
      </c>
      <c r="V26" s="141">
        <v>3985.38</v>
      </c>
      <c r="W26" s="141">
        <v>4179.1400000000003</v>
      </c>
      <c r="X26" s="141">
        <v>4158.09</v>
      </c>
      <c r="Y26" s="141">
        <v>5000</v>
      </c>
      <c r="Z26" s="141">
        <v>5000</v>
      </c>
      <c r="AA26" s="141">
        <v>5000</v>
      </c>
      <c r="AB26" s="141">
        <v>5000</v>
      </c>
      <c r="AC26" s="142">
        <f t="shared" si="4"/>
        <v>51233.22</v>
      </c>
      <c r="AD26" s="141">
        <f t="shared" si="5"/>
        <v>15233.220000000001</v>
      </c>
      <c r="AE26" s="192">
        <f t="shared" si="6"/>
        <v>0.29733091146720819</v>
      </c>
      <c r="AF26" s="133">
        <v>58612.779999999992</v>
      </c>
      <c r="AG26" s="133">
        <f t="shared" si="2"/>
        <v>22612.779999999992</v>
      </c>
    </row>
    <row r="27" spans="1:34">
      <c r="A27" s="105" t="s">
        <v>836</v>
      </c>
      <c r="B27" s="105" t="s">
        <v>948</v>
      </c>
      <c r="C27" s="105" t="s">
        <v>220</v>
      </c>
      <c r="D27" s="124"/>
      <c r="E27" s="124">
        <v>10000</v>
      </c>
      <c r="F27" s="124">
        <v>15000</v>
      </c>
      <c r="G27" s="124">
        <v>20000</v>
      </c>
      <c r="H27" s="124">
        <v>10000</v>
      </c>
      <c r="I27" s="124">
        <v>10000</v>
      </c>
      <c r="J27" s="124">
        <v>20000</v>
      </c>
      <c r="K27" s="124">
        <v>20000</v>
      </c>
      <c r="L27" s="124">
        <v>20000</v>
      </c>
      <c r="M27" s="124">
        <v>10000</v>
      </c>
      <c r="N27" s="124">
        <v>10000</v>
      </c>
      <c r="O27" s="124"/>
      <c r="P27" s="133">
        <f t="shared" si="7"/>
        <v>145000</v>
      </c>
      <c r="Q27" s="141">
        <v>942.79</v>
      </c>
      <c r="R27" s="141">
        <v>0</v>
      </c>
      <c r="S27" s="141">
        <v>89861.22</v>
      </c>
      <c r="T27" s="141">
        <v>62379.37</v>
      </c>
      <c r="U27" s="141">
        <v>-26240.14</v>
      </c>
      <c r="V27" s="141">
        <v>-8190.68</v>
      </c>
      <c r="W27" s="141">
        <v>12542.92</v>
      </c>
      <c r="X27" s="141">
        <v>-5379.51</v>
      </c>
      <c r="Y27" s="141">
        <v>20000</v>
      </c>
      <c r="Z27" s="141">
        <v>30000</v>
      </c>
      <c r="AA27" s="141">
        <v>30000</v>
      </c>
      <c r="AB27" s="141">
        <v>30000</v>
      </c>
      <c r="AC27" s="142">
        <f t="shared" si="4"/>
        <v>235915.97000000003</v>
      </c>
      <c r="AD27" s="141">
        <f t="shared" si="5"/>
        <v>90915.97000000003</v>
      </c>
      <c r="AE27" s="192">
        <f t="shared" si="6"/>
        <v>0.38537437715640877</v>
      </c>
      <c r="AF27" s="133">
        <v>343707.9</v>
      </c>
      <c r="AG27" s="133">
        <f t="shared" si="2"/>
        <v>198707.90000000002</v>
      </c>
    </row>
    <row r="28" spans="1:34" hidden="1" outlineLevel="1">
      <c r="A28" s="105" t="s">
        <v>908</v>
      </c>
      <c r="B28" s="105" t="s">
        <v>948</v>
      </c>
      <c r="C28" s="105" t="s">
        <v>909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33">
        <f t="shared" si="7"/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0</v>
      </c>
      <c r="AC28" s="142">
        <f t="shared" si="4"/>
        <v>0</v>
      </c>
      <c r="AD28" s="141">
        <f t="shared" si="5"/>
        <v>0</v>
      </c>
      <c r="AE28" s="192" t="e">
        <f t="shared" si="6"/>
        <v>#DIV/0!</v>
      </c>
      <c r="AF28" s="133">
        <v>0</v>
      </c>
      <c r="AG28" s="133">
        <f t="shared" si="2"/>
        <v>0</v>
      </c>
    </row>
    <row r="29" spans="1:34" hidden="1" outlineLevel="1">
      <c r="A29" s="105" t="s">
        <v>910</v>
      </c>
      <c r="B29" s="105" t="s">
        <v>948</v>
      </c>
      <c r="C29" s="105" t="s">
        <v>911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33">
        <f t="shared" si="7"/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41">
        <v>0</v>
      </c>
      <c r="W29" s="141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142">
        <f t="shared" si="4"/>
        <v>0</v>
      </c>
      <c r="AD29" s="141">
        <f t="shared" si="5"/>
        <v>0</v>
      </c>
      <c r="AF29" s="133">
        <v>0</v>
      </c>
      <c r="AG29" s="133">
        <f t="shared" si="2"/>
        <v>0</v>
      </c>
    </row>
    <row r="30" spans="1:34" hidden="1" outlineLevel="1">
      <c r="A30" s="105" t="s">
        <v>912</v>
      </c>
      <c r="B30" s="105" t="s">
        <v>948</v>
      </c>
      <c r="C30" s="105" t="s">
        <v>913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33">
        <f t="shared" si="7"/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0</v>
      </c>
      <c r="AC30" s="142">
        <f t="shared" si="4"/>
        <v>0</v>
      </c>
      <c r="AD30" s="141">
        <f t="shared" si="5"/>
        <v>0</v>
      </c>
      <c r="AF30" s="133">
        <v>0</v>
      </c>
      <c r="AG30" s="133">
        <f t="shared" si="2"/>
        <v>0</v>
      </c>
    </row>
    <row r="31" spans="1:34" hidden="1" outlineLevel="1">
      <c r="A31" s="105" t="s">
        <v>914</v>
      </c>
      <c r="B31" s="105" t="s">
        <v>948</v>
      </c>
      <c r="C31" s="105" t="s">
        <v>915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33">
        <f t="shared" si="7"/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142">
        <f t="shared" si="4"/>
        <v>0</v>
      </c>
      <c r="AD31" s="141">
        <f t="shared" si="5"/>
        <v>0</v>
      </c>
      <c r="AF31" s="133">
        <v>0</v>
      </c>
      <c r="AG31" s="133">
        <f t="shared" si="2"/>
        <v>0</v>
      </c>
    </row>
    <row r="32" spans="1:34" hidden="1" outlineLevel="1">
      <c r="A32" s="105" t="s">
        <v>916</v>
      </c>
      <c r="B32" s="105" t="s">
        <v>948</v>
      </c>
      <c r="C32" s="105" t="s">
        <v>917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33">
        <f t="shared" si="7"/>
        <v>0</v>
      </c>
      <c r="Q32" s="141">
        <v>0</v>
      </c>
      <c r="R32" s="141">
        <v>0</v>
      </c>
      <c r="S32" s="141">
        <v>0</v>
      </c>
      <c r="T32" s="141">
        <v>0</v>
      </c>
      <c r="U32" s="141">
        <v>0</v>
      </c>
      <c r="V32" s="141">
        <v>0</v>
      </c>
      <c r="W32" s="141">
        <v>0</v>
      </c>
      <c r="X32" s="141">
        <v>0</v>
      </c>
      <c r="Y32" s="141">
        <v>0</v>
      </c>
      <c r="Z32" s="141">
        <v>0</v>
      </c>
      <c r="AA32" s="141">
        <v>0</v>
      </c>
      <c r="AB32" s="141">
        <v>0</v>
      </c>
      <c r="AC32" s="142">
        <f t="shared" si="4"/>
        <v>0</v>
      </c>
      <c r="AD32" s="141">
        <f t="shared" si="5"/>
        <v>0</v>
      </c>
      <c r="AE32" s="192" t="e">
        <f t="shared" si="6"/>
        <v>#DIV/0!</v>
      </c>
      <c r="AF32" s="133">
        <v>0</v>
      </c>
      <c r="AG32" s="133">
        <f t="shared" si="2"/>
        <v>0</v>
      </c>
    </row>
    <row r="33" spans="1:33" hidden="1" outlineLevel="1">
      <c r="A33" s="105" t="s">
        <v>918</v>
      </c>
      <c r="B33" s="105" t="s">
        <v>948</v>
      </c>
      <c r="C33" s="105" t="s">
        <v>919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33">
        <f t="shared" si="7"/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  <c r="AA33" s="141">
        <v>0</v>
      </c>
      <c r="AB33" s="141">
        <v>0</v>
      </c>
      <c r="AC33" s="142">
        <f t="shared" si="4"/>
        <v>0</v>
      </c>
      <c r="AD33" s="141">
        <f t="shared" si="5"/>
        <v>0</v>
      </c>
      <c r="AE33" s="192" t="e">
        <f t="shared" si="6"/>
        <v>#DIV/0!</v>
      </c>
      <c r="AF33" s="133">
        <v>0</v>
      </c>
      <c r="AG33" s="133">
        <f t="shared" si="2"/>
        <v>0</v>
      </c>
    </row>
    <row r="34" spans="1:33" hidden="1" outlineLevel="1">
      <c r="A34" s="105" t="s">
        <v>920</v>
      </c>
      <c r="B34" s="105" t="s">
        <v>948</v>
      </c>
      <c r="C34" s="105" t="s">
        <v>921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33">
        <f t="shared" si="7"/>
        <v>0</v>
      </c>
      <c r="Q34" s="141"/>
      <c r="R34" s="141"/>
      <c r="S34" s="141"/>
      <c r="T34" s="141"/>
      <c r="U34" s="141"/>
      <c r="V34" s="141"/>
      <c r="W34" s="141">
        <v>0</v>
      </c>
      <c r="X34" s="141">
        <v>0</v>
      </c>
      <c r="Y34" s="141">
        <v>0</v>
      </c>
      <c r="Z34" s="141">
        <v>0</v>
      </c>
      <c r="AA34" s="141">
        <v>0</v>
      </c>
      <c r="AB34" s="141">
        <v>0</v>
      </c>
      <c r="AC34" s="142">
        <f t="shared" si="4"/>
        <v>0</v>
      </c>
      <c r="AD34" s="141">
        <f t="shared" si="5"/>
        <v>0</v>
      </c>
      <c r="AF34" s="133">
        <v>0</v>
      </c>
      <c r="AG34" s="133">
        <f t="shared" si="2"/>
        <v>0</v>
      </c>
    </row>
    <row r="35" spans="1:33" hidden="1" outlineLevel="1">
      <c r="A35" s="105" t="s">
        <v>922</v>
      </c>
      <c r="B35" s="105" t="s">
        <v>948</v>
      </c>
      <c r="C35" s="105" t="s">
        <v>923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33">
        <f t="shared" si="7"/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142">
        <f t="shared" si="4"/>
        <v>0</v>
      </c>
      <c r="AD35" s="141">
        <f t="shared" si="5"/>
        <v>0</v>
      </c>
      <c r="AE35" s="192" t="e">
        <f t="shared" si="6"/>
        <v>#DIV/0!</v>
      </c>
      <c r="AF35" s="133">
        <v>0</v>
      </c>
      <c r="AG35" s="133">
        <f t="shared" si="2"/>
        <v>0</v>
      </c>
    </row>
    <row r="36" spans="1:33" collapsed="1">
      <c r="A36" s="105" t="s">
        <v>924</v>
      </c>
      <c r="B36" s="105" t="s">
        <v>948</v>
      </c>
      <c r="C36" s="105" t="s">
        <v>925</v>
      </c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33">
        <f t="shared" si="7"/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142">
        <f t="shared" si="4"/>
        <v>0</v>
      </c>
      <c r="AD36" s="141">
        <f t="shared" si="5"/>
        <v>0</v>
      </c>
      <c r="AE36" s="192" t="e">
        <f t="shared" si="6"/>
        <v>#DIV/0!</v>
      </c>
      <c r="AF36" s="133">
        <v>6123</v>
      </c>
      <c r="AG36" s="133">
        <f t="shared" si="2"/>
        <v>6123</v>
      </c>
    </row>
    <row r="37" spans="1:33">
      <c r="A37" s="105" t="s">
        <v>926</v>
      </c>
      <c r="B37" s="105" t="s">
        <v>948</v>
      </c>
      <c r="C37" s="105" t="s">
        <v>927</v>
      </c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33">
        <f t="shared" si="7"/>
        <v>0</v>
      </c>
      <c r="Q37" s="141">
        <v>0</v>
      </c>
      <c r="R37" s="141">
        <v>0</v>
      </c>
      <c r="S37" s="141">
        <v>0</v>
      </c>
      <c r="T37" s="141">
        <v>0</v>
      </c>
      <c r="U37" s="141">
        <v>0</v>
      </c>
      <c r="V37" s="141">
        <v>0</v>
      </c>
      <c r="W37" s="141">
        <v>0</v>
      </c>
      <c r="X37" s="141">
        <v>0</v>
      </c>
      <c r="Y37" s="141">
        <v>0</v>
      </c>
      <c r="Z37" s="141">
        <v>0</v>
      </c>
      <c r="AA37" s="141">
        <v>0</v>
      </c>
      <c r="AB37" s="141">
        <v>0</v>
      </c>
      <c r="AC37" s="142">
        <f t="shared" si="4"/>
        <v>0</v>
      </c>
      <c r="AD37" s="141">
        <f t="shared" si="5"/>
        <v>0</v>
      </c>
      <c r="AE37" s="192" t="e">
        <f t="shared" si="6"/>
        <v>#DIV/0!</v>
      </c>
      <c r="AF37" s="133">
        <v>0</v>
      </c>
      <c r="AG37" s="133">
        <f t="shared" si="2"/>
        <v>0</v>
      </c>
    </row>
    <row r="38" spans="1:33">
      <c r="A38" s="105" t="s">
        <v>928</v>
      </c>
      <c r="B38" s="105" t="s">
        <v>948</v>
      </c>
      <c r="C38" s="105" t="s">
        <v>929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33">
        <f t="shared" si="7"/>
        <v>0</v>
      </c>
      <c r="Q38" s="141"/>
      <c r="R38" s="141"/>
      <c r="S38" s="141"/>
      <c r="T38" s="141"/>
      <c r="U38" s="141"/>
      <c r="V38" s="141"/>
      <c r="W38" s="141">
        <v>0</v>
      </c>
      <c r="X38" s="141">
        <v>0</v>
      </c>
      <c r="Y38" s="141">
        <v>34000</v>
      </c>
      <c r="Z38" s="141">
        <v>0</v>
      </c>
      <c r="AA38" s="141">
        <v>0</v>
      </c>
      <c r="AB38" s="141">
        <v>0</v>
      </c>
      <c r="AC38" s="142">
        <f t="shared" si="4"/>
        <v>34000</v>
      </c>
      <c r="AD38" s="141">
        <f t="shared" si="5"/>
        <v>34000</v>
      </c>
      <c r="AF38" s="133">
        <v>0</v>
      </c>
      <c r="AG38" s="133">
        <f t="shared" si="2"/>
        <v>0</v>
      </c>
    </row>
    <row r="39" spans="1:33">
      <c r="A39" s="105" t="s">
        <v>930</v>
      </c>
      <c r="B39" s="105" t="s">
        <v>948</v>
      </c>
      <c r="C39" s="105" t="s">
        <v>931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33">
        <f t="shared" si="7"/>
        <v>0</v>
      </c>
      <c r="Q39" s="141"/>
      <c r="R39" s="141"/>
      <c r="S39" s="141"/>
      <c r="T39" s="141"/>
      <c r="U39" s="141"/>
      <c r="V39" s="141"/>
      <c r="W39" s="141">
        <v>0</v>
      </c>
      <c r="X39" s="141">
        <v>0</v>
      </c>
      <c r="Y39" s="141">
        <v>0</v>
      </c>
      <c r="Z39" s="141">
        <v>0</v>
      </c>
      <c r="AA39" s="141">
        <v>0</v>
      </c>
      <c r="AB39" s="141">
        <v>0</v>
      </c>
      <c r="AC39" s="142">
        <f t="shared" si="4"/>
        <v>0</v>
      </c>
      <c r="AD39" s="141">
        <f t="shared" si="5"/>
        <v>0</v>
      </c>
      <c r="AF39" s="133">
        <v>0</v>
      </c>
      <c r="AG39" s="133">
        <f t="shared" si="2"/>
        <v>0</v>
      </c>
    </row>
    <row r="40" spans="1:33">
      <c r="A40" s="105" t="s">
        <v>932</v>
      </c>
      <c r="B40" s="105" t="s">
        <v>948</v>
      </c>
      <c r="C40" s="105" t="s">
        <v>933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33">
        <f t="shared" si="7"/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41">
        <v>0</v>
      </c>
      <c r="W40" s="141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142">
        <f t="shared" si="4"/>
        <v>0</v>
      </c>
      <c r="AD40" s="141">
        <f t="shared" si="5"/>
        <v>0</v>
      </c>
      <c r="AE40" s="192" t="e">
        <f t="shared" si="6"/>
        <v>#DIV/0!</v>
      </c>
      <c r="AF40" s="133">
        <v>0</v>
      </c>
      <c r="AG40" s="133">
        <f t="shared" si="2"/>
        <v>0</v>
      </c>
    </row>
    <row r="41" spans="1:33">
      <c r="A41" s="105" t="s">
        <v>698</v>
      </c>
      <c r="B41" s="105" t="s">
        <v>948</v>
      </c>
      <c r="C41" s="105" t="s">
        <v>222</v>
      </c>
      <c r="D41" s="124">
        <v>4447</v>
      </c>
      <c r="E41" s="124">
        <v>23588</v>
      </c>
      <c r="F41" s="124">
        <v>1000</v>
      </c>
      <c r="G41" s="124">
        <v>944</v>
      </c>
      <c r="H41" s="124">
        <v>840</v>
      </c>
      <c r="I41" s="124">
        <v>87</v>
      </c>
      <c r="J41" s="124">
        <v>5000</v>
      </c>
      <c r="K41" s="124">
        <f>5000+10000</f>
        <v>15000</v>
      </c>
      <c r="L41" s="124">
        <v>11000</v>
      </c>
      <c r="M41" s="124">
        <f>11000+10000</f>
        <v>21000</v>
      </c>
      <c r="N41" s="124">
        <v>11000</v>
      </c>
      <c r="O41" s="124">
        <f>11000+4001</f>
        <v>15001</v>
      </c>
      <c r="P41" s="133">
        <f t="shared" si="7"/>
        <v>108907</v>
      </c>
      <c r="Q41" s="141">
        <v>4447.32</v>
      </c>
      <c r="R41" s="141">
        <v>23587.67</v>
      </c>
      <c r="S41" s="141">
        <v>999.82</v>
      </c>
      <c r="T41" s="141">
        <v>944.02</v>
      </c>
      <c r="U41" s="141">
        <v>489.66</v>
      </c>
      <c r="V41" s="141">
        <v>87.36</v>
      </c>
      <c r="W41" s="141">
        <v>1760.87</v>
      </c>
      <c r="X41" s="141">
        <v>148.6</v>
      </c>
      <c r="Y41" s="141">
        <v>11000</v>
      </c>
      <c r="Z41" s="141">
        <v>11000</v>
      </c>
      <c r="AA41" s="141">
        <v>11000</v>
      </c>
      <c r="AB41" s="141">
        <v>11000</v>
      </c>
      <c r="AC41" s="142">
        <f t="shared" si="4"/>
        <v>76465.319999999992</v>
      </c>
      <c r="AD41" s="141">
        <f t="shared" si="5"/>
        <v>-32441.680000000008</v>
      </c>
      <c r="AE41" s="192">
        <f t="shared" si="6"/>
        <v>-0.42426658255010258</v>
      </c>
      <c r="AF41" s="133">
        <v>186167.88</v>
      </c>
      <c r="AG41" s="133">
        <f t="shared" si="2"/>
        <v>77260.88</v>
      </c>
    </row>
    <row r="42" spans="1:33" s="109" customFormat="1">
      <c r="C42" s="109" t="s">
        <v>867</v>
      </c>
      <c r="D42" s="129">
        <f t="shared" ref="D42:AC42" si="9">SUM(D12:D41)</f>
        <v>154614</v>
      </c>
      <c r="E42" s="129">
        <f t="shared" si="9"/>
        <v>198695</v>
      </c>
      <c r="F42" s="129">
        <f t="shared" si="9"/>
        <v>153670</v>
      </c>
      <c r="G42" s="129">
        <f t="shared" si="9"/>
        <v>170621</v>
      </c>
      <c r="H42" s="129">
        <f t="shared" si="9"/>
        <v>140524</v>
      </c>
      <c r="I42" s="129">
        <f t="shared" si="9"/>
        <v>139759</v>
      </c>
      <c r="J42" s="129">
        <f t="shared" si="9"/>
        <v>164689</v>
      </c>
      <c r="K42" s="129">
        <f t="shared" si="9"/>
        <v>164688</v>
      </c>
      <c r="L42" s="129">
        <f t="shared" si="9"/>
        <v>170679</v>
      </c>
      <c r="M42" s="129">
        <f t="shared" si="9"/>
        <v>192714</v>
      </c>
      <c r="N42" s="129">
        <f t="shared" si="9"/>
        <v>236680</v>
      </c>
      <c r="O42" s="129">
        <f>SUM(O12:O41)</f>
        <v>244680</v>
      </c>
      <c r="P42" s="133">
        <f t="shared" si="9"/>
        <v>2132013</v>
      </c>
      <c r="Q42" s="142">
        <f t="shared" si="9"/>
        <v>131688.63</v>
      </c>
      <c r="R42" s="142">
        <f t="shared" si="9"/>
        <v>219224.83000000002</v>
      </c>
      <c r="S42" s="142">
        <f t="shared" si="9"/>
        <v>222267.29</v>
      </c>
      <c r="T42" s="142">
        <f t="shared" si="9"/>
        <v>278580.89000000007</v>
      </c>
      <c r="U42" s="142">
        <f t="shared" si="9"/>
        <v>68484.990000000005</v>
      </c>
      <c r="V42" s="142">
        <f t="shared" si="9"/>
        <v>106894.16000000002</v>
      </c>
      <c r="W42" s="142">
        <f t="shared" si="9"/>
        <v>129099.54999999999</v>
      </c>
      <c r="X42" s="142">
        <f t="shared" si="9"/>
        <v>101350.42</v>
      </c>
      <c r="Y42" s="142">
        <f t="shared" si="9"/>
        <v>149573</v>
      </c>
      <c r="Z42" s="142">
        <f t="shared" si="9"/>
        <v>145616</v>
      </c>
      <c r="AA42" s="142">
        <f t="shared" si="9"/>
        <v>125551</v>
      </c>
      <c r="AB42" s="142">
        <f t="shared" si="9"/>
        <v>285558</v>
      </c>
      <c r="AC42" s="142">
        <f t="shared" si="9"/>
        <v>1963888.7600000002</v>
      </c>
      <c r="AD42" s="142">
        <f t="shared" si="5"/>
        <v>-168124.23999999976</v>
      </c>
      <c r="AE42" s="132">
        <f t="shared" si="6"/>
        <v>-8.5607822308632051E-2</v>
      </c>
      <c r="AF42" s="133">
        <v>1907259.6099999999</v>
      </c>
      <c r="AG42" s="133">
        <f t="shared" si="2"/>
        <v>-224753.39000000013</v>
      </c>
    </row>
    <row r="43" spans="1:33" s="109" customFormat="1">
      <c r="C43" s="109" t="s">
        <v>868</v>
      </c>
      <c r="D43" s="129">
        <f t="shared" ref="D43:AC43" si="10">D42+D78</f>
        <v>572079.57000000007</v>
      </c>
      <c r="E43" s="129">
        <f t="shared" si="10"/>
        <v>612854.07000000007</v>
      </c>
      <c r="F43" s="129">
        <f t="shared" si="10"/>
        <v>542529.05000000005</v>
      </c>
      <c r="G43" s="129">
        <f t="shared" si="10"/>
        <v>564604.61</v>
      </c>
      <c r="H43" s="129">
        <f t="shared" si="10"/>
        <v>534002.92000000004</v>
      </c>
      <c r="I43" s="129">
        <f t="shared" si="10"/>
        <v>522554.42000000004</v>
      </c>
      <c r="J43" s="129">
        <f t="shared" si="10"/>
        <v>570004.35</v>
      </c>
      <c r="K43" s="129">
        <f t="shared" si="10"/>
        <v>578774.85</v>
      </c>
      <c r="L43" s="129">
        <f t="shared" si="10"/>
        <v>557379.85</v>
      </c>
      <c r="M43" s="129">
        <f t="shared" si="10"/>
        <v>592167.37</v>
      </c>
      <c r="N43" s="129">
        <f t="shared" si="10"/>
        <v>624436.94999999995</v>
      </c>
      <c r="O43" s="129">
        <f t="shared" si="10"/>
        <v>647124.28</v>
      </c>
      <c r="P43" s="133">
        <f t="shared" si="10"/>
        <v>6918512.29</v>
      </c>
      <c r="Q43" s="142">
        <f t="shared" si="10"/>
        <v>661536.76</v>
      </c>
      <c r="R43" s="142">
        <f t="shared" si="10"/>
        <v>844957.76</v>
      </c>
      <c r="S43" s="142">
        <f t="shared" si="10"/>
        <v>755671.16</v>
      </c>
      <c r="T43" s="142">
        <f t="shared" si="10"/>
        <v>736779.57000000007</v>
      </c>
      <c r="U43" s="142">
        <f t="shared" si="10"/>
        <v>513117.23</v>
      </c>
      <c r="V43" s="142">
        <f t="shared" si="10"/>
        <v>512395.63</v>
      </c>
      <c r="W43" s="142">
        <f t="shared" si="10"/>
        <v>548094.69999999995</v>
      </c>
      <c r="X43" s="142">
        <f t="shared" si="10"/>
        <v>464710.16</v>
      </c>
      <c r="Y43" s="142">
        <f t="shared" si="10"/>
        <v>621667.16999999993</v>
      </c>
      <c r="Z43" s="142">
        <f t="shared" si="10"/>
        <v>605157.16999999993</v>
      </c>
      <c r="AA43" s="142">
        <f t="shared" si="10"/>
        <v>569080.16999999993</v>
      </c>
      <c r="AB43" s="142">
        <f t="shared" si="10"/>
        <v>948936.16999999993</v>
      </c>
      <c r="AC43" s="142">
        <f t="shared" si="10"/>
        <v>7782103.6500000004</v>
      </c>
      <c r="AD43" s="142">
        <f t="shared" si="5"/>
        <v>863591.36000000034</v>
      </c>
      <c r="AE43" s="132">
        <f t="shared" si="6"/>
        <v>0.11097145435733181</v>
      </c>
      <c r="AF43" s="133">
        <v>5660931.2200000007</v>
      </c>
      <c r="AG43" s="133">
        <f t="shared" si="2"/>
        <v>-1257581.0699999994</v>
      </c>
    </row>
    <row r="44" spans="1:33">
      <c r="C44" s="105" t="s">
        <v>154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33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2"/>
      <c r="AD44" s="141"/>
      <c r="AF44" s="133"/>
      <c r="AG44" s="133">
        <f t="shared" si="2"/>
        <v>0</v>
      </c>
    </row>
    <row r="45" spans="1:33">
      <c r="C45" s="105" t="s">
        <v>869</v>
      </c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33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2"/>
      <c r="AD45" s="141"/>
      <c r="AF45" s="133"/>
      <c r="AG45" s="133">
        <f t="shared" si="2"/>
        <v>0</v>
      </c>
    </row>
    <row r="46" spans="1:33">
      <c r="C46" s="105" t="s">
        <v>465</v>
      </c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33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2"/>
      <c r="AD46" s="141"/>
      <c r="AF46" s="133"/>
      <c r="AG46" s="133">
        <f t="shared" si="2"/>
        <v>0</v>
      </c>
    </row>
    <row r="47" spans="1:33">
      <c r="A47" s="105" t="s">
        <v>248</v>
      </c>
      <c r="B47" s="105" t="s">
        <v>948</v>
      </c>
      <c r="C47" s="105" t="s">
        <v>250</v>
      </c>
      <c r="D47" s="293">
        <v>135534.79999999999</v>
      </c>
      <c r="E47" s="124">
        <v>135534.79999999999</v>
      </c>
      <c r="F47" s="124">
        <v>146827.07</v>
      </c>
      <c r="G47" s="124">
        <v>151757.6</v>
      </c>
      <c r="H47" s="124">
        <v>151757.6</v>
      </c>
      <c r="I47" s="124">
        <v>151757.6</v>
      </c>
      <c r="J47" s="124">
        <v>151757.6</v>
      </c>
      <c r="K47" s="124">
        <v>158019.44</v>
      </c>
      <c r="L47" s="124">
        <v>158019.44</v>
      </c>
      <c r="M47" s="124">
        <v>158019.44</v>
      </c>
      <c r="N47" s="124">
        <v>158019.44</v>
      </c>
      <c r="O47" s="124">
        <v>158019.44</v>
      </c>
      <c r="P47" s="133">
        <f>SUM(D47:O47)</f>
        <v>1815024.2699999998</v>
      </c>
      <c r="Q47" s="141">
        <v>180881.6</v>
      </c>
      <c r="R47" s="141">
        <v>180732.18</v>
      </c>
      <c r="S47" s="141">
        <v>181100</v>
      </c>
      <c r="T47" s="141">
        <v>181100</v>
      </c>
      <c r="U47" s="141">
        <v>183962.53</v>
      </c>
      <c r="V47" s="141">
        <v>171647.59</v>
      </c>
      <c r="W47" s="141">
        <v>169732.18</v>
      </c>
      <c r="X47" s="141">
        <v>170100</v>
      </c>
      <c r="Y47" s="141">
        <v>180237</v>
      </c>
      <c r="Z47" s="141">
        <v>180237</v>
      </c>
      <c r="AA47" s="141">
        <v>180237</v>
      </c>
      <c r="AB47" s="141">
        <v>180237</v>
      </c>
      <c r="AC47" s="142">
        <f>SUM(Q47:AB47)</f>
        <v>2140204.08</v>
      </c>
      <c r="AD47" s="141">
        <f>AC47-P47</f>
        <v>325179.81000000029</v>
      </c>
      <c r="AE47" s="192">
        <f>AD47/AC47</f>
        <v>0.15193869268766194</v>
      </c>
      <c r="AF47" s="133">
        <v>1586724.3699999999</v>
      </c>
      <c r="AG47" s="133">
        <f t="shared" si="2"/>
        <v>-228299.89999999991</v>
      </c>
    </row>
    <row r="48" spans="1:33">
      <c r="A48" s="105" t="s">
        <v>251</v>
      </c>
      <c r="B48" s="105" t="s">
        <v>948</v>
      </c>
      <c r="C48" s="105" t="s">
        <v>468</v>
      </c>
      <c r="D48" s="293">
        <v>29332.799999999999</v>
      </c>
      <c r="E48" s="124">
        <v>29332.799999999999</v>
      </c>
      <c r="F48" s="124">
        <v>30799.440000000002</v>
      </c>
      <c r="G48" s="124">
        <v>30799.440000000002</v>
      </c>
      <c r="H48" s="124">
        <v>30799.440000000002</v>
      </c>
      <c r="I48" s="124">
        <v>30799.440000000002</v>
      </c>
      <c r="J48" s="124">
        <v>30799.440000000002</v>
      </c>
      <c r="K48" s="124">
        <v>30799.440000000002</v>
      </c>
      <c r="L48" s="124">
        <v>30799.440000000002</v>
      </c>
      <c r="M48" s="124">
        <v>30799.440000000002</v>
      </c>
      <c r="N48" s="124">
        <v>30799.440000000002</v>
      </c>
      <c r="O48" s="124">
        <v>30799.440000000002</v>
      </c>
      <c r="P48" s="133">
        <f>SUM(D48:O48)</f>
        <v>366660.00000000006</v>
      </c>
      <c r="Q48" s="141">
        <v>27400</v>
      </c>
      <c r="R48" s="141">
        <v>27317.24</v>
      </c>
      <c r="S48" s="141">
        <v>26848.27</v>
      </c>
      <c r="T48" s="141">
        <v>27400</v>
      </c>
      <c r="U48" s="141">
        <v>26917.24</v>
      </c>
      <c r="V48" s="141">
        <v>23865.52</v>
      </c>
      <c r="W48" s="141">
        <v>21900</v>
      </c>
      <c r="X48" s="141">
        <v>23509.200000000001</v>
      </c>
      <c r="Y48" s="141">
        <v>37100</v>
      </c>
      <c r="Z48" s="141">
        <v>37100</v>
      </c>
      <c r="AA48" s="141">
        <v>37100</v>
      </c>
      <c r="AB48" s="141">
        <v>37100</v>
      </c>
      <c r="AC48" s="142">
        <f>SUM(Q48:AB48)</f>
        <v>353557.47</v>
      </c>
      <c r="AD48" s="141">
        <f>AC48-P48</f>
        <v>-13102.530000000086</v>
      </c>
      <c r="AE48" s="192">
        <f>AD48/AC48</f>
        <v>-3.7059123655342613E-2</v>
      </c>
      <c r="AF48" s="133">
        <v>292479.26</v>
      </c>
      <c r="AG48" s="133">
        <f t="shared" si="2"/>
        <v>-74180.740000000049</v>
      </c>
    </row>
    <row r="49" spans="1:33" s="109" customFormat="1">
      <c r="C49" s="109" t="s">
        <v>471</v>
      </c>
      <c r="D49" s="129">
        <f t="shared" ref="D49:AC49" si="11">SUM(D47:D48)</f>
        <v>164867.59999999998</v>
      </c>
      <c r="E49" s="129">
        <f t="shared" si="11"/>
        <v>164867.59999999998</v>
      </c>
      <c r="F49" s="129">
        <f t="shared" si="11"/>
        <v>177626.51</v>
      </c>
      <c r="G49" s="129">
        <f t="shared" si="11"/>
        <v>182557.04</v>
      </c>
      <c r="H49" s="129">
        <f t="shared" si="11"/>
        <v>182557.04</v>
      </c>
      <c r="I49" s="129">
        <f t="shared" si="11"/>
        <v>182557.04</v>
      </c>
      <c r="J49" s="129">
        <f t="shared" si="11"/>
        <v>182557.04</v>
      </c>
      <c r="K49" s="129">
        <f t="shared" si="11"/>
        <v>188818.88</v>
      </c>
      <c r="L49" s="129">
        <f t="shared" si="11"/>
        <v>188818.88</v>
      </c>
      <c r="M49" s="129">
        <f t="shared" si="11"/>
        <v>188818.88</v>
      </c>
      <c r="N49" s="129">
        <f t="shared" si="11"/>
        <v>188818.88</v>
      </c>
      <c r="O49" s="129">
        <f t="shared" si="11"/>
        <v>188818.88</v>
      </c>
      <c r="P49" s="133">
        <f t="shared" si="11"/>
        <v>2181684.27</v>
      </c>
      <c r="Q49" s="142">
        <f t="shared" si="11"/>
        <v>208281.60000000001</v>
      </c>
      <c r="R49" s="142">
        <f t="shared" si="11"/>
        <v>208049.41999999998</v>
      </c>
      <c r="S49" s="142">
        <f t="shared" si="11"/>
        <v>207948.27</v>
      </c>
      <c r="T49" s="142">
        <f t="shared" si="11"/>
        <v>208500</v>
      </c>
      <c r="U49" s="142">
        <f t="shared" si="11"/>
        <v>210879.77</v>
      </c>
      <c r="V49" s="142">
        <f t="shared" si="11"/>
        <v>195513.11</v>
      </c>
      <c r="W49" s="142">
        <f t="shared" si="11"/>
        <v>191632.18</v>
      </c>
      <c r="X49" s="142">
        <f t="shared" si="11"/>
        <v>193609.2</v>
      </c>
      <c r="Y49" s="142">
        <f t="shared" si="11"/>
        <v>217337</v>
      </c>
      <c r="Z49" s="142">
        <f t="shared" si="11"/>
        <v>217337</v>
      </c>
      <c r="AA49" s="142">
        <f t="shared" si="11"/>
        <v>217337</v>
      </c>
      <c r="AB49" s="142">
        <f t="shared" si="11"/>
        <v>217337</v>
      </c>
      <c r="AC49" s="142">
        <f t="shared" si="11"/>
        <v>2493761.5499999998</v>
      </c>
      <c r="AD49" s="142">
        <f>AC49-P49</f>
        <v>312077.2799999998</v>
      </c>
      <c r="AE49" s="132">
        <f>AD49/AC49</f>
        <v>0.12514319181799871</v>
      </c>
      <c r="AF49" s="133">
        <v>1879203.63</v>
      </c>
      <c r="AG49" s="133">
        <f t="shared" si="2"/>
        <v>-302480.64000000013</v>
      </c>
    </row>
    <row r="50" spans="1:33"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33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2"/>
      <c r="AD50" s="141"/>
      <c r="AF50" s="133"/>
      <c r="AG50" s="133">
        <f t="shared" si="2"/>
        <v>0</v>
      </c>
    </row>
    <row r="51" spans="1:33">
      <c r="A51" s="105" t="s">
        <v>870</v>
      </c>
      <c r="B51" s="105" t="s">
        <v>948</v>
      </c>
      <c r="C51" s="105" t="s">
        <v>260</v>
      </c>
      <c r="D51" s="293">
        <v>13434.500000000004</v>
      </c>
      <c r="E51" s="293">
        <v>0</v>
      </c>
      <c r="F51" s="293">
        <v>0</v>
      </c>
      <c r="G51" s="293">
        <v>2482.7600000000002</v>
      </c>
      <c r="H51" s="293">
        <v>4000.01</v>
      </c>
      <c r="I51" s="293">
        <v>0</v>
      </c>
      <c r="J51" s="293">
        <v>0</v>
      </c>
      <c r="K51" s="293">
        <v>0</v>
      </c>
      <c r="L51" s="293">
        <v>0</v>
      </c>
      <c r="M51" s="293">
        <v>10537.95</v>
      </c>
      <c r="N51" s="293">
        <v>0</v>
      </c>
      <c r="O51" s="293">
        <v>0</v>
      </c>
      <c r="P51" s="133">
        <f>SUM(D51:O51)</f>
        <v>30455.220000000005</v>
      </c>
      <c r="Q51" s="141">
        <v>2758.65</v>
      </c>
      <c r="R51" s="141">
        <v>8155.24</v>
      </c>
      <c r="S51" s="141">
        <v>0</v>
      </c>
      <c r="T51" s="141">
        <v>2896.56</v>
      </c>
      <c r="U51" s="141">
        <v>2948.3</v>
      </c>
      <c r="V51" s="141">
        <v>2689.68</v>
      </c>
      <c r="W51" s="141">
        <v>0</v>
      </c>
      <c r="X51" s="141">
        <v>0</v>
      </c>
      <c r="Y51" s="141">
        <v>2723</v>
      </c>
      <c r="Z51" s="141">
        <v>8168</v>
      </c>
      <c r="AA51" s="141">
        <v>0</v>
      </c>
      <c r="AB51" s="141">
        <v>0</v>
      </c>
      <c r="AC51" s="142">
        <f>SUM(Q51:AB51)</f>
        <v>30339.43</v>
      </c>
      <c r="AD51" s="141">
        <f t="shared" ref="AD51:AD56" si="12">AC51-P51</f>
        <v>-115.79000000000451</v>
      </c>
      <c r="AE51" s="192">
        <f t="shared" ref="AE51:AE56" si="13">AD51/AC51</f>
        <v>-3.816485675571509E-3</v>
      </c>
      <c r="AF51" s="133">
        <v>5862.09</v>
      </c>
      <c r="AG51" s="133">
        <f t="shared" si="2"/>
        <v>-24593.130000000005</v>
      </c>
    </row>
    <row r="52" spans="1:33">
      <c r="A52" s="105" t="s">
        <v>120</v>
      </c>
      <c r="B52" s="105" t="s">
        <v>948</v>
      </c>
      <c r="C52" s="105" t="s">
        <v>261</v>
      </c>
      <c r="D52" s="293">
        <v>28966.700000000004</v>
      </c>
      <c r="E52" s="293">
        <v>28966.700000000004</v>
      </c>
      <c r="F52" s="293">
        <v>30466.700000000004</v>
      </c>
      <c r="G52" s="293">
        <v>31383.370000000003</v>
      </c>
      <c r="H52" s="293">
        <v>31383.370000000003</v>
      </c>
      <c r="I52" s="293">
        <v>31383.370000000003</v>
      </c>
      <c r="J52" s="293">
        <v>31383.370000000003</v>
      </c>
      <c r="K52" s="293">
        <v>32383.370000000003</v>
      </c>
      <c r="L52" s="293">
        <v>32383.370000000003</v>
      </c>
      <c r="M52" s="293">
        <v>32383.370000000003</v>
      </c>
      <c r="N52" s="293">
        <v>32383.370000000003</v>
      </c>
      <c r="O52" s="293">
        <v>32383.370000000003</v>
      </c>
      <c r="P52" s="133">
        <f>SUM(D52:O52)</f>
        <v>375850.43</v>
      </c>
      <c r="Q52" s="141">
        <v>52122.74</v>
      </c>
      <c r="R52" s="141">
        <v>52105.760000000002</v>
      </c>
      <c r="S52" s="141">
        <v>52128.61</v>
      </c>
      <c r="T52" s="141">
        <v>34727.94</v>
      </c>
      <c r="U52" s="141">
        <v>34737.230000000003</v>
      </c>
      <c r="V52" s="141">
        <v>33188.31</v>
      </c>
      <c r="W52" s="141">
        <v>31988.79</v>
      </c>
      <c r="X52" s="141">
        <v>32837</v>
      </c>
      <c r="Y52" s="141">
        <v>34556.17</v>
      </c>
      <c r="Z52" s="141">
        <v>34556.17</v>
      </c>
      <c r="AA52" s="141">
        <v>34556.17</v>
      </c>
      <c r="AB52" s="141">
        <v>34556.17</v>
      </c>
      <c r="AC52" s="142">
        <f>SUM(Q52:AB52)</f>
        <v>462061.05999999994</v>
      </c>
      <c r="AD52" s="141">
        <f t="shared" si="12"/>
        <v>86210.629999999946</v>
      </c>
      <c r="AE52" s="192">
        <f t="shared" si="13"/>
        <v>0.18657843619196121</v>
      </c>
      <c r="AF52" s="133">
        <v>331535.51</v>
      </c>
      <c r="AG52" s="133">
        <f t="shared" si="2"/>
        <v>-44314.919999999984</v>
      </c>
    </row>
    <row r="53" spans="1:33">
      <c r="A53" s="105" t="s">
        <v>871</v>
      </c>
      <c r="B53" s="105" t="s">
        <v>948</v>
      </c>
      <c r="C53" s="105" t="s">
        <v>262</v>
      </c>
      <c r="D53" s="293">
        <v>9590</v>
      </c>
      <c r="E53" s="293">
        <v>9590</v>
      </c>
      <c r="F53" s="293">
        <v>9590</v>
      </c>
      <c r="G53" s="293">
        <v>9920</v>
      </c>
      <c r="H53" s="293">
        <v>9920</v>
      </c>
      <c r="I53" s="293">
        <v>9920</v>
      </c>
      <c r="J53" s="293">
        <v>9920</v>
      </c>
      <c r="K53" s="293">
        <v>9920</v>
      </c>
      <c r="L53" s="293">
        <v>9920</v>
      </c>
      <c r="M53" s="293">
        <v>9920</v>
      </c>
      <c r="N53" s="293">
        <v>9920</v>
      </c>
      <c r="O53" s="293">
        <v>9920</v>
      </c>
      <c r="P53" s="133">
        <f>SUM(D53:O53)</f>
        <v>118050</v>
      </c>
      <c r="Q53" s="141">
        <v>10302.02</v>
      </c>
      <c r="R53" s="141">
        <v>10392.93</v>
      </c>
      <c r="S53" s="141">
        <v>10068.61</v>
      </c>
      <c r="T53" s="141">
        <v>10386.450000000001</v>
      </c>
      <c r="U53" s="141">
        <v>9722.25</v>
      </c>
      <c r="V53" s="141">
        <v>8945.48</v>
      </c>
      <c r="W53" s="141">
        <v>9409</v>
      </c>
      <c r="X53" s="141">
        <v>9515.81</v>
      </c>
      <c r="Y53" s="141">
        <v>11440</v>
      </c>
      <c r="Z53" s="141">
        <v>11740</v>
      </c>
      <c r="AA53" s="141">
        <v>11840</v>
      </c>
      <c r="AB53" s="141">
        <v>12040</v>
      </c>
      <c r="AC53" s="142">
        <f>SUM(Q53:AB53)</f>
        <v>125802.55</v>
      </c>
      <c r="AD53" s="141">
        <f t="shared" si="12"/>
        <v>7752.5500000000029</v>
      </c>
      <c r="AE53" s="192">
        <f t="shared" si="13"/>
        <v>6.1624744490473386E-2</v>
      </c>
      <c r="AF53" s="133">
        <v>29500</v>
      </c>
      <c r="AG53" s="133">
        <f t="shared" si="2"/>
        <v>-88550</v>
      </c>
    </row>
    <row r="54" spans="1:33">
      <c r="A54" s="105" t="s">
        <v>872</v>
      </c>
      <c r="B54" s="105" t="s">
        <v>948</v>
      </c>
      <c r="C54" s="105" t="s">
        <v>263</v>
      </c>
      <c r="D54" s="293">
        <v>0</v>
      </c>
      <c r="E54" s="293">
        <v>0</v>
      </c>
      <c r="F54" s="293">
        <v>0</v>
      </c>
      <c r="G54" s="293">
        <v>0</v>
      </c>
      <c r="H54" s="293">
        <v>0</v>
      </c>
      <c r="I54" s="293">
        <v>0</v>
      </c>
      <c r="J54" s="293">
        <v>0</v>
      </c>
      <c r="K54" s="293">
        <v>0</v>
      </c>
      <c r="L54" s="293">
        <v>0</v>
      </c>
      <c r="M54" s="293">
        <v>0</v>
      </c>
      <c r="N54" s="293">
        <v>0</v>
      </c>
      <c r="O54" s="293">
        <v>0</v>
      </c>
      <c r="P54" s="133">
        <f>SUM(D54:O54)</f>
        <v>0</v>
      </c>
      <c r="Q54" s="141">
        <v>0</v>
      </c>
      <c r="R54" s="141">
        <v>0</v>
      </c>
      <c r="S54" s="141">
        <v>0</v>
      </c>
      <c r="T54" s="141">
        <v>0</v>
      </c>
      <c r="U54" s="141">
        <v>0</v>
      </c>
      <c r="V54" s="141">
        <v>0</v>
      </c>
      <c r="W54" s="141">
        <v>0</v>
      </c>
      <c r="X54" s="141">
        <v>0</v>
      </c>
      <c r="Y54" s="141">
        <v>0</v>
      </c>
      <c r="Z54" s="141">
        <v>0</v>
      </c>
      <c r="AA54" s="141">
        <v>0</v>
      </c>
      <c r="AB54" s="141">
        <v>0</v>
      </c>
      <c r="AC54" s="142">
        <f>SUM(Q54:AB54)</f>
        <v>0</v>
      </c>
      <c r="AD54" s="141">
        <f t="shared" si="12"/>
        <v>0</v>
      </c>
      <c r="AE54" s="192" t="e">
        <f t="shared" si="13"/>
        <v>#DIV/0!</v>
      </c>
      <c r="AF54" s="133">
        <v>0</v>
      </c>
      <c r="AG54" s="133">
        <f t="shared" si="2"/>
        <v>0</v>
      </c>
    </row>
    <row r="55" spans="1:33">
      <c r="A55" s="105" t="s">
        <v>873</v>
      </c>
      <c r="B55" s="105" t="s">
        <v>948</v>
      </c>
      <c r="C55" s="105" t="s">
        <v>264</v>
      </c>
      <c r="D55" s="333">
        <f>ROUND('2025 Summay'!E11*0.3%,0)</f>
        <v>88328</v>
      </c>
      <c r="E55" s="333">
        <f>ROUND('2025 Summay'!F11*0.3%,0)</f>
        <v>103018</v>
      </c>
      <c r="F55" s="333">
        <f>ROUND('2025 Summay'!G11*0.3%,0)</f>
        <v>61048</v>
      </c>
      <c r="G55" s="333">
        <f>ROUND('2025 Summay'!H11*0.3%,0)</f>
        <v>56116</v>
      </c>
      <c r="H55" s="333">
        <f>ROUND('2025 Summay'!I11*0.3%,0)</f>
        <v>52281</v>
      </c>
      <c r="I55" s="333">
        <f>ROUND('2025 Summay'!J11*0.3%,0)</f>
        <v>46806</v>
      </c>
      <c r="J55" s="333">
        <f>ROUND('2025 Summay'!K11*0.3%,0)</f>
        <v>69538</v>
      </c>
      <c r="K55" s="333">
        <f>ROUND('2025 Summay'!L11*0.3%,0)-10000</f>
        <v>70495</v>
      </c>
      <c r="L55" s="333">
        <f>ROUND('2025 Summay'!M11*0.3%,0)</f>
        <v>42904</v>
      </c>
      <c r="M55" s="333">
        <f>ROUND('2025 Summay'!N11*0.3%,0)-10000</f>
        <v>42180</v>
      </c>
      <c r="N55" s="333">
        <f>ROUND('2025 Summay'!O11*0.3%,0)</f>
        <v>45447</v>
      </c>
      <c r="O55" s="333">
        <f>ROUND('2025 Summay'!P11*0.3%,0)-4001</f>
        <v>54642</v>
      </c>
      <c r="P55" s="133">
        <f>SUM(D55:O55)</f>
        <v>732803</v>
      </c>
      <c r="Q55" s="141">
        <v>132663.09</v>
      </c>
      <c r="R55" s="141">
        <v>211198.74</v>
      </c>
      <c r="S55" s="141">
        <v>125911.96</v>
      </c>
      <c r="T55" s="141">
        <v>67740.06</v>
      </c>
      <c r="U55" s="141">
        <v>65406.48</v>
      </c>
      <c r="V55" s="141">
        <v>51811.79</v>
      </c>
      <c r="W55" s="141">
        <v>76952.73</v>
      </c>
      <c r="X55" s="141">
        <v>16248.63</v>
      </c>
      <c r="Y55" s="141">
        <v>84756</v>
      </c>
      <c r="Z55" s="315">
        <v>64105</v>
      </c>
      <c r="AA55" s="315">
        <v>58730</v>
      </c>
      <c r="AB55" s="315">
        <v>278378</v>
      </c>
      <c r="AC55" s="142">
        <f>SUM(Q55:AB55)</f>
        <v>1233902.48</v>
      </c>
      <c r="AD55" s="141">
        <f t="shared" si="12"/>
        <v>501099.48</v>
      </c>
      <c r="AE55" s="192">
        <f t="shared" si="13"/>
        <v>0.40610946822961241</v>
      </c>
      <c r="AF55" s="133">
        <v>294910.03999999998</v>
      </c>
      <c r="AG55" s="133">
        <f t="shared" si="2"/>
        <v>-437892.96</v>
      </c>
    </row>
    <row r="56" spans="1:33" s="109" customFormat="1">
      <c r="C56" s="109" t="s">
        <v>265</v>
      </c>
      <c r="D56" s="129">
        <f t="shared" ref="D56:AC56" si="14">SUM(D51:D55)</f>
        <v>140319.20000000001</v>
      </c>
      <c r="E56" s="129">
        <f t="shared" si="14"/>
        <v>141574.70000000001</v>
      </c>
      <c r="F56" s="129">
        <f t="shared" si="14"/>
        <v>101104.70000000001</v>
      </c>
      <c r="G56" s="129">
        <f t="shared" si="14"/>
        <v>99902.13</v>
      </c>
      <c r="H56" s="129">
        <f t="shared" si="14"/>
        <v>97584.38</v>
      </c>
      <c r="I56" s="129">
        <f t="shared" si="14"/>
        <v>88109.37</v>
      </c>
      <c r="J56" s="129">
        <f t="shared" si="14"/>
        <v>110841.37</v>
      </c>
      <c r="K56" s="129">
        <f t="shared" si="14"/>
        <v>112798.37</v>
      </c>
      <c r="L56" s="129">
        <f t="shared" si="14"/>
        <v>85207.37</v>
      </c>
      <c r="M56" s="129">
        <f t="shared" si="14"/>
        <v>95021.32</v>
      </c>
      <c r="N56" s="129">
        <f t="shared" si="14"/>
        <v>87750.37</v>
      </c>
      <c r="O56" s="129">
        <f t="shared" si="14"/>
        <v>96945.37</v>
      </c>
      <c r="P56" s="133">
        <f t="shared" si="14"/>
        <v>1257158.6499999999</v>
      </c>
      <c r="Q56" s="142">
        <f t="shared" si="14"/>
        <v>197846.5</v>
      </c>
      <c r="R56" s="142">
        <f t="shared" si="14"/>
        <v>281852.67</v>
      </c>
      <c r="S56" s="142">
        <f t="shared" si="14"/>
        <v>188109.18</v>
      </c>
      <c r="T56" s="142">
        <f t="shared" si="14"/>
        <v>115751.01</v>
      </c>
      <c r="U56" s="142">
        <f t="shared" si="14"/>
        <v>112814.26000000001</v>
      </c>
      <c r="V56" s="142">
        <f t="shared" si="14"/>
        <v>96635.260000000009</v>
      </c>
      <c r="W56" s="142">
        <f t="shared" si="14"/>
        <v>118350.51999999999</v>
      </c>
      <c r="X56" s="142">
        <f t="shared" si="14"/>
        <v>58601.439999999995</v>
      </c>
      <c r="Y56" s="142">
        <f t="shared" si="14"/>
        <v>133475.16999999998</v>
      </c>
      <c r="Z56" s="142">
        <f t="shared" si="14"/>
        <v>118569.17</v>
      </c>
      <c r="AA56" s="142">
        <f t="shared" si="14"/>
        <v>105126.17</v>
      </c>
      <c r="AB56" s="142">
        <f t="shared" si="14"/>
        <v>324974.17</v>
      </c>
      <c r="AC56" s="142">
        <f t="shared" si="14"/>
        <v>1852105.52</v>
      </c>
      <c r="AD56" s="142">
        <f t="shared" si="12"/>
        <v>594946.87000000011</v>
      </c>
      <c r="AE56" s="132">
        <f t="shared" si="13"/>
        <v>0.32122730782639214</v>
      </c>
      <c r="AF56" s="133">
        <v>661807.64</v>
      </c>
      <c r="AG56" s="133">
        <f t="shared" si="2"/>
        <v>-595351.00999999989</v>
      </c>
    </row>
    <row r="57" spans="1:33">
      <c r="C57" s="105" t="s">
        <v>154</v>
      </c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33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2"/>
      <c r="AD57" s="141"/>
      <c r="AF57" s="133"/>
      <c r="AG57" s="133">
        <f t="shared" si="2"/>
        <v>0</v>
      </c>
    </row>
    <row r="58" spans="1:33">
      <c r="A58" s="105" t="s">
        <v>874</v>
      </c>
      <c r="B58" s="105" t="s">
        <v>948</v>
      </c>
      <c r="C58" s="105" t="s">
        <v>266</v>
      </c>
      <c r="D58" s="293">
        <v>34839.439999999995</v>
      </c>
      <c r="E58" s="293">
        <v>34839.439999999995</v>
      </c>
      <c r="F58" s="293">
        <v>36279.439999999995</v>
      </c>
      <c r="G58" s="293">
        <v>37159.440000000002</v>
      </c>
      <c r="H58" s="293">
        <v>37159.440000000002</v>
      </c>
      <c r="I58" s="293">
        <v>37159.440000000002</v>
      </c>
      <c r="J58" s="293">
        <v>37419.9</v>
      </c>
      <c r="K58" s="293">
        <v>37380.259999999995</v>
      </c>
      <c r="L58" s="293">
        <v>37380.259999999995</v>
      </c>
      <c r="M58" s="293">
        <v>37380.259999999995</v>
      </c>
      <c r="N58" s="293">
        <v>37380.259999999995</v>
      </c>
      <c r="O58" s="293">
        <v>37380.259999999995</v>
      </c>
      <c r="P58" s="133">
        <f t="shared" ref="P58:P65" si="15">SUM(D58:O58)</f>
        <v>441757.84</v>
      </c>
      <c r="Q58" s="141">
        <v>49585.26</v>
      </c>
      <c r="R58" s="141">
        <v>49585.26</v>
      </c>
      <c r="S58" s="141">
        <v>49585.26</v>
      </c>
      <c r="T58" s="141">
        <v>49585.26</v>
      </c>
      <c r="U58" s="141">
        <v>47719.87</v>
      </c>
      <c r="V58" s="141">
        <v>43748.04</v>
      </c>
      <c r="W58" s="141">
        <v>44520.84</v>
      </c>
      <c r="X58" s="141">
        <v>44520.84</v>
      </c>
      <c r="Y58" s="141">
        <v>43214</v>
      </c>
      <c r="Z58" s="315">
        <v>43214</v>
      </c>
      <c r="AA58" s="315">
        <v>43214</v>
      </c>
      <c r="AB58" s="315">
        <v>43214</v>
      </c>
      <c r="AC58" s="142">
        <f t="shared" ref="AC58:AC65" si="16">SUM(Q58:AB58)</f>
        <v>551706.63</v>
      </c>
      <c r="AD58" s="141">
        <f t="shared" ref="AD58:AD66" si="17">AC58-P58</f>
        <v>109948.78999999998</v>
      </c>
      <c r="AE58" s="192">
        <f t="shared" ref="AE58:AE66" si="18">AD58/AC58</f>
        <v>0.19928850592206945</v>
      </c>
      <c r="AF58" s="133">
        <v>329346.08</v>
      </c>
      <c r="AG58" s="133">
        <f t="shared" si="2"/>
        <v>-112411.76000000001</v>
      </c>
    </row>
    <row r="59" spans="1:33">
      <c r="A59" s="105" t="s">
        <v>875</v>
      </c>
      <c r="B59" s="105" t="s">
        <v>948</v>
      </c>
      <c r="C59" s="105" t="s">
        <v>267</v>
      </c>
      <c r="D59" s="293">
        <v>13614.010000000002</v>
      </c>
      <c r="E59" s="293">
        <v>13614.010000000002</v>
      </c>
      <c r="F59" s="293">
        <v>13614.010000000002</v>
      </c>
      <c r="G59" s="293">
        <v>13971.510000000002</v>
      </c>
      <c r="H59" s="293">
        <v>13971.510000000002</v>
      </c>
      <c r="I59" s="293">
        <v>13971.510000000002</v>
      </c>
      <c r="J59" s="293">
        <v>14069.79</v>
      </c>
      <c r="K59" s="293">
        <v>14053.69</v>
      </c>
      <c r="L59" s="293">
        <v>14053.69</v>
      </c>
      <c r="M59" s="293">
        <v>14053.69</v>
      </c>
      <c r="N59" s="293">
        <v>14053.69</v>
      </c>
      <c r="O59" s="293">
        <v>14053.69</v>
      </c>
      <c r="P59" s="133">
        <f t="shared" si="15"/>
        <v>167094.80000000005</v>
      </c>
      <c r="Q59" s="141">
        <v>26342.19</v>
      </c>
      <c r="R59" s="141">
        <v>26342.19</v>
      </c>
      <c r="S59" s="141">
        <v>26342.19</v>
      </c>
      <c r="T59" s="141">
        <v>26342.19</v>
      </c>
      <c r="U59" s="141">
        <v>25351.200000000001</v>
      </c>
      <c r="V59" s="141">
        <v>23241.16</v>
      </c>
      <c r="W59" s="141">
        <v>18086.61</v>
      </c>
      <c r="X59" s="141">
        <v>18086.61</v>
      </c>
      <c r="Y59" s="141">
        <v>22558</v>
      </c>
      <c r="Z59" s="315">
        <v>22558</v>
      </c>
      <c r="AA59" s="315">
        <v>22558</v>
      </c>
      <c r="AB59" s="315">
        <v>22558</v>
      </c>
      <c r="AC59" s="142">
        <f t="shared" si="16"/>
        <v>280366.33999999997</v>
      </c>
      <c r="AD59" s="141">
        <f t="shared" si="17"/>
        <v>113271.53999999992</v>
      </c>
      <c r="AE59" s="192">
        <f t="shared" si="18"/>
        <v>0.40401262148658762</v>
      </c>
      <c r="AF59" s="133">
        <v>158638.34999999998</v>
      </c>
      <c r="AG59" s="133">
        <f t="shared" si="2"/>
        <v>-8456.4500000000698</v>
      </c>
    </row>
    <row r="60" spans="1:33">
      <c r="A60" s="105" t="s">
        <v>876</v>
      </c>
      <c r="B60" s="105" t="s">
        <v>948</v>
      </c>
      <c r="C60" s="105" t="s">
        <v>268</v>
      </c>
      <c r="D60" s="293">
        <v>1088.73</v>
      </c>
      <c r="E60" s="293">
        <v>1088.73</v>
      </c>
      <c r="F60" s="293">
        <v>1133.73</v>
      </c>
      <c r="G60" s="293">
        <v>1161.23</v>
      </c>
      <c r="H60" s="293">
        <v>1161.23</v>
      </c>
      <c r="I60" s="293">
        <v>1161.23</v>
      </c>
      <c r="J60" s="293">
        <v>1168.8000000000002</v>
      </c>
      <c r="K60" s="293">
        <v>1167.56</v>
      </c>
      <c r="L60" s="293">
        <v>1167.56</v>
      </c>
      <c r="M60" s="293">
        <v>1167.56</v>
      </c>
      <c r="N60" s="293">
        <v>1167.56</v>
      </c>
      <c r="O60" s="293">
        <v>1167.56</v>
      </c>
      <c r="P60" s="133">
        <f t="shared" si="15"/>
        <v>13801.479999999998</v>
      </c>
      <c r="Q60" s="141">
        <v>1549.54</v>
      </c>
      <c r="R60" s="141">
        <v>1549.54</v>
      </c>
      <c r="S60" s="141">
        <v>1549.54</v>
      </c>
      <c r="T60" s="141">
        <v>1549.54</v>
      </c>
      <c r="U60" s="141">
        <v>1491.25</v>
      </c>
      <c r="V60" s="141">
        <v>1367.13</v>
      </c>
      <c r="W60" s="141">
        <v>1391.28</v>
      </c>
      <c r="X60" s="141">
        <v>1391.28</v>
      </c>
      <c r="Y60" s="141">
        <v>1352</v>
      </c>
      <c r="Z60" s="141">
        <v>1352</v>
      </c>
      <c r="AA60" s="141">
        <v>1352</v>
      </c>
      <c r="AB60" s="141">
        <v>1352</v>
      </c>
      <c r="AC60" s="142">
        <f t="shared" si="16"/>
        <v>17247.100000000002</v>
      </c>
      <c r="AD60" s="141">
        <f t="shared" si="17"/>
        <v>3445.6200000000044</v>
      </c>
      <c r="AE60" s="192">
        <f t="shared" si="18"/>
        <v>0.19977967310446418</v>
      </c>
      <c r="AF60" s="133">
        <v>9740.340000000002</v>
      </c>
      <c r="AG60" s="133">
        <f t="shared" si="2"/>
        <v>-4061.1399999999958</v>
      </c>
    </row>
    <row r="61" spans="1:33">
      <c r="A61" s="105" t="s">
        <v>877</v>
      </c>
      <c r="B61" s="105" t="s">
        <v>948</v>
      </c>
      <c r="C61" s="105" t="s">
        <v>269</v>
      </c>
      <c r="D61" s="293">
        <v>261.29999999999995</v>
      </c>
      <c r="E61" s="293">
        <v>261.29999999999995</v>
      </c>
      <c r="F61" s="293">
        <v>272.09999999999997</v>
      </c>
      <c r="G61" s="293">
        <v>278.7</v>
      </c>
      <c r="H61" s="293">
        <v>278.7</v>
      </c>
      <c r="I61" s="293">
        <v>278.7</v>
      </c>
      <c r="J61" s="293">
        <v>280.51</v>
      </c>
      <c r="K61" s="293">
        <v>280.21000000000004</v>
      </c>
      <c r="L61" s="293">
        <v>280.21000000000004</v>
      </c>
      <c r="M61" s="293">
        <v>280.21000000000004</v>
      </c>
      <c r="N61" s="293">
        <v>280.21000000000004</v>
      </c>
      <c r="O61" s="293">
        <v>280.21000000000004</v>
      </c>
      <c r="P61" s="133">
        <f t="shared" si="15"/>
        <v>3312.36</v>
      </c>
      <c r="Q61" s="141">
        <v>371.88</v>
      </c>
      <c r="R61" s="141">
        <v>371.88</v>
      </c>
      <c r="S61" s="141">
        <v>371.88</v>
      </c>
      <c r="T61" s="141">
        <v>371.88</v>
      </c>
      <c r="U61" s="141">
        <v>357.89</v>
      </c>
      <c r="V61" s="141">
        <v>328.11</v>
      </c>
      <c r="W61" s="141">
        <v>333.91</v>
      </c>
      <c r="X61" s="141">
        <v>333.91</v>
      </c>
      <c r="Y61" s="141">
        <v>337</v>
      </c>
      <c r="Z61" s="141">
        <v>337</v>
      </c>
      <c r="AA61" s="141">
        <v>337</v>
      </c>
      <c r="AB61" s="141">
        <v>337</v>
      </c>
      <c r="AC61" s="142">
        <f t="shared" si="16"/>
        <v>4189.34</v>
      </c>
      <c r="AD61" s="141">
        <f t="shared" si="17"/>
        <v>876.98</v>
      </c>
      <c r="AE61" s="192">
        <f t="shared" si="18"/>
        <v>0.20933607680446084</v>
      </c>
      <c r="AF61" s="133">
        <v>3116.650000000001</v>
      </c>
      <c r="AG61" s="133">
        <f t="shared" si="2"/>
        <v>-195.70999999999913</v>
      </c>
    </row>
    <row r="62" spans="1:33">
      <c r="A62" s="105" t="s">
        <v>878</v>
      </c>
      <c r="B62" s="105" t="s">
        <v>948</v>
      </c>
      <c r="C62" s="105" t="s">
        <v>270</v>
      </c>
      <c r="D62" s="293">
        <v>0</v>
      </c>
      <c r="E62" s="293">
        <v>0</v>
      </c>
      <c r="F62" s="293">
        <v>0</v>
      </c>
      <c r="G62" s="293">
        <v>0</v>
      </c>
      <c r="H62" s="293">
        <v>0</v>
      </c>
      <c r="I62" s="293">
        <v>0</v>
      </c>
      <c r="J62" s="293">
        <v>0</v>
      </c>
      <c r="K62" s="293">
        <v>0</v>
      </c>
      <c r="L62" s="293">
        <v>0</v>
      </c>
      <c r="M62" s="293">
        <v>0</v>
      </c>
      <c r="N62" s="293">
        <v>0</v>
      </c>
      <c r="O62" s="293">
        <v>0</v>
      </c>
      <c r="P62" s="133">
        <f t="shared" si="15"/>
        <v>0</v>
      </c>
      <c r="Q62" s="141">
        <v>0</v>
      </c>
      <c r="R62" s="141">
        <v>0</v>
      </c>
      <c r="S62" s="141">
        <v>0</v>
      </c>
      <c r="T62" s="141">
        <v>0</v>
      </c>
      <c r="U62" s="141">
        <v>0</v>
      </c>
      <c r="V62" s="141">
        <v>0</v>
      </c>
      <c r="W62" s="141">
        <v>0</v>
      </c>
      <c r="X62" s="141">
        <v>0</v>
      </c>
      <c r="Y62" s="141">
        <v>0</v>
      </c>
      <c r="Z62" s="141">
        <v>0</v>
      </c>
      <c r="AA62" s="141">
        <v>0</v>
      </c>
      <c r="AB62" s="141">
        <v>0</v>
      </c>
      <c r="AC62" s="142">
        <f t="shared" si="16"/>
        <v>0</v>
      </c>
      <c r="AD62" s="141">
        <f t="shared" si="17"/>
        <v>0</v>
      </c>
      <c r="AE62" s="192" t="e">
        <f t="shared" si="18"/>
        <v>#DIV/0!</v>
      </c>
      <c r="AF62" s="133">
        <v>6946.1600000000017</v>
      </c>
      <c r="AG62" s="133">
        <f t="shared" si="2"/>
        <v>6946.1600000000017</v>
      </c>
    </row>
    <row r="63" spans="1:33">
      <c r="A63" s="105" t="s">
        <v>879</v>
      </c>
      <c r="B63" s="105" t="s">
        <v>948</v>
      </c>
      <c r="C63" s="105" t="s">
        <v>271</v>
      </c>
      <c r="D63" s="293">
        <v>11012.12</v>
      </c>
      <c r="E63" s="293">
        <v>11012.12</v>
      </c>
      <c r="F63" s="293">
        <v>11462.12</v>
      </c>
      <c r="G63" s="293">
        <v>11737.119999999999</v>
      </c>
      <c r="H63" s="293">
        <v>11737.119999999999</v>
      </c>
      <c r="I63" s="293">
        <v>11737.119999999999</v>
      </c>
      <c r="J63" s="293">
        <v>11687.93</v>
      </c>
      <c r="K63" s="293">
        <v>11804.869999999999</v>
      </c>
      <c r="L63" s="293">
        <v>11804.869999999999</v>
      </c>
      <c r="M63" s="293">
        <v>11804.869999999999</v>
      </c>
      <c r="N63" s="293">
        <v>11675.54</v>
      </c>
      <c r="O63" s="293">
        <v>11804.869999999999</v>
      </c>
      <c r="P63" s="133">
        <f t="shared" si="15"/>
        <v>139280.66999999998</v>
      </c>
      <c r="Q63" s="141">
        <v>15818</v>
      </c>
      <c r="R63" s="141">
        <v>15818</v>
      </c>
      <c r="S63" s="141">
        <v>15818</v>
      </c>
      <c r="T63" s="141">
        <v>15818</v>
      </c>
      <c r="U63" s="141">
        <v>15235</v>
      </c>
      <c r="V63" s="141">
        <v>13994</v>
      </c>
      <c r="W63" s="141">
        <v>14364</v>
      </c>
      <c r="X63" s="141">
        <v>14364</v>
      </c>
      <c r="Y63" s="141">
        <v>13635</v>
      </c>
      <c r="Z63" s="141">
        <v>13635</v>
      </c>
      <c r="AA63" s="141">
        <v>13635</v>
      </c>
      <c r="AB63" s="141">
        <v>13635</v>
      </c>
      <c r="AC63" s="142">
        <f t="shared" si="16"/>
        <v>175769</v>
      </c>
      <c r="AD63" s="141">
        <f t="shared" si="17"/>
        <v>36488.330000000016</v>
      </c>
      <c r="AE63" s="192">
        <f t="shared" si="18"/>
        <v>0.20759252200331127</v>
      </c>
      <c r="AF63" s="133">
        <v>97667</v>
      </c>
      <c r="AG63" s="133">
        <f t="shared" si="2"/>
        <v>-41613.669999999984</v>
      </c>
    </row>
    <row r="64" spans="1:33">
      <c r="A64" s="105" t="s">
        <v>880</v>
      </c>
      <c r="B64" s="105" t="s">
        <v>948</v>
      </c>
      <c r="C64" s="105" t="s">
        <v>272</v>
      </c>
      <c r="D64" s="293">
        <v>7629</v>
      </c>
      <c r="E64" s="293">
        <v>7452</v>
      </c>
      <c r="F64" s="293">
        <v>7702</v>
      </c>
      <c r="G64" s="293">
        <v>6555</v>
      </c>
      <c r="H64" s="293">
        <v>6518</v>
      </c>
      <c r="I64" s="293">
        <v>7233</v>
      </c>
      <c r="J64" s="293">
        <v>6788</v>
      </c>
      <c r="K64" s="293">
        <v>7165</v>
      </c>
      <c r="L64" s="293">
        <v>7249</v>
      </c>
      <c r="M64" s="293">
        <v>6857</v>
      </c>
      <c r="N64" s="293">
        <v>6423</v>
      </c>
      <c r="O64" s="293">
        <v>11817</v>
      </c>
      <c r="P64" s="133">
        <f t="shared" si="15"/>
        <v>89388</v>
      </c>
      <c r="Q64" s="141">
        <v>4431.8500000000004</v>
      </c>
      <c r="R64" s="141">
        <v>4790.95</v>
      </c>
      <c r="S64" s="141">
        <v>10538.93</v>
      </c>
      <c r="T64" s="141">
        <v>7297.76</v>
      </c>
      <c r="U64" s="141">
        <v>4477.01</v>
      </c>
      <c r="V64" s="141">
        <v>4152.97</v>
      </c>
      <c r="W64" s="141">
        <v>5074.45</v>
      </c>
      <c r="X64" s="141">
        <v>4078.5</v>
      </c>
      <c r="Y64" s="141">
        <v>7127</v>
      </c>
      <c r="Z64" s="141">
        <v>7127</v>
      </c>
      <c r="AA64" s="141">
        <v>7127</v>
      </c>
      <c r="AB64" s="141">
        <v>7127</v>
      </c>
      <c r="AC64" s="142">
        <f t="shared" si="16"/>
        <v>73350.42</v>
      </c>
      <c r="AD64" s="141">
        <f t="shared" si="17"/>
        <v>-16037.580000000002</v>
      </c>
      <c r="AE64" s="192">
        <f t="shared" si="18"/>
        <v>-0.21864332883165499</v>
      </c>
      <c r="AF64" s="133">
        <v>57370.159999999989</v>
      </c>
      <c r="AG64" s="133">
        <f t="shared" si="2"/>
        <v>-32017.840000000011</v>
      </c>
    </row>
    <row r="65" spans="1:33">
      <c r="A65" s="105" t="s">
        <v>273</v>
      </c>
      <c r="C65" s="105" t="s">
        <v>274</v>
      </c>
      <c r="D65" s="293">
        <v>0</v>
      </c>
      <c r="E65" s="293">
        <v>0</v>
      </c>
      <c r="F65" s="293">
        <v>0</v>
      </c>
      <c r="G65" s="293">
        <v>0</v>
      </c>
      <c r="H65" s="293">
        <v>0</v>
      </c>
      <c r="I65" s="293">
        <v>0</v>
      </c>
      <c r="J65" s="293">
        <v>0</v>
      </c>
      <c r="K65" s="293">
        <v>0</v>
      </c>
      <c r="L65" s="293">
        <v>0</v>
      </c>
      <c r="M65" s="293">
        <v>0</v>
      </c>
      <c r="N65" s="293">
        <v>0</v>
      </c>
      <c r="O65" s="293">
        <v>0</v>
      </c>
      <c r="P65" s="133">
        <f t="shared" si="15"/>
        <v>0</v>
      </c>
      <c r="Q65" s="141"/>
      <c r="R65" s="141"/>
      <c r="S65" s="141"/>
      <c r="T65" s="141"/>
      <c r="U65" s="141"/>
      <c r="V65" s="141"/>
      <c r="W65" s="141">
        <v>0</v>
      </c>
      <c r="X65" s="141">
        <v>0</v>
      </c>
      <c r="Y65" s="141">
        <v>0</v>
      </c>
      <c r="Z65" s="141">
        <v>0</v>
      </c>
      <c r="AA65" s="141">
        <v>0</v>
      </c>
      <c r="AB65" s="141">
        <v>0</v>
      </c>
      <c r="AC65" s="142">
        <f t="shared" si="16"/>
        <v>0</v>
      </c>
      <c r="AD65" s="141">
        <f t="shared" si="17"/>
        <v>0</v>
      </c>
      <c r="AF65" s="133">
        <v>0</v>
      </c>
      <c r="AG65" s="133">
        <f t="shared" si="2"/>
        <v>0</v>
      </c>
    </row>
    <row r="66" spans="1:33" s="109" customFormat="1">
      <c r="C66" s="109" t="s">
        <v>275</v>
      </c>
      <c r="D66" s="129">
        <f t="shared" ref="D66:AC66" si="19">SUM(D58:D65)</f>
        <v>68444.600000000006</v>
      </c>
      <c r="E66" s="129">
        <f t="shared" si="19"/>
        <v>68267.600000000006</v>
      </c>
      <c r="F66" s="129">
        <f t="shared" si="19"/>
        <v>70463.399999999994</v>
      </c>
      <c r="G66" s="129">
        <f t="shared" si="19"/>
        <v>70863</v>
      </c>
      <c r="H66" s="129">
        <f t="shared" si="19"/>
        <v>70826</v>
      </c>
      <c r="I66" s="129">
        <f t="shared" si="19"/>
        <v>71541</v>
      </c>
      <c r="J66" s="129">
        <f t="shared" si="19"/>
        <v>71414.930000000008</v>
      </c>
      <c r="K66" s="129">
        <f t="shared" si="19"/>
        <v>71851.59</v>
      </c>
      <c r="L66" s="129">
        <f t="shared" si="19"/>
        <v>71935.59</v>
      </c>
      <c r="M66" s="129">
        <f t="shared" si="19"/>
        <v>71543.59</v>
      </c>
      <c r="N66" s="129">
        <f t="shared" si="19"/>
        <v>70980.259999999995</v>
      </c>
      <c r="O66" s="129">
        <f t="shared" si="19"/>
        <v>76503.59</v>
      </c>
      <c r="P66" s="133">
        <f t="shared" si="19"/>
        <v>854635.15000000014</v>
      </c>
      <c r="Q66" s="142">
        <f t="shared" si="19"/>
        <v>98098.72</v>
      </c>
      <c r="R66" s="142">
        <f t="shared" si="19"/>
        <v>98457.819999999992</v>
      </c>
      <c r="S66" s="142">
        <f t="shared" si="19"/>
        <v>104205.79999999999</v>
      </c>
      <c r="T66" s="142">
        <f t="shared" si="19"/>
        <v>100964.62999999999</v>
      </c>
      <c r="U66" s="142">
        <f t="shared" si="19"/>
        <v>94632.22</v>
      </c>
      <c r="V66" s="142">
        <f t="shared" si="19"/>
        <v>86831.41</v>
      </c>
      <c r="W66" s="142">
        <f t="shared" si="19"/>
        <v>83771.09</v>
      </c>
      <c r="X66" s="142">
        <f t="shared" si="19"/>
        <v>82775.14</v>
      </c>
      <c r="Y66" s="142">
        <f t="shared" si="19"/>
        <v>88223</v>
      </c>
      <c r="Z66" s="142">
        <f t="shared" si="19"/>
        <v>88223</v>
      </c>
      <c r="AA66" s="142">
        <f t="shared" si="19"/>
        <v>88223</v>
      </c>
      <c r="AB66" s="142">
        <f t="shared" si="19"/>
        <v>88223</v>
      </c>
      <c r="AC66" s="142">
        <f t="shared" si="19"/>
        <v>1102628.8299999998</v>
      </c>
      <c r="AD66" s="142">
        <f t="shared" si="17"/>
        <v>247993.6799999997</v>
      </c>
      <c r="AE66" s="132">
        <f t="shared" si="18"/>
        <v>0.22491129675976251</v>
      </c>
      <c r="AF66" s="133">
        <v>662824.74000000011</v>
      </c>
      <c r="AG66" s="133">
        <f t="shared" si="2"/>
        <v>-191810.41000000003</v>
      </c>
    </row>
    <row r="67" spans="1:33">
      <c r="C67" s="105" t="s">
        <v>154</v>
      </c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33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2"/>
      <c r="AD67" s="141"/>
      <c r="AF67" s="133"/>
      <c r="AG67" s="133">
        <f t="shared" si="2"/>
        <v>0</v>
      </c>
    </row>
    <row r="68" spans="1:33">
      <c r="A68" s="105" t="s">
        <v>131</v>
      </c>
      <c r="B68" s="105" t="s">
        <v>948</v>
      </c>
      <c r="C68" s="105" t="s">
        <v>276</v>
      </c>
      <c r="D68" s="293">
        <v>0</v>
      </c>
      <c r="E68" s="293">
        <v>0</v>
      </c>
      <c r="F68" s="293">
        <v>0</v>
      </c>
      <c r="G68" s="293">
        <v>0</v>
      </c>
      <c r="H68" s="293">
        <v>0</v>
      </c>
      <c r="I68" s="293">
        <v>0</v>
      </c>
      <c r="J68" s="293">
        <v>0</v>
      </c>
      <c r="K68" s="293">
        <v>0</v>
      </c>
      <c r="L68" s="293">
        <v>0</v>
      </c>
      <c r="M68" s="293">
        <v>0</v>
      </c>
      <c r="N68" s="293">
        <v>0</v>
      </c>
      <c r="O68" s="293">
        <v>0</v>
      </c>
      <c r="P68" s="133">
        <f t="shared" ref="P68:P76" si="20">SUM(D68:O68)</f>
        <v>0</v>
      </c>
      <c r="Q68" s="141"/>
      <c r="R68" s="141"/>
      <c r="S68" s="141"/>
      <c r="T68" s="141"/>
      <c r="U68" s="141"/>
      <c r="V68" s="141"/>
      <c r="W68" s="141">
        <v>0</v>
      </c>
      <c r="X68" s="141">
        <v>0</v>
      </c>
      <c r="Y68" s="141">
        <v>0</v>
      </c>
      <c r="Z68" s="141">
        <v>0</v>
      </c>
      <c r="AA68" s="141">
        <v>0</v>
      </c>
      <c r="AB68" s="141">
        <v>0</v>
      </c>
      <c r="AC68" s="142">
        <f t="shared" ref="AC68:AC76" si="21">SUM(Q68:AB68)</f>
        <v>0</v>
      </c>
      <c r="AD68" s="141">
        <f t="shared" ref="AD68:AD80" si="22">AC68-P68</f>
        <v>0</v>
      </c>
      <c r="AF68" s="133">
        <v>0</v>
      </c>
      <c r="AG68" s="133">
        <f t="shared" si="2"/>
        <v>0</v>
      </c>
    </row>
    <row r="69" spans="1:33">
      <c r="A69" s="105" t="s">
        <v>132</v>
      </c>
      <c r="B69" s="105" t="s">
        <v>948</v>
      </c>
      <c r="C69" s="105" t="s">
        <v>277</v>
      </c>
      <c r="D69" s="293">
        <v>0</v>
      </c>
      <c r="E69" s="293">
        <v>0</v>
      </c>
      <c r="F69" s="293">
        <v>0</v>
      </c>
      <c r="G69" s="293">
        <v>0</v>
      </c>
      <c r="H69" s="293">
        <v>0</v>
      </c>
      <c r="I69" s="293">
        <v>0</v>
      </c>
      <c r="J69" s="293">
        <v>0</v>
      </c>
      <c r="K69" s="293">
        <v>0</v>
      </c>
      <c r="L69" s="293">
        <v>0</v>
      </c>
      <c r="M69" s="293">
        <v>0</v>
      </c>
      <c r="N69" s="293">
        <v>0</v>
      </c>
      <c r="O69" s="293">
        <v>0</v>
      </c>
      <c r="P69" s="133">
        <f t="shared" si="20"/>
        <v>0</v>
      </c>
      <c r="Q69" s="141"/>
      <c r="R69" s="141"/>
      <c r="S69" s="141"/>
      <c r="T69" s="141"/>
      <c r="U69" s="141"/>
      <c r="V69" s="141"/>
      <c r="W69" s="141">
        <v>0</v>
      </c>
      <c r="X69" s="141">
        <v>0</v>
      </c>
      <c r="Y69" s="141">
        <v>0</v>
      </c>
      <c r="Z69" s="141">
        <v>0</v>
      </c>
      <c r="AA69" s="141">
        <v>0</v>
      </c>
      <c r="AB69" s="141">
        <v>0</v>
      </c>
      <c r="AC69" s="142">
        <f t="shared" si="21"/>
        <v>0</v>
      </c>
      <c r="AD69" s="141">
        <f t="shared" si="22"/>
        <v>0</v>
      </c>
      <c r="AF69" s="133">
        <v>0</v>
      </c>
      <c r="AG69" s="133">
        <f t="shared" si="2"/>
        <v>0</v>
      </c>
    </row>
    <row r="70" spans="1:33">
      <c r="A70" s="105" t="s">
        <v>133</v>
      </c>
      <c r="B70" s="105" t="s">
        <v>948</v>
      </c>
      <c r="C70" s="105" t="s">
        <v>278</v>
      </c>
      <c r="D70" s="293">
        <v>0</v>
      </c>
      <c r="E70" s="293">
        <v>0</v>
      </c>
      <c r="F70" s="293">
        <v>0</v>
      </c>
      <c r="G70" s="293">
        <v>0</v>
      </c>
      <c r="H70" s="293">
        <v>0</v>
      </c>
      <c r="I70" s="293">
        <v>0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133">
        <f t="shared" si="20"/>
        <v>0</v>
      </c>
      <c r="Q70" s="141"/>
      <c r="R70" s="141"/>
      <c r="S70" s="141"/>
      <c r="T70" s="141"/>
      <c r="U70" s="141"/>
      <c r="V70" s="141"/>
      <c r="W70" s="141">
        <v>0</v>
      </c>
      <c r="X70" s="141">
        <v>0</v>
      </c>
      <c r="Y70" s="141">
        <v>0</v>
      </c>
      <c r="Z70" s="141">
        <v>0</v>
      </c>
      <c r="AA70" s="141">
        <v>0</v>
      </c>
      <c r="AB70" s="141">
        <v>0</v>
      </c>
      <c r="AC70" s="142">
        <f t="shared" si="21"/>
        <v>0</v>
      </c>
      <c r="AD70" s="141">
        <f t="shared" si="22"/>
        <v>0</v>
      </c>
      <c r="AF70" s="133">
        <v>0</v>
      </c>
      <c r="AG70" s="133">
        <f t="shared" si="2"/>
        <v>0</v>
      </c>
    </row>
    <row r="71" spans="1:33">
      <c r="A71" s="105" t="s">
        <v>134</v>
      </c>
      <c r="B71" s="105" t="s">
        <v>948</v>
      </c>
      <c r="C71" s="105" t="s">
        <v>279</v>
      </c>
      <c r="D71" s="293">
        <v>2033.3200000000002</v>
      </c>
      <c r="E71" s="293">
        <v>2033.3200000000002</v>
      </c>
      <c r="F71" s="293">
        <v>2166.65</v>
      </c>
      <c r="G71" s="293">
        <v>2166.65</v>
      </c>
      <c r="H71" s="293">
        <v>2166.65</v>
      </c>
      <c r="I71" s="293">
        <v>2166.65</v>
      </c>
      <c r="J71" s="293">
        <v>2166.65</v>
      </c>
      <c r="K71" s="293">
        <v>2166.65</v>
      </c>
      <c r="L71" s="293">
        <v>2166.65</v>
      </c>
      <c r="M71" s="293">
        <v>2166.65</v>
      </c>
      <c r="N71" s="293">
        <v>2166.65</v>
      </c>
      <c r="O71" s="293">
        <v>2166.65</v>
      </c>
      <c r="P71" s="133">
        <f t="shared" si="20"/>
        <v>25733.140000000007</v>
      </c>
      <c r="Q71" s="141">
        <v>2719</v>
      </c>
      <c r="R71" s="141">
        <v>2491</v>
      </c>
      <c r="S71" s="141">
        <v>2735</v>
      </c>
      <c r="T71" s="141">
        <v>2650</v>
      </c>
      <c r="U71" s="141">
        <v>2735</v>
      </c>
      <c r="V71" s="141">
        <v>2650</v>
      </c>
      <c r="W71" s="141">
        <v>2735</v>
      </c>
      <c r="X71" s="141">
        <v>2735</v>
      </c>
      <c r="Y71" s="141">
        <v>2900</v>
      </c>
      <c r="Z71" s="141">
        <v>2900</v>
      </c>
      <c r="AA71" s="141">
        <v>2900</v>
      </c>
      <c r="AB71" s="141">
        <v>2900</v>
      </c>
      <c r="AC71" s="142">
        <f t="shared" si="21"/>
        <v>33050</v>
      </c>
      <c r="AD71" s="141">
        <f t="shared" si="22"/>
        <v>7316.8599999999933</v>
      </c>
      <c r="AE71" s="192">
        <f t="shared" ref="AE71:AE78" si="23">AD71/AC71</f>
        <v>0.2213875945537063</v>
      </c>
      <c r="AF71" s="133">
        <v>26843.22</v>
      </c>
      <c r="AG71" s="133">
        <f t="shared" si="2"/>
        <v>1110.0799999999945</v>
      </c>
    </row>
    <row r="72" spans="1:33">
      <c r="A72" s="105" t="s">
        <v>135</v>
      </c>
      <c r="B72" s="105" t="s">
        <v>948</v>
      </c>
      <c r="C72" s="105" t="s">
        <v>280</v>
      </c>
      <c r="D72" s="293">
        <v>8076.95</v>
      </c>
      <c r="E72" s="293">
        <v>8076.95</v>
      </c>
      <c r="F72" s="293">
        <v>8076.95</v>
      </c>
      <c r="G72" s="293">
        <v>8076.95</v>
      </c>
      <c r="H72" s="293">
        <v>8076.95</v>
      </c>
      <c r="I72" s="293">
        <v>8076.95</v>
      </c>
      <c r="J72" s="293">
        <v>8076.95</v>
      </c>
      <c r="K72" s="293">
        <v>8076.95</v>
      </c>
      <c r="L72" s="293">
        <v>8076.95</v>
      </c>
      <c r="M72" s="293">
        <v>8076.95</v>
      </c>
      <c r="N72" s="293">
        <v>8076.95</v>
      </c>
      <c r="O72" s="293">
        <v>8076.95</v>
      </c>
      <c r="P72" s="133">
        <f t="shared" si="20"/>
        <v>96923.39999999998</v>
      </c>
      <c r="Q72" s="141">
        <v>414.72</v>
      </c>
      <c r="R72" s="141">
        <v>418.22</v>
      </c>
      <c r="S72" s="141">
        <v>414.72</v>
      </c>
      <c r="T72" s="141">
        <v>414.72</v>
      </c>
      <c r="U72" s="141">
        <v>432.83</v>
      </c>
      <c r="V72" s="141">
        <v>395.21</v>
      </c>
      <c r="W72" s="141">
        <v>379.61</v>
      </c>
      <c r="X72" s="141">
        <v>391.77</v>
      </c>
      <c r="Y72" s="141">
        <v>395</v>
      </c>
      <c r="Z72" s="141">
        <v>395</v>
      </c>
      <c r="AA72" s="141">
        <v>395</v>
      </c>
      <c r="AB72" s="141">
        <v>395</v>
      </c>
      <c r="AC72" s="142">
        <f t="shared" si="21"/>
        <v>4841.8</v>
      </c>
      <c r="AD72" s="141">
        <f t="shared" si="22"/>
        <v>-92081.599999999977</v>
      </c>
      <c r="AE72" s="192">
        <f t="shared" si="23"/>
        <v>-19.01805113800652</v>
      </c>
      <c r="AF72" s="133">
        <v>113900.06999999999</v>
      </c>
      <c r="AG72" s="133">
        <f t="shared" si="2"/>
        <v>16976.670000000013</v>
      </c>
    </row>
    <row r="73" spans="1:33">
      <c r="A73" s="105" t="s">
        <v>281</v>
      </c>
      <c r="B73" s="105" t="s">
        <v>948</v>
      </c>
      <c r="C73" s="105" t="s">
        <v>282</v>
      </c>
      <c r="D73" s="212">
        <v>6102</v>
      </c>
      <c r="E73" s="212">
        <v>5610</v>
      </c>
      <c r="F73" s="212">
        <v>5686</v>
      </c>
      <c r="G73" s="212">
        <v>6412</v>
      </c>
      <c r="H73" s="212">
        <v>6631</v>
      </c>
      <c r="I73" s="212">
        <v>6287</v>
      </c>
      <c r="J73" s="212">
        <v>6318</v>
      </c>
      <c r="K73" s="212">
        <v>6451</v>
      </c>
      <c r="L73" s="212">
        <v>6452</v>
      </c>
      <c r="M73" s="212">
        <v>6481</v>
      </c>
      <c r="N73" s="212">
        <v>6016</v>
      </c>
      <c r="O73" s="212">
        <v>6002</v>
      </c>
      <c r="P73" s="133">
        <f t="shared" si="20"/>
        <v>74448</v>
      </c>
      <c r="Q73" s="141">
        <v>3025.7</v>
      </c>
      <c r="R73" s="141">
        <v>3849.25</v>
      </c>
      <c r="S73" s="141">
        <v>3377.61</v>
      </c>
      <c r="T73" s="141">
        <v>3450.09</v>
      </c>
      <c r="U73" s="141">
        <v>2799.87</v>
      </c>
      <c r="V73" s="141">
        <v>2946.46</v>
      </c>
      <c r="W73" s="141">
        <v>2825.66</v>
      </c>
      <c r="X73" s="141">
        <v>3896.99</v>
      </c>
      <c r="Y73" s="141">
        <v>4791</v>
      </c>
      <c r="Z73" s="141">
        <v>4556</v>
      </c>
      <c r="AA73" s="141">
        <v>4261</v>
      </c>
      <c r="AB73" s="141">
        <v>4262</v>
      </c>
      <c r="AC73" s="142">
        <f t="shared" si="21"/>
        <v>44041.63</v>
      </c>
      <c r="AD73" s="141">
        <f t="shared" si="22"/>
        <v>-30406.370000000003</v>
      </c>
      <c r="AE73" s="192">
        <f t="shared" si="23"/>
        <v>-0.69040065047547072</v>
      </c>
      <c r="AF73" s="133">
        <v>49554.369999999995</v>
      </c>
      <c r="AG73" s="133">
        <f t="shared" ref="AG73:AG80" si="24">AF73-P73</f>
        <v>-24893.630000000005</v>
      </c>
    </row>
    <row r="74" spans="1:33">
      <c r="A74" s="105" t="s">
        <v>137</v>
      </c>
      <c r="B74" s="105" t="s">
        <v>948</v>
      </c>
      <c r="C74" s="105" t="s">
        <v>283</v>
      </c>
      <c r="D74" s="212">
        <v>27621.9</v>
      </c>
      <c r="E74" s="212">
        <v>23728.9</v>
      </c>
      <c r="F74" s="212">
        <v>23734.84</v>
      </c>
      <c r="G74" s="212">
        <v>24005.84</v>
      </c>
      <c r="H74" s="212">
        <v>25636.9</v>
      </c>
      <c r="I74" s="212">
        <v>24057.41</v>
      </c>
      <c r="J74" s="212">
        <v>23940.41</v>
      </c>
      <c r="K74" s="212">
        <v>23923.41</v>
      </c>
      <c r="L74" s="212">
        <v>24043.41</v>
      </c>
      <c r="M74" s="212">
        <v>27344.98</v>
      </c>
      <c r="N74" s="212">
        <v>23947.84</v>
      </c>
      <c r="O74" s="212">
        <v>23930.84</v>
      </c>
      <c r="P74" s="133">
        <f t="shared" si="20"/>
        <v>295916.68000000005</v>
      </c>
      <c r="Q74" s="141">
        <v>19461.89</v>
      </c>
      <c r="R74" s="141">
        <v>30614.55</v>
      </c>
      <c r="S74" s="141">
        <v>26613.29</v>
      </c>
      <c r="T74" s="141">
        <v>26468.23</v>
      </c>
      <c r="U74" s="141">
        <v>20338.29</v>
      </c>
      <c r="V74" s="141">
        <v>20530.02</v>
      </c>
      <c r="W74" s="141">
        <v>19301.09</v>
      </c>
      <c r="X74" s="141">
        <v>21350.2</v>
      </c>
      <c r="Y74" s="141">
        <v>24973</v>
      </c>
      <c r="Z74" s="141">
        <v>27561</v>
      </c>
      <c r="AA74" s="141">
        <v>25287</v>
      </c>
      <c r="AB74" s="141">
        <v>25287</v>
      </c>
      <c r="AC74" s="142">
        <f t="shared" si="21"/>
        <v>287785.56</v>
      </c>
      <c r="AD74" s="141">
        <f t="shared" si="22"/>
        <v>-8131.1200000000536</v>
      </c>
      <c r="AE74" s="192">
        <f t="shared" si="23"/>
        <v>-2.8254093082363319E-2</v>
      </c>
      <c r="AF74" s="133">
        <v>359537.94000000006</v>
      </c>
      <c r="AG74" s="133">
        <f t="shared" si="24"/>
        <v>63621.260000000009</v>
      </c>
    </row>
    <row r="75" spans="1:33">
      <c r="A75" s="105" t="s">
        <v>138</v>
      </c>
      <c r="B75" s="105" t="s">
        <v>948</v>
      </c>
      <c r="C75" s="105" t="s">
        <v>881</v>
      </c>
      <c r="D75" s="124">
        <v>0</v>
      </c>
      <c r="E75" s="124">
        <v>0</v>
      </c>
      <c r="F75" s="124">
        <v>0</v>
      </c>
      <c r="G75" s="124">
        <v>0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0</v>
      </c>
      <c r="N75" s="124">
        <v>0</v>
      </c>
      <c r="O75" s="124">
        <v>0</v>
      </c>
      <c r="P75" s="133">
        <f t="shared" si="20"/>
        <v>0</v>
      </c>
      <c r="Q75" s="141"/>
      <c r="R75" s="141"/>
      <c r="S75" s="141"/>
      <c r="T75" s="141"/>
      <c r="U75" s="141"/>
      <c r="V75" s="141"/>
      <c r="W75" s="141">
        <v>0</v>
      </c>
      <c r="X75" s="141">
        <v>0</v>
      </c>
      <c r="Y75" s="141">
        <v>0</v>
      </c>
      <c r="Z75" s="141">
        <v>0</v>
      </c>
      <c r="AA75" s="141">
        <v>0</v>
      </c>
      <c r="AB75" s="141">
        <v>0</v>
      </c>
      <c r="AC75" s="142">
        <f t="shared" si="21"/>
        <v>0</v>
      </c>
      <c r="AD75" s="141">
        <f t="shared" si="22"/>
        <v>0</v>
      </c>
      <c r="AF75" s="133">
        <v>0</v>
      </c>
      <c r="AG75" s="133">
        <f t="shared" si="24"/>
        <v>0</v>
      </c>
    </row>
    <row r="76" spans="1:33">
      <c r="A76" s="105" t="s">
        <v>140</v>
      </c>
      <c r="B76" s="105" t="s">
        <v>948</v>
      </c>
      <c r="C76" s="105" t="s">
        <v>882</v>
      </c>
      <c r="D76" s="124">
        <v>0</v>
      </c>
      <c r="E76" s="124">
        <v>0</v>
      </c>
      <c r="F76" s="124">
        <v>0</v>
      </c>
      <c r="G76" s="124">
        <v>0</v>
      </c>
      <c r="H76" s="124">
        <v>0</v>
      </c>
      <c r="I76" s="124">
        <v>0</v>
      </c>
      <c r="J76" s="124">
        <v>0</v>
      </c>
      <c r="K76" s="124">
        <v>0</v>
      </c>
      <c r="L76" s="124">
        <v>0</v>
      </c>
      <c r="M76" s="124">
        <v>0</v>
      </c>
      <c r="N76" s="124">
        <v>0</v>
      </c>
      <c r="O76" s="124">
        <v>0</v>
      </c>
      <c r="P76" s="133">
        <f t="shared" si="20"/>
        <v>0</v>
      </c>
      <c r="Q76" s="141"/>
      <c r="R76" s="141"/>
      <c r="S76" s="141"/>
      <c r="T76" s="141"/>
      <c r="U76" s="141"/>
      <c r="V76" s="141"/>
      <c r="W76" s="141">
        <v>0</v>
      </c>
      <c r="X76" s="141">
        <v>0</v>
      </c>
      <c r="Y76" s="141">
        <v>0</v>
      </c>
      <c r="Z76" s="141">
        <v>0</v>
      </c>
      <c r="AA76" s="141">
        <v>0</v>
      </c>
      <c r="AB76" s="141">
        <v>0</v>
      </c>
      <c r="AC76" s="142">
        <f t="shared" si="21"/>
        <v>0</v>
      </c>
      <c r="AD76" s="141">
        <f t="shared" si="22"/>
        <v>0</v>
      </c>
      <c r="AF76" s="133">
        <v>0</v>
      </c>
      <c r="AG76" s="133">
        <f t="shared" si="24"/>
        <v>0</v>
      </c>
    </row>
    <row r="77" spans="1:33" s="109" customFormat="1">
      <c r="C77" s="109" t="s">
        <v>286</v>
      </c>
      <c r="D77" s="129">
        <f t="shared" ref="D77:AC77" si="25">SUM(D68:D74)</f>
        <v>43834.17</v>
      </c>
      <c r="E77" s="129">
        <f t="shared" si="25"/>
        <v>39449.17</v>
      </c>
      <c r="F77" s="129">
        <f t="shared" si="25"/>
        <v>39664.44</v>
      </c>
      <c r="G77" s="129">
        <f t="shared" si="25"/>
        <v>40661.440000000002</v>
      </c>
      <c r="H77" s="129">
        <f t="shared" si="25"/>
        <v>42511.5</v>
      </c>
      <c r="I77" s="129">
        <f t="shared" si="25"/>
        <v>40588.009999999995</v>
      </c>
      <c r="J77" s="129">
        <f t="shared" si="25"/>
        <v>40502.009999999995</v>
      </c>
      <c r="K77" s="129">
        <f t="shared" si="25"/>
        <v>40618.009999999995</v>
      </c>
      <c r="L77" s="129">
        <f t="shared" si="25"/>
        <v>40739.009999999995</v>
      </c>
      <c r="M77" s="129">
        <f t="shared" si="25"/>
        <v>44069.58</v>
      </c>
      <c r="N77" s="129">
        <f t="shared" si="25"/>
        <v>40207.440000000002</v>
      </c>
      <c r="O77" s="129">
        <f t="shared" si="25"/>
        <v>40176.44</v>
      </c>
      <c r="P77" s="133">
        <f t="shared" si="25"/>
        <v>493021.22000000003</v>
      </c>
      <c r="Q77" s="142">
        <f t="shared" si="25"/>
        <v>25621.309999999998</v>
      </c>
      <c r="R77" s="142">
        <f t="shared" si="25"/>
        <v>37373.019999999997</v>
      </c>
      <c r="S77" s="142">
        <f t="shared" si="25"/>
        <v>33140.620000000003</v>
      </c>
      <c r="T77" s="142">
        <f t="shared" si="25"/>
        <v>32983.040000000001</v>
      </c>
      <c r="U77" s="142">
        <f t="shared" si="25"/>
        <v>26305.99</v>
      </c>
      <c r="V77" s="142">
        <f t="shared" si="25"/>
        <v>26521.690000000002</v>
      </c>
      <c r="W77" s="142">
        <f t="shared" si="25"/>
        <v>25241.360000000001</v>
      </c>
      <c r="X77" s="142">
        <f t="shared" si="25"/>
        <v>28373.96</v>
      </c>
      <c r="Y77" s="142">
        <f t="shared" si="25"/>
        <v>33059</v>
      </c>
      <c r="Z77" s="142">
        <f t="shared" si="25"/>
        <v>35412</v>
      </c>
      <c r="AA77" s="142">
        <f t="shared" si="25"/>
        <v>32843</v>
      </c>
      <c r="AB77" s="142">
        <f t="shared" si="25"/>
        <v>32844</v>
      </c>
      <c r="AC77" s="142">
        <f t="shared" si="25"/>
        <v>369718.99</v>
      </c>
      <c r="AD77" s="142">
        <f t="shared" si="22"/>
        <v>-123302.23000000004</v>
      </c>
      <c r="AE77" s="132">
        <f t="shared" si="23"/>
        <v>-0.33350256095852704</v>
      </c>
      <c r="AF77" s="133">
        <v>549835.60000000009</v>
      </c>
      <c r="AG77" s="133">
        <f t="shared" si="24"/>
        <v>56814.380000000063</v>
      </c>
    </row>
    <row r="78" spans="1:33" s="109" customFormat="1">
      <c r="C78" s="109" t="s">
        <v>287</v>
      </c>
      <c r="D78" s="129">
        <f t="shared" ref="D78:AC78" si="26">D77+D66+D56+D49</f>
        <v>417465.57</v>
      </c>
      <c r="E78" s="129">
        <f t="shared" si="26"/>
        <v>414159.07</v>
      </c>
      <c r="F78" s="129">
        <f t="shared" si="26"/>
        <v>388859.05000000005</v>
      </c>
      <c r="G78" s="129">
        <f t="shared" si="26"/>
        <v>393983.61</v>
      </c>
      <c r="H78" s="129">
        <f t="shared" si="26"/>
        <v>393478.92000000004</v>
      </c>
      <c r="I78" s="129">
        <f t="shared" si="26"/>
        <v>382795.42000000004</v>
      </c>
      <c r="J78" s="129">
        <f t="shared" si="26"/>
        <v>405315.35</v>
      </c>
      <c r="K78" s="129">
        <f t="shared" si="26"/>
        <v>414086.85</v>
      </c>
      <c r="L78" s="129">
        <f t="shared" si="26"/>
        <v>386700.85</v>
      </c>
      <c r="M78" s="129">
        <f t="shared" si="26"/>
        <v>399453.37</v>
      </c>
      <c r="N78" s="129">
        <f t="shared" si="26"/>
        <v>387756.95</v>
      </c>
      <c r="O78" s="129">
        <f t="shared" si="26"/>
        <v>402444.28</v>
      </c>
      <c r="P78" s="133">
        <f t="shared" si="26"/>
        <v>4786499.29</v>
      </c>
      <c r="Q78" s="142">
        <f t="shared" si="26"/>
        <v>529848.13</v>
      </c>
      <c r="R78" s="142">
        <f t="shared" si="26"/>
        <v>625732.92999999993</v>
      </c>
      <c r="S78" s="142">
        <f t="shared" si="26"/>
        <v>533403.87</v>
      </c>
      <c r="T78" s="142">
        <f t="shared" si="26"/>
        <v>458198.68</v>
      </c>
      <c r="U78" s="142">
        <f t="shared" si="26"/>
        <v>444632.24</v>
      </c>
      <c r="V78" s="142">
        <f t="shared" si="26"/>
        <v>405501.47</v>
      </c>
      <c r="W78" s="142">
        <f t="shared" si="26"/>
        <v>418995.14999999997</v>
      </c>
      <c r="X78" s="142">
        <f t="shared" si="26"/>
        <v>363359.74</v>
      </c>
      <c r="Y78" s="142">
        <f t="shared" si="26"/>
        <v>472094.17</v>
      </c>
      <c r="Z78" s="142">
        <f t="shared" si="26"/>
        <v>459541.17</v>
      </c>
      <c r="AA78" s="142">
        <f t="shared" si="26"/>
        <v>443529.17</v>
      </c>
      <c r="AB78" s="142">
        <f t="shared" si="26"/>
        <v>663378.16999999993</v>
      </c>
      <c r="AC78" s="142">
        <f t="shared" si="26"/>
        <v>5818214.8899999997</v>
      </c>
      <c r="AD78" s="142">
        <f t="shared" si="22"/>
        <v>1031715.5999999996</v>
      </c>
      <c r="AE78" s="132">
        <f t="shared" si="23"/>
        <v>0.17732511079528032</v>
      </c>
      <c r="AF78" s="133">
        <v>3753671.6100000003</v>
      </c>
      <c r="AG78" s="133">
        <f t="shared" si="24"/>
        <v>-1032827.6799999997</v>
      </c>
    </row>
    <row r="79" spans="1:33">
      <c r="C79" s="105" t="s">
        <v>154</v>
      </c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2"/>
      <c r="AD79" s="141"/>
      <c r="AF79" s="133"/>
      <c r="AG79" s="133">
        <f t="shared" si="24"/>
        <v>0</v>
      </c>
    </row>
    <row r="80" spans="1:33" s="109" customFormat="1">
      <c r="A80" s="109" t="s">
        <v>141</v>
      </c>
      <c r="B80" s="109" t="s">
        <v>948</v>
      </c>
      <c r="C80" s="109" t="s">
        <v>288</v>
      </c>
      <c r="D80" s="215">
        <v>19</v>
      </c>
      <c r="E80" s="215">
        <v>19</v>
      </c>
      <c r="F80" s="215">
        <v>19</v>
      </c>
      <c r="G80" s="215">
        <v>19</v>
      </c>
      <c r="H80" s="215">
        <v>19</v>
      </c>
      <c r="I80" s="215">
        <v>19</v>
      </c>
      <c r="J80" s="215">
        <v>19</v>
      </c>
      <c r="K80" s="215">
        <v>19</v>
      </c>
      <c r="L80" s="215">
        <v>19</v>
      </c>
      <c r="M80" s="215">
        <v>19</v>
      </c>
      <c r="N80" s="215">
        <v>19</v>
      </c>
      <c r="O80" s="215">
        <v>19</v>
      </c>
      <c r="P80" s="145">
        <f>SUM(D80:O80)/12</f>
        <v>19</v>
      </c>
      <c r="Q80" s="142">
        <v>22</v>
      </c>
      <c r="R80" s="142">
        <v>22</v>
      </c>
      <c r="S80" s="142">
        <v>22</v>
      </c>
      <c r="T80" s="142">
        <v>22</v>
      </c>
      <c r="U80" s="142">
        <v>22</v>
      </c>
      <c r="V80" s="142">
        <v>20</v>
      </c>
      <c r="W80" s="142">
        <v>19</v>
      </c>
      <c r="X80" s="142">
        <v>20</v>
      </c>
      <c r="Y80" s="142">
        <v>26</v>
      </c>
      <c r="Z80" s="142">
        <v>26</v>
      </c>
      <c r="AA80" s="142">
        <v>26</v>
      </c>
      <c r="AB80" s="142">
        <v>26</v>
      </c>
      <c r="AC80" s="142">
        <f>SUM(Q80:AB80)/12</f>
        <v>22.75</v>
      </c>
      <c r="AD80" s="142">
        <f t="shared" si="22"/>
        <v>3.75</v>
      </c>
      <c r="AE80" s="132"/>
      <c r="AF80" s="133">
        <v>19.666666666666668</v>
      </c>
      <c r="AG80" s="133">
        <f t="shared" si="24"/>
        <v>0.66666666666666785</v>
      </c>
    </row>
    <row r="82" spans="3:29">
      <c r="P82" s="145">
        <f>P78/P80</f>
        <v>251921.0152631579</v>
      </c>
      <c r="AC82" s="145">
        <f>AC78/AC80</f>
        <v>255745.70945054945</v>
      </c>
    </row>
    <row r="84" spans="3:29">
      <c r="C84" s="151" t="s">
        <v>292</v>
      </c>
      <c r="D84" s="141">
        <v>0</v>
      </c>
      <c r="E84" s="141">
        <v>0</v>
      </c>
      <c r="F84" s="141">
        <v>0</v>
      </c>
      <c r="G84" s="141">
        <v>0</v>
      </c>
      <c r="H84" s="141">
        <v>0</v>
      </c>
      <c r="I84" s="141">
        <v>0</v>
      </c>
      <c r="J84" s="141">
        <v>0</v>
      </c>
      <c r="K84" s="141">
        <v>0</v>
      </c>
      <c r="L84" s="141">
        <v>0</v>
      </c>
      <c r="M84" s="141">
        <v>0</v>
      </c>
      <c r="N84" s="141">
        <v>0</v>
      </c>
      <c r="O84" s="141">
        <v>0</v>
      </c>
      <c r="P84" s="133">
        <f t="shared" ref="P84:P86" si="27">SUM(D84:O84)</f>
        <v>0</v>
      </c>
    </row>
    <row r="85" spans="3:29">
      <c r="C85" s="152" t="s">
        <v>366</v>
      </c>
      <c r="D85" s="136">
        <v>0</v>
      </c>
      <c r="E85" s="136">
        <v>0</v>
      </c>
      <c r="F85" s="136">
        <v>0</v>
      </c>
      <c r="G85" s="136">
        <v>0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0</v>
      </c>
      <c r="O85" s="136">
        <v>0</v>
      </c>
      <c r="P85" s="133">
        <f t="shared" si="27"/>
        <v>0</v>
      </c>
    </row>
    <row r="86" spans="3:29">
      <c r="C86" s="151" t="s">
        <v>367</v>
      </c>
      <c r="D86" s="136">
        <v>0</v>
      </c>
      <c r="E86" s="136">
        <v>0</v>
      </c>
      <c r="F86" s="136">
        <v>0</v>
      </c>
      <c r="G86" s="136">
        <v>0</v>
      </c>
      <c r="H86" s="136">
        <v>0</v>
      </c>
      <c r="I86" s="136">
        <v>0</v>
      </c>
      <c r="J86" s="136">
        <v>0</v>
      </c>
      <c r="K86" s="136">
        <v>0</v>
      </c>
      <c r="L86" s="136">
        <v>0</v>
      </c>
      <c r="M86" s="136">
        <v>0</v>
      </c>
      <c r="N86" s="136">
        <v>0</v>
      </c>
      <c r="O86" s="136">
        <v>0</v>
      </c>
      <c r="P86" s="133">
        <f t="shared" si="27"/>
        <v>0</v>
      </c>
    </row>
    <row r="87" spans="3:29">
      <c r="C87" s="109" t="s">
        <v>476</v>
      </c>
      <c r="D87" s="117">
        <f>SUM(D84:D86)</f>
        <v>0</v>
      </c>
      <c r="E87" s="117">
        <f t="shared" ref="E87:P87" si="28">SUM(E84:E86)</f>
        <v>0</v>
      </c>
      <c r="F87" s="117">
        <f t="shared" si="28"/>
        <v>0</v>
      </c>
      <c r="G87" s="117">
        <f t="shared" si="28"/>
        <v>0</v>
      </c>
      <c r="H87" s="117">
        <f t="shared" si="28"/>
        <v>0</v>
      </c>
      <c r="I87" s="117">
        <f t="shared" si="28"/>
        <v>0</v>
      </c>
      <c r="J87" s="117">
        <f t="shared" si="28"/>
        <v>0</v>
      </c>
      <c r="K87" s="117">
        <f t="shared" si="28"/>
        <v>0</v>
      </c>
      <c r="L87" s="117">
        <f t="shared" si="28"/>
        <v>0</v>
      </c>
      <c r="M87" s="117">
        <f t="shared" si="28"/>
        <v>0</v>
      </c>
      <c r="N87" s="117">
        <f t="shared" si="28"/>
        <v>0</v>
      </c>
      <c r="O87" s="117">
        <f t="shared" si="28"/>
        <v>0</v>
      </c>
      <c r="P87" s="117">
        <f t="shared" si="28"/>
        <v>0</v>
      </c>
    </row>
  </sheetData>
  <phoneticPr fontId="7" type="noConversion"/>
  <dataValidations count="238">
    <dataValidation type="textLength" errorStyle="information" allowBlank="1" showInputMessage="1" showErrorMessage="1" error="XLBVal:6=52122.74_x000d__x000a_" sqref="Q52">
      <formula1>0</formula1>
      <formula2>300</formula2>
    </dataValidation>
    <dataValidation type="textLength" errorStyle="information" allowBlank="1" showInputMessage="1" showErrorMessage="1" error="XLBVal:6=2689.68_x000d__x000a_" sqref="V51">
      <formula1>0</formula1>
      <formula2>300</formula2>
    </dataValidation>
    <dataValidation type="textLength" errorStyle="information" allowBlank="1" showInputMessage="1" showErrorMessage="1" error="XLBVal:6=181100_x000d__x000a_" sqref="S47:T47">
      <formula1>0</formula1>
      <formula2>300</formula2>
    </dataValidation>
    <dataValidation type="textLength" errorStyle="information" allowBlank="1" showInputMessage="1" showErrorMessage="1" error="XLBVal:6=180732.18_x000d__x000a_" sqref="R47">
      <formula1>0</formula1>
      <formula2>300</formula2>
    </dataValidation>
    <dataValidation type="textLength" errorStyle="information" allowBlank="1" showInputMessage="1" showErrorMessage="1" error="XLBVal:6=62379.37_x000d__x000a_" sqref="T27">
      <formula1>0</formula1>
      <formula2>300</formula2>
    </dataValidation>
    <dataValidation type="textLength" errorStyle="information" allowBlank="1" showInputMessage="1" showErrorMessage="1" error="XLBVal:6=942.79_x000d__x000a_" sqref="Q27">
      <formula1>0</formula1>
      <formula2>300</formula2>
    </dataValidation>
    <dataValidation type="textLength" errorStyle="information" allowBlank="1" showInputMessage="1" showErrorMessage="1" error="XLBVal:6=1222.06_x000d__x000a_" sqref="V21">
      <formula1>0</formula1>
      <formula2>300</formula2>
    </dataValidation>
    <dataValidation type="textLength" errorStyle="information" allowBlank="1" showInputMessage="1" showErrorMessage="1" error="XLBVal:6=518.87_x000d__x000a_" sqref="S21">
      <formula1>0</formula1>
      <formula2>300</formula2>
    </dataValidation>
    <dataValidation type="textLength" errorStyle="information" allowBlank="1" showInputMessage="1" showErrorMessage="1" error="XLBVal:6=426.42_x000d__x000a_" sqref="Q21">
      <formula1>0</formula1>
      <formula2>300</formula2>
    </dataValidation>
    <dataValidation type="textLength" errorStyle="information" allowBlank="1" showInputMessage="1" showErrorMessage="1" error="XLBVal:6=0_x000d__x000a_" sqref="T17">
      <formula1>0</formula1>
      <formula2>300</formula2>
    </dataValidation>
    <dataValidation type="textLength" errorStyle="information" allowBlank="1" showInputMessage="1" showErrorMessage="1" error="XLBVal:6=809_x000d__x000a_" sqref="Q17:S17">
      <formula1>0</formula1>
      <formula2>300</formula2>
    </dataValidation>
    <dataValidation type="textLength" errorStyle="information" allowBlank="1" showInputMessage="1" showErrorMessage="1" error="XLBVal:6=34143_x000d__x000a_" sqref="D47:D48 D80:O80 D58:O65 D68:O72 D51:O55">
      <formula1>0</formula1>
      <formula2>300</formula2>
    </dataValidation>
    <dataValidation type="textLength" errorStyle="information" allowBlank="1" showInputMessage="1" showErrorMessage="1" error="XLBVal:6=42700_x000d__x000a_" sqref="E47:O48">
      <formula1>0</formula1>
      <formula2>300</formula2>
    </dataValidation>
    <dataValidation type="textLength" errorStyle="information" allowBlank="1" showInputMessage="1" showErrorMessage="1" error="XLBVal:6=13994_x000d__x000a_" sqref="V63">
      <formula1>0</formula1>
      <formula2>300</formula2>
    </dataValidation>
    <dataValidation type="textLength" errorStyle="information" allowBlank="1" showInputMessage="1" showErrorMessage="1" error="XLBVal:6=33188.31_x000d__x000a_" sqref="V52">
      <formula1>0</formula1>
      <formula2>300</formula2>
    </dataValidation>
    <dataValidation type="textLength" errorStyle="information" allowBlank="1" showInputMessage="1" showErrorMessage="1" error="XLBVal:6=34737.23_x000d__x000a_" sqref="U52">
      <formula1>0</formula1>
      <formula2>300</formula2>
    </dataValidation>
    <dataValidation type="textLength" errorStyle="information" allowBlank="1" showInputMessage="1" showErrorMessage="1" error="XLBVal:6=34727.94_x000d__x000a_" sqref="T52">
      <formula1>0</formula1>
      <formula2>300</formula2>
    </dataValidation>
    <dataValidation type="textLength" errorStyle="information" allowBlank="1" showInputMessage="1" showErrorMessage="1" error="XLBVal:6=2896.56_x000d__x000a_" sqref="T51">
      <formula1>0</formula1>
      <formula2>300</formula2>
    </dataValidation>
    <dataValidation type="textLength" errorStyle="information" allowBlank="1" showInputMessage="1" showErrorMessage="1" error="XLBVal:6=2758.65_x000d__x000a_" sqref="Q51">
      <formula1>0</formula1>
      <formula2>300</formula2>
    </dataValidation>
    <dataValidation type="textLength" errorStyle="information" allowBlank="1" showInputMessage="1" showErrorMessage="1" error="XLBVal:6=-26240.14_x000d__x000a_" sqref="U27">
      <formula1>0</formula1>
      <formula2>300</formula2>
    </dataValidation>
    <dataValidation type="textLength" errorStyle="information" allowBlank="1" showInputMessage="1" showErrorMessage="1" error="XLBVal:6=89861.22_x000d__x000a_" sqref="S27">
      <formula1>0</formula1>
      <formula2>300</formula2>
    </dataValidation>
    <dataValidation type="textLength" errorStyle="information" allowBlank="1" showInputMessage="1" showErrorMessage="1" error="XLBVal:6=10654.51_x000d__x000a_" sqref="AB41">
      <formula1>0</formula1>
      <formula2>300</formula2>
    </dataValidation>
    <dataValidation type="textLength" errorStyle="information" allowBlank="1" showInputMessage="1" showErrorMessage="1" error="XLBVal:6=7971_x000d__x000a_" sqref="AB27">
      <formula1>0</formula1>
      <formula2>300</formula2>
    </dataValidation>
    <dataValidation type="textLength" errorStyle="information" allowBlank="1" showInputMessage="1" showErrorMessage="1" error="XLBVal:6=3360.88_x000d__x000a_" sqref="AB26">
      <formula1>0</formula1>
      <formula2>300</formula2>
    </dataValidation>
    <dataValidation type="textLength" errorStyle="information" allowBlank="1" showInputMessage="1" showErrorMessage="1" error="XLBVal:6=4063.35_x000d__x000a_" sqref="AB25">
      <formula1>0</formula1>
      <formula2>300</formula2>
    </dataValidation>
    <dataValidation type="textLength" errorStyle="information" allowBlank="1" showInputMessage="1" showErrorMessage="1" error="XLBVal:6=318.02_x000d__x000a_" sqref="AB23">
      <formula1>0</formula1>
      <formula2>300</formula2>
    </dataValidation>
    <dataValidation type="textLength" errorStyle="information" allowBlank="1" showInputMessage="1" showErrorMessage="1" error="XLBVal:6=1351.36_x000d__x000a_" sqref="AB22">
      <formula1>0</formula1>
      <formula2>300</formula2>
    </dataValidation>
    <dataValidation type="textLength" errorStyle="information" allowBlank="1" showInputMessage="1" showErrorMessage="1" error="XLBVal:6=544_x000d__x000a_" sqref="AB21">
      <formula1>0</formula1>
      <formula2>300</formula2>
    </dataValidation>
    <dataValidation type="textLength" errorStyle="information" allowBlank="1" showInputMessage="1" showErrorMessage="1" error="XLBVal:6=505.14_x000d__x000a_" sqref="AB20">
      <formula1>0</formula1>
      <formula2>300</formula2>
    </dataValidation>
    <dataValidation type="textLength" errorStyle="information" allowBlank="1" showInputMessage="1" showErrorMessage="1" error="XLBVal:6=372291.79_x000d__x000a_" sqref="AB19">
      <formula1>0</formula1>
      <formula2>300</formula2>
    </dataValidation>
    <dataValidation type="textLength" errorStyle="information" allowBlank="1" showInputMessage="1" showErrorMessage="1" error="XLBVal:6=56457.45_x000d__x000a_" sqref="AB15">
      <formula1>0</formula1>
      <formula2>300</formula2>
    </dataValidation>
    <dataValidation type="textLength" errorStyle="information" allowBlank="1" showInputMessage="1" showErrorMessage="1" error="XLBVal:6=3288.78_x000d__x000a_" sqref="AB12">
      <formula1>0</formula1>
      <formula2>300</formula2>
    </dataValidation>
    <dataValidation type="textLength" errorStyle="information" allowBlank="1" showInputMessage="1" showErrorMessage="1" error="XLBVal:6=6093.12_x000d__x000a_" sqref="AA41">
      <formula1>0</formula1>
      <formula2>300</formula2>
    </dataValidation>
    <dataValidation type="textLength" errorStyle="information" allowBlank="1" showInputMessage="1" showErrorMessage="1" error="XLBVal:6=8128.25_x000d__x000a_" sqref="Z41">
      <formula1>0</formula1>
      <formula2>300</formula2>
    </dataValidation>
    <dataValidation type="textLength" errorStyle="information" allowBlank="1" showInputMessage="1" showErrorMessage="1" error="XLBVal:6=1584.78_x000d__x000a_" sqref="AA27">
      <formula1>0</formula1>
      <formula2>300</formula2>
    </dataValidation>
    <dataValidation type="textLength" errorStyle="information" allowBlank="1" showInputMessage="1" showErrorMessage="1" error="XLBVal:6=-1770.06_x000d__x000a_" sqref="Z27">
      <formula1>0</formula1>
      <formula2>300</formula2>
    </dataValidation>
    <dataValidation type="textLength" errorStyle="information" allowBlank="1" showInputMessage="1" showErrorMessage="1" error="XLBVal:6=3208.77_x000d__x000a_" sqref="AA26">
      <formula1>0</formula1>
      <formula2>300</formula2>
    </dataValidation>
    <dataValidation type="textLength" errorStyle="information" allowBlank="1" showInputMessage="1" showErrorMessage="1" error="XLBVal:6=3499.63_x000d__x000a_" sqref="Z26">
      <formula1>0</formula1>
      <formula2>300</formula2>
    </dataValidation>
    <dataValidation type="textLength" errorStyle="information" allowBlank="1" showInputMessage="1" showErrorMessage="1" error="XLBVal:6=5686.27_x000d__x000a_" sqref="AA25">
      <formula1>0</formula1>
      <formula2>300</formula2>
    </dataValidation>
    <dataValidation type="textLength" errorStyle="information" allowBlank="1" showInputMessage="1" showErrorMessage="1" error="XLBVal:6=346.7_x000d__x000a_" sqref="Z25">
      <formula1>0</formula1>
      <formula2>300</formula2>
    </dataValidation>
    <dataValidation type="textLength" errorStyle="information" allowBlank="1" showInputMessage="1" showErrorMessage="1" error="XLBVal:6=386.92_x000d__x000a_" sqref="AA23">
      <formula1>0</formula1>
      <formula2>300</formula2>
    </dataValidation>
    <dataValidation type="textLength" errorStyle="information" allowBlank="1" showInputMessage="1" showErrorMessage="1" error="XLBVal:6=238.63_x000d__x000a_" sqref="Z23">
      <formula1>0</formula1>
      <formula2>300</formula2>
    </dataValidation>
    <dataValidation type="textLength" errorStyle="information" allowBlank="1" showInputMessage="1" showErrorMessage="1" error="XLBVal:6=6337.71_x000d__x000a_" sqref="AA22">
      <formula1>0</formula1>
      <formula2>300</formula2>
    </dataValidation>
    <dataValidation type="textLength" errorStyle="information" allowBlank="1" showInputMessage="1" showErrorMessage="1" error="XLBVal:6=2461.25_x000d__x000a_" sqref="Z22">
      <formula1>0</formula1>
      <formula2>300</formula2>
    </dataValidation>
    <dataValidation type="textLength" errorStyle="information" allowBlank="1" showInputMessage="1" showErrorMessage="1" error="XLBVal:6=616.64_x000d__x000a_" sqref="AA20">
      <formula1>0</formula1>
      <formula2>300</formula2>
    </dataValidation>
    <dataValidation type="textLength" errorStyle="information" allowBlank="1" showInputMessage="1" showErrorMessage="1" error="XLBVal:6=663.98_x000d__x000a_" sqref="Z20">
      <formula1>0</formula1>
      <formula2>300</formula2>
    </dataValidation>
    <dataValidation type="textLength" errorStyle="information" allowBlank="1" showInputMessage="1" showErrorMessage="1" error="XLBVal:6=67655.21_x000d__x000a_" sqref="AA19">
      <formula1>0</formula1>
      <formula2>300</formula2>
    </dataValidation>
    <dataValidation type="textLength" errorStyle="information" allowBlank="1" showInputMessage="1" showErrorMessage="1" error="XLBVal:6=74973_x000d__x000a_" sqref="Z19">
      <formula1>0</formula1>
      <formula2>300</formula2>
    </dataValidation>
    <dataValidation type="textLength" errorStyle="information" allowBlank="1" showInputMessage="1" showErrorMessage="1" error="XLBVal:6=27425.85_x000d__x000a_" sqref="AA15">
      <formula1>0</formula1>
      <formula2>300</formula2>
    </dataValidation>
    <dataValidation type="textLength" errorStyle="information" allowBlank="1" showInputMessage="1" showErrorMessage="1" error="XLBVal:6=13747.4_x000d__x000a_" sqref="Z15">
      <formula1>0</formula1>
      <formula2>300</formula2>
    </dataValidation>
    <dataValidation type="textLength" errorStyle="information" allowBlank="1" showInputMessage="1" showErrorMessage="1" error="XLBVal:6=90_x000d__x000a_" sqref="AA14">
      <formula1>0</formula1>
      <formula2>300</formula2>
    </dataValidation>
    <dataValidation type="textLength" errorStyle="information" allowBlank="1" showInputMessage="1" showErrorMessage="1" error="XLBVal:6=6274.31_x000d__x000a_" sqref="AA12">
      <formula1>0</formula1>
      <formula2>300</formula2>
    </dataValidation>
    <dataValidation type="textLength" errorStyle="information" allowBlank="1" showInputMessage="1" showErrorMessage="1" error="XLBVal:6=-43193.59_x000d__x000a_" sqref="Z12">
      <formula1>0</formula1>
      <formula2>300</formula2>
    </dataValidation>
    <dataValidation type="textLength" errorStyle="information" allowBlank="1" showInputMessage="1" showErrorMessage="1" error="XLBVal:6=387.18_x000d__x000a_" sqref="Y41">
      <formula1>0</formula1>
      <formula2>300</formula2>
    </dataValidation>
    <dataValidation type="textLength" errorStyle="information" allowBlank="1" showInputMessage="1" showErrorMessage="1" error="XLBVal:6=-1077_x000d__x000a_" sqref="Y26">
      <formula1>0</formula1>
      <formula2>300</formula2>
    </dataValidation>
    <dataValidation type="textLength" errorStyle="information" allowBlank="1" showInputMessage="1" showErrorMessage="1" error="XLBVal:6=5893.9_x000d__x000a_" sqref="Y25">
      <formula1>0</formula1>
      <formula2>300</formula2>
    </dataValidation>
    <dataValidation type="textLength" errorStyle="information" allowBlank="1" showInputMessage="1" showErrorMessage="1" error="XLBVal:6=105.51_x000d__x000a_" sqref="Y23">
      <formula1>0</formula1>
      <formula2>300</formula2>
    </dataValidation>
    <dataValidation type="textLength" errorStyle="information" allowBlank="1" showInputMessage="1" showErrorMessage="1" error="XLBVal:6=1300_x000d__x000a_" sqref="Y22">
      <formula1>0</formula1>
      <formula2>300</formula2>
    </dataValidation>
    <dataValidation type="textLength" errorStyle="information" allowBlank="1" showInputMessage="1" showErrorMessage="1" error="XLBVal:6=956_x000d__x000a_" sqref="Y21">
      <formula1>0</formula1>
      <formula2>300</formula2>
    </dataValidation>
    <dataValidation type="textLength" errorStyle="information" allowBlank="1" showInputMessage="1" showErrorMessage="1" error="XLBVal:6=20675.92_x000d__x000a_" sqref="Y19">
      <formula1>0</formula1>
      <formula2>300</formula2>
    </dataValidation>
    <dataValidation type="textLength" errorStyle="information" allowBlank="1" showInputMessage="1" showErrorMessage="1" error="XLBVal:6=865.81_x000d__x000a_" sqref="Y15">
      <formula1>0</formula1>
      <formula2>300</formula2>
    </dataValidation>
    <dataValidation type="textLength" errorStyle="information" allowBlank="1" showInputMessage="1" showErrorMessage="1" error="XLBVal:6=3501.24_x000d__x000a_" sqref="X41">
      <formula1>0</formula1>
      <formula2>300</formula2>
    </dataValidation>
    <dataValidation type="textLength" errorStyle="information" allowBlank="1" showInputMessage="1" showErrorMessage="1" error="XLBVal:6=3622.02_x000d__x000a_" sqref="X26">
      <formula1>0</formula1>
      <formula2>300</formula2>
    </dataValidation>
    <dataValidation type="textLength" errorStyle="information" allowBlank="1" showInputMessage="1" showErrorMessage="1" error="XLBVal:6=5894.2_x000d__x000a_" sqref="X25">
      <formula1>0</formula1>
      <formula2>300</formula2>
    </dataValidation>
    <dataValidation type="textLength" errorStyle="information" allowBlank="1" showInputMessage="1" showErrorMessage="1" error="XLBVal:6=153.07_x000d__x000a_" sqref="X23">
      <formula1>0</formula1>
      <formula2>300</formula2>
    </dataValidation>
    <dataValidation type="textLength" errorStyle="information" allowBlank="1" showInputMessage="1" showErrorMessage="1" error="XLBVal:6=1638.53_x000d__x000a_" sqref="X22">
      <formula1>0</formula1>
      <formula2>300</formula2>
    </dataValidation>
    <dataValidation type="textLength" errorStyle="information" allowBlank="1" showInputMessage="1" showErrorMessage="1" error="XLBVal:6=899_x000d__x000a_" sqref="X21">
      <formula1>0</formula1>
      <formula2>300</formula2>
    </dataValidation>
    <dataValidation type="textLength" errorStyle="information" allowBlank="1" showInputMessage="1" showErrorMessage="1" error="XLBVal:6=38331.92_x000d__x000a_" sqref="X19">
      <formula1>0</formula1>
      <formula2>300</formula2>
    </dataValidation>
    <dataValidation type="textLength" errorStyle="information" allowBlank="1" showInputMessage="1" showErrorMessage="1" error="XLBVal:6=8697_x000d__x000a_" sqref="X18">
      <formula1>0</formula1>
      <formula2>300</formula2>
    </dataValidation>
    <dataValidation type="textLength" errorStyle="information" allowBlank="1" showInputMessage="1" showErrorMessage="1" error="XLBVal:6=7765.35_x000d__x000a_" sqref="X15">
      <formula1>0</formula1>
      <formula2>300</formula2>
    </dataValidation>
    <dataValidation type="textLength" errorStyle="information" allowBlank="1" showInputMessage="1" showErrorMessage="1" error="XLBVal:6=5469.79_x000d__x000a_" sqref="X12:Y12">
      <formula1>0</formula1>
      <formula2>300</formula2>
    </dataValidation>
    <dataValidation type="textLength" errorStyle="information" allowBlank="1" showInputMessage="1" showErrorMessage="1" error="XLBVal:6=22_x000d__x000a_" sqref="Q80:U80">
      <formula1>0</formula1>
      <formula2>300</formula2>
    </dataValidation>
    <dataValidation type="textLength" errorStyle="information" allowBlank="1" showInputMessage="1" showErrorMessage="1" error="XLBVal:6=2650_x000d__x000a_" sqref="V71 T71">
      <formula1>0</formula1>
      <formula2>300</formula2>
    </dataValidation>
    <dataValidation type="textLength" errorStyle="information" allowBlank="1" showInputMessage="1" showErrorMessage="1" error="XLBVal:6=2735_x000d__x000a_" sqref="U71 S71">
      <formula1>0</formula1>
      <formula2>300</formula2>
    </dataValidation>
    <dataValidation type="textLength" errorStyle="information" allowBlank="1" showInputMessage="1" showErrorMessage="1" error="XLBVal:6=2719_x000d__x000a_" sqref="Q71">
      <formula1>0</formula1>
      <formula2>300</formula2>
    </dataValidation>
    <dataValidation type="textLength" errorStyle="information" allowBlank="1" showInputMessage="1" showErrorMessage="1" error="XLBVal:6=4152.97_x000d__x000a_" sqref="V64">
      <formula1>0</formula1>
      <formula2>300</formula2>
    </dataValidation>
    <dataValidation type="textLength" errorStyle="information" allowBlank="1" showInputMessage="1" showErrorMessage="1" error="XLBVal:6=4477.01_x000d__x000a_" sqref="U64">
      <formula1>0</formula1>
      <formula2>300</formula2>
    </dataValidation>
    <dataValidation type="textLength" errorStyle="information" allowBlank="1" showInputMessage="1" showErrorMessage="1" error="XLBVal:6=7297.76_x000d__x000a_" sqref="T64">
      <formula1>0</formula1>
      <formula2>300</formula2>
    </dataValidation>
    <dataValidation type="textLength" errorStyle="information" allowBlank="1" showInputMessage="1" showErrorMessage="1" error="XLBVal:6=10538.93_x000d__x000a_" sqref="S64">
      <formula1>0</formula1>
      <formula2>300</formula2>
    </dataValidation>
    <dataValidation type="textLength" errorStyle="information" allowBlank="1" showInputMessage="1" showErrorMessage="1" error="XLBVal:6=4790.95_x000d__x000a_" sqref="R64">
      <formula1>0</formula1>
      <formula2>300</formula2>
    </dataValidation>
    <dataValidation type="textLength" errorStyle="information" allowBlank="1" showInputMessage="1" showErrorMessage="1" error="XLBVal:6=4431.85_x000d__x000a_" sqref="Q64">
      <formula1>0</formula1>
      <formula2>300</formula2>
    </dataValidation>
    <dataValidation type="textLength" errorStyle="information" allowBlank="1" showInputMessage="1" showErrorMessage="1" error="XLBVal:6=15235_x000d__x000a_" sqref="U63">
      <formula1>0</formula1>
      <formula2>300</formula2>
    </dataValidation>
    <dataValidation type="textLength" errorStyle="information" allowBlank="1" showInputMessage="1" showErrorMessage="1" error="XLBVal:6=328.11_x000d__x000a_" sqref="V61">
      <formula1>0</formula1>
      <formula2>300</formula2>
    </dataValidation>
    <dataValidation type="textLength" errorStyle="information" allowBlank="1" showInputMessage="1" showErrorMessage="1" error="XLBVal:6=357.89_x000d__x000a_" sqref="U61">
      <formula1>0</formula1>
      <formula2>300</formula2>
    </dataValidation>
    <dataValidation type="textLength" errorStyle="information" allowBlank="1" showInputMessage="1" showErrorMessage="1" error="XLBVal:6=1367.13_x000d__x000a_" sqref="V60">
      <formula1>0</formula1>
      <formula2>300</formula2>
    </dataValidation>
    <dataValidation type="textLength" errorStyle="information" allowBlank="1" showInputMessage="1" showErrorMessage="1" error="XLBVal:6=1491.25_x000d__x000a_" sqref="U60">
      <formula1>0</formula1>
      <formula2>300</formula2>
    </dataValidation>
    <dataValidation type="textLength" errorStyle="information" allowBlank="1" showInputMessage="1" showErrorMessage="1" error="XLBVal:6=8945.48_x000d__x000a_" sqref="V53">
      <formula1>0</formula1>
      <formula2>300</formula2>
    </dataValidation>
    <dataValidation type="textLength" errorStyle="information" allowBlank="1" showInputMessage="1" showErrorMessage="1" error="XLBVal:6=9722.25_x000d__x000a_" sqref="U53">
      <formula1>0</formula1>
      <formula2>300</formula2>
    </dataValidation>
    <dataValidation type="textLength" errorStyle="information" allowBlank="1" showInputMessage="1" showErrorMessage="1" error="XLBVal:6=10386.45_x000d__x000a_" sqref="T53">
      <formula1>0</formula1>
      <formula2>300</formula2>
    </dataValidation>
    <dataValidation type="textLength" errorStyle="information" allowBlank="1" showInputMessage="1" showErrorMessage="1" error="XLBVal:6=10068.61_x000d__x000a_" sqref="S53">
      <formula1>0</formula1>
      <formula2>300</formula2>
    </dataValidation>
    <dataValidation type="textLength" errorStyle="information" allowBlank="1" showInputMessage="1" showErrorMessage="1" error="XLBVal:6=10392.93_x000d__x000a_" sqref="R53">
      <formula1>0</formula1>
      <formula2>300</formula2>
    </dataValidation>
    <dataValidation type="textLength" errorStyle="information" allowBlank="1" showInputMessage="1" showErrorMessage="1" error="XLBVal:6=2948.3_x000d__x000a_" sqref="U51">
      <formula1>0</formula1>
      <formula2>300</formula2>
    </dataValidation>
    <dataValidation type="textLength" errorStyle="information" allowBlank="1" showInputMessage="1" showErrorMessage="1" error="XLBVal:6=8155.24_x000d__x000a_" sqref="R51">
      <formula1>0</formula1>
      <formula2>300</formula2>
    </dataValidation>
    <dataValidation type="textLength" errorStyle="information" allowBlank="1" showInputMessage="1" showErrorMessage="1" error="XLBVal:6=171647.59_x000d__x000a_" sqref="V47">
      <formula1>0</formula1>
      <formula2>300</formula2>
    </dataValidation>
    <dataValidation type="textLength" errorStyle="information" allowBlank="1" showInputMessage="1" showErrorMessage="1" error="XLBVal:6=87.36_x000d__x000a_" sqref="V41">
      <formula1>0</formula1>
      <formula2>300</formula2>
    </dataValidation>
    <dataValidation type="textLength" errorStyle="information" allowBlank="1" showInputMessage="1" showErrorMessage="1" error="XLBVal:6=489.66_x000d__x000a_" sqref="U41">
      <formula1>0</formula1>
      <formula2>300</formula2>
    </dataValidation>
    <dataValidation type="textLength" errorStyle="information" allowBlank="1" showInputMessage="1" showErrorMessage="1" error="XLBVal:6=944.02_x000d__x000a_" sqref="T41">
      <formula1>0</formula1>
      <formula2>300</formula2>
    </dataValidation>
    <dataValidation type="textLength" errorStyle="information" allowBlank="1" showInputMessage="1" showErrorMessage="1" error="XLBVal:6=999.82_x000d__x000a_" sqref="S41">
      <formula1>0</formula1>
      <formula2>300</formula2>
    </dataValidation>
    <dataValidation type="textLength" errorStyle="information" allowBlank="1" showInputMessage="1" showErrorMessage="1" error="XLBVal:6=23587.67_x000d__x000a_" sqref="R41">
      <formula1>0</formula1>
      <formula2>300</formula2>
    </dataValidation>
    <dataValidation type="textLength" errorStyle="information" allowBlank="1" showInputMessage="1" showErrorMessage="1" error="XLBVal:6=4447.32_x000d__x000a_" sqref="Q41">
      <formula1>0</formula1>
      <formula2>300</formula2>
    </dataValidation>
    <dataValidation type="textLength" errorStyle="information" allowBlank="1" showInputMessage="1" showErrorMessage="1" error="XLBVal:6=-8190.68_x000d__x000a_" sqref="V27">
      <formula1>0</formula1>
      <formula2>300</formula2>
    </dataValidation>
    <dataValidation type="textLength" errorStyle="information" allowBlank="1" showInputMessage="1" showErrorMessage="1" error="XLBVal:6=3985.38_x000d__x000a_" sqref="V26">
      <formula1>0</formula1>
      <formula2>300</formula2>
    </dataValidation>
    <dataValidation type="textLength" errorStyle="information" allowBlank="1" showInputMessage="1" showErrorMessage="1" error="XLBVal:6=162.45_x000d__x000a_" sqref="U26">
      <formula1>0</formula1>
      <formula2>300</formula2>
    </dataValidation>
    <dataValidation type="textLength" errorStyle="information" allowBlank="1" showInputMessage="1" showErrorMessage="1" error="XLBVal:6=4333.75_x000d__x000a_" sqref="T26">
      <formula1>0</formula1>
      <formula2>300</formula2>
    </dataValidation>
    <dataValidation type="textLength" errorStyle="information" allowBlank="1" showInputMessage="1" showErrorMessage="1" error="XLBVal:6=5487.26_x000d__x000a_" sqref="S26">
      <formula1>0</formula1>
      <formula2>300</formula2>
    </dataValidation>
    <dataValidation type="textLength" errorStyle="information" allowBlank="1" showInputMessage="1" showErrorMessage="1" error="XLBVal:6=4801.22_x000d__x000a_" sqref="R26">
      <formula1>0</formula1>
      <formula2>300</formula2>
    </dataValidation>
    <dataValidation type="textLength" errorStyle="information" allowBlank="1" showInputMessage="1" showErrorMessage="1" error="XLBVal:6=4125.93_x000d__x000a_" sqref="Q26">
      <formula1>0</formula1>
      <formula2>300</formula2>
    </dataValidation>
    <dataValidation type="textLength" errorStyle="information" allowBlank="1" showInputMessage="1" showErrorMessage="1" error="XLBVal:6=6362.74_x000d__x000a_" sqref="V25">
      <formula1>0</formula1>
      <formula2>300</formula2>
    </dataValidation>
    <dataValidation type="textLength" errorStyle="information" allowBlank="1" showInputMessage="1" showErrorMessage="1" error="XLBVal:6=3540.99_x000d__x000a_" sqref="U25">
      <formula1>0</formula1>
      <formula2>300</formula2>
    </dataValidation>
    <dataValidation type="textLength" errorStyle="information" allowBlank="1" showInputMessage="1" showErrorMessage="1" error="XLBVal:6=7330.31_x000d__x000a_" sqref="T25">
      <formula1>0</formula1>
      <formula2>300</formula2>
    </dataValidation>
    <dataValidation type="textLength" errorStyle="information" allowBlank="1" showInputMessage="1" showErrorMessage="1" error="XLBVal:6=3987.26_x000d__x000a_" sqref="S25">
      <formula1>0</formula1>
      <formula2>300</formula2>
    </dataValidation>
    <dataValidation type="textLength" errorStyle="information" allowBlank="1" showInputMessage="1" showErrorMessage="1" error="XLBVal:6=5818.04_x000d__x000a_" sqref="R25">
      <formula1>0</formula1>
      <formula2>300</formula2>
    </dataValidation>
    <dataValidation type="textLength" errorStyle="information" allowBlank="1" showInputMessage="1" showErrorMessage="1" error="XLBVal:6=6562.58_x000d__x000a_" sqref="Q25">
      <formula1>0</formula1>
      <formula2>300</formula2>
    </dataValidation>
    <dataValidation type="textLength" errorStyle="information" allowBlank="1" showInputMessage="1" showErrorMessage="1" error="XLBVal:6=264.51_x000d__x000a_" sqref="W23">
      <formula1>0</formula1>
      <formula2>300</formula2>
    </dataValidation>
    <dataValidation type="textLength" errorStyle="information" allowBlank="1" showInputMessage="1" showErrorMessage="1" error="XLBVal:6=5614_x000d__x000a_" sqref="V22">
      <formula1>0</formula1>
      <formula2>300</formula2>
    </dataValidation>
    <dataValidation type="textLength" errorStyle="information" allowBlank="1" showInputMessage="1" showErrorMessage="1" error="XLBVal:6=5504.19_x000d__x000a_" sqref="U22">
      <formula1>0</formula1>
      <formula2>300</formula2>
    </dataValidation>
    <dataValidation type="textLength" errorStyle="information" allowBlank="1" showInputMessage="1" showErrorMessage="1" error="XLBVal:6=6459.57_x000d__x000a_" sqref="T22">
      <formula1>0</formula1>
      <formula2>300</formula2>
    </dataValidation>
    <dataValidation type="textLength" errorStyle="information" allowBlank="1" showInputMessage="1" showErrorMessage="1" error="XLBVal:6=1769.39_x000d__x000a_" sqref="S22">
      <formula1>0</formula1>
      <formula2>300</formula2>
    </dataValidation>
    <dataValidation type="textLength" errorStyle="information" allowBlank="1" showInputMessage="1" showErrorMessage="1" error="XLBVal:6=12866.78_x000d__x000a_" sqref="R22">
      <formula1>0</formula1>
      <formula2>300</formula2>
    </dataValidation>
    <dataValidation type="textLength" errorStyle="information" allowBlank="1" showInputMessage="1" showErrorMessage="1" error="XLBVal:6=4911.85_x000d__x000a_" sqref="Q22">
      <formula1>0</formula1>
      <formula2>300</formula2>
    </dataValidation>
    <dataValidation type="textLength" errorStyle="information" allowBlank="1" showInputMessage="1" showErrorMessage="1" error="XLBVal:6=32_x000d__x000a_" sqref="U21">
      <formula1>0</formula1>
      <formula2>300</formula2>
    </dataValidation>
    <dataValidation type="textLength" errorStyle="information" allowBlank="1" showInputMessage="1" showErrorMessage="1" error="XLBVal:6=1569.81_x000d__x000a_" sqref="T21">
      <formula1>0</formula1>
      <formula2>300</formula2>
    </dataValidation>
    <dataValidation type="textLength" errorStyle="information" allowBlank="1" showInputMessage="1" showErrorMessage="1" error="XLBVal:6=463.38_x000d__x000a_" sqref="R20">
      <formula1>0</formula1>
      <formula2>300</formula2>
    </dataValidation>
    <dataValidation type="textLength" errorStyle="information" allowBlank="1" showInputMessage="1" showErrorMessage="1" error="XLBVal:6=465.74_x000d__x000a_" sqref="Q20">
      <formula1>0</formula1>
      <formula2>300</formula2>
    </dataValidation>
    <dataValidation type="textLength" errorStyle="information" allowBlank="1" showInputMessage="1" showErrorMessage="1" error="XLBVal:6=95270.11_x000d__x000a_" sqref="Q19">
      <formula1>0</formula1>
      <formula2>300</formula2>
    </dataValidation>
    <dataValidation type="textLength" errorStyle="information" allowBlank="1" showInputMessage="1" showErrorMessage="1" error="XLBVal:6=2000_x000d__x000a_" sqref="AA17:AB17 W17">
      <formula1>0</formula1>
      <formula2>300</formula2>
    </dataValidation>
    <dataValidation type="textLength" errorStyle="information" allowBlank="1" showInputMessage="1" showErrorMessage="1" error="XLBVal:6=18076.6_x000d__x000a_" sqref="V15">
      <formula1>0</formula1>
      <formula2>300</formula2>
    </dataValidation>
    <dataValidation type="textLength" errorStyle="information" allowBlank="1" showInputMessage="1" showErrorMessage="1" error="XLBVal:6=12624.15_x000d__x000a_" sqref="U15">
      <formula1>0</formula1>
      <formula2>300</formula2>
    </dataValidation>
    <dataValidation type="textLength" errorStyle="information" allowBlank="1" showInputMessage="1" showErrorMessage="1" error="XLBVal:6=113630.59_x000d__x000a_" sqref="T15">
      <formula1>0</formula1>
      <formula2>300</formula2>
    </dataValidation>
    <dataValidation type="textLength" errorStyle="information" allowBlank="1" showInputMessage="1" showErrorMessage="1" error="XLBVal:6=26720.14_x000d__x000a_" sqref="S15">
      <formula1>0</formula1>
      <formula2>300</formula2>
    </dataValidation>
    <dataValidation type="textLength" errorStyle="information" allowBlank="1" showInputMessage="1" showErrorMessage="1" error="XLBVal:6=4000.84_x000d__x000a_" sqref="R15">
      <formula1>0</formula1>
      <formula2>300</formula2>
    </dataValidation>
    <dataValidation type="textLength" errorStyle="information" allowBlank="1" showInputMessage="1" showErrorMessage="1" error="XLBVal:6=8976.94_x000d__x000a_" sqref="Q15">
      <formula1>0</formula1>
      <formula2>300</formula2>
    </dataValidation>
    <dataValidation type="textLength" errorStyle="information" allowBlank="1" showInputMessage="1" showErrorMessage="1" error="XLBVal:6=4346.39_x000d__x000a_" sqref="Q12">
      <formula1>0</formula1>
      <formula2>300</formula2>
    </dataValidation>
    <dataValidation type="textLength" errorStyle="information" allowBlank="1" showInputMessage="1" showErrorMessage="1" error="XLBVal:6=15818_x000d__x000a_" sqref="Q63:T63">
      <formula1>0</formula1>
      <formula2>300</formula2>
    </dataValidation>
    <dataValidation type="textLength" errorStyle="information" allowBlank="1" showInputMessage="1" showErrorMessage="1" error="XLBVal:6=371.88_x000d__x000a_" sqref="Q61:T61">
      <formula1>0</formula1>
      <formula2>300</formula2>
    </dataValidation>
    <dataValidation type="textLength" errorStyle="information" allowBlank="1" showInputMessage="1" showErrorMessage="1" error="XLBVal:6=1549.54_x000d__x000a_" sqref="Q60:T60">
      <formula1>0</formula1>
      <formula2>300</formula2>
    </dataValidation>
    <dataValidation type="textLength" errorStyle="information" allowBlank="1" showInputMessage="1" showErrorMessage="1" error="XLBVal:6=10302.02_x000d__x000a_" sqref="Q53">
      <formula1>0</formula1>
      <formula2>300</formula2>
    </dataValidation>
    <dataValidation type="textLength" errorStyle="information" allowBlank="1" showInputMessage="1" showErrorMessage="1" error="XLBVal:6=180881.6_x000d__x000a_" sqref="Q47">
      <formula1>0</formula1>
      <formula2>300</formula2>
    </dataValidation>
    <dataValidation type="textLength" errorStyle="information" allowBlank="1" showInputMessage="1" showErrorMessage="1" error="XLBVal:6=52105.76_x000d__x000a_" sqref="R52">
      <formula1>0</formula1>
      <formula2>300</formula2>
    </dataValidation>
    <dataValidation type="textLength" errorStyle="information" allowBlank="1" showInputMessage="1" showErrorMessage="1" error="XLBVal:6=7671.39_x000d__x000a_" sqref="W41">
      <formula1>0</formula1>
      <formula2>300</formula2>
    </dataValidation>
    <dataValidation type="textLength" errorStyle="information" allowBlank="1" showInputMessage="1" showErrorMessage="1" error="XLBVal:6=3038_x000d__x000a_" sqref="W27">
      <formula1>0</formula1>
      <formula2>300</formula2>
    </dataValidation>
    <dataValidation type="textLength" errorStyle="information" allowBlank="1" showInputMessage="1" showErrorMessage="1" error="XLBVal:6=3721.54_x000d__x000a_" sqref="W26">
      <formula1>0</formula1>
      <formula2>300</formula2>
    </dataValidation>
    <dataValidation type="textLength" errorStyle="information" allowBlank="1" showInputMessage="1" showErrorMessage="1" error="XLBVal:6=4976.22_x000d__x000a_" sqref="W25">
      <formula1>0</formula1>
      <formula2>300</formula2>
    </dataValidation>
    <dataValidation type="textLength" errorStyle="information" allowBlank="1" showInputMessage="1" showErrorMessage="1" error="XLBVal:6=4319.82_x000d__x000a_" sqref="W22">
      <formula1>0</formula1>
      <formula2>300</formula2>
    </dataValidation>
    <dataValidation type="textLength" errorStyle="information" allowBlank="1" showInputMessage="1" showErrorMessage="1" error="XLBVal:6=650_x000d__x000a_" sqref="W21">
      <formula1>0</formula1>
      <formula2>300</formula2>
    </dataValidation>
    <dataValidation type="textLength" errorStyle="information" allowBlank="1" showInputMessage="1" showErrorMessage="1" error="XLBVal:6=769.54_x000d__x000a_" sqref="W20">
      <formula1>0</formula1>
      <formula2>300</formula2>
    </dataValidation>
    <dataValidation type="textLength" errorStyle="information" allowBlank="1" showInputMessage="1" showErrorMessage="1" error="XLBVal:6=87775.13_x000d__x000a_" sqref="W19">
      <formula1>0</formula1>
      <formula2>300</formula2>
    </dataValidation>
    <dataValidation type="textLength" errorStyle="information" allowBlank="1" showInputMessage="1" showErrorMessage="1" error="XLBVal:6=17955.35_x000d__x000a_" sqref="W15">
      <formula1>0</formula1>
      <formula2>300</formula2>
    </dataValidation>
    <dataValidation type="textLength" errorStyle="information" allowBlank="1" showInputMessage="1" showErrorMessage="1" error="XLBVal:6=6757.76_x000d__x000a_" sqref="W12">
      <formula1>0</formula1>
      <formula2>300</formula2>
    </dataValidation>
    <dataValidation type="textLength" errorStyle="information" allowBlank="1" showInputMessage="1" showErrorMessage="1" error="XLBVal:6=15182.89_x000d__x000a_" sqref="U12">
      <formula1>0</formula1>
      <formula2>300</formula2>
    </dataValidation>
    <dataValidation type="textLength" errorStyle="information" allowBlank="1" showInputMessage="1" showErrorMessage="1" error="XLBVal:6=248.11_x000d__x000a_" sqref="G14">
      <formula1>0</formula1>
      <formula2>300</formula2>
    </dataValidation>
    <dataValidation type="textLength" errorStyle="information" allowBlank="1" showInputMessage="1" showErrorMessage="1" error="XLBVal:6=19531.45_x000d__x000a_" sqref="T12">
      <formula1>0</formula1>
      <formula2>300</formula2>
    </dataValidation>
    <dataValidation type="textLength" errorStyle="information" allowBlank="1" showInputMessage="1" showErrorMessage="1" error="XLBVal:6=52128.61_x000d__x000a_" sqref="S52">
      <formula1>0</formula1>
      <formula2>300</formula2>
    </dataValidation>
    <dataValidation type="textLength" errorStyle="information" allowBlank="1" showInputMessage="1" showErrorMessage="1" error="XLBVal:6=406.5_x000d__x000a_" sqref="E20">
      <formula1>0</formula1>
      <formula2>300</formula2>
    </dataValidation>
    <dataValidation type="textLength" errorStyle="information" allowBlank="1" showInputMessage="1" showErrorMessage="1" error="XLBVal:6=10871.88_x000d__x000a_" sqref="S12">
      <formula1>0</formula1>
      <formula2>300</formula2>
    </dataValidation>
    <dataValidation type="textLength" errorStyle="information" allowBlank="1" showInputMessage="1" showErrorMessage="1" error="XLBVal:6=11304.13_x000d__x000a_" sqref="R12">
      <formula1>0</formula1>
      <formula2>300</formula2>
    </dataValidation>
    <dataValidation type="textLength" errorStyle="information" allowBlank="1" showInputMessage="1" showErrorMessage="1" error="XLBVal:6=4914.73_x000d__x000a_" sqref="D12:O12">
      <formula1>0</formula1>
      <formula2>300</formula2>
    </dataValidation>
    <dataValidation type="textLength" errorStyle="information" allowBlank="1" showInputMessage="1" showErrorMessage="1" error="XLBVal:6=211198.74_x000d__x000a_" sqref="R55">
      <formula1>0</formula1>
      <formula2>300</formula2>
    </dataValidation>
    <dataValidation type="textLength" errorStyle="information" allowBlank="1" showInputMessage="1" showErrorMessage="1" error="XLBVal:6=132663.09_x000d__x000a_" sqref="Q55">
      <formula1>0</formula1>
      <formula2>300</formula2>
    </dataValidation>
    <dataValidation type="textLength" errorStyle="information" allowBlank="1" showInputMessage="1" showErrorMessage="1" error="XLBVal:6=523.43_x000d__x000a_" sqref="I20">
      <formula1>0</formula1>
      <formula2>300</formula2>
    </dataValidation>
    <dataValidation type="textLength" errorStyle="information" allowBlank="1" showInputMessage="1" showErrorMessage="1" error="XLBVal:6=323_x000d__x000a_" sqref="H20">
      <formula1>0</formula1>
      <formula2>300</formula2>
    </dataValidation>
    <dataValidation type="textLength" errorStyle="information" allowBlank="1" showInputMessage="1" showErrorMessage="1" error="XLBVal:6=360.95_x000d__x000a_" sqref="F20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1632.19_x000d__x000a_" sqref="V12">
      <formula1>0</formula1>
      <formula2>300</formula2>
    </dataValidation>
    <dataValidation type="textLength" errorStyle="information" allowBlank="1" showInputMessage="1" showErrorMessage="1" error="XLBVal:6=20_x000d__x000a_" sqref="V80">
      <formula1>0</formula1>
      <formula2>300</formula2>
    </dataValidation>
    <dataValidation type="textLength" errorStyle="information" allowBlank="1" showInputMessage="1" showErrorMessage="1" error="XLBVal:6=20530.02_x000d__x000a_" sqref="V74">
      <formula1>0</formula1>
      <formula2>300</formula2>
    </dataValidation>
    <dataValidation type="textLength" errorStyle="information" allowBlank="1" showInputMessage="1" showErrorMessage="1" error="XLBVal:6=20338.29_x000d__x000a_" sqref="U74">
      <formula1>0</formula1>
      <formula2>300</formula2>
    </dataValidation>
    <dataValidation type="textLength" errorStyle="information" allowBlank="1" showInputMessage="1" showErrorMessage="1" error="XLBVal:6=26468.23_x000d__x000a_" sqref="T74">
      <formula1>0</formula1>
      <formula2>300</formula2>
    </dataValidation>
    <dataValidation type="textLength" errorStyle="information" allowBlank="1" showInputMessage="1" showErrorMessage="1" error="XLBVal:6=26613.29_x000d__x000a_" sqref="S74">
      <formula1>0</formula1>
      <formula2>300</formula2>
    </dataValidation>
    <dataValidation type="textLength" errorStyle="information" allowBlank="1" showInputMessage="1" showErrorMessage="1" error="XLBVal:6=30614.55_x000d__x000a_" sqref="R74">
      <formula1>0</formula1>
      <formula2>300</formula2>
    </dataValidation>
    <dataValidation type="textLength" errorStyle="information" allowBlank="1" showInputMessage="1" showErrorMessage="1" error="XLBVal:6=19461.89_x000d__x000a_" sqref="Q74">
      <formula1>0</formula1>
      <formula2>300</formula2>
    </dataValidation>
    <dataValidation type="textLength" errorStyle="information" allowBlank="1" showInputMessage="1" showErrorMessage="1" error="XLBVal:6=2946.46_x000d__x000a_" sqref="V73">
      <formula1>0</formula1>
      <formula2>300</formula2>
    </dataValidation>
    <dataValidation type="textLength" errorStyle="information" allowBlank="1" showInputMessage="1" showErrorMessage="1" error="XLBVal:6=2799.87_x000d__x000a_" sqref="U73">
      <formula1>0</formula1>
      <formula2>300</formula2>
    </dataValidation>
    <dataValidation type="textLength" errorStyle="information" allowBlank="1" showInputMessage="1" showErrorMessage="1" error="XLBVal:6=3450.09_x000d__x000a_" sqref="T73">
      <formula1>0</formula1>
      <formula2>300</formula2>
    </dataValidation>
    <dataValidation type="textLength" errorStyle="information" allowBlank="1" showInputMessage="1" showErrorMessage="1" error="XLBVal:6=3377.61_x000d__x000a_" sqref="S73">
      <formula1>0</formula1>
      <formula2>300</formula2>
    </dataValidation>
    <dataValidation type="textLength" errorStyle="information" allowBlank="1" showInputMessage="1" showErrorMessage="1" error="XLBVal:6=3849.25_x000d__x000a_" sqref="R73">
      <formula1>0</formula1>
      <formula2>300</formula2>
    </dataValidation>
    <dataValidation type="textLength" errorStyle="information" allowBlank="1" showInputMessage="1" showErrorMessage="1" error="XLBVal:6=3025.7_x000d__x000a_" sqref="Q73">
      <formula1>0</formula1>
      <formula2>300</formula2>
    </dataValidation>
    <dataValidation type="textLength" errorStyle="information" allowBlank="1" showInputMessage="1" showErrorMessage="1" error="XLBVal:6=395.21_x000d__x000a_" sqref="V72">
      <formula1>0</formula1>
      <formula2>300</formula2>
    </dataValidation>
    <dataValidation type="textLength" errorStyle="information" allowBlank="1" showInputMessage="1" showErrorMessage="1" error="XLBVal:6=432.83_x000d__x000a_" sqref="U72">
      <formula1>0</formula1>
      <formula2>300</formula2>
    </dataValidation>
    <dataValidation type="textLength" errorStyle="information" allowBlank="1" showInputMessage="1" showErrorMessage="1" error="XLBVal:6=414.72_x000d__x000a_" sqref="Q72 S72:T72">
      <formula1>0</formula1>
      <formula2>300</formula2>
    </dataValidation>
    <dataValidation type="textLength" errorStyle="information" allowBlank="1" showInputMessage="1" showErrorMessage="1" error="XLBVal:6=418.22_x000d__x000a_" sqref="R72">
      <formula1>0</formula1>
      <formula2>300</formula2>
    </dataValidation>
    <dataValidation type="textLength" errorStyle="information" allowBlank="1" showInputMessage="1" showErrorMessage="1" error="XLBVal:6=2491_x000d__x000a_" sqref="R71">
      <formula1>0</formula1>
      <formula2>300</formula2>
    </dataValidation>
    <dataValidation type="textLength" errorStyle="information" allowBlank="1" showInputMessage="1" showErrorMessage="1" error="XLBVal:6=23241.16_x000d__x000a_" sqref="V59">
      <formula1>0</formula1>
      <formula2>300</formula2>
    </dataValidation>
    <dataValidation type="textLength" errorStyle="information" allowBlank="1" showInputMessage="1" showErrorMessage="1" error="XLBVal:6=25351.2_x000d__x000a_" sqref="U59">
      <formula1>0</formula1>
      <formula2>300</formula2>
    </dataValidation>
    <dataValidation type="textLength" errorStyle="information" allowBlank="1" showInputMessage="1" showErrorMessage="1" error="XLBVal:6=26342.19_x000d__x000a_" sqref="Q59:T59">
      <formula1>0</formula1>
      <formula2>300</formula2>
    </dataValidation>
    <dataValidation type="textLength" errorStyle="information" allowBlank="1" showInputMessage="1" showErrorMessage="1" error="XLBVal:6=43748.04_x000d__x000a_" sqref="V58">
      <formula1>0</formula1>
      <formula2>300</formula2>
    </dataValidation>
    <dataValidation type="textLength" errorStyle="information" allowBlank="1" showInputMessage="1" showErrorMessage="1" error="XLBVal:6=47719.87_x000d__x000a_" sqref="U58">
      <formula1>0</formula1>
      <formula2>300</formula2>
    </dataValidation>
    <dataValidation type="textLength" errorStyle="information" allowBlank="1" showInputMessage="1" showErrorMessage="1" error="XLBVal:6=49585.26_x000d__x000a_" sqref="Q58:T58">
      <formula1>0</formula1>
      <formula2>300</formula2>
    </dataValidation>
    <dataValidation type="textLength" errorStyle="information" allowBlank="1" showInputMessage="1" showErrorMessage="1" error="XLBVal:6=51811.79_x000d__x000a_" sqref="V55">
      <formula1>0</formula1>
      <formula2>300</formula2>
    </dataValidation>
    <dataValidation type="textLength" errorStyle="information" allowBlank="1" showInputMessage="1" showErrorMessage="1" error="XLBVal:6=65406.48_x000d__x000a_" sqref="U55">
      <formula1>0</formula1>
      <formula2>300</formula2>
    </dataValidation>
    <dataValidation type="textLength" errorStyle="information" allowBlank="1" showInputMessage="1" showErrorMessage="1" error="XLBVal:6=67740.06_x000d__x000a_" sqref="T55">
      <formula1>0</formula1>
      <formula2>300</formula2>
    </dataValidation>
    <dataValidation type="textLength" errorStyle="information" allowBlank="1" showInputMessage="1" showErrorMessage="1" error="XLBVal:6=125911.96_x000d__x000a_" sqref="S55">
      <formula1>0</formula1>
      <formula2>300</formula2>
    </dataValidation>
    <dataValidation type="textLength" errorStyle="information" allowBlank="1" showInputMessage="1" showErrorMessage="1" error="XLBVal:6=23865.52_x000d__x000a_" sqref="V48">
      <formula1>0</formula1>
      <formula2>300</formula2>
    </dataValidation>
    <dataValidation type="textLength" errorStyle="information" allowBlank="1" showInputMessage="1" showErrorMessage="1" error="XLBVal:6=26917.24_x000d__x000a_" sqref="U48">
      <formula1>0</formula1>
      <formula2>300</formula2>
    </dataValidation>
    <dataValidation type="textLength" errorStyle="information" allowBlank="1" showInputMessage="1" showErrorMessage="1" error="XLBVal:6=27400_x000d__x000a_" sqref="T48 Q48">
      <formula1>0</formula1>
      <formula2>300</formula2>
    </dataValidation>
    <dataValidation type="textLength" errorStyle="information" allowBlank="1" showInputMessage="1" showErrorMessage="1" error="XLBVal:6=26848.27_x000d__x000a_" sqref="S48">
      <formula1>0</formula1>
      <formula2>300</formula2>
    </dataValidation>
    <dataValidation type="textLength" errorStyle="information" allowBlank="1" showInputMessage="1" showErrorMessage="1" error="XLBVal:6=27317.24_x000d__x000a_" sqref="R48">
      <formula1>0</formula1>
      <formula2>300</formula2>
    </dataValidation>
    <dataValidation type="textLength" errorStyle="information" allowBlank="1" showInputMessage="1" showErrorMessage="1" error="XLBVal:6=183962.53_x000d__x000a_" sqref="U47">
      <formula1>0</formula1>
      <formula2>300</formula2>
    </dataValidation>
    <dataValidation type="textLength" errorStyle="information" allowBlank="1" showInputMessage="1" showErrorMessage="1" error="XLBVal:6=9799.96_x000d__x000a_" sqref="I41">
      <formula1>0</formula1>
      <formula2>300</formula2>
    </dataValidation>
    <dataValidation type="textLength" errorStyle="information" allowBlank="1" showInputMessage="1" showErrorMessage="1" error="XLBVal:6=9245.9_x000d__x000a_" sqref="H41">
      <formula1>0</formula1>
      <formula2>300</formula2>
    </dataValidation>
    <dataValidation type="textLength" errorStyle="information" allowBlank="1" showInputMessage="1" showErrorMessage="1" error="XLBVal:6=2651.62_x000d__x000a_" sqref="G41">
      <formula1>0</formula1>
      <formula2>300</formula2>
    </dataValidation>
    <dataValidation type="textLength" errorStyle="information" allowBlank="1" showInputMessage="1" showErrorMessage="1" error="XLBVal:6=26072.29_x000d__x000a_" sqref="F41">
      <formula1>0</formula1>
      <formula2>300</formula2>
    </dataValidation>
    <dataValidation type="textLength" errorStyle="information" allowBlank="1" showInputMessage="1" showErrorMessage="1" error="XLBVal:6=37637.9_x000d__x000a_" sqref="E41">
      <formula1>0</formula1>
      <formula2>300</formula2>
    </dataValidation>
    <dataValidation type="textLength" errorStyle="information" allowBlank="1" showInputMessage="1" showErrorMessage="1" error="XLBVal:6=24729.36_x000d__x000a_" sqref="D41">
      <formula1>0</formula1>
      <formula2>300</formula2>
    </dataValidation>
    <dataValidation type="textLength" errorStyle="information" allowBlank="1" showInputMessage="1" showErrorMessage="1" error="XLBVal:6=41730.65_x000d__x000a_" sqref="I27">
      <formula1>0</formula1>
      <formula2>300</formula2>
    </dataValidation>
    <dataValidation type="textLength" errorStyle="information" allowBlank="1" showInputMessage="1" showErrorMessage="1" error="XLBVal:6=-33325.08_x000d__x000a_" sqref="H27">
      <formula1>0</formula1>
      <formula2>300</formula2>
    </dataValidation>
    <dataValidation type="textLength" errorStyle="information" allowBlank="1" showInputMessage="1" showErrorMessage="1" error="XLBVal:6=122333.87_x000d__x000a_" sqref="F27:G27">
      <formula1>0</formula1>
      <formula2>300</formula2>
    </dataValidation>
    <dataValidation type="textLength" errorStyle="information" allowBlank="1" showInputMessage="1" showErrorMessage="1" error="XLBVal:6=2227.2_x000d__x000a_" sqref="D26:O26">
      <formula1>0</formula1>
      <formula2>300</formula2>
    </dataValidation>
    <dataValidation type="textLength" errorStyle="information" allowBlank="1" showInputMessage="1" showErrorMessage="1" error="XLBVal:6=288.96_x000d__x000a_" sqref="D25:O25">
      <formula1>0</formula1>
      <formula2>300</formula2>
    </dataValidation>
    <dataValidation type="textLength" errorStyle="information" allowBlank="1" showInputMessage="1" showErrorMessage="1" error="XLBVal:6=481.67_x000d__x000a_" sqref="V23">
      <formula1>0</formula1>
      <formula2>300</formula2>
    </dataValidation>
    <dataValidation type="textLength" errorStyle="information" allowBlank="1" showInputMessage="1" showErrorMessage="1" error="XLBVal:6=90.7_x000d__x000a_" sqref="U23">
      <formula1>0</formula1>
      <formula2>300</formula2>
    </dataValidation>
    <dataValidation type="textLength" errorStyle="information" allowBlank="1" showInputMessage="1" showErrorMessage="1" error="XLBVal:6=269.41_x000d__x000a_" sqref="T23">
      <formula1>0</formula1>
      <formula2>300</formula2>
    </dataValidation>
    <dataValidation type="textLength" errorStyle="information" allowBlank="1" showInputMessage="1" showErrorMessage="1" error="XLBVal:6=288_x000d__x000a_" sqref="S23">
      <formula1>0</formula1>
      <formula2>300</formula2>
    </dataValidation>
    <dataValidation type="textLength" errorStyle="information" allowBlank="1" showInputMessage="1" showErrorMessage="1" error="XLBVal:6=333.75_x000d__x000a_" sqref="R23">
      <formula1>0</formula1>
      <formula2>300</formula2>
    </dataValidation>
    <dataValidation type="textLength" errorStyle="information" allowBlank="1" showInputMessage="1" showErrorMessage="1" error="XLBVal:6=403.56_x000d__x000a_" sqref="Q23">
      <formula1>0</formula1>
      <formula2>300</formula2>
    </dataValidation>
    <dataValidation type="textLength" errorStyle="information" allowBlank="1" showInputMessage="1" showErrorMessage="1" error="XLBVal:6=16464.48_x000d__x000a_" sqref="I22">
      <formula1>0</formula1>
      <formula2>300</formula2>
    </dataValidation>
    <dataValidation type="textLength" errorStyle="information" allowBlank="1" showInputMessage="1" showErrorMessage="1" error="XLBVal:6=6513.98_x000d__x000a_" sqref="H22">
      <formula1>0</formula1>
      <formula2>300</formula2>
    </dataValidation>
    <dataValidation type="textLength" errorStyle="information" allowBlank="1" showInputMessage="1" showErrorMessage="1" error="XLBVal:6=1598.4_x000d__x000a_" sqref="G22">
      <formula1>0</formula1>
      <formula2>300</formula2>
    </dataValidation>
    <dataValidation type="textLength" errorStyle="information" allowBlank="1" showInputMessage="1" showErrorMessage="1" error="XLBVal:6=1937.73_x000d__x000a_" sqref="F22">
      <formula1>0</formula1>
      <formula2>300</formula2>
    </dataValidation>
    <dataValidation type="textLength" errorStyle="information" allowBlank="1" showInputMessage="1" showErrorMessage="1" error="XLBVal:6=1446.6_x000d__x000a_" sqref="E22">
      <formula1>0</formula1>
      <formula2>300</formula2>
    </dataValidation>
    <dataValidation type="textLength" errorStyle="information" allowBlank="1" showInputMessage="1" showErrorMessage="1" error="XLBVal:6=1829.88_x000d__x000a_" sqref="D22">
      <formula1>0</formula1>
      <formula2>300</formula2>
    </dataValidation>
    <dataValidation type="textLength" errorStyle="information" allowBlank="1" showInputMessage="1" showErrorMessage="1" error="XLBVal:6=3695_x000d__x000a_" sqref="D21:O21">
      <formula1>0</formula1>
      <formula2>300</formula2>
    </dataValidation>
    <dataValidation type="textLength" errorStyle="information" allowBlank="1" showInputMessage="1" showErrorMessage="1" error="XLBVal:6=322.98_x000d__x000a_" sqref="G20">
      <formula1>0</formula1>
      <formula2>300</formula2>
    </dataValidation>
    <dataValidation type="textLength" errorStyle="information" allowBlank="1" showInputMessage="1" showErrorMessage="1" error="XLBVal:6=362.66_x000d__x000a_" sqref="D20">
      <formula1>0</formula1>
      <formula2>300</formula2>
    </dataValidation>
    <dataValidation type="textLength" errorStyle="information" allowBlank="1" showInputMessage="1" showErrorMessage="1" error="XLBVal:6=67122.84_x000d__x000a_" sqref="V19">
      <formula1>0</formula1>
      <formula2>300</formula2>
    </dataValidation>
    <dataValidation type="textLength" errorStyle="information" allowBlank="1" showInputMessage="1" showErrorMessage="1" error="XLBVal:6=56598.1_x000d__x000a_" sqref="U19">
      <formula1>0</formula1>
      <formula2>300</formula2>
    </dataValidation>
    <dataValidation type="textLength" errorStyle="information" allowBlank="1" showInputMessage="1" showErrorMessage="1" error="XLBVal:6=61632.61_x000d__x000a_" sqref="T19">
      <formula1>0</formula1>
      <formula2>300</formula2>
    </dataValidation>
    <dataValidation type="textLength" errorStyle="information" allowBlank="1" showInputMessage="1" showErrorMessage="1" error="XLBVal:6=80454.45_x000d__x000a_" sqref="S19">
      <formula1>0</formula1>
      <formula2>300</formula2>
    </dataValidation>
    <dataValidation type="textLength" errorStyle="information" allowBlank="1" showInputMessage="1" showErrorMessage="1" error="XLBVal:6=155240.02_x000d__x000a_" sqref="R19">
      <formula1>0</formula1>
      <formula2>300</formula2>
    </dataValidation>
    <dataValidation type="textLength" errorStyle="information" allowBlank="1" showInputMessage="1" showErrorMessage="1" error="XLBVal:6=500_x000d__x000a_" sqref="S20:V20 D17:O17">
      <formula1>0</formula1>
      <formula2>300</formula2>
    </dataValidation>
    <dataValidation type="textLength" errorStyle="information" allowBlank="1" showInputMessage="1" showErrorMessage="1" error="XLBVal:6=22446.37_x000d__x000a_" sqref="I15">
      <formula1>0</formula1>
      <formula2>300</formula2>
    </dataValidation>
    <dataValidation type="textLength" errorStyle="information" allowBlank="1" showInputMessage="1" showErrorMessage="1" error="XLBVal:6=26611.84_x000d__x000a_" sqref="G15:H15">
      <formula1>0</formula1>
      <formula2>300</formula2>
    </dataValidation>
    <dataValidation type="textLength" errorStyle="information" allowBlank="1" showInputMessage="1" showErrorMessage="1" error="XLBVal:6=11738.21_x000d__x000a_" sqref="F15">
      <formula1>0</formula1>
      <formula2>300</formula2>
    </dataValidation>
    <dataValidation type="textLength" errorStyle="information" allowBlank="1" showInputMessage="1" showErrorMessage="1" error="XLBVal:6=24636.08_x000d__x000a_" sqref="E15">
      <formula1>0</formula1>
      <formula2>300</formula2>
    </dataValidation>
    <dataValidation type="textLength" errorStyle="information" allowBlank="1" showInputMessage="1" showErrorMessage="1" error="XLBVal:6=45243.62_x000d__x000a_" sqref="D15">
      <formula1>0</formula1>
      <formula2>300</formula2>
    </dataValidation>
    <dataValidation type="textLength" errorStyle="information" allowBlank="1" showInputMessage="1" showErrorMessage="1" error="XLBVal:6=351527_x000d__x000a_" sqref="J40:O40">
      <formula1>0</formula1>
      <formula2>300</formula2>
    </dataValidation>
    <dataValidation type="textLength" errorStyle="information" allowBlank="1" showInputMessage="1" showErrorMessage="1" error="XLBVal:6=320379.46_x000d__x000a_" sqref="D75:I76 Q75:V76">
      <formula1>0</formula1>
      <formula2>300</formula2>
    </dataValidation>
    <dataValidation type="textLength" errorStyle="information" allowBlank="1" showInputMessage="1" showErrorMessage="1" error="XLBVal:2=0_x000d__x000a_" sqref="H14:I14 R21 S51 W80:AB80 D13:F14 D18:I18 D40:I40 D28:I33 D16:I16 U17 G13:I13 D27:E27 D35:I37 W18 R27 Q40:AB40 W58:AB61 W47:AB48 X27:Y27 Q35:AB37 Q14:Z14 Z21:AA21 X17:Z17 Q28:AB33 Q16:AB16 Q13:AB13 Q54:AB54 Y18:AB18 X20:Y20 AB14 W51:AB53 Q62:AB62 W55:AB55 W63:AB65 W68:AB76 Q18:U18 V17:V18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D7C3F6"/>
  </sheetPr>
  <dimension ref="A1:AI109"/>
  <sheetViews>
    <sheetView view="pageBreakPreview" zoomScaleNormal="100" zoomScaleSheetLayoutView="100" workbookViewId="0">
      <pane xSplit="4" ySplit="7" topLeftCell="N44" activePane="bottomRight" state="frozen"/>
      <selection activeCell="AP43" sqref="AP43"/>
      <selection pane="topRight" activeCell="AP43" sqref="AP43"/>
      <selection pane="bottomLeft" activeCell="AP43" sqref="AP43"/>
      <selection pane="bottomRight" activeCell="O22" sqref="O22"/>
    </sheetView>
  </sheetViews>
  <sheetFormatPr defaultColWidth="9" defaultRowHeight="14.25" outlineLevelCol="2"/>
  <cols>
    <col min="1" max="2" width="9" style="105" hidden="1" customWidth="1" outlineLevel="1"/>
    <col min="3" max="3" width="39.875" style="105" customWidth="1" collapsed="1"/>
    <col min="4" max="15" width="18.25" style="141" bestFit="1" customWidth="1"/>
    <col min="16" max="16" width="19.5" style="142" bestFit="1" customWidth="1"/>
    <col min="17" max="23" width="18" style="141" hidden="1" customWidth="1" outlineLevel="1"/>
    <col min="24" max="25" width="15.75" style="105" hidden="1" customWidth="1" outlineLevel="2"/>
    <col min="26" max="28" width="14.5" style="105" hidden="1" customWidth="1" outlineLevel="2"/>
    <col min="29" max="29" width="18.25" style="129" bestFit="1" customWidth="1" collapsed="1"/>
    <col min="30" max="30" width="19.5" style="124" bestFit="1" customWidth="1"/>
    <col min="31" max="31" width="9.5" style="192" customWidth="1"/>
    <col min="32" max="32" width="19.5" style="109" customWidth="1"/>
    <col min="33" max="33" width="16.125" style="105" customWidth="1"/>
    <col min="34" max="34" width="16.125" style="105" bestFit="1" customWidth="1"/>
    <col min="35" max="35" width="17.25" style="124" bestFit="1" customWidth="1"/>
    <col min="36" max="16384" width="9" style="105"/>
  </cols>
  <sheetData>
    <row r="1" spans="1:35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7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E1" s="186"/>
      <c r="AF1" s="103"/>
      <c r="AI1" s="183"/>
    </row>
    <row r="2" spans="1:35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7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E2" s="186"/>
      <c r="AF2" s="103"/>
      <c r="AI2" s="183"/>
    </row>
    <row r="3" spans="1:35">
      <c r="C3" s="105" t="s">
        <v>949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09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09"/>
      <c r="AD3" s="184"/>
      <c r="AE3" s="279"/>
      <c r="AI3" s="184"/>
    </row>
    <row r="4" spans="1:35" s="100" customFormat="1" ht="18">
      <c r="C4" s="18">
        <f>+'2025 Summay'!$D$7</f>
        <v>2025</v>
      </c>
      <c r="D4" s="124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77">
        <f>P64/'2025 Summay'!Q16</f>
        <v>5.2618892676008257E-2</v>
      </c>
      <c r="Q4" s="101"/>
      <c r="R4" s="101"/>
      <c r="S4" s="101"/>
      <c r="T4" s="101"/>
      <c r="U4" s="101"/>
      <c r="V4" s="101"/>
      <c r="W4" s="101"/>
      <c r="X4" s="183"/>
      <c r="Y4" s="183"/>
      <c r="Z4" s="101"/>
      <c r="AA4" s="101"/>
      <c r="AB4" s="101"/>
      <c r="AC4" s="177">
        <f>AC64/'2025 Summay'!AD16</f>
        <v>5.8497328495096715E-2</v>
      </c>
      <c r="AD4" s="183"/>
      <c r="AE4" s="186"/>
      <c r="AF4" s="103"/>
      <c r="AI4" s="183"/>
    </row>
    <row r="5" spans="1:35" s="100" customFormat="1"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172"/>
      <c r="Q5" s="101"/>
      <c r="R5" s="101"/>
      <c r="S5" s="101"/>
      <c r="T5" s="101"/>
      <c r="U5" s="101"/>
      <c r="V5" s="101"/>
      <c r="W5" s="101"/>
      <c r="X5" s="183"/>
      <c r="Y5" s="183"/>
      <c r="Z5" s="101"/>
      <c r="AA5" s="101"/>
      <c r="AB5" s="101"/>
      <c r="AC5" s="172"/>
      <c r="AD5" s="183"/>
      <c r="AE5" s="186"/>
      <c r="AF5" s="103"/>
      <c r="AI5" s="183"/>
    </row>
    <row r="6" spans="1:35" s="100" customFormat="1">
      <c r="C6" s="100" t="s">
        <v>154</v>
      </c>
      <c r="D6" s="183">
        <f>'2025 Summay'!E9</f>
        <v>1</v>
      </c>
      <c r="E6" s="183">
        <f>'2025 Summay'!F9</f>
        <v>2</v>
      </c>
      <c r="F6" s="183">
        <f>'2025 Summay'!G9</f>
        <v>3</v>
      </c>
      <c r="G6" s="183">
        <f>'2025 Summay'!H9</f>
        <v>4</v>
      </c>
      <c r="H6" s="183">
        <f>'2025 Summay'!I9</f>
        <v>5</v>
      </c>
      <c r="I6" s="183">
        <f>'2025 Summay'!J9</f>
        <v>6</v>
      </c>
      <c r="J6" s="183">
        <f>'2025 Summay'!K9</f>
        <v>7</v>
      </c>
      <c r="K6" s="183">
        <f>'2025 Summay'!L9</f>
        <v>8</v>
      </c>
      <c r="L6" s="183">
        <f>'2025 Summay'!M9</f>
        <v>9</v>
      </c>
      <c r="M6" s="183">
        <f>'2025 Summay'!N9</f>
        <v>10</v>
      </c>
      <c r="N6" s="183">
        <f>'2025 Summay'!O9</f>
        <v>11</v>
      </c>
      <c r="O6" s="183">
        <f>'2025 Summay'!P9</f>
        <v>12</v>
      </c>
      <c r="P6" s="242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 t="s">
        <v>6</v>
      </c>
      <c r="AE6" s="177" t="s">
        <v>156</v>
      </c>
      <c r="AF6" s="157">
        <v>2019</v>
      </c>
      <c r="AI6" s="183"/>
    </row>
    <row r="7" spans="1:35">
      <c r="C7" s="105" t="s">
        <v>154</v>
      </c>
      <c r="D7" s="141" t="str">
        <f>'2025 Summay'!E10</f>
        <v>Budget</v>
      </c>
      <c r="E7" s="141" t="str">
        <f>'2025 Summay'!F10</f>
        <v>Budget</v>
      </c>
      <c r="F7" s="141" t="str">
        <f>'2025 Summay'!G10</f>
        <v>Budget</v>
      </c>
      <c r="G7" s="141" t="str">
        <f>'2025 Summay'!H10</f>
        <v>Budget</v>
      </c>
      <c r="H7" s="141" t="str">
        <f>'2025 Summay'!I10</f>
        <v>Budget</v>
      </c>
      <c r="I7" s="141" t="str">
        <f>'2025 Summay'!J10</f>
        <v>Budget</v>
      </c>
      <c r="J7" s="141" t="str">
        <f>'2025 Summay'!K10</f>
        <v>Budget</v>
      </c>
      <c r="K7" s="141" t="str">
        <f>'2025 Summay'!L10</f>
        <v>Budget</v>
      </c>
      <c r="L7" s="141" t="str">
        <f>'2025 Summay'!M10</f>
        <v>Budget</v>
      </c>
      <c r="M7" s="141" t="str">
        <f>'2025 Summay'!N10</f>
        <v>Budget</v>
      </c>
      <c r="N7" s="141" t="str">
        <f>'2025 Summay'!O10</f>
        <v>Budget</v>
      </c>
      <c r="O7" s="141" t="str">
        <f>'2025 Summay'!P10</f>
        <v>Budget</v>
      </c>
      <c r="P7" s="142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189"/>
      <c r="AE7" s="132"/>
      <c r="AF7" s="335" t="s">
        <v>12</v>
      </c>
    </row>
    <row r="8" spans="1:35">
      <c r="C8" s="105" t="s">
        <v>154</v>
      </c>
      <c r="D8" s="105"/>
      <c r="E8" s="105"/>
      <c r="F8" s="105"/>
      <c r="G8" s="105"/>
      <c r="H8" s="105"/>
      <c r="I8" s="105"/>
      <c r="K8" s="141" t="s">
        <v>950</v>
      </c>
      <c r="M8" s="141" t="s">
        <v>950</v>
      </c>
      <c r="N8" s="141" t="s">
        <v>950</v>
      </c>
      <c r="O8" s="141" t="s">
        <v>950</v>
      </c>
      <c r="P8" s="142" t="s">
        <v>950</v>
      </c>
      <c r="Q8" s="105"/>
      <c r="R8" s="105"/>
      <c r="S8" s="105"/>
      <c r="T8" s="105"/>
      <c r="U8" s="105"/>
      <c r="V8" s="105"/>
      <c r="W8" s="105"/>
      <c r="AF8" s="129"/>
    </row>
    <row r="9" spans="1:35">
      <c r="A9" s="105" t="s">
        <v>905</v>
      </c>
      <c r="B9" s="105" t="s">
        <v>951</v>
      </c>
      <c r="C9" s="109" t="s">
        <v>175</v>
      </c>
      <c r="D9" s="270">
        <f t="shared" ref="D9:O9" si="0">D99</f>
        <v>385438.47</v>
      </c>
      <c r="E9" s="270">
        <f t="shared" si="0"/>
        <v>346601.94</v>
      </c>
      <c r="F9" s="270">
        <f t="shared" si="0"/>
        <v>359214.53</v>
      </c>
      <c r="G9" s="270">
        <f t="shared" si="0"/>
        <v>375893.48</v>
      </c>
      <c r="H9" s="270">
        <f t="shared" si="0"/>
        <v>402330.66</v>
      </c>
      <c r="I9" s="270">
        <f t="shared" si="0"/>
        <v>379787.47</v>
      </c>
      <c r="J9" s="270">
        <f t="shared" si="0"/>
        <v>381306.28</v>
      </c>
      <c r="K9" s="270">
        <f t="shared" si="0"/>
        <v>381144.1</v>
      </c>
      <c r="L9" s="270">
        <f t="shared" si="0"/>
        <v>381345.1</v>
      </c>
      <c r="M9" s="270">
        <f t="shared" si="0"/>
        <v>429099.13999999996</v>
      </c>
      <c r="N9" s="270">
        <f t="shared" si="0"/>
        <v>380647.16000000003</v>
      </c>
      <c r="O9" s="270">
        <f t="shared" si="0"/>
        <v>380147.62</v>
      </c>
      <c r="P9" s="129">
        <f>SUM(D9:O9)</f>
        <v>4582955.95</v>
      </c>
      <c r="Q9" s="142">
        <f t="shared" ref="Q9:AB9" si="1">Q99</f>
        <v>413597.06</v>
      </c>
      <c r="R9" s="142">
        <f t="shared" si="1"/>
        <v>373585.72</v>
      </c>
      <c r="S9" s="142">
        <f t="shared" si="1"/>
        <v>344977.05000000005</v>
      </c>
      <c r="T9" s="142">
        <f t="shared" si="1"/>
        <v>378850.38</v>
      </c>
      <c r="U9" s="142">
        <f t="shared" si="1"/>
        <v>373201.78</v>
      </c>
      <c r="V9" s="142">
        <f t="shared" si="1"/>
        <v>380541.20999999996</v>
      </c>
      <c r="W9" s="142">
        <f t="shared" si="1"/>
        <v>368763.27</v>
      </c>
      <c r="X9" s="142">
        <f t="shared" si="1"/>
        <v>359414.54999999993</v>
      </c>
      <c r="Y9" s="142">
        <f t="shared" si="1"/>
        <v>433281.33</v>
      </c>
      <c r="Z9" s="142">
        <f t="shared" si="1"/>
        <v>460817.16000000003</v>
      </c>
      <c r="AA9" s="142">
        <f t="shared" si="1"/>
        <v>471534.18</v>
      </c>
      <c r="AB9" s="142">
        <f t="shared" si="1"/>
        <v>417725.48</v>
      </c>
      <c r="AC9" s="142">
        <f>SUM(Q9:AB9)</f>
        <v>4776289.17</v>
      </c>
      <c r="AD9" s="129">
        <f>AC9-P9</f>
        <v>193333.21999999974</v>
      </c>
      <c r="AE9" s="132">
        <f>AD9/AC9</f>
        <v>4.0477704158770549E-2</v>
      </c>
      <c r="AF9" s="129">
        <v>5503137.8399999999</v>
      </c>
      <c r="AG9" s="124">
        <f>AF9-P9</f>
        <v>920181.88999999966</v>
      </c>
      <c r="AH9" s="124"/>
      <c r="AI9" s="251"/>
    </row>
    <row r="10" spans="1:35">
      <c r="C10" s="105" t="s">
        <v>154</v>
      </c>
      <c r="D10" s="126"/>
      <c r="E10" s="126"/>
      <c r="F10" s="126"/>
      <c r="G10" s="126"/>
      <c r="H10" s="126"/>
      <c r="I10" s="126"/>
      <c r="J10" s="126"/>
      <c r="K10" s="126" t="s">
        <v>950</v>
      </c>
      <c r="L10" s="126"/>
      <c r="M10" s="126" t="s">
        <v>950</v>
      </c>
      <c r="N10" s="126" t="s">
        <v>950</v>
      </c>
      <c r="O10" s="126" t="s">
        <v>950</v>
      </c>
      <c r="P10" s="129" t="s">
        <v>950</v>
      </c>
      <c r="X10" s="141"/>
      <c r="Y10" s="141"/>
      <c r="Z10" s="141"/>
      <c r="AA10" s="141"/>
      <c r="AB10" s="141"/>
      <c r="AF10" s="129"/>
      <c r="AG10" s="124"/>
      <c r="AH10" s="124"/>
      <c r="AI10" s="251"/>
    </row>
    <row r="11" spans="1:35" s="287" customFormat="1">
      <c r="C11" s="287" t="s">
        <v>176</v>
      </c>
      <c r="D11" s="336"/>
      <c r="E11" s="336"/>
      <c r="F11" s="336"/>
      <c r="G11" s="336"/>
      <c r="H11" s="336"/>
      <c r="I11" s="336"/>
      <c r="J11" s="336"/>
      <c r="K11" s="336" t="s">
        <v>950</v>
      </c>
      <c r="L11" s="336"/>
      <c r="M11" s="336" t="s">
        <v>950</v>
      </c>
      <c r="N11" s="336" t="s">
        <v>950</v>
      </c>
      <c r="O11" s="336" t="s">
        <v>950</v>
      </c>
      <c r="P11" s="250" t="s">
        <v>950</v>
      </c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250"/>
      <c r="AD11" s="323"/>
      <c r="AE11" s="327"/>
      <c r="AF11" s="250"/>
      <c r="AG11" s="124"/>
      <c r="AH11" s="124"/>
      <c r="AI11" s="251"/>
    </row>
    <row r="12" spans="1:35" s="287" customFormat="1">
      <c r="A12" s="287" t="s">
        <v>715</v>
      </c>
      <c r="B12" s="287" t="s">
        <v>951</v>
      </c>
      <c r="C12" s="287" t="s">
        <v>143</v>
      </c>
      <c r="D12" s="337">
        <v>56872</v>
      </c>
      <c r="E12" s="337">
        <v>56872</v>
      </c>
      <c r="F12" s="337">
        <v>56872</v>
      </c>
      <c r="G12" s="337">
        <v>56872</v>
      </c>
      <c r="H12" s="337">
        <v>56872</v>
      </c>
      <c r="I12" s="337">
        <v>56872</v>
      </c>
      <c r="J12" s="337">
        <v>56872</v>
      </c>
      <c r="K12" s="337">
        <v>56872</v>
      </c>
      <c r="L12" s="337">
        <v>56872</v>
      </c>
      <c r="M12" s="337">
        <v>56872</v>
      </c>
      <c r="N12" s="337">
        <v>56872</v>
      </c>
      <c r="O12" s="337">
        <v>56872</v>
      </c>
      <c r="P12" s="324">
        <f>SUM(D12:O12)</f>
        <v>682464</v>
      </c>
      <c r="Q12" s="329">
        <v>51160.72</v>
      </c>
      <c r="R12" s="329">
        <v>48264.56</v>
      </c>
      <c r="S12" s="329">
        <v>46142.080000000002</v>
      </c>
      <c r="T12" s="329">
        <v>88220.12</v>
      </c>
      <c r="U12" s="329">
        <v>50050.32</v>
      </c>
      <c r="V12" s="329">
        <v>50386.080000000002</v>
      </c>
      <c r="W12" s="329">
        <v>49380.52</v>
      </c>
      <c r="X12" s="329">
        <v>51431.199999999997</v>
      </c>
      <c r="Y12" s="329">
        <v>55000</v>
      </c>
      <c r="Z12" s="329">
        <v>55000</v>
      </c>
      <c r="AA12" s="329">
        <v>55000</v>
      </c>
      <c r="AB12" s="329">
        <v>55000</v>
      </c>
      <c r="AC12" s="330">
        <f t="shared" ref="AC12:AC62" si="2">SUM(Q12:AB12)</f>
        <v>655035.60000000009</v>
      </c>
      <c r="AD12" s="328">
        <f t="shared" ref="AD12:AD64" si="3">AC12-P12</f>
        <v>-27428.399999999907</v>
      </c>
      <c r="AE12" s="331">
        <f t="shared" ref="AE12:AE64" si="4">AD12/AC12</f>
        <v>-4.1873143994005671E-2</v>
      </c>
      <c r="AF12" s="250">
        <v>702423.78999999992</v>
      </c>
      <c r="AG12" s="124">
        <f t="shared" ref="AG12:AG75" si="5">AF12-P12</f>
        <v>19959.789999999921</v>
      </c>
      <c r="AH12" s="124"/>
      <c r="AI12" s="251"/>
    </row>
    <row r="13" spans="1:35" s="287" customFormat="1">
      <c r="A13" s="287" t="s">
        <v>687</v>
      </c>
      <c r="B13" s="287" t="s">
        <v>951</v>
      </c>
      <c r="C13" s="287" t="s">
        <v>144</v>
      </c>
      <c r="D13" s="338">
        <f>D106+D107+D108</f>
        <v>157286.62</v>
      </c>
      <c r="E13" s="338">
        <f t="shared" ref="E13:O13" si="6">E106+E107+E108</f>
        <v>152484.66</v>
      </c>
      <c r="F13" s="338">
        <f t="shared" si="6"/>
        <v>153242.66</v>
      </c>
      <c r="G13" s="338">
        <f t="shared" si="6"/>
        <v>157720.14000000001</v>
      </c>
      <c r="H13" s="338">
        <f t="shared" si="6"/>
        <v>157830.9</v>
      </c>
      <c r="I13" s="338">
        <f t="shared" si="6"/>
        <v>156320.66</v>
      </c>
      <c r="J13" s="338">
        <f t="shared" si="6"/>
        <v>156300.66</v>
      </c>
      <c r="K13" s="338">
        <f t="shared" si="6"/>
        <v>156342.66</v>
      </c>
      <c r="L13" s="338">
        <f t="shared" si="6"/>
        <v>156375.66</v>
      </c>
      <c r="M13" s="338">
        <f t="shared" si="6"/>
        <v>164697.1</v>
      </c>
      <c r="N13" s="338">
        <f t="shared" si="6"/>
        <v>156232.66</v>
      </c>
      <c r="O13" s="338">
        <f t="shared" si="6"/>
        <v>156221.66</v>
      </c>
      <c r="P13" s="324">
        <f t="shared" ref="P13:P62" si="7">SUM(D13:O13)</f>
        <v>1881056.0399999998</v>
      </c>
      <c r="Q13" s="329">
        <v>156398.10999999999</v>
      </c>
      <c r="R13" s="329">
        <v>168327.14</v>
      </c>
      <c r="S13" s="329">
        <v>156596.6</v>
      </c>
      <c r="T13" s="329">
        <v>181173.52</v>
      </c>
      <c r="U13" s="329">
        <v>145157.63</v>
      </c>
      <c r="V13" s="329">
        <v>32768.74</v>
      </c>
      <c r="W13" s="329">
        <v>124864.93</v>
      </c>
      <c r="X13" s="329">
        <v>139464.93</v>
      </c>
      <c r="Y13" s="329">
        <v>102503.12</v>
      </c>
      <c r="Z13" s="329">
        <v>102503.29</v>
      </c>
      <c r="AA13" s="329">
        <v>48652.27</v>
      </c>
      <c r="AB13" s="329">
        <v>102502.64</v>
      </c>
      <c r="AC13" s="330">
        <f t="shared" si="2"/>
        <v>1460912.9199999997</v>
      </c>
      <c r="AD13" s="328">
        <f t="shared" si="3"/>
        <v>-420143.12000000011</v>
      </c>
      <c r="AE13" s="331">
        <f t="shared" si="4"/>
        <v>-0.28758943414642413</v>
      </c>
      <c r="AF13" s="250">
        <v>123652.05</v>
      </c>
      <c r="AG13" s="124">
        <f t="shared" si="5"/>
        <v>-1757403.9899999998</v>
      </c>
      <c r="AH13" s="124"/>
      <c r="AI13" s="251"/>
    </row>
    <row r="14" spans="1:35" s="287" customFormat="1">
      <c r="A14" s="287" t="s">
        <v>181</v>
      </c>
      <c r="B14" s="287" t="s">
        <v>951</v>
      </c>
      <c r="C14" s="287" t="s">
        <v>182</v>
      </c>
      <c r="D14" s="337"/>
      <c r="E14" s="337"/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24">
        <f t="shared" si="7"/>
        <v>0</v>
      </c>
      <c r="Q14" s="329"/>
      <c r="R14" s="329"/>
      <c r="S14" s="329"/>
      <c r="T14" s="329"/>
      <c r="U14" s="329"/>
      <c r="V14" s="329"/>
      <c r="W14" s="329">
        <v>0</v>
      </c>
      <c r="X14" s="329">
        <v>0</v>
      </c>
      <c r="Y14" s="329">
        <v>0</v>
      </c>
      <c r="Z14" s="329">
        <v>0</v>
      </c>
      <c r="AA14" s="329">
        <v>0</v>
      </c>
      <c r="AB14" s="329">
        <v>0</v>
      </c>
      <c r="AC14" s="330">
        <f t="shared" si="2"/>
        <v>0</v>
      </c>
      <c r="AD14" s="328">
        <f t="shared" si="3"/>
        <v>0</v>
      </c>
      <c r="AE14" s="331"/>
      <c r="AF14" s="250">
        <v>0</v>
      </c>
      <c r="AG14" s="124">
        <f t="shared" si="5"/>
        <v>0</v>
      </c>
      <c r="AH14" s="124"/>
      <c r="AI14" s="251"/>
    </row>
    <row r="15" spans="1:35" s="287" customFormat="1">
      <c r="A15" s="287" t="s">
        <v>834</v>
      </c>
      <c r="B15" s="287" t="s">
        <v>951</v>
      </c>
      <c r="C15" s="287" t="s">
        <v>431</v>
      </c>
      <c r="D15" s="337"/>
      <c r="E15" s="337"/>
      <c r="F15" s="337"/>
      <c r="G15" s="337"/>
      <c r="H15" s="337"/>
      <c r="I15" s="337"/>
      <c r="J15" s="337"/>
      <c r="K15" s="337"/>
      <c r="L15" s="337"/>
      <c r="M15" s="337"/>
      <c r="N15" s="337"/>
      <c r="O15" s="337"/>
      <c r="P15" s="324">
        <f t="shared" si="7"/>
        <v>0</v>
      </c>
      <c r="Q15" s="329"/>
      <c r="R15" s="329"/>
      <c r="S15" s="329"/>
      <c r="T15" s="329"/>
      <c r="U15" s="329"/>
      <c r="V15" s="329"/>
      <c r="W15" s="329">
        <v>0</v>
      </c>
      <c r="X15" s="329">
        <v>0</v>
      </c>
      <c r="Y15" s="329">
        <v>0</v>
      </c>
      <c r="Z15" s="329">
        <v>0</v>
      </c>
      <c r="AA15" s="329">
        <v>0</v>
      </c>
      <c r="AB15" s="329">
        <v>0</v>
      </c>
      <c r="AC15" s="330">
        <f t="shared" si="2"/>
        <v>0</v>
      </c>
      <c r="AD15" s="328">
        <f t="shared" si="3"/>
        <v>0</v>
      </c>
      <c r="AE15" s="331"/>
      <c r="AF15" s="250">
        <v>0</v>
      </c>
      <c r="AG15" s="124">
        <f t="shared" si="5"/>
        <v>0</v>
      </c>
      <c r="AH15" s="124"/>
      <c r="AI15" s="251"/>
    </row>
    <row r="16" spans="1:35" s="287" customFormat="1">
      <c r="A16" s="287" t="s">
        <v>688</v>
      </c>
      <c r="B16" s="287" t="s">
        <v>951</v>
      </c>
      <c r="C16" s="287" t="s">
        <v>184</v>
      </c>
      <c r="D16" s="337">
        <v>0</v>
      </c>
      <c r="E16" s="337">
        <v>0</v>
      </c>
      <c r="F16" s="337">
        <v>0</v>
      </c>
      <c r="G16" s="337">
        <v>0</v>
      </c>
      <c r="H16" s="337">
        <v>0</v>
      </c>
      <c r="I16" s="337">
        <v>0</v>
      </c>
      <c r="J16" s="337">
        <v>0</v>
      </c>
      <c r="K16" s="337">
        <v>0</v>
      </c>
      <c r="L16" s="337">
        <v>0</v>
      </c>
      <c r="M16" s="337">
        <v>0</v>
      </c>
      <c r="N16" s="337">
        <v>0</v>
      </c>
      <c r="O16" s="337">
        <v>0</v>
      </c>
      <c r="P16" s="324">
        <f>SUM(D16:O16)</f>
        <v>0</v>
      </c>
      <c r="Q16" s="329">
        <v>504.72</v>
      </c>
      <c r="R16" s="329">
        <v>50.51</v>
      </c>
      <c r="S16" s="329">
        <v>0</v>
      </c>
      <c r="T16" s="329">
        <v>0</v>
      </c>
      <c r="U16" s="329">
        <v>0</v>
      </c>
      <c r="V16" s="329">
        <v>0</v>
      </c>
      <c r="W16" s="329">
        <v>0</v>
      </c>
      <c r="X16" s="329">
        <v>388.83</v>
      </c>
      <c r="Y16" s="329">
        <v>600</v>
      </c>
      <c r="Z16" s="329">
        <v>600</v>
      </c>
      <c r="AA16" s="329">
        <v>600</v>
      </c>
      <c r="AB16" s="329">
        <v>600</v>
      </c>
      <c r="AC16" s="330">
        <f t="shared" si="2"/>
        <v>3344.06</v>
      </c>
      <c r="AD16" s="328">
        <f t="shared" si="3"/>
        <v>3344.06</v>
      </c>
      <c r="AE16" s="331">
        <f t="shared" si="4"/>
        <v>1</v>
      </c>
      <c r="AF16" s="250">
        <v>2730.56</v>
      </c>
      <c r="AG16" s="124">
        <f t="shared" si="5"/>
        <v>2730.56</v>
      </c>
      <c r="AH16" s="124"/>
      <c r="AI16" s="251"/>
    </row>
    <row r="17" spans="1:35" s="287" customFormat="1">
      <c r="A17" s="287" t="s">
        <v>835</v>
      </c>
      <c r="B17" s="287" t="s">
        <v>951</v>
      </c>
      <c r="C17" s="287" t="s">
        <v>305</v>
      </c>
      <c r="D17" s="337">
        <v>0</v>
      </c>
      <c r="E17" s="337">
        <v>0</v>
      </c>
      <c r="F17" s="337">
        <v>0</v>
      </c>
      <c r="G17" s="337">
        <v>0</v>
      </c>
      <c r="H17" s="337">
        <v>0</v>
      </c>
      <c r="I17" s="337">
        <v>0</v>
      </c>
      <c r="J17" s="337">
        <v>0</v>
      </c>
      <c r="K17" s="337">
        <v>0</v>
      </c>
      <c r="L17" s="337">
        <v>0</v>
      </c>
      <c r="M17" s="337">
        <v>0</v>
      </c>
      <c r="N17" s="337">
        <v>0</v>
      </c>
      <c r="O17" s="337">
        <v>0</v>
      </c>
      <c r="P17" s="324">
        <f t="shared" si="7"/>
        <v>0</v>
      </c>
      <c r="Q17" s="329"/>
      <c r="R17" s="329"/>
      <c r="S17" s="329"/>
      <c r="T17" s="329"/>
      <c r="U17" s="329"/>
      <c r="V17" s="329"/>
      <c r="W17" s="329">
        <v>0</v>
      </c>
      <c r="X17" s="329">
        <v>0</v>
      </c>
      <c r="Y17" s="329">
        <v>0</v>
      </c>
      <c r="Z17" s="329">
        <v>0</v>
      </c>
      <c r="AA17" s="329">
        <v>0</v>
      </c>
      <c r="AB17" s="329">
        <v>0</v>
      </c>
      <c r="AC17" s="330">
        <f t="shared" si="2"/>
        <v>0</v>
      </c>
      <c r="AD17" s="328">
        <f t="shared" si="3"/>
        <v>0</v>
      </c>
      <c r="AE17" s="331"/>
      <c r="AF17" s="250">
        <v>0</v>
      </c>
      <c r="AG17" s="124">
        <f t="shared" si="5"/>
        <v>0</v>
      </c>
      <c r="AH17" s="124"/>
      <c r="AI17" s="251"/>
    </row>
    <row r="18" spans="1:35" s="287" customFormat="1">
      <c r="A18" s="287" t="s">
        <v>689</v>
      </c>
      <c r="B18" s="287" t="s">
        <v>951</v>
      </c>
      <c r="C18" s="287" t="s">
        <v>202</v>
      </c>
      <c r="D18" s="337">
        <v>0</v>
      </c>
      <c r="E18" s="337">
        <v>0</v>
      </c>
      <c r="F18" s="337">
        <v>0</v>
      </c>
      <c r="G18" s="337">
        <v>0</v>
      </c>
      <c r="H18" s="337">
        <v>0</v>
      </c>
      <c r="I18" s="337">
        <v>0</v>
      </c>
      <c r="J18" s="337">
        <v>0</v>
      </c>
      <c r="K18" s="337">
        <v>0</v>
      </c>
      <c r="L18" s="337">
        <v>0</v>
      </c>
      <c r="M18" s="337">
        <v>0</v>
      </c>
      <c r="N18" s="337">
        <v>0</v>
      </c>
      <c r="O18" s="337">
        <v>0</v>
      </c>
      <c r="P18" s="324">
        <f t="shared" si="7"/>
        <v>0</v>
      </c>
      <c r="Q18" s="329">
        <v>0</v>
      </c>
      <c r="R18" s="329">
        <v>0</v>
      </c>
      <c r="S18" s="329">
        <v>0</v>
      </c>
      <c r="T18" s="329">
        <v>0</v>
      </c>
      <c r="U18" s="329">
        <v>0</v>
      </c>
      <c r="V18" s="329">
        <v>0</v>
      </c>
      <c r="W18" s="329">
        <v>0</v>
      </c>
      <c r="X18" s="329">
        <v>0</v>
      </c>
      <c r="Y18" s="329">
        <v>0</v>
      </c>
      <c r="Z18" s="329">
        <v>0</v>
      </c>
      <c r="AA18" s="329">
        <v>0</v>
      </c>
      <c r="AB18" s="329">
        <v>0</v>
      </c>
      <c r="AC18" s="330">
        <f t="shared" si="2"/>
        <v>0</v>
      </c>
      <c r="AD18" s="328">
        <f t="shared" si="3"/>
        <v>0</v>
      </c>
      <c r="AE18" s="331"/>
      <c r="AF18" s="250">
        <v>0</v>
      </c>
      <c r="AG18" s="124">
        <f t="shared" si="5"/>
        <v>0</v>
      </c>
      <c r="AH18" s="124"/>
      <c r="AI18" s="251"/>
    </row>
    <row r="19" spans="1:35" s="287" customFormat="1">
      <c r="A19" s="287" t="s">
        <v>692</v>
      </c>
      <c r="B19" s="287" t="s">
        <v>951</v>
      </c>
      <c r="C19" s="287" t="s">
        <v>204</v>
      </c>
      <c r="D19" s="337">
        <v>1000</v>
      </c>
      <c r="E19" s="337">
        <v>1000</v>
      </c>
      <c r="F19" s="337">
        <v>1000</v>
      </c>
      <c r="G19" s="337">
        <v>1000</v>
      </c>
      <c r="H19" s="337">
        <v>1000</v>
      </c>
      <c r="I19" s="337">
        <v>1000</v>
      </c>
      <c r="J19" s="337">
        <v>1000</v>
      </c>
      <c r="K19" s="337">
        <v>1000</v>
      </c>
      <c r="L19" s="337">
        <v>1000</v>
      </c>
      <c r="M19" s="337">
        <v>1000</v>
      </c>
      <c r="N19" s="337">
        <v>1000</v>
      </c>
      <c r="O19" s="337">
        <v>1000</v>
      </c>
      <c r="P19" s="324">
        <f t="shared" si="7"/>
        <v>12000</v>
      </c>
      <c r="Q19" s="329">
        <v>3528</v>
      </c>
      <c r="R19" s="329">
        <v>3528</v>
      </c>
      <c r="S19" s="329">
        <v>3528</v>
      </c>
      <c r="T19" s="329">
        <v>0</v>
      </c>
      <c r="U19" s="329">
        <v>0</v>
      </c>
      <c r="V19" s="329">
        <v>0</v>
      </c>
      <c r="W19" s="329">
        <v>-103.45</v>
      </c>
      <c r="X19" s="329">
        <v>-38.799999999999997</v>
      </c>
      <c r="Y19" s="329">
        <v>0</v>
      </c>
      <c r="Z19" s="329">
        <v>0</v>
      </c>
      <c r="AA19" s="329">
        <v>0</v>
      </c>
      <c r="AB19" s="329">
        <v>0</v>
      </c>
      <c r="AC19" s="330">
        <f t="shared" si="2"/>
        <v>10441.75</v>
      </c>
      <c r="AD19" s="328">
        <f t="shared" si="3"/>
        <v>-1558.25</v>
      </c>
      <c r="AE19" s="331">
        <f t="shared" si="4"/>
        <v>-0.14923264778413581</v>
      </c>
      <c r="AF19" s="250">
        <v>76682.899999999994</v>
      </c>
      <c r="AG19" s="124">
        <f t="shared" si="5"/>
        <v>64682.899999999994</v>
      </c>
      <c r="AH19" s="124"/>
      <c r="AI19" s="251"/>
    </row>
    <row r="20" spans="1:35" s="287" customFormat="1">
      <c r="A20" s="287" t="s">
        <v>717</v>
      </c>
      <c r="B20" s="287" t="s">
        <v>951</v>
      </c>
      <c r="C20" s="287" t="s">
        <v>208</v>
      </c>
      <c r="D20" s="337">
        <v>40</v>
      </c>
      <c r="E20" s="337">
        <v>40</v>
      </c>
      <c r="F20" s="337">
        <v>40</v>
      </c>
      <c r="G20" s="337">
        <v>40</v>
      </c>
      <c r="H20" s="337">
        <v>40</v>
      </c>
      <c r="I20" s="337">
        <v>40</v>
      </c>
      <c r="J20" s="337">
        <v>40</v>
      </c>
      <c r="K20" s="337">
        <v>40</v>
      </c>
      <c r="L20" s="337">
        <v>40</v>
      </c>
      <c r="M20" s="337">
        <v>40</v>
      </c>
      <c r="N20" s="337">
        <v>40</v>
      </c>
      <c r="O20" s="337">
        <v>40</v>
      </c>
      <c r="P20" s="324">
        <f t="shared" si="7"/>
        <v>480</v>
      </c>
      <c r="Q20" s="329">
        <v>39.82</v>
      </c>
      <c r="R20" s="329">
        <v>39.82</v>
      </c>
      <c r="S20" s="329">
        <v>39.82</v>
      </c>
      <c r="T20" s="329">
        <v>39.82</v>
      </c>
      <c r="U20" s="329">
        <v>39.82</v>
      </c>
      <c r="V20" s="329">
        <v>39.82</v>
      </c>
      <c r="W20" s="329">
        <v>39.82</v>
      </c>
      <c r="X20" s="329">
        <v>39.82</v>
      </c>
      <c r="Y20" s="329">
        <v>50</v>
      </c>
      <c r="Z20" s="329">
        <v>50</v>
      </c>
      <c r="AA20" s="329">
        <v>50</v>
      </c>
      <c r="AB20" s="329">
        <v>50</v>
      </c>
      <c r="AC20" s="330">
        <f t="shared" si="2"/>
        <v>518.55999999999995</v>
      </c>
      <c r="AD20" s="328">
        <f t="shared" si="3"/>
        <v>38.559999999999945</v>
      </c>
      <c r="AE20" s="331">
        <f t="shared" si="4"/>
        <v>7.4359765504473832E-2</v>
      </c>
      <c r="AF20" s="250">
        <v>526.4</v>
      </c>
      <c r="AG20" s="124">
        <f t="shared" si="5"/>
        <v>46.399999999999977</v>
      </c>
      <c r="AH20" s="124"/>
      <c r="AI20" s="251"/>
    </row>
    <row r="21" spans="1:35" s="287" customFormat="1">
      <c r="A21" s="287" t="s">
        <v>690</v>
      </c>
      <c r="B21" s="287" t="s">
        <v>951</v>
      </c>
      <c r="C21" s="287" t="s">
        <v>210</v>
      </c>
      <c r="D21" s="337">
        <v>25</v>
      </c>
      <c r="E21" s="337">
        <v>25</v>
      </c>
      <c r="F21" s="337">
        <v>25</v>
      </c>
      <c r="G21" s="337">
        <v>25</v>
      </c>
      <c r="H21" s="337">
        <v>25</v>
      </c>
      <c r="I21" s="337">
        <v>25</v>
      </c>
      <c r="J21" s="337">
        <v>25</v>
      </c>
      <c r="K21" s="337">
        <v>25</v>
      </c>
      <c r="L21" s="337">
        <v>25</v>
      </c>
      <c r="M21" s="337">
        <v>25</v>
      </c>
      <c r="N21" s="337">
        <v>25</v>
      </c>
      <c r="O21" s="337">
        <v>25</v>
      </c>
      <c r="P21" s="324">
        <f t="shared" si="7"/>
        <v>300</v>
      </c>
      <c r="Q21" s="329">
        <v>0</v>
      </c>
      <c r="R21" s="329">
        <v>0</v>
      </c>
      <c r="S21" s="329">
        <v>0</v>
      </c>
      <c r="T21" s="329">
        <v>0</v>
      </c>
      <c r="U21" s="329">
        <v>0</v>
      </c>
      <c r="V21" s="329">
        <v>0</v>
      </c>
      <c r="W21" s="329">
        <v>0</v>
      </c>
      <c r="X21" s="329">
        <v>0</v>
      </c>
      <c r="Y21" s="329">
        <v>0</v>
      </c>
      <c r="Z21" s="329">
        <v>0</v>
      </c>
      <c r="AA21" s="329">
        <v>0</v>
      </c>
      <c r="AB21" s="329">
        <v>0</v>
      </c>
      <c r="AC21" s="330">
        <f t="shared" si="2"/>
        <v>0</v>
      </c>
      <c r="AD21" s="328">
        <f t="shared" si="3"/>
        <v>-300</v>
      </c>
      <c r="AE21" s="331" t="e">
        <f t="shared" si="4"/>
        <v>#DIV/0!</v>
      </c>
      <c r="AF21" s="250">
        <v>47.24</v>
      </c>
      <c r="AG21" s="124">
        <f t="shared" si="5"/>
        <v>-252.76</v>
      </c>
      <c r="AH21" s="124"/>
      <c r="AI21" s="251"/>
    </row>
    <row r="22" spans="1:35" s="287" customFormat="1">
      <c r="A22" s="287" t="s">
        <v>694</v>
      </c>
      <c r="B22" s="287" t="s">
        <v>951</v>
      </c>
      <c r="C22" s="287" t="s">
        <v>212</v>
      </c>
      <c r="D22" s="337">
        <v>1100</v>
      </c>
      <c r="E22" s="337">
        <v>1100</v>
      </c>
      <c r="F22" s="337">
        <v>1100</v>
      </c>
      <c r="G22" s="337">
        <v>1100</v>
      </c>
      <c r="H22" s="337">
        <v>1100</v>
      </c>
      <c r="I22" s="337">
        <v>1100</v>
      </c>
      <c r="J22" s="337">
        <v>1100</v>
      </c>
      <c r="K22" s="337">
        <v>1100</v>
      </c>
      <c r="L22" s="337">
        <v>1100</v>
      </c>
      <c r="M22" s="337">
        <v>1100</v>
      </c>
      <c r="N22" s="337">
        <v>1100</v>
      </c>
      <c r="O22" s="337">
        <v>1100</v>
      </c>
      <c r="P22" s="324">
        <f>SUM(D22:O22)</f>
        <v>13200</v>
      </c>
      <c r="Q22" s="329">
        <v>1777.53</v>
      </c>
      <c r="R22" s="329">
        <v>978.55</v>
      </c>
      <c r="S22" s="329">
        <v>793.53</v>
      </c>
      <c r="T22" s="329">
        <v>893.79</v>
      </c>
      <c r="U22" s="329">
        <v>1656.23</v>
      </c>
      <c r="V22" s="329">
        <v>1133.24</v>
      </c>
      <c r="W22" s="329">
        <v>966.07</v>
      </c>
      <c r="X22" s="329">
        <v>504.19</v>
      </c>
      <c r="Y22" s="329">
        <v>1000</v>
      </c>
      <c r="Z22" s="329">
        <v>1000</v>
      </c>
      <c r="AA22" s="329">
        <v>1000</v>
      </c>
      <c r="AB22" s="329">
        <v>1000</v>
      </c>
      <c r="AC22" s="330">
        <f t="shared" si="2"/>
        <v>12703.13</v>
      </c>
      <c r="AD22" s="328">
        <f t="shared" si="3"/>
        <v>-496.8700000000008</v>
      </c>
      <c r="AE22" s="331">
        <f t="shared" si="4"/>
        <v>-3.9113982144558142E-2</v>
      </c>
      <c r="AF22" s="250">
        <v>12396.630000000001</v>
      </c>
      <c r="AG22" s="124">
        <f t="shared" si="5"/>
        <v>-803.36999999999898</v>
      </c>
      <c r="AH22" s="124"/>
      <c r="AI22" s="251"/>
    </row>
    <row r="23" spans="1:35" s="287" customFormat="1">
      <c r="A23" s="287" t="s">
        <v>709</v>
      </c>
      <c r="B23" s="287" t="s">
        <v>951</v>
      </c>
      <c r="C23" s="287" t="s">
        <v>214</v>
      </c>
      <c r="D23" s="339">
        <f>Laundry!E164</f>
        <v>1085</v>
      </c>
      <c r="E23" s="339">
        <f>Laundry!F164</f>
        <v>989</v>
      </c>
      <c r="F23" s="339">
        <f>Laundry!G164</f>
        <v>1000</v>
      </c>
      <c r="G23" s="339">
        <f>Laundry!H164</f>
        <v>1028</v>
      </c>
      <c r="H23" s="339">
        <f>Laundry!I164</f>
        <v>1057</v>
      </c>
      <c r="I23" s="339">
        <f>Laundry!J164</f>
        <v>1010</v>
      </c>
      <c r="J23" s="339">
        <f>Laundry!K164</f>
        <v>1077</v>
      </c>
      <c r="K23" s="339">
        <f>Laundry!L164</f>
        <v>1072</v>
      </c>
      <c r="L23" s="339">
        <f>Laundry!M164</f>
        <v>1034</v>
      </c>
      <c r="M23" s="339">
        <f>Laundry!N164</f>
        <v>1177</v>
      </c>
      <c r="N23" s="339">
        <f>Laundry!O164</f>
        <v>1040</v>
      </c>
      <c r="O23" s="339">
        <f>Laundry!P164</f>
        <v>1035</v>
      </c>
      <c r="P23" s="324">
        <f t="shared" si="7"/>
        <v>12604</v>
      </c>
      <c r="Q23" s="329">
        <v>1430.8</v>
      </c>
      <c r="R23" s="329">
        <v>1376.69</v>
      </c>
      <c r="S23" s="329">
        <v>1036.79</v>
      </c>
      <c r="T23" s="329">
        <v>996.81</v>
      </c>
      <c r="U23" s="329">
        <v>372.87</v>
      </c>
      <c r="V23" s="329">
        <v>1143.95</v>
      </c>
      <c r="W23" s="329">
        <v>973.99</v>
      </c>
      <c r="X23" s="329">
        <v>744.45</v>
      </c>
      <c r="Y23" s="329">
        <v>988</v>
      </c>
      <c r="Z23" s="329">
        <v>1105</v>
      </c>
      <c r="AA23" s="329">
        <v>929</v>
      </c>
      <c r="AB23" s="329">
        <v>949</v>
      </c>
      <c r="AC23" s="330">
        <f t="shared" si="2"/>
        <v>12047.349999999999</v>
      </c>
      <c r="AD23" s="328">
        <f t="shared" si="3"/>
        <v>-556.65000000000146</v>
      </c>
      <c r="AE23" s="331">
        <f t="shared" si="4"/>
        <v>-4.6205182052484695E-2</v>
      </c>
      <c r="AF23" s="250">
        <v>49835.419999999991</v>
      </c>
      <c r="AG23" s="124">
        <f t="shared" si="5"/>
        <v>37231.419999999991</v>
      </c>
      <c r="AH23" s="124"/>
      <c r="AI23" s="251"/>
    </row>
    <row r="24" spans="1:35" s="287" customFormat="1">
      <c r="A24" s="287" t="s">
        <v>306</v>
      </c>
      <c r="B24" s="287" t="s">
        <v>951</v>
      </c>
      <c r="C24" s="287" t="s">
        <v>206</v>
      </c>
      <c r="D24" s="337">
        <v>0</v>
      </c>
      <c r="E24" s="337">
        <v>0</v>
      </c>
      <c r="F24" s="337">
        <v>0</v>
      </c>
      <c r="G24" s="337">
        <v>0</v>
      </c>
      <c r="H24" s="337">
        <v>0</v>
      </c>
      <c r="I24" s="337">
        <v>0</v>
      </c>
      <c r="J24" s="337">
        <v>0</v>
      </c>
      <c r="K24" s="337">
        <v>0</v>
      </c>
      <c r="L24" s="337">
        <v>0</v>
      </c>
      <c r="M24" s="337">
        <v>0</v>
      </c>
      <c r="N24" s="337">
        <v>0</v>
      </c>
      <c r="O24" s="337">
        <v>0</v>
      </c>
      <c r="P24" s="324">
        <f t="shared" si="7"/>
        <v>0</v>
      </c>
      <c r="Q24" s="329">
        <v>0</v>
      </c>
      <c r="R24" s="329">
        <v>0</v>
      </c>
      <c r="S24" s="329">
        <v>0</v>
      </c>
      <c r="T24" s="329">
        <v>0</v>
      </c>
      <c r="U24" s="329">
        <v>0</v>
      </c>
      <c r="V24" s="329">
        <v>0</v>
      </c>
      <c r="W24" s="329">
        <v>0</v>
      </c>
      <c r="X24" s="329">
        <v>0</v>
      </c>
      <c r="Y24" s="329">
        <v>0</v>
      </c>
      <c r="Z24" s="329">
        <v>0</v>
      </c>
      <c r="AA24" s="329">
        <v>0</v>
      </c>
      <c r="AB24" s="329">
        <v>0</v>
      </c>
      <c r="AC24" s="330">
        <f t="shared" si="2"/>
        <v>0</v>
      </c>
      <c r="AD24" s="328">
        <f t="shared" si="3"/>
        <v>0</v>
      </c>
      <c r="AE24" s="331"/>
      <c r="AF24" s="250">
        <v>0</v>
      </c>
      <c r="AG24" s="124">
        <f t="shared" si="5"/>
        <v>0</v>
      </c>
      <c r="AH24" s="124"/>
      <c r="AI24" s="251"/>
    </row>
    <row r="25" spans="1:35" s="287" customFormat="1">
      <c r="A25" s="287" t="s">
        <v>696</v>
      </c>
      <c r="B25" s="287" t="s">
        <v>951</v>
      </c>
      <c r="C25" s="287" t="s">
        <v>216</v>
      </c>
      <c r="D25" s="337">
        <f>2375-861</f>
        <v>1514</v>
      </c>
      <c r="E25" s="337">
        <f t="shared" ref="E25:O25" si="8">2375-861</f>
        <v>1514</v>
      </c>
      <c r="F25" s="337">
        <f t="shared" si="8"/>
        <v>1514</v>
      </c>
      <c r="G25" s="337">
        <f t="shared" si="8"/>
        <v>1514</v>
      </c>
      <c r="H25" s="337">
        <f t="shared" si="8"/>
        <v>1514</v>
      </c>
      <c r="I25" s="337">
        <f t="shared" si="8"/>
        <v>1514</v>
      </c>
      <c r="J25" s="337">
        <f t="shared" si="8"/>
        <v>1514</v>
      </c>
      <c r="K25" s="337">
        <f t="shared" si="8"/>
        <v>1514</v>
      </c>
      <c r="L25" s="337">
        <f t="shared" si="8"/>
        <v>1514</v>
      </c>
      <c r="M25" s="337">
        <f t="shared" si="8"/>
        <v>1514</v>
      </c>
      <c r="N25" s="337">
        <f t="shared" si="8"/>
        <v>1514</v>
      </c>
      <c r="O25" s="337">
        <f t="shared" si="8"/>
        <v>1514</v>
      </c>
      <c r="P25" s="324">
        <f t="shared" si="7"/>
        <v>18168</v>
      </c>
      <c r="Q25" s="329">
        <v>-2040.18</v>
      </c>
      <c r="R25" s="329">
        <v>2100.3000000000002</v>
      </c>
      <c r="S25" s="329">
        <v>1201.5</v>
      </c>
      <c r="T25" s="329">
        <v>1947.25</v>
      </c>
      <c r="U25" s="329">
        <v>2451</v>
      </c>
      <c r="V25" s="329">
        <v>1583.53</v>
      </c>
      <c r="W25" s="329">
        <v>1976.31</v>
      </c>
      <c r="X25" s="329">
        <v>2257.58</v>
      </c>
      <c r="Y25" s="329">
        <v>2600</v>
      </c>
      <c r="Z25" s="329">
        <v>2600</v>
      </c>
      <c r="AA25" s="329">
        <v>2600</v>
      </c>
      <c r="AB25" s="329">
        <v>2600</v>
      </c>
      <c r="AC25" s="330">
        <f t="shared" si="2"/>
        <v>21877.29</v>
      </c>
      <c r="AD25" s="328">
        <f t="shared" si="3"/>
        <v>3709.2900000000009</v>
      </c>
      <c r="AE25" s="331">
        <f t="shared" si="4"/>
        <v>0.16954979341591214</v>
      </c>
      <c r="AF25" s="250">
        <v>63722.44</v>
      </c>
      <c r="AG25" s="124">
        <f t="shared" si="5"/>
        <v>45554.44</v>
      </c>
      <c r="AH25" s="124"/>
      <c r="AI25" s="251"/>
    </row>
    <row r="26" spans="1:35" s="287" customFormat="1">
      <c r="A26" s="287" t="s">
        <v>697</v>
      </c>
      <c r="B26" s="287" t="s">
        <v>951</v>
      </c>
      <c r="C26" s="287" t="s">
        <v>218</v>
      </c>
      <c r="D26" s="337">
        <v>500</v>
      </c>
      <c r="E26" s="337">
        <v>500</v>
      </c>
      <c r="F26" s="337">
        <v>500</v>
      </c>
      <c r="G26" s="337">
        <v>500</v>
      </c>
      <c r="H26" s="337">
        <v>500</v>
      </c>
      <c r="I26" s="337">
        <v>500</v>
      </c>
      <c r="J26" s="337">
        <v>500</v>
      </c>
      <c r="K26" s="337">
        <v>500</v>
      </c>
      <c r="L26" s="337">
        <v>500</v>
      </c>
      <c r="M26" s="337">
        <v>500</v>
      </c>
      <c r="N26" s="337">
        <v>500</v>
      </c>
      <c r="O26" s="337">
        <v>500</v>
      </c>
      <c r="P26" s="324">
        <f t="shared" si="7"/>
        <v>6000</v>
      </c>
      <c r="Q26" s="329">
        <v>-8559.65</v>
      </c>
      <c r="R26" s="329">
        <v>0</v>
      </c>
      <c r="S26" s="329">
        <v>10897.96</v>
      </c>
      <c r="T26" s="329">
        <v>3580</v>
      </c>
      <c r="U26" s="329">
        <v>4028.64</v>
      </c>
      <c r="V26" s="329">
        <v>3580</v>
      </c>
      <c r="W26" s="329">
        <v>3580</v>
      </c>
      <c r="X26" s="329">
        <v>3580</v>
      </c>
      <c r="Y26" s="329">
        <v>2500</v>
      </c>
      <c r="Z26" s="329">
        <v>2500</v>
      </c>
      <c r="AA26" s="329">
        <v>2500</v>
      </c>
      <c r="AB26" s="329">
        <v>2500</v>
      </c>
      <c r="AC26" s="330">
        <f t="shared" si="2"/>
        <v>30686.949999999997</v>
      </c>
      <c r="AD26" s="328">
        <f t="shared" si="3"/>
        <v>24686.949999999997</v>
      </c>
      <c r="AE26" s="331">
        <f t="shared" si="4"/>
        <v>0.80447714745192989</v>
      </c>
      <c r="AF26" s="250">
        <v>26559.600000000002</v>
      </c>
      <c r="AG26" s="124">
        <f t="shared" si="5"/>
        <v>20559.600000000002</v>
      </c>
      <c r="AH26" s="124"/>
      <c r="AI26" s="251"/>
    </row>
    <row r="27" spans="1:35" s="287" customFormat="1">
      <c r="A27" s="287" t="s">
        <v>836</v>
      </c>
      <c r="B27" s="287" t="s">
        <v>951</v>
      </c>
      <c r="C27" s="287" t="s">
        <v>220</v>
      </c>
      <c r="D27" s="337">
        <v>0</v>
      </c>
      <c r="E27" s="337">
        <v>4000</v>
      </c>
      <c r="F27" s="337">
        <v>0</v>
      </c>
      <c r="G27" s="337">
        <v>0</v>
      </c>
      <c r="H27" s="337">
        <v>0</v>
      </c>
      <c r="I27" s="337">
        <v>0</v>
      </c>
      <c r="J27" s="337">
        <v>0</v>
      </c>
      <c r="K27" s="337">
        <v>0</v>
      </c>
      <c r="L27" s="337">
        <v>4000</v>
      </c>
      <c r="M27" s="337">
        <v>0</v>
      </c>
      <c r="N27" s="337">
        <v>0</v>
      </c>
      <c r="O27" s="337">
        <v>0</v>
      </c>
      <c r="P27" s="324">
        <f t="shared" si="7"/>
        <v>8000</v>
      </c>
      <c r="Q27" s="329">
        <v>0</v>
      </c>
      <c r="R27" s="329">
        <v>0</v>
      </c>
      <c r="S27" s="329">
        <v>0</v>
      </c>
      <c r="T27" s="329">
        <v>388</v>
      </c>
      <c r="U27" s="329">
        <v>-159.83000000000001</v>
      </c>
      <c r="V27" s="329">
        <v>0</v>
      </c>
      <c r="W27" s="329">
        <v>0</v>
      </c>
      <c r="X27" s="329">
        <v>0</v>
      </c>
      <c r="Y27" s="329">
        <v>1000</v>
      </c>
      <c r="Z27" s="329">
        <v>1000</v>
      </c>
      <c r="AA27" s="329">
        <v>1000</v>
      </c>
      <c r="AB27" s="329">
        <v>1000</v>
      </c>
      <c r="AC27" s="330">
        <f t="shared" si="2"/>
        <v>4228.17</v>
      </c>
      <c r="AD27" s="328">
        <f t="shared" si="3"/>
        <v>-3771.83</v>
      </c>
      <c r="AE27" s="331">
        <f t="shared" si="4"/>
        <v>-0.89207151084275227</v>
      </c>
      <c r="AF27" s="250">
        <v>25418.57</v>
      </c>
      <c r="AG27" s="124">
        <f t="shared" si="5"/>
        <v>17418.57</v>
      </c>
      <c r="AH27" s="124"/>
      <c r="AI27" s="251"/>
    </row>
    <row r="28" spans="1:35" s="287" customFormat="1">
      <c r="A28" s="287">
        <v>60014101</v>
      </c>
      <c r="B28" s="287" t="s">
        <v>951</v>
      </c>
      <c r="C28" s="287" t="s">
        <v>459</v>
      </c>
      <c r="D28" s="337">
        <v>0</v>
      </c>
      <c r="E28" s="337">
        <v>0</v>
      </c>
      <c r="F28" s="337">
        <v>0</v>
      </c>
      <c r="G28" s="337">
        <v>0</v>
      </c>
      <c r="H28" s="337">
        <v>0</v>
      </c>
      <c r="I28" s="337">
        <v>0</v>
      </c>
      <c r="J28" s="337">
        <v>0</v>
      </c>
      <c r="K28" s="337">
        <v>0</v>
      </c>
      <c r="L28" s="337">
        <v>0</v>
      </c>
      <c r="M28" s="337">
        <v>0</v>
      </c>
      <c r="N28" s="337">
        <v>0</v>
      </c>
      <c r="O28" s="337">
        <v>0</v>
      </c>
      <c r="P28" s="324">
        <f t="shared" si="7"/>
        <v>0</v>
      </c>
      <c r="Q28" s="329">
        <v>0</v>
      </c>
      <c r="R28" s="329">
        <v>0</v>
      </c>
      <c r="S28" s="329">
        <v>0</v>
      </c>
      <c r="T28" s="329">
        <v>0</v>
      </c>
      <c r="U28" s="329">
        <v>0</v>
      </c>
      <c r="V28" s="329">
        <v>0</v>
      </c>
      <c r="W28" s="329">
        <v>0</v>
      </c>
      <c r="X28" s="329">
        <v>0</v>
      </c>
      <c r="Y28" s="329">
        <v>0</v>
      </c>
      <c r="Z28" s="329">
        <v>0</v>
      </c>
      <c r="AA28" s="329">
        <v>0</v>
      </c>
      <c r="AB28" s="329">
        <v>0</v>
      </c>
      <c r="AC28" s="330">
        <f t="shared" si="2"/>
        <v>0</v>
      </c>
      <c r="AD28" s="328">
        <f t="shared" si="3"/>
        <v>0</v>
      </c>
      <c r="AE28" s="331"/>
      <c r="AF28" s="250">
        <v>0</v>
      </c>
      <c r="AG28" s="124">
        <f t="shared" si="5"/>
        <v>0</v>
      </c>
      <c r="AH28" s="124"/>
      <c r="AI28" s="251"/>
    </row>
    <row r="29" spans="1:35" s="287" customFormat="1">
      <c r="A29" s="287" t="s">
        <v>746</v>
      </c>
      <c r="B29" s="287" t="s">
        <v>951</v>
      </c>
      <c r="C29" s="287" t="s">
        <v>678</v>
      </c>
      <c r="D29" s="337">
        <v>11317</v>
      </c>
      <c r="E29" s="337">
        <v>11317</v>
      </c>
      <c r="F29" s="337">
        <v>11317</v>
      </c>
      <c r="G29" s="337">
        <v>11317</v>
      </c>
      <c r="H29" s="337">
        <v>11317</v>
      </c>
      <c r="I29" s="337">
        <v>11317</v>
      </c>
      <c r="J29" s="337">
        <v>11317</v>
      </c>
      <c r="K29" s="337">
        <v>11317</v>
      </c>
      <c r="L29" s="337">
        <v>11317</v>
      </c>
      <c r="M29" s="337">
        <v>11317</v>
      </c>
      <c r="N29" s="337">
        <v>11317</v>
      </c>
      <c r="O29" s="337">
        <v>11317</v>
      </c>
      <c r="P29" s="324">
        <f>SUM(D29:O29)</f>
        <v>135804</v>
      </c>
      <c r="Q29" s="329">
        <v>0</v>
      </c>
      <c r="R29" s="329">
        <v>0</v>
      </c>
      <c r="S29" s="329">
        <v>-50547.6</v>
      </c>
      <c r="T29" s="329">
        <v>8980</v>
      </c>
      <c r="U29" s="329">
        <v>14090.06</v>
      </c>
      <c r="V29" s="329">
        <v>14090.06</v>
      </c>
      <c r="W29" s="329">
        <v>34530.300000000003</v>
      </c>
      <c r="X29" s="329">
        <v>23352.32</v>
      </c>
      <c r="Y29" s="329">
        <v>14000</v>
      </c>
      <c r="Z29" s="329">
        <v>14000</v>
      </c>
      <c r="AA29" s="329">
        <v>14000</v>
      </c>
      <c r="AB29" s="329">
        <v>14000</v>
      </c>
      <c r="AC29" s="330">
        <f t="shared" si="2"/>
        <v>100495.14</v>
      </c>
      <c r="AD29" s="328">
        <f>AC29-P29</f>
        <v>-35308.86</v>
      </c>
      <c r="AE29" s="331">
        <f t="shared" si="4"/>
        <v>-0.35134893090352431</v>
      </c>
      <c r="AF29" s="250">
        <v>113767.11</v>
      </c>
      <c r="AG29" s="124">
        <f t="shared" si="5"/>
        <v>-22036.89</v>
      </c>
      <c r="AH29" s="124"/>
      <c r="AI29" s="251"/>
    </row>
    <row r="30" spans="1:35" s="287" customFormat="1">
      <c r="A30" s="287" t="s">
        <v>952</v>
      </c>
      <c r="B30" s="287" t="s">
        <v>951</v>
      </c>
      <c r="C30" s="287" t="s">
        <v>892</v>
      </c>
      <c r="D30" s="337">
        <v>0</v>
      </c>
      <c r="E30" s="337">
        <v>0</v>
      </c>
      <c r="F30" s="337">
        <v>0</v>
      </c>
      <c r="G30" s="337">
        <v>0</v>
      </c>
      <c r="H30" s="337">
        <v>0</v>
      </c>
      <c r="I30" s="337">
        <v>0</v>
      </c>
      <c r="J30" s="337">
        <v>0</v>
      </c>
      <c r="K30" s="337">
        <v>0</v>
      </c>
      <c r="L30" s="337">
        <v>0</v>
      </c>
      <c r="M30" s="337">
        <v>0</v>
      </c>
      <c r="N30" s="337">
        <v>0</v>
      </c>
      <c r="O30" s="337">
        <v>0</v>
      </c>
      <c r="P30" s="324">
        <f t="shared" si="7"/>
        <v>0</v>
      </c>
      <c r="Q30" s="329">
        <v>0</v>
      </c>
      <c r="R30" s="329">
        <v>0</v>
      </c>
      <c r="S30" s="329">
        <v>0</v>
      </c>
      <c r="T30" s="329">
        <v>0</v>
      </c>
      <c r="U30" s="329">
        <v>0</v>
      </c>
      <c r="V30" s="329">
        <v>0</v>
      </c>
      <c r="W30" s="329">
        <v>0</v>
      </c>
      <c r="X30" s="329">
        <v>0</v>
      </c>
      <c r="Y30" s="329">
        <v>0</v>
      </c>
      <c r="Z30" s="329">
        <v>0</v>
      </c>
      <c r="AA30" s="329">
        <v>0</v>
      </c>
      <c r="AB30" s="329">
        <v>0</v>
      </c>
      <c r="AC30" s="330">
        <f t="shared" si="2"/>
        <v>0</v>
      </c>
      <c r="AD30" s="328">
        <f t="shared" si="3"/>
        <v>0</v>
      </c>
      <c r="AE30" s="331"/>
      <c r="AF30" s="250">
        <v>0</v>
      </c>
      <c r="AG30" s="124">
        <f t="shared" si="5"/>
        <v>0</v>
      </c>
      <c r="AH30" s="124"/>
      <c r="AI30" s="251"/>
    </row>
    <row r="31" spans="1:35" s="287" customFormat="1">
      <c r="A31" s="287" t="s">
        <v>953</v>
      </c>
      <c r="B31" s="287" t="s">
        <v>951</v>
      </c>
      <c r="C31" s="288" t="s">
        <v>954</v>
      </c>
      <c r="D31" s="337">
        <v>3998</v>
      </c>
      <c r="E31" s="337">
        <v>3998</v>
      </c>
      <c r="F31" s="337">
        <v>3998</v>
      </c>
      <c r="G31" s="337">
        <v>3998</v>
      </c>
      <c r="H31" s="337">
        <v>3998</v>
      </c>
      <c r="I31" s="337">
        <v>3998</v>
      </c>
      <c r="J31" s="337">
        <v>3998</v>
      </c>
      <c r="K31" s="337">
        <v>3998</v>
      </c>
      <c r="L31" s="337">
        <v>3998</v>
      </c>
      <c r="M31" s="337">
        <v>3998</v>
      </c>
      <c r="N31" s="337">
        <v>3998</v>
      </c>
      <c r="O31" s="337">
        <v>3998</v>
      </c>
      <c r="P31" s="324">
        <f t="shared" si="7"/>
        <v>47976</v>
      </c>
      <c r="Q31" s="329">
        <v>21633.16</v>
      </c>
      <c r="R31" s="329">
        <v>10967.23</v>
      </c>
      <c r="S31" s="329">
        <v>2462.87</v>
      </c>
      <c r="T31" s="329">
        <v>6044.27</v>
      </c>
      <c r="U31" s="329">
        <v>7083.08</v>
      </c>
      <c r="V31" s="329">
        <v>11285.37</v>
      </c>
      <c r="W31" s="329">
        <v>40031.339999999997</v>
      </c>
      <c r="X31" s="329">
        <v>19468.669999999998</v>
      </c>
      <c r="Y31" s="329">
        <v>4000</v>
      </c>
      <c r="Z31" s="329">
        <v>4000</v>
      </c>
      <c r="AA31" s="329">
        <v>4000</v>
      </c>
      <c r="AB31" s="329">
        <v>4000</v>
      </c>
      <c r="AC31" s="330">
        <f t="shared" si="2"/>
        <v>134975.99</v>
      </c>
      <c r="AD31" s="328">
        <f t="shared" si="3"/>
        <v>86999.989999999991</v>
      </c>
      <c r="AE31" s="331">
        <f t="shared" si="4"/>
        <v>0.64455900638328345</v>
      </c>
      <c r="AF31" s="250">
        <v>90261.62999999999</v>
      </c>
      <c r="AG31" s="124">
        <f t="shared" si="5"/>
        <v>42285.62999999999</v>
      </c>
      <c r="AH31" s="124"/>
      <c r="AI31" s="251"/>
    </row>
    <row r="32" spans="1:35" s="287" customFormat="1">
      <c r="A32" s="287" t="s">
        <v>955</v>
      </c>
      <c r="B32" s="287" t="s">
        <v>951</v>
      </c>
      <c r="C32" s="288" t="s">
        <v>956</v>
      </c>
      <c r="D32" s="337">
        <v>0</v>
      </c>
      <c r="E32" s="337">
        <v>0</v>
      </c>
      <c r="F32" s="337">
        <v>0</v>
      </c>
      <c r="G32" s="337">
        <v>0</v>
      </c>
      <c r="H32" s="337">
        <v>0</v>
      </c>
      <c r="I32" s="337">
        <v>0</v>
      </c>
      <c r="J32" s="337">
        <v>0</v>
      </c>
      <c r="K32" s="337">
        <v>0</v>
      </c>
      <c r="L32" s="337">
        <v>0</v>
      </c>
      <c r="M32" s="337">
        <v>0</v>
      </c>
      <c r="N32" s="337">
        <v>0</v>
      </c>
      <c r="O32" s="337">
        <v>0</v>
      </c>
      <c r="P32" s="324">
        <f t="shared" si="7"/>
        <v>0</v>
      </c>
      <c r="Q32" s="329">
        <v>0</v>
      </c>
      <c r="R32" s="329">
        <v>0</v>
      </c>
      <c r="S32" s="329">
        <v>0</v>
      </c>
      <c r="T32" s="329">
        <v>0</v>
      </c>
      <c r="U32" s="329">
        <v>0</v>
      </c>
      <c r="V32" s="329">
        <v>0</v>
      </c>
      <c r="W32" s="329">
        <v>0</v>
      </c>
      <c r="X32" s="329">
        <v>0</v>
      </c>
      <c r="Y32" s="329">
        <v>0</v>
      </c>
      <c r="Z32" s="329">
        <v>0</v>
      </c>
      <c r="AA32" s="329">
        <v>0</v>
      </c>
      <c r="AB32" s="329">
        <v>0</v>
      </c>
      <c r="AC32" s="330">
        <f t="shared" si="2"/>
        <v>0</v>
      </c>
      <c r="AD32" s="328">
        <f t="shared" si="3"/>
        <v>0</v>
      </c>
      <c r="AE32" s="331"/>
      <c r="AF32" s="250">
        <v>0</v>
      </c>
      <c r="AG32" s="124">
        <f t="shared" si="5"/>
        <v>0</v>
      </c>
      <c r="AH32" s="124"/>
      <c r="AI32" s="251"/>
    </row>
    <row r="33" spans="1:35" s="287" customFormat="1">
      <c r="A33" s="287" t="s">
        <v>957</v>
      </c>
      <c r="B33" s="287" t="s">
        <v>951</v>
      </c>
      <c r="C33" s="288" t="s">
        <v>958</v>
      </c>
      <c r="D33" s="337">
        <v>38710</v>
      </c>
      <c r="E33" s="337">
        <v>38710</v>
      </c>
      <c r="F33" s="337">
        <v>38710</v>
      </c>
      <c r="G33" s="337">
        <v>38710</v>
      </c>
      <c r="H33" s="337">
        <v>38710</v>
      </c>
      <c r="I33" s="337">
        <v>38710</v>
      </c>
      <c r="J33" s="337">
        <v>38710</v>
      </c>
      <c r="K33" s="337">
        <v>38710</v>
      </c>
      <c r="L33" s="337">
        <v>38710</v>
      </c>
      <c r="M33" s="337">
        <v>38710</v>
      </c>
      <c r="N33" s="337">
        <v>38710</v>
      </c>
      <c r="O33" s="337">
        <v>38710</v>
      </c>
      <c r="P33" s="324">
        <f t="shared" si="7"/>
        <v>464520</v>
      </c>
      <c r="Q33" s="329">
        <v>15836.12</v>
      </c>
      <c r="R33" s="329">
        <v>23864.86</v>
      </c>
      <c r="S33" s="329">
        <v>18548.439999999999</v>
      </c>
      <c r="T33" s="329">
        <v>25708.09</v>
      </c>
      <c r="U33" s="329">
        <v>49520.97</v>
      </c>
      <c r="V33" s="329">
        <v>10811.29</v>
      </c>
      <c r="W33" s="329">
        <v>8460.48</v>
      </c>
      <c r="X33" s="329">
        <v>14655.49</v>
      </c>
      <c r="Y33" s="329">
        <v>25852</v>
      </c>
      <c r="Z33" s="329">
        <v>25852</v>
      </c>
      <c r="AA33" s="329">
        <v>25852</v>
      </c>
      <c r="AB33" s="329">
        <v>25852</v>
      </c>
      <c r="AC33" s="330">
        <f t="shared" si="2"/>
        <v>270813.74</v>
      </c>
      <c r="AD33" s="328">
        <f t="shared" si="3"/>
        <v>-193706.26</v>
      </c>
      <c r="AE33" s="331">
        <f t="shared" si="4"/>
        <v>-0.71527486013080432</v>
      </c>
      <c r="AF33" s="250">
        <v>227299.31999999998</v>
      </c>
      <c r="AG33" s="124">
        <f t="shared" si="5"/>
        <v>-237220.68000000002</v>
      </c>
      <c r="AH33" s="124"/>
      <c r="AI33" s="251"/>
    </row>
    <row r="34" spans="1:35" s="287" customFormat="1">
      <c r="A34" s="287" t="s">
        <v>959</v>
      </c>
      <c r="B34" s="287" t="s">
        <v>951</v>
      </c>
      <c r="C34" s="288" t="s">
        <v>960</v>
      </c>
      <c r="D34" s="337">
        <v>47139</v>
      </c>
      <c r="E34" s="337">
        <v>47139</v>
      </c>
      <c r="F34" s="337">
        <v>47139</v>
      </c>
      <c r="G34" s="337">
        <v>47139</v>
      </c>
      <c r="H34" s="337">
        <v>47139</v>
      </c>
      <c r="I34" s="337">
        <v>47139</v>
      </c>
      <c r="J34" s="337">
        <v>47139</v>
      </c>
      <c r="K34" s="337">
        <v>47139</v>
      </c>
      <c r="L34" s="337">
        <v>47139</v>
      </c>
      <c r="M34" s="337">
        <v>47139</v>
      </c>
      <c r="N34" s="337">
        <v>47139</v>
      </c>
      <c r="O34" s="337">
        <v>47139</v>
      </c>
      <c r="P34" s="324">
        <f t="shared" si="7"/>
        <v>565668</v>
      </c>
      <c r="Q34" s="329">
        <v>15624</v>
      </c>
      <c r="R34" s="329">
        <v>3856.2</v>
      </c>
      <c r="S34" s="329">
        <v>21302</v>
      </c>
      <c r="T34" s="329">
        <v>22255.279999999999</v>
      </c>
      <c r="U34" s="329">
        <v>144704.31</v>
      </c>
      <c r="V34" s="329">
        <v>61264.07</v>
      </c>
      <c r="W34" s="329">
        <v>104309.05</v>
      </c>
      <c r="X34" s="329">
        <v>51243.839999999997</v>
      </c>
      <c r="Y34" s="329">
        <v>33199</v>
      </c>
      <c r="Z34" s="329">
        <v>33199</v>
      </c>
      <c r="AA34" s="329">
        <v>33199</v>
      </c>
      <c r="AB34" s="329">
        <v>33199</v>
      </c>
      <c r="AC34" s="330">
        <f t="shared" si="2"/>
        <v>557354.75</v>
      </c>
      <c r="AD34" s="328">
        <f t="shared" si="3"/>
        <v>-8313.25</v>
      </c>
      <c r="AE34" s="331">
        <f t="shared" si="4"/>
        <v>-1.4915545260895327E-2</v>
      </c>
      <c r="AF34" s="250">
        <v>241385.97</v>
      </c>
      <c r="AG34" s="124">
        <f t="shared" si="5"/>
        <v>-324282.03000000003</v>
      </c>
      <c r="AH34" s="124"/>
      <c r="AI34" s="251"/>
    </row>
    <row r="35" spans="1:35" s="287" customFormat="1">
      <c r="A35" s="287" t="s">
        <v>961</v>
      </c>
      <c r="B35" s="287" t="s">
        <v>951</v>
      </c>
      <c r="C35" s="288" t="s">
        <v>962</v>
      </c>
      <c r="D35" s="340">
        <v>82630</v>
      </c>
      <c r="E35" s="340">
        <v>82630</v>
      </c>
      <c r="F35" s="340">
        <v>82630</v>
      </c>
      <c r="G35" s="340">
        <v>82630</v>
      </c>
      <c r="H35" s="340">
        <v>82630</v>
      </c>
      <c r="I35" s="340">
        <v>82630</v>
      </c>
      <c r="J35" s="340">
        <v>82630</v>
      </c>
      <c r="K35" s="340">
        <v>82630</v>
      </c>
      <c r="L35" s="340">
        <v>82630</v>
      </c>
      <c r="M35" s="340">
        <v>82630</v>
      </c>
      <c r="N35" s="340">
        <v>82630</v>
      </c>
      <c r="O35" s="340">
        <v>82630</v>
      </c>
      <c r="P35" s="324">
        <f>SUM(D35:O35)</f>
        <v>991560</v>
      </c>
      <c r="Q35" s="329">
        <v>555826.69999999995</v>
      </c>
      <c r="R35" s="329">
        <v>0</v>
      </c>
      <c r="S35" s="329">
        <v>15240</v>
      </c>
      <c r="T35" s="329">
        <v>4930.6000000000004</v>
      </c>
      <c r="U35" s="329">
        <v>249914</v>
      </c>
      <c r="V35" s="329">
        <v>-4680.53</v>
      </c>
      <c r="W35" s="329">
        <v>180939.85</v>
      </c>
      <c r="X35" s="329">
        <v>63585</v>
      </c>
      <c r="Y35" s="329">
        <v>106063</v>
      </c>
      <c r="Z35" s="329">
        <v>1106063</v>
      </c>
      <c r="AA35" s="329">
        <v>1106063</v>
      </c>
      <c r="AB35" s="329">
        <v>1426063</v>
      </c>
      <c r="AC35" s="330">
        <f t="shared" si="2"/>
        <v>4810007.62</v>
      </c>
      <c r="AD35" s="328">
        <f>AC35-P35</f>
        <v>3818447.62</v>
      </c>
      <c r="AE35" s="331">
        <f t="shared" si="4"/>
        <v>0.79385479642961565</v>
      </c>
      <c r="AF35" s="250">
        <v>574317.54</v>
      </c>
      <c r="AG35" s="124">
        <f t="shared" si="5"/>
        <v>-417242.45999999996</v>
      </c>
      <c r="AH35" s="124"/>
      <c r="AI35" s="251"/>
    </row>
    <row r="36" spans="1:35" s="287" customFormat="1">
      <c r="A36" s="287" t="s">
        <v>963</v>
      </c>
      <c r="B36" s="287" t="s">
        <v>951</v>
      </c>
      <c r="C36" s="288" t="s">
        <v>964</v>
      </c>
      <c r="D36" s="337">
        <v>10400</v>
      </c>
      <c r="E36" s="337">
        <v>10400</v>
      </c>
      <c r="F36" s="337">
        <v>10400</v>
      </c>
      <c r="G36" s="337">
        <v>10400</v>
      </c>
      <c r="H36" s="337">
        <v>10400</v>
      </c>
      <c r="I36" s="337">
        <v>10400</v>
      </c>
      <c r="J36" s="337">
        <v>10400</v>
      </c>
      <c r="K36" s="337">
        <v>10400</v>
      </c>
      <c r="L36" s="337">
        <v>10400</v>
      </c>
      <c r="M36" s="337">
        <v>10400</v>
      </c>
      <c r="N36" s="337">
        <v>10400</v>
      </c>
      <c r="O36" s="337">
        <v>10400</v>
      </c>
      <c r="P36" s="324">
        <f t="shared" si="7"/>
        <v>124800</v>
      </c>
      <c r="Q36" s="329">
        <v>0</v>
      </c>
      <c r="R36" s="329">
        <v>1307.18</v>
      </c>
      <c r="S36" s="329">
        <v>0</v>
      </c>
      <c r="T36" s="329">
        <v>0</v>
      </c>
      <c r="U36" s="329">
        <v>1250</v>
      </c>
      <c r="V36" s="329">
        <v>0</v>
      </c>
      <c r="W36" s="329">
        <v>0</v>
      </c>
      <c r="X36" s="329">
        <v>0</v>
      </c>
      <c r="Y36" s="329">
        <v>10780</v>
      </c>
      <c r="Z36" s="329">
        <v>10780</v>
      </c>
      <c r="AA36" s="329">
        <v>10780</v>
      </c>
      <c r="AB36" s="329">
        <v>10780</v>
      </c>
      <c r="AC36" s="330">
        <f t="shared" si="2"/>
        <v>45677.18</v>
      </c>
      <c r="AD36" s="328">
        <f t="shared" si="3"/>
        <v>-79122.820000000007</v>
      </c>
      <c r="AE36" s="331">
        <f t="shared" si="4"/>
        <v>-1.7322177069600182</v>
      </c>
      <c r="AF36" s="250">
        <v>0</v>
      </c>
      <c r="AG36" s="124">
        <f t="shared" si="5"/>
        <v>-124800</v>
      </c>
      <c r="AH36" s="124"/>
      <c r="AI36" s="251"/>
    </row>
    <row r="37" spans="1:35" s="287" customFormat="1">
      <c r="A37" s="287" t="s">
        <v>965</v>
      </c>
      <c r="B37" s="287" t="s">
        <v>951</v>
      </c>
      <c r="C37" s="288" t="s">
        <v>966</v>
      </c>
      <c r="D37" s="337">
        <v>5290</v>
      </c>
      <c r="E37" s="337">
        <v>5290</v>
      </c>
      <c r="F37" s="337">
        <v>5290</v>
      </c>
      <c r="G37" s="337">
        <v>5290</v>
      </c>
      <c r="H37" s="337">
        <v>5290</v>
      </c>
      <c r="I37" s="337">
        <v>5290</v>
      </c>
      <c r="J37" s="337">
        <v>5290</v>
      </c>
      <c r="K37" s="337">
        <v>5290</v>
      </c>
      <c r="L37" s="337">
        <v>5290</v>
      </c>
      <c r="M37" s="337">
        <v>5290</v>
      </c>
      <c r="N37" s="337">
        <v>5290</v>
      </c>
      <c r="O37" s="337">
        <v>5290</v>
      </c>
      <c r="P37" s="324">
        <f t="shared" si="7"/>
        <v>63480</v>
      </c>
      <c r="Q37" s="329">
        <v>988.03</v>
      </c>
      <c r="R37" s="329">
        <v>9607.91</v>
      </c>
      <c r="S37" s="329">
        <v>18836.240000000002</v>
      </c>
      <c r="T37" s="329">
        <v>17775.53</v>
      </c>
      <c r="U37" s="329">
        <v>5330.24</v>
      </c>
      <c r="V37" s="329">
        <v>7569.96</v>
      </c>
      <c r="W37" s="329">
        <v>39249.4</v>
      </c>
      <c r="X37" s="329">
        <v>46237.48</v>
      </c>
      <c r="Y37" s="329">
        <v>2712</v>
      </c>
      <c r="Z37" s="329">
        <v>2712</v>
      </c>
      <c r="AA37" s="329">
        <v>2712</v>
      </c>
      <c r="AB37" s="329">
        <v>2712</v>
      </c>
      <c r="AC37" s="330">
        <f t="shared" si="2"/>
        <v>156442.79</v>
      </c>
      <c r="AD37" s="328">
        <f t="shared" si="3"/>
        <v>92962.790000000008</v>
      </c>
      <c r="AE37" s="331">
        <f t="shared" si="4"/>
        <v>0.59422866339829405</v>
      </c>
      <c r="AF37" s="250">
        <v>40071.339999999997</v>
      </c>
      <c r="AG37" s="124">
        <f t="shared" si="5"/>
        <v>-23408.660000000003</v>
      </c>
      <c r="AH37" s="124"/>
      <c r="AI37" s="251"/>
    </row>
    <row r="38" spans="1:35" s="287" customFormat="1">
      <c r="A38" s="287" t="s">
        <v>967</v>
      </c>
      <c r="B38" s="287" t="s">
        <v>951</v>
      </c>
      <c r="C38" s="288" t="s">
        <v>968</v>
      </c>
      <c r="D38" s="337">
        <v>60787</v>
      </c>
      <c r="E38" s="337">
        <v>60787</v>
      </c>
      <c r="F38" s="337">
        <v>60787</v>
      </c>
      <c r="G38" s="337">
        <v>60787</v>
      </c>
      <c r="H38" s="337">
        <v>60787</v>
      </c>
      <c r="I38" s="337">
        <v>60787</v>
      </c>
      <c r="J38" s="337">
        <v>60787</v>
      </c>
      <c r="K38" s="337">
        <v>60787</v>
      </c>
      <c r="L38" s="337">
        <v>60787</v>
      </c>
      <c r="M38" s="337">
        <v>60787</v>
      </c>
      <c r="N38" s="337">
        <v>60787</v>
      </c>
      <c r="O38" s="337">
        <v>60787</v>
      </c>
      <c r="P38" s="324">
        <f t="shared" si="7"/>
        <v>729444</v>
      </c>
      <c r="Q38" s="329">
        <v>85632.84</v>
      </c>
      <c r="R38" s="329">
        <v>70842.25</v>
      </c>
      <c r="S38" s="329">
        <v>6983.82</v>
      </c>
      <c r="T38" s="329">
        <v>84772.53</v>
      </c>
      <c r="U38" s="329">
        <v>37905.760000000002</v>
      </c>
      <c r="V38" s="329">
        <v>246530.73</v>
      </c>
      <c r="W38" s="329">
        <v>81457.89</v>
      </c>
      <c r="X38" s="329">
        <v>133602.12</v>
      </c>
      <c r="Y38" s="329">
        <v>44603</v>
      </c>
      <c r="Z38" s="329">
        <v>44603</v>
      </c>
      <c r="AA38" s="329">
        <v>44603</v>
      </c>
      <c r="AB38" s="329">
        <v>44603</v>
      </c>
      <c r="AC38" s="330">
        <f t="shared" si="2"/>
        <v>926139.94000000006</v>
      </c>
      <c r="AD38" s="323">
        <f t="shared" si="3"/>
        <v>196695.94000000006</v>
      </c>
      <c r="AE38" s="327">
        <f t="shared" si="4"/>
        <v>0.21238252612234826</v>
      </c>
      <c r="AF38" s="250">
        <v>748835.57</v>
      </c>
      <c r="AG38" s="124">
        <f t="shared" si="5"/>
        <v>19391.569999999949</v>
      </c>
      <c r="AH38" s="124"/>
      <c r="AI38" s="251"/>
    </row>
    <row r="39" spans="1:35" s="287" customFormat="1">
      <c r="A39" s="287" t="s">
        <v>969</v>
      </c>
      <c r="B39" s="287" t="s">
        <v>951</v>
      </c>
      <c r="C39" s="288" t="s">
        <v>970</v>
      </c>
      <c r="D39" s="337">
        <v>17125</v>
      </c>
      <c r="E39" s="337">
        <v>17125</v>
      </c>
      <c r="F39" s="337">
        <v>17125</v>
      </c>
      <c r="G39" s="337">
        <v>17125</v>
      </c>
      <c r="H39" s="337">
        <v>17125</v>
      </c>
      <c r="I39" s="337">
        <v>17125</v>
      </c>
      <c r="J39" s="337">
        <v>17125</v>
      </c>
      <c r="K39" s="337">
        <v>17125</v>
      </c>
      <c r="L39" s="337">
        <v>17125</v>
      </c>
      <c r="M39" s="337">
        <v>17125</v>
      </c>
      <c r="N39" s="337">
        <v>17125</v>
      </c>
      <c r="O39" s="337">
        <v>17125</v>
      </c>
      <c r="P39" s="324">
        <f t="shared" si="7"/>
        <v>205500</v>
      </c>
      <c r="Q39" s="329">
        <v>0</v>
      </c>
      <c r="R39" s="329">
        <v>21067.77</v>
      </c>
      <c r="S39" s="329">
        <v>-6655</v>
      </c>
      <c r="T39" s="329">
        <v>0</v>
      </c>
      <c r="U39" s="329">
        <v>-0.05</v>
      </c>
      <c r="V39" s="329">
        <v>11637.17</v>
      </c>
      <c r="W39" s="329">
        <v>3055.89</v>
      </c>
      <c r="X39" s="329">
        <v>50636</v>
      </c>
      <c r="Y39" s="329">
        <v>12906</v>
      </c>
      <c r="Z39" s="329">
        <v>12906</v>
      </c>
      <c r="AA39" s="329">
        <v>12906</v>
      </c>
      <c r="AB39" s="329">
        <v>12906</v>
      </c>
      <c r="AC39" s="330">
        <f t="shared" si="2"/>
        <v>131365.78</v>
      </c>
      <c r="AD39" s="323">
        <f t="shared" si="3"/>
        <v>-74134.22</v>
      </c>
      <c r="AE39" s="327">
        <f t="shared" si="4"/>
        <v>-0.56433433425356283</v>
      </c>
      <c r="AF39" s="250">
        <v>43533.250000000007</v>
      </c>
      <c r="AG39" s="124">
        <f t="shared" si="5"/>
        <v>-161966.75</v>
      </c>
      <c r="AH39" s="124"/>
      <c r="AI39" s="251"/>
    </row>
    <row r="40" spans="1:35" s="287" customFormat="1">
      <c r="A40" s="287" t="s">
        <v>971</v>
      </c>
      <c r="B40" s="287" t="s">
        <v>951</v>
      </c>
      <c r="C40" s="288" t="s">
        <v>972</v>
      </c>
      <c r="D40" s="337">
        <v>8335</v>
      </c>
      <c r="E40" s="337">
        <v>8335</v>
      </c>
      <c r="F40" s="337">
        <v>8335</v>
      </c>
      <c r="G40" s="337">
        <v>8335</v>
      </c>
      <c r="H40" s="337">
        <v>8335</v>
      </c>
      <c r="I40" s="337">
        <v>8335</v>
      </c>
      <c r="J40" s="337">
        <v>8335</v>
      </c>
      <c r="K40" s="337">
        <v>8335</v>
      </c>
      <c r="L40" s="337">
        <v>8335</v>
      </c>
      <c r="M40" s="337">
        <v>8335</v>
      </c>
      <c r="N40" s="337">
        <v>8335</v>
      </c>
      <c r="O40" s="337">
        <v>8335</v>
      </c>
      <c r="P40" s="324">
        <f t="shared" si="7"/>
        <v>100020</v>
      </c>
      <c r="Q40" s="329">
        <v>59.7</v>
      </c>
      <c r="R40" s="329">
        <v>2840.7</v>
      </c>
      <c r="S40" s="329">
        <v>1223.8800000000001</v>
      </c>
      <c r="T40" s="329">
        <v>8351.44</v>
      </c>
      <c r="U40" s="329">
        <v>39.799999999999997</v>
      </c>
      <c r="V40" s="329">
        <v>0</v>
      </c>
      <c r="W40" s="329">
        <v>18447.3</v>
      </c>
      <c r="X40" s="329">
        <v>3629.9</v>
      </c>
      <c r="Y40" s="329">
        <v>6925</v>
      </c>
      <c r="Z40" s="329">
        <v>6925</v>
      </c>
      <c r="AA40" s="329">
        <v>6925</v>
      </c>
      <c r="AB40" s="329">
        <v>6925</v>
      </c>
      <c r="AC40" s="330">
        <f t="shared" si="2"/>
        <v>62292.72</v>
      </c>
      <c r="AD40" s="323">
        <f t="shared" si="3"/>
        <v>-37727.279999999999</v>
      </c>
      <c r="AE40" s="327">
        <f t="shared" si="4"/>
        <v>-0.60564508982751109</v>
      </c>
      <c r="AF40" s="250">
        <v>121062.78</v>
      </c>
      <c r="AG40" s="124">
        <f t="shared" si="5"/>
        <v>21042.78</v>
      </c>
      <c r="AH40" s="124"/>
      <c r="AI40" s="251"/>
    </row>
    <row r="41" spans="1:35" s="287" customFormat="1">
      <c r="A41" s="287" t="s">
        <v>973</v>
      </c>
      <c r="B41" s="287" t="s">
        <v>951</v>
      </c>
      <c r="C41" s="288" t="s">
        <v>974</v>
      </c>
      <c r="D41" s="340">
        <v>85962</v>
      </c>
      <c r="E41" s="340">
        <v>85962</v>
      </c>
      <c r="F41" s="340">
        <v>85962</v>
      </c>
      <c r="G41" s="340">
        <v>85962</v>
      </c>
      <c r="H41" s="340">
        <v>85962</v>
      </c>
      <c r="I41" s="340">
        <v>85962</v>
      </c>
      <c r="J41" s="340">
        <v>85962</v>
      </c>
      <c r="K41" s="340">
        <v>85962</v>
      </c>
      <c r="L41" s="340">
        <v>85962</v>
      </c>
      <c r="M41" s="340">
        <v>85962</v>
      </c>
      <c r="N41" s="340">
        <v>85962</v>
      </c>
      <c r="O41" s="340">
        <v>85962</v>
      </c>
      <c r="P41" s="324">
        <f>SUM(D41:O41)</f>
        <v>1031544</v>
      </c>
      <c r="Q41" s="329">
        <v>107926.41</v>
      </c>
      <c r="R41" s="329">
        <v>32431.73</v>
      </c>
      <c r="S41" s="329">
        <v>494130.3</v>
      </c>
      <c r="T41" s="329">
        <v>208657.17</v>
      </c>
      <c r="U41" s="329">
        <v>-172081.73</v>
      </c>
      <c r="V41" s="329">
        <v>30379.32</v>
      </c>
      <c r="W41" s="329">
        <v>85773.64</v>
      </c>
      <c r="X41" s="329">
        <v>201409.49</v>
      </c>
      <c r="Y41" s="329">
        <v>-248910</v>
      </c>
      <c r="Z41" s="329">
        <v>101090</v>
      </c>
      <c r="AA41" s="329">
        <v>201090</v>
      </c>
      <c r="AB41" s="329">
        <v>201090</v>
      </c>
      <c r="AC41" s="330">
        <f t="shared" si="2"/>
        <v>1242986.33</v>
      </c>
      <c r="AD41" s="323">
        <f>AC41-P41</f>
        <v>211442.33000000007</v>
      </c>
      <c r="AE41" s="327">
        <f t="shared" si="4"/>
        <v>0.17010833095807262</v>
      </c>
      <c r="AF41" s="250">
        <v>1263011.06</v>
      </c>
      <c r="AG41" s="124">
        <f t="shared" si="5"/>
        <v>231467.06000000006</v>
      </c>
      <c r="AH41" s="124"/>
      <c r="AI41" s="251"/>
    </row>
    <row r="42" spans="1:35" s="287" customFormat="1">
      <c r="A42" s="287" t="s">
        <v>975</v>
      </c>
      <c r="B42" s="287" t="s">
        <v>951</v>
      </c>
      <c r="C42" s="288" t="s">
        <v>976</v>
      </c>
      <c r="D42" s="337">
        <v>26945</v>
      </c>
      <c r="E42" s="337">
        <v>26945</v>
      </c>
      <c r="F42" s="337">
        <v>26945</v>
      </c>
      <c r="G42" s="337">
        <v>26945</v>
      </c>
      <c r="H42" s="337">
        <v>26945</v>
      </c>
      <c r="I42" s="337">
        <v>26945</v>
      </c>
      <c r="J42" s="337">
        <v>26945</v>
      </c>
      <c r="K42" s="337">
        <v>26945</v>
      </c>
      <c r="L42" s="337">
        <v>26945</v>
      </c>
      <c r="M42" s="337">
        <v>26945</v>
      </c>
      <c r="N42" s="337">
        <v>26945</v>
      </c>
      <c r="O42" s="337">
        <v>26945</v>
      </c>
      <c r="P42" s="324">
        <f t="shared" si="7"/>
        <v>323340</v>
      </c>
      <c r="Q42" s="329">
        <v>336.2</v>
      </c>
      <c r="R42" s="329">
        <v>690.2</v>
      </c>
      <c r="S42" s="329">
        <v>750.46</v>
      </c>
      <c r="T42" s="329">
        <v>1713.41</v>
      </c>
      <c r="U42" s="329">
        <v>1054.83</v>
      </c>
      <c r="V42" s="329">
        <v>21879.32</v>
      </c>
      <c r="W42" s="329">
        <v>0.01</v>
      </c>
      <c r="X42" s="329">
        <v>698.4</v>
      </c>
      <c r="Y42" s="329">
        <v>50945</v>
      </c>
      <c r="Z42" s="329">
        <v>50945</v>
      </c>
      <c r="AA42" s="329">
        <v>50945</v>
      </c>
      <c r="AB42" s="329">
        <v>50932</v>
      </c>
      <c r="AC42" s="330">
        <f t="shared" si="2"/>
        <v>230889.83000000002</v>
      </c>
      <c r="AD42" s="323">
        <f t="shared" si="3"/>
        <v>-92450.169999999984</v>
      </c>
      <c r="AE42" s="327">
        <f t="shared" si="4"/>
        <v>-0.40040815136812208</v>
      </c>
      <c r="AF42" s="250">
        <v>445136.54000000004</v>
      </c>
      <c r="AG42" s="124">
        <f t="shared" si="5"/>
        <v>121796.54000000004</v>
      </c>
      <c r="AH42" s="124"/>
      <c r="AI42" s="251"/>
    </row>
    <row r="43" spans="1:35" s="287" customFormat="1">
      <c r="A43" s="287" t="s">
        <v>977</v>
      </c>
      <c r="B43" s="287" t="s">
        <v>951</v>
      </c>
      <c r="C43" s="288" t="s">
        <v>978</v>
      </c>
      <c r="D43" s="337">
        <f>6667</f>
        <v>6667</v>
      </c>
      <c r="E43" s="337">
        <f>6667</f>
        <v>6667</v>
      </c>
      <c r="F43" s="337">
        <f>6667</f>
        <v>6667</v>
      </c>
      <c r="G43" s="337">
        <f>6667</f>
        <v>6667</v>
      </c>
      <c r="H43" s="337">
        <f>6667</f>
        <v>6667</v>
      </c>
      <c r="I43" s="337">
        <f>6667</f>
        <v>6667</v>
      </c>
      <c r="J43" s="337">
        <f>6667</f>
        <v>6667</v>
      </c>
      <c r="K43" s="337">
        <f>6667</f>
        <v>6667</v>
      </c>
      <c r="L43" s="337">
        <f>6667</f>
        <v>6667</v>
      </c>
      <c r="M43" s="337">
        <f>6667</f>
        <v>6667</v>
      </c>
      <c r="N43" s="337">
        <f>6667</f>
        <v>6667</v>
      </c>
      <c r="O43" s="337">
        <f>6663</f>
        <v>6663</v>
      </c>
      <c r="P43" s="324">
        <f>SUM(D43:O43)</f>
        <v>80000</v>
      </c>
      <c r="Q43" s="329">
        <v>26163.8</v>
      </c>
      <c r="R43" s="329">
        <v>0</v>
      </c>
      <c r="S43" s="329">
        <v>0</v>
      </c>
      <c r="T43" s="329">
        <v>0</v>
      </c>
      <c r="U43" s="329">
        <v>15663.8</v>
      </c>
      <c r="V43" s="329">
        <v>6700</v>
      </c>
      <c r="W43" s="329">
        <v>8667.2000000000007</v>
      </c>
      <c r="X43" s="329">
        <v>11090.25</v>
      </c>
      <c r="Y43" s="329">
        <v>23000</v>
      </c>
      <c r="Z43" s="329">
        <v>23000</v>
      </c>
      <c r="AA43" s="329">
        <v>23000</v>
      </c>
      <c r="AB43" s="329">
        <v>23000</v>
      </c>
      <c r="AC43" s="330">
        <f t="shared" si="2"/>
        <v>160285.04999999999</v>
      </c>
      <c r="AD43" s="328">
        <f>AC43-P43</f>
        <v>80285.049999999988</v>
      </c>
      <c r="AE43" s="331">
        <f t="shared" si="4"/>
        <v>0.50088919708980961</v>
      </c>
      <c r="AF43" s="250">
        <v>1198309.3700000001</v>
      </c>
      <c r="AG43" s="124">
        <f t="shared" si="5"/>
        <v>1118309.3700000001</v>
      </c>
      <c r="AH43" s="124"/>
      <c r="AI43" s="251"/>
    </row>
    <row r="44" spans="1:35" s="287" customFormat="1">
      <c r="A44" s="287" t="s">
        <v>979</v>
      </c>
      <c r="B44" s="287" t="s">
        <v>951</v>
      </c>
      <c r="C44" s="288" t="s">
        <v>980</v>
      </c>
      <c r="D44" s="337">
        <v>4850</v>
      </c>
      <c r="E44" s="337">
        <v>4850</v>
      </c>
      <c r="F44" s="337">
        <v>4850</v>
      </c>
      <c r="G44" s="337">
        <v>4850</v>
      </c>
      <c r="H44" s="337">
        <v>4850</v>
      </c>
      <c r="I44" s="337">
        <v>4850</v>
      </c>
      <c r="J44" s="337">
        <v>4850</v>
      </c>
      <c r="K44" s="337">
        <v>4850</v>
      </c>
      <c r="L44" s="337">
        <v>4850</v>
      </c>
      <c r="M44" s="337">
        <v>4850</v>
      </c>
      <c r="N44" s="337">
        <v>4850</v>
      </c>
      <c r="O44" s="337">
        <v>4850</v>
      </c>
      <c r="P44" s="324">
        <f t="shared" si="7"/>
        <v>58200</v>
      </c>
      <c r="Q44" s="329">
        <v>0</v>
      </c>
      <c r="R44" s="329">
        <v>0</v>
      </c>
      <c r="S44" s="329">
        <v>0</v>
      </c>
      <c r="T44" s="329">
        <v>0</v>
      </c>
      <c r="U44" s="329">
        <v>0</v>
      </c>
      <c r="V44" s="329">
        <v>0</v>
      </c>
      <c r="W44" s="329">
        <v>0</v>
      </c>
      <c r="X44" s="329">
        <v>0</v>
      </c>
      <c r="Y44" s="329">
        <v>4850</v>
      </c>
      <c r="Z44" s="329">
        <v>4850</v>
      </c>
      <c r="AA44" s="329">
        <v>4850</v>
      </c>
      <c r="AB44" s="329">
        <v>4850</v>
      </c>
      <c r="AC44" s="330">
        <f t="shared" si="2"/>
        <v>19400</v>
      </c>
      <c r="AD44" s="328">
        <f t="shared" si="3"/>
        <v>-38800</v>
      </c>
      <c r="AE44" s="331">
        <f t="shared" si="4"/>
        <v>-2</v>
      </c>
      <c r="AF44" s="250">
        <v>0</v>
      </c>
      <c r="AG44" s="124">
        <f t="shared" si="5"/>
        <v>-58200</v>
      </c>
      <c r="AH44" s="124"/>
      <c r="AI44" s="251"/>
    </row>
    <row r="45" spans="1:35" s="287" customFormat="1">
      <c r="A45" s="287" t="s">
        <v>981</v>
      </c>
      <c r="B45" s="287" t="s">
        <v>951</v>
      </c>
      <c r="C45" s="288" t="s">
        <v>982</v>
      </c>
      <c r="D45" s="337">
        <v>13950</v>
      </c>
      <c r="E45" s="337">
        <v>13950</v>
      </c>
      <c r="F45" s="337">
        <v>13950</v>
      </c>
      <c r="G45" s="337">
        <v>13950</v>
      </c>
      <c r="H45" s="337">
        <v>13950</v>
      </c>
      <c r="I45" s="337">
        <v>13950</v>
      </c>
      <c r="J45" s="337">
        <v>13950</v>
      </c>
      <c r="K45" s="337">
        <v>13950</v>
      </c>
      <c r="L45" s="337">
        <v>13950</v>
      </c>
      <c r="M45" s="337">
        <v>13950</v>
      </c>
      <c r="N45" s="337">
        <v>13950</v>
      </c>
      <c r="O45" s="337">
        <v>13950</v>
      </c>
      <c r="P45" s="324">
        <f t="shared" si="7"/>
        <v>167400</v>
      </c>
      <c r="Q45" s="329">
        <v>0</v>
      </c>
      <c r="R45" s="329">
        <v>55667.15</v>
      </c>
      <c r="S45" s="329">
        <v>13445.3</v>
      </c>
      <c r="T45" s="329">
        <v>37645.120000000003</v>
      </c>
      <c r="U45" s="329">
        <v>0</v>
      </c>
      <c r="V45" s="329">
        <v>880</v>
      </c>
      <c r="W45" s="329">
        <v>1679.67</v>
      </c>
      <c r="X45" s="329">
        <v>1857.84</v>
      </c>
      <c r="Y45" s="329">
        <v>13450</v>
      </c>
      <c r="Z45" s="329">
        <v>13450</v>
      </c>
      <c r="AA45" s="329">
        <v>13450</v>
      </c>
      <c r="AB45" s="329">
        <v>13450</v>
      </c>
      <c r="AC45" s="330">
        <f t="shared" si="2"/>
        <v>164975.08000000002</v>
      </c>
      <c r="AD45" s="328">
        <f t="shared" si="3"/>
        <v>-2424.9199999999837</v>
      </c>
      <c r="AE45" s="331">
        <f t="shared" si="4"/>
        <v>-1.4698704798324592E-2</v>
      </c>
      <c r="AF45" s="250">
        <v>29228.47</v>
      </c>
      <c r="AG45" s="124">
        <f t="shared" si="5"/>
        <v>-138171.53</v>
      </c>
      <c r="AH45" s="124"/>
      <c r="AI45" s="251"/>
    </row>
    <row r="46" spans="1:35" s="287" customFormat="1">
      <c r="A46" s="287" t="s">
        <v>983</v>
      </c>
      <c r="B46" s="287" t="s">
        <v>951</v>
      </c>
      <c r="C46" s="288" t="s">
        <v>984</v>
      </c>
      <c r="D46" s="337">
        <v>3350</v>
      </c>
      <c r="E46" s="337">
        <v>3350</v>
      </c>
      <c r="F46" s="337">
        <v>3350</v>
      </c>
      <c r="G46" s="337">
        <v>3350</v>
      </c>
      <c r="H46" s="337">
        <v>3350</v>
      </c>
      <c r="I46" s="337">
        <v>3350</v>
      </c>
      <c r="J46" s="337">
        <v>3350</v>
      </c>
      <c r="K46" s="337">
        <v>3350</v>
      </c>
      <c r="L46" s="337">
        <v>3350</v>
      </c>
      <c r="M46" s="337">
        <v>3350</v>
      </c>
      <c r="N46" s="337">
        <v>3350</v>
      </c>
      <c r="O46" s="337">
        <v>3350</v>
      </c>
      <c r="P46" s="324">
        <f t="shared" si="7"/>
        <v>40200</v>
      </c>
      <c r="Q46" s="329">
        <v>0</v>
      </c>
      <c r="R46" s="329">
        <v>0</v>
      </c>
      <c r="S46" s="329">
        <v>0</v>
      </c>
      <c r="T46" s="329">
        <v>0</v>
      </c>
      <c r="U46" s="329">
        <v>0</v>
      </c>
      <c r="V46" s="329">
        <v>0</v>
      </c>
      <c r="W46" s="329">
        <v>11061.9</v>
      </c>
      <c r="X46" s="329">
        <v>0</v>
      </c>
      <c r="Y46" s="329">
        <v>4250</v>
      </c>
      <c r="Z46" s="329">
        <v>4250</v>
      </c>
      <c r="AA46" s="329">
        <v>4250</v>
      </c>
      <c r="AB46" s="329">
        <v>4250</v>
      </c>
      <c r="AC46" s="330">
        <f t="shared" si="2"/>
        <v>28061.9</v>
      </c>
      <c r="AD46" s="328">
        <f t="shared" si="3"/>
        <v>-12138.099999999999</v>
      </c>
      <c r="AE46" s="331">
        <f t="shared" si="4"/>
        <v>-0.4325473328605689</v>
      </c>
      <c r="AF46" s="250">
        <v>0</v>
      </c>
      <c r="AG46" s="124">
        <f t="shared" si="5"/>
        <v>-40200</v>
      </c>
      <c r="AH46" s="124"/>
      <c r="AI46" s="251"/>
    </row>
    <row r="47" spans="1:35" s="287" customFormat="1">
      <c r="A47" s="287" t="s">
        <v>985</v>
      </c>
      <c r="B47" s="287" t="s">
        <v>951</v>
      </c>
      <c r="C47" s="288" t="s">
        <v>986</v>
      </c>
      <c r="D47" s="337">
        <v>25700</v>
      </c>
      <c r="E47" s="337">
        <v>25700</v>
      </c>
      <c r="F47" s="337">
        <v>25700</v>
      </c>
      <c r="G47" s="337">
        <v>25700</v>
      </c>
      <c r="H47" s="337">
        <v>25700</v>
      </c>
      <c r="I47" s="337">
        <v>25700</v>
      </c>
      <c r="J47" s="337">
        <v>25700</v>
      </c>
      <c r="K47" s="337">
        <v>25700</v>
      </c>
      <c r="L47" s="337">
        <v>25700</v>
      </c>
      <c r="M47" s="337">
        <v>25700</v>
      </c>
      <c r="N47" s="337">
        <v>25700</v>
      </c>
      <c r="O47" s="337">
        <v>25700</v>
      </c>
      <c r="P47" s="324">
        <f>SUM(D47:O47)</f>
        <v>308400</v>
      </c>
      <c r="Q47" s="329">
        <v>910</v>
      </c>
      <c r="R47" s="329">
        <v>17056.98</v>
      </c>
      <c r="S47" s="329">
        <v>8796.9500000000007</v>
      </c>
      <c r="T47" s="329">
        <v>1547.39</v>
      </c>
      <c r="U47" s="329">
        <v>200</v>
      </c>
      <c r="V47" s="329">
        <v>83495.38</v>
      </c>
      <c r="W47" s="329">
        <v>51588.66</v>
      </c>
      <c r="X47" s="329">
        <v>50456.47</v>
      </c>
      <c r="Y47" s="329">
        <v>31790</v>
      </c>
      <c r="Z47" s="329">
        <v>31790</v>
      </c>
      <c r="AA47" s="329">
        <v>31790</v>
      </c>
      <c r="AB47" s="329">
        <v>31790</v>
      </c>
      <c r="AC47" s="330">
        <f t="shared" si="2"/>
        <v>341211.83</v>
      </c>
      <c r="AD47" s="328">
        <f t="shared" si="3"/>
        <v>32811.830000000016</v>
      </c>
      <c r="AE47" s="331">
        <f t="shared" si="4"/>
        <v>9.6162638909676773E-2</v>
      </c>
      <c r="AF47" s="250">
        <v>144872</v>
      </c>
      <c r="AG47" s="124">
        <f t="shared" si="5"/>
        <v>-163528</v>
      </c>
      <c r="AH47" s="124"/>
      <c r="AI47" s="251"/>
    </row>
    <row r="48" spans="1:35" s="287" customFormat="1">
      <c r="A48" s="287" t="s">
        <v>987</v>
      </c>
      <c r="B48" s="287" t="s">
        <v>951</v>
      </c>
      <c r="C48" s="288" t="s">
        <v>988</v>
      </c>
      <c r="D48" s="337">
        <v>0</v>
      </c>
      <c r="E48" s="337">
        <v>0</v>
      </c>
      <c r="F48" s="337">
        <v>0</v>
      </c>
      <c r="G48" s="337">
        <v>0</v>
      </c>
      <c r="H48" s="337">
        <v>0</v>
      </c>
      <c r="I48" s="337">
        <v>0</v>
      </c>
      <c r="J48" s="337">
        <v>0</v>
      </c>
      <c r="K48" s="337">
        <v>0</v>
      </c>
      <c r="L48" s="337">
        <v>0</v>
      </c>
      <c r="M48" s="337">
        <v>0</v>
      </c>
      <c r="N48" s="337">
        <v>0</v>
      </c>
      <c r="O48" s="337">
        <v>0</v>
      </c>
      <c r="P48" s="324">
        <f t="shared" si="7"/>
        <v>0</v>
      </c>
      <c r="Q48" s="329">
        <v>0</v>
      </c>
      <c r="R48" s="329">
        <v>0</v>
      </c>
      <c r="S48" s="329">
        <v>0</v>
      </c>
      <c r="T48" s="329">
        <v>0</v>
      </c>
      <c r="U48" s="329">
        <v>0</v>
      </c>
      <c r="V48" s="329">
        <v>0</v>
      </c>
      <c r="W48" s="329">
        <v>0</v>
      </c>
      <c r="X48" s="329">
        <v>0</v>
      </c>
      <c r="Y48" s="329">
        <v>0</v>
      </c>
      <c r="Z48" s="329">
        <v>0</v>
      </c>
      <c r="AA48" s="329">
        <v>0</v>
      </c>
      <c r="AB48" s="329">
        <v>0</v>
      </c>
      <c r="AC48" s="330">
        <f t="shared" si="2"/>
        <v>0</v>
      </c>
      <c r="AD48" s="328">
        <f t="shared" si="3"/>
        <v>0</v>
      </c>
      <c r="AE48" s="331"/>
      <c r="AF48" s="250">
        <v>0</v>
      </c>
      <c r="AG48" s="124">
        <f t="shared" si="5"/>
        <v>0</v>
      </c>
      <c r="AH48" s="124"/>
      <c r="AI48" s="251"/>
    </row>
    <row r="49" spans="1:35" s="287" customFormat="1">
      <c r="A49" s="287" t="s">
        <v>989</v>
      </c>
      <c r="B49" s="287" t="s">
        <v>951</v>
      </c>
      <c r="C49" s="288" t="s">
        <v>990</v>
      </c>
      <c r="D49" s="337">
        <v>16918</v>
      </c>
      <c r="E49" s="337">
        <v>16918</v>
      </c>
      <c r="F49" s="337">
        <v>16918</v>
      </c>
      <c r="G49" s="337">
        <v>16918</v>
      </c>
      <c r="H49" s="337">
        <v>16918</v>
      </c>
      <c r="I49" s="337">
        <v>16918</v>
      </c>
      <c r="J49" s="337">
        <v>16918</v>
      </c>
      <c r="K49" s="337">
        <v>16918</v>
      </c>
      <c r="L49" s="337">
        <v>16918</v>
      </c>
      <c r="M49" s="337">
        <v>16918</v>
      </c>
      <c r="N49" s="337">
        <v>16918</v>
      </c>
      <c r="O49" s="337">
        <v>16918</v>
      </c>
      <c r="P49" s="324">
        <f t="shared" si="7"/>
        <v>203016</v>
      </c>
      <c r="Q49" s="329">
        <v>3864.66</v>
      </c>
      <c r="R49" s="329">
        <v>14905.49</v>
      </c>
      <c r="S49" s="329">
        <v>7513.28</v>
      </c>
      <c r="T49" s="329">
        <v>15987.4</v>
      </c>
      <c r="U49" s="329">
        <v>9823.1</v>
      </c>
      <c r="V49" s="329">
        <v>4690.3</v>
      </c>
      <c r="W49" s="329">
        <v>0</v>
      </c>
      <c r="X49" s="329">
        <v>12194.82</v>
      </c>
      <c r="Y49" s="329">
        <v>25768</v>
      </c>
      <c r="Z49" s="329">
        <v>25768</v>
      </c>
      <c r="AA49" s="329">
        <v>25768</v>
      </c>
      <c r="AB49" s="329">
        <v>25768</v>
      </c>
      <c r="AC49" s="330">
        <f t="shared" si="2"/>
        <v>172051.05</v>
      </c>
      <c r="AD49" s="328">
        <f t="shared" si="3"/>
        <v>-30964.950000000012</v>
      </c>
      <c r="AE49" s="331">
        <f t="shared" si="4"/>
        <v>-0.17997536196378933</v>
      </c>
      <c r="AF49" s="250">
        <v>0</v>
      </c>
      <c r="AG49" s="124">
        <f t="shared" si="5"/>
        <v>-203016</v>
      </c>
      <c r="AH49" s="124"/>
      <c r="AI49" s="251"/>
    </row>
    <row r="50" spans="1:35" s="287" customFormat="1">
      <c r="A50" s="287" t="s">
        <v>991</v>
      </c>
      <c r="B50" s="287" t="s">
        <v>951</v>
      </c>
      <c r="C50" s="288" t="s">
        <v>992</v>
      </c>
      <c r="D50" s="337">
        <v>20385</v>
      </c>
      <c r="E50" s="337">
        <v>20385</v>
      </c>
      <c r="F50" s="337">
        <v>20385</v>
      </c>
      <c r="G50" s="337">
        <v>20385</v>
      </c>
      <c r="H50" s="337">
        <v>20385</v>
      </c>
      <c r="I50" s="337">
        <v>20385</v>
      </c>
      <c r="J50" s="337">
        <v>20385</v>
      </c>
      <c r="K50" s="337">
        <v>20385</v>
      </c>
      <c r="L50" s="337">
        <v>20385</v>
      </c>
      <c r="M50" s="337">
        <v>20385</v>
      </c>
      <c r="N50" s="337">
        <v>20385</v>
      </c>
      <c r="O50" s="337">
        <v>20385</v>
      </c>
      <c r="P50" s="324">
        <f>SUM(D50:O50)</f>
        <v>244620</v>
      </c>
      <c r="Q50" s="329">
        <v>4514</v>
      </c>
      <c r="R50" s="329">
        <v>4415.41</v>
      </c>
      <c r="S50" s="329">
        <v>6274.98</v>
      </c>
      <c r="T50" s="329">
        <v>53951.8</v>
      </c>
      <c r="U50" s="329">
        <v>78155.520000000004</v>
      </c>
      <c r="V50" s="329">
        <v>63731.89</v>
      </c>
      <c r="W50" s="329">
        <v>58911.88</v>
      </c>
      <c r="X50" s="329">
        <v>110169.60000000001</v>
      </c>
      <c r="Y50" s="329">
        <v>15450</v>
      </c>
      <c r="Z50" s="329">
        <v>15450</v>
      </c>
      <c r="AA50" s="329">
        <v>15450</v>
      </c>
      <c r="AB50" s="329">
        <v>15450</v>
      </c>
      <c r="AC50" s="330">
        <f t="shared" si="2"/>
        <v>441925.08000000007</v>
      </c>
      <c r="AD50" s="328">
        <f>AC50-P50</f>
        <v>197305.08000000007</v>
      </c>
      <c r="AE50" s="331">
        <f t="shared" si="4"/>
        <v>0.44646726092124039</v>
      </c>
      <c r="AF50" s="250">
        <v>113884.68</v>
      </c>
      <c r="AG50" s="124">
        <f t="shared" si="5"/>
        <v>-130735.32</v>
      </c>
      <c r="AH50" s="124"/>
      <c r="AI50" s="251"/>
    </row>
    <row r="51" spans="1:35" s="287" customFormat="1">
      <c r="A51" s="287" t="s">
        <v>993</v>
      </c>
      <c r="B51" s="287" t="s">
        <v>951</v>
      </c>
      <c r="C51" s="288" t="s">
        <v>994</v>
      </c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337"/>
      <c r="O51" s="337"/>
      <c r="P51" s="324">
        <f t="shared" si="7"/>
        <v>0</v>
      </c>
      <c r="Q51" s="329">
        <v>0</v>
      </c>
      <c r="R51" s="329">
        <v>0</v>
      </c>
      <c r="S51" s="329">
        <v>0</v>
      </c>
      <c r="T51" s="329">
        <v>0</v>
      </c>
      <c r="U51" s="329">
        <v>0</v>
      </c>
      <c r="V51" s="329">
        <v>0</v>
      </c>
      <c r="W51" s="329">
        <v>0</v>
      </c>
      <c r="X51" s="329">
        <v>0</v>
      </c>
      <c r="Y51" s="329">
        <v>0</v>
      </c>
      <c r="Z51" s="329">
        <v>0</v>
      </c>
      <c r="AA51" s="329">
        <v>0</v>
      </c>
      <c r="AB51" s="329">
        <v>0</v>
      </c>
      <c r="AC51" s="330">
        <f t="shared" si="2"/>
        <v>0</v>
      </c>
      <c r="AD51" s="328">
        <f t="shared" si="3"/>
        <v>0</v>
      </c>
      <c r="AE51" s="331" t="e">
        <f t="shared" si="4"/>
        <v>#DIV/0!</v>
      </c>
      <c r="AF51" s="250">
        <v>0</v>
      </c>
      <c r="AG51" s="124">
        <f t="shared" si="5"/>
        <v>0</v>
      </c>
      <c r="AH51" s="124"/>
      <c r="AI51" s="251"/>
    </row>
    <row r="52" spans="1:35" s="287" customFormat="1">
      <c r="A52" s="287" t="s">
        <v>995</v>
      </c>
      <c r="B52" s="287" t="s">
        <v>951</v>
      </c>
      <c r="C52" s="288" t="s">
        <v>996</v>
      </c>
      <c r="D52" s="337"/>
      <c r="E52" s="337"/>
      <c r="F52" s="337"/>
      <c r="G52" s="337"/>
      <c r="H52" s="337"/>
      <c r="I52" s="337"/>
      <c r="J52" s="337"/>
      <c r="K52" s="337"/>
      <c r="L52" s="337"/>
      <c r="M52" s="337"/>
      <c r="N52" s="337"/>
      <c r="O52" s="337"/>
      <c r="P52" s="324">
        <f>SUM(D52:O52)</f>
        <v>0</v>
      </c>
      <c r="Q52" s="329">
        <v>0</v>
      </c>
      <c r="R52" s="329">
        <v>0</v>
      </c>
      <c r="S52" s="329">
        <v>0</v>
      </c>
      <c r="T52" s="329">
        <v>0</v>
      </c>
      <c r="U52" s="329">
        <v>0</v>
      </c>
      <c r="V52" s="329">
        <v>0</v>
      </c>
      <c r="W52" s="329">
        <v>0</v>
      </c>
      <c r="X52" s="329">
        <v>0</v>
      </c>
      <c r="Y52" s="329">
        <v>0</v>
      </c>
      <c r="Z52" s="329">
        <v>0</v>
      </c>
      <c r="AA52" s="329">
        <v>0</v>
      </c>
      <c r="AB52" s="329">
        <v>0</v>
      </c>
      <c r="AC52" s="330">
        <f t="shared" si="2"/>
        <v>0</v>
      </c>
      <c r="AD52" s="328">
        <f>AC52-P52</f>
        <v>0</v>
      </c>
      <c r="AE52" s="331" t="e">
        <f t="shared" si="4"/>
        <v>#DIV/0!</v>
      </c>
      <c r="AF52" s="250">
        <v>13600</v>
      </c>
      <c r="AG52" s="124">
        <f t="shared" si="5"/>
        <v>13600</v>
      </c>
      <c r="AH52" s="124"/>
      <c r="AI52" s="251"/>
    </row>
    <row r="53" spans="1:35" s="287" customFormat="1">
      <c r="A53" s="287" t="s">
        <v>997</v>
      </c>
      <c r="B53" s="287" t="s">
        <v>951</v>
      </c>
      <c r="C53" s="288" t="s">
        <v>998</v>
      </c>
      <c r="D53" s="337">
        <v>292</v>
      </c>
      <c r="E53" s="337">
        <v>292</v>
      </c>
      <c r="F53" s="337">
        <v>292</v>
      </c>
      <c r="G53" s="337">
        <v>292</v>
      </c>
      <c r="H53" s="337">
        <v>292</v>
      </c>
      <c r="I53" s="337">
        <v>292</v>
      </c>
      <c r="J53" s="337">
        <v>292</v>
      </c>
      <c r="K53" s="337">
        <v>292</v>
      </c>
      <c r="L53" s="337">
        <v>292</v>
      </c>
      <c r="M53" s="337">
        <v>292</v>
      </c>
      <c r="N53" s="337">
        <v>292</v>
      </c>
      <c r="O53" s="337">
        <v>292</v>
      </c>
      <c r="P53" s="324">
        <f t="shared" si="7"/>
        <v>3504</v>
      </c>
      <c r="Q53" s="329">
        <v>0</v>
      </c>
      <c r="R53" s="329">
        <v>0</v>
      </c>
      <c r="S53" s="329">
        <v>0</v>
      </c>
      <c r="T53" s="329">
        <v>0</v>
      </c>
      <c r="U53" s="329">
        <v>0</v>
      </c>
      <c r="V53" s="329">
        <v>0</v>
      </c>
      <c r="W53" s="329">
        <v>0</v>
      </c>
      <c r="X53" s="329">
        <v>0</v>
      </c>
      <c r="Y53" s="329">
        <v>0</v>
      </c>
      <c r="Z53" s="329">
        <v>0</v>
      </c>
      <c r="AA53" s="329">
        <v>0</v>
      </c>
      <c r="AB53" s="329">
        <v>0</v>
      </c>
      <c r="AC53" s="330">
        <f t="shared" si="2"/>
        <v>0</v>
      </c>
      <c r="AD53" s="328">
        <f t="shared" si="3"/>
        <v>-3504</v>
      </c>
      <c r="AE53" s="331"/>
      <c r="AF53" s="250">
        <v>0</v>
      </c>
      <c r="AG53" s="124">
        <f t="shared" si="5"/>
        <v>-3504</v>
      </c>
      <c r="AH53" s="124"/>
      <c r="AI53" s="251"/>
    </row>
    <row r="54" spans="1:35" s="287" customFormat="1">
      <c r="A54" s="287" t="s">
        <v>999</v>
      </c>
      <c r="B54" s="287" t="s">
        <v>951</v>
      </c>
      <c r="C54" s="288" t="s">
        <v>1000</v>
      </c>
      <c r="D54" s="337">
        <v>4500</v>
      </c>
      <c r="E54" s="337">
        <v>4500</v>
      </c>
      <c r="F54" s="337">
        <v>4500</v>
      </c>
      <c r="G54" s="337">
        <v>4500</v>
      </c>
      <c r="H54" s="337">
        <v>4500</v>
      </c>
      <c r="I54" s="337">
        <v>4500</v>
      </c>
      <c r="J54" s="337">
        <v>4500</v>
      </c>
      <c r="K54" s="337">
        <v>4500</v>
      </c>
      <c r="L54" s="337">
        <v>4500</v>
      </c>
      <c r="M54" s="337">
        <v>4500</v>
      </c>
      <c r="N54" s="337">
        <v>4500</v>
      </c>
      <c r="O54" s="337">
        <v>4500</v>
      </c>
      <c r="P54" s="324">
        <f t="shared" si="7"/>
        <v>54000</v>
      </c>
      <c r="Q54" s="329">
        <v>0</v>
      </c>
      <c r="R54" s="329">
        <v>6491.15</v>
      </c>
      <c r="S54" s="329">
        <v>717</v>
      </c>
      <c r="T54" s="329">
        <v>0</v>
      </c>
      <c r="U54" s="329">
        <v>-0.01</v>
      </c>
      <c r="V54" s="329">
        <v>0</v>
      </c>
      <c r="W54" s="329">
        <v>0</v>
      </c>
      <c r="X54" s="329">
        <v>0</v>
      </c>
      <c r="Y54" s="329">
        <v>3405</v>
      </c>
      <c r="Z54" s="329">
        <v>3405</v>
      </c>
      <c r="AA54" s="329">
        <v>3405</v>
      </c>
      <c r="AB54" s="329">
        <v>3405</v>
      </c>
      <c r="AC54" s="330">
        <f t="shared" si="2"/>
        <v>20828.14</v>
      </c>
      <c r="AD54" s="328">
        <f t="shared" si="3"/>
        <v>-33171.86</v>
      </c>
      <c r="AE54" s="331">
        <f t="shared" si="4"/>
        <v>-1.5926462948683848</v>
      </c>
      <c r="AF54" s="250">
        <v>881150.65999999992</v>
      </c>
      <c r="AG54" s="124">
        <f t="shared" si="5"/>
        <v>827150.65999999992</v>
      </c>
      <c r="AH54" s="124"/>
      <c r="AI54" s="251"/>
    </row>
    <row r="55" spans="1:35" s="287" customFormat="1">
      <c r="A55" s="287" t="s">
        <v>1001</v>
      </c>
      <c r="B55" s="287" t="s">
        <v>951</v>
      </c>
      <c r="C55" s="288" t="s">
        <v>1002</v>
      </c>
      <c r="D55" s="337">
        <v>2750</v>
      </c>
      <c r="E55" s="337">
        <v>2750</v>
      </c>
      <c r="F55" s="337">
        <v>2750</v>
      </c>
      <c r="G55" s="337">
        <v>2750</v>
      </c>
      <c r="H55" s="337">
        <v>2750</v>
      </c>
      <c r="I55" s="337">
        <v>2750</v>
      </c>
      <c r="J55" s="337">
        <v>2750</v>
      </c>
      <c r="K55" s="337">
        <v>2750</v>
      </c>
      <c r="L55" s="337">
        <v>2750</v>
      </c>
      <c r="M55" s="337">
        <v>2750</v>
      </c>
      <c r="N55" s="337">
        <v>2750</v>
      </c>
      <c r="O55" s="337">
        <v>2750</v>
      </c>
      <c r="P55" s="324">
        <f t="shared" si="7"/>
        <v>33000</v>
      </c>
      <c r="Q55" s="329">
        <v>0</v>
      </c>
      <c r="R55" s="329">
        <v>0</v>
      </c>
      <c r="S55" s="329">
        <v>0</v>
      </c>
      <c r="T55" s="329">
        <v>0</v>
      </c>
      <c r="U55" s="329">
        <v>0</v>
      </c>
      <c r="V55" s="329">
        <v>0</v>
      </c>
      <c r="W55" s="329">
        <v>0</v>
      </c>
      <c r="X55" s="329">
        <v>0</v>
      </c>
      <c r="Y55" s="329">
        <v>0</v>
      </c>
      <c r="Z55" s="329">
        <v>0</v>
      </c>
      <c r="AA55" s="329">
        <v>0</v>
      </c>
      <c r="AB55" s="329">
        <v>0</v>
      </c>
      <c r="AC55" s="330">
        <f t="shared" si="2"/>
        <v>0</v>
      </c>
      <c r="AD55" s="328">
        <f t="shared" si="3"/>
        <v>-33000</v>
      </c>
      <c r="AE55" s="331" t="e">
        <f t="shared" si="4"/>
        <v>#DIV/0!</v>
      </c>
      <c r="AF55" s="250">
        <v>0</v>
      </c>
      <c r="AG55" s="124">
        <f t="shared" si="5"/>
        <v>-33000</v>
      </c>
      <c r="AH55" s="124"/>
      <c r="AI55" s="251"/>
    </row>
    <row r="56" spans="1:35" s="287" customFormat="1">
      <c r="A56" s="287" t="s">
        <v>1003</v>
      </c>
      <c r="B56" s="287" t="s">
        <v>951</v>
      </c>
      <c r="C56" s="288" t="s">
        <v>1004</v>
      </c>
      <c r="D56" s="337">
        <v>14200</v>
      </c>
      <c r="E56" s="337">
        <v>14200</v>
      </c>
      <c r="F56" s="337">
        <v>14200</v>
      </c>
      <c r="G56" s="337">
        <v>14200</v>
      </c>
      <c r="H56" s="337">
        <v>14200</v>
      </c>
      <c r="I56" s="337">
        <v>14200</v>
      </c>
      <c r="J56" s="337">
        <v>14200</v>
      </c>
      <c r="K56" s="337">
        <v>14200</v>
      </c>
      <c r="L56" s="337">
        <v>14200</v>
      </c>
      <c r="M56" s="337">
        <v>14200</v>
      </c>
      <c r="N56" s="337">
        <v>14200</v>
      </c>
      <c r="O56" s="337">
        <v>14200</v>
      </c>
      <c r="P56" s="324">
        <f t="shared" si="7"/>
        <v>170400</v>
      </c>
      <c r="Q56" s="329">
        <v>34617.730000000003</v>
      </c>
      <c r="R56" s="329">
        <v>3232.74</v>
      </c>
      <c r="S56" s="329">
        <v>9072.81</v>
      </c>
      <c r="T56" s="329">
        <v>0</v>
      </c>
      <c r="U56" s="329">
        <v>9070.76</v>
      </c>
      <c r="V56" s="329">
        <v>4240</v>
      </c>
      <c r="W56" s="329">
        <v>4050</v>
      </c>
      <c r="X56" s="329">
        <v>230.08</v>
      </c>
      <c r="Y56" s="329">
        <v>15882</v>
      </c>
      <c r="Z56" s="329">
        <v>15882</v>
      </c>
      <c r="AA56" s="329">
        <v>15882</v>
      </c>
      <c r="AB56" s="329">
        <v>15882</v>
      </c>
      <c r="AC56" s="330">
        <f t="shared" si="2"/>
        <v>128042.12</v>
      </c>
      <c r="AD56" s="328">
        <f t="shared" si="3"/>
        <v>-42357.880000000005</v>
      </c>
      <c r="AE56" s="331">
        <f t="shared" si="4"/>
        <v>-0.33081207965004022</v>
      </c>
      <c r="AF56" s="250">
        <v>207286.44000000003</v>
      </c>
      <c r="AG56" s="124">
        <f t="shared" si="5"/>
        <v>36886.440000000031</v>
      </c>
      <c r="AH56" s="124"/>
      <c r="AI56" s="251"/>
    </row>
    <row r="57" spans="1:35" s="287" customFormat="1">
      <c r="A57" s="287" t="s">
        <v>1005</v>
      </c>
      <c r="B57" s="287" t="s">
        <v>951</v>
      </c>
      <c r="C57" s="288" t="s">
        <v>1006</v>
      </c>
      <c r="D57" s="337">
        <v>500</v>
      </c>
      <c r="E57" s="337">
        <v>500</v>
      </c>
      <c r="F57" s="337">
        <v>500</v>
      </c>
      <c r="G57" s="337">
        <v>500</v>
      </c>
      <c r="H57" s="337">
        <v>500</v>
      </c>
      <c r="I57" s="337">
        <v>500</v>
      </c>
      <c r="J57" s="337">
        <v>500</v>
      </c>
      <c r="K57" s="337">
        <v>500</v>
      </c>
      <c r="L57" s="337">
        <v>500</v>
      </c>
      <c r="M57" s="337">
        <v>500</v>
      </c>
      <c r="N57" s="337">
        <v>500</v>
      </c>
      <c r="O57" s="337">
        <v>500</v>
      </c>
      <c r="P57" s="324">
        <f t="shared" si="7"/>
        <v>6000</v>
      </c>
      <c r="Q57" s="329">
        <v>460</v>
      </c>
      <c r="R57" s="329">
        <v>345</v>
      </c>
      <c r="S57" s="329">
        <v>345</v>
      </c>
      <c r="T57" s="329">
        <v>0</v>
      </c>
      <c r="U57" s="329">
        <v>0</v>
      </c>
      <c r="V57" s="329">
        <v>0</v>
      </c>
      <c r="W57" s="329">
        <v>230</v>
      </c>
      <c r="X57" s="329">
        <v>230</v>
      </c>
      <c r="Y57" s="329">
        <v>0</v>
      </c>
      <c r="Z57" s="329">
        <v>0</v>
      </c>
      <c r="AA57" s="329">
        <v>0</v>
      </c>
      <c r="AB57" s="329">
        <v>0</v>
      </c>
      <c r="AC57" s="330">
        <f t="shared" si="2"/>
        <v>1610</v>
      </c>
      <c r="AD57" s="328">
        <f t="shared" si="3"/>
        <v>-4390</v>
      </c>
      <c r="AE57" s="331">
        <f t="shared" si="4"/>
        <v>-2.7267080745341614</v>
      </c>
      <c r="AF57" s="250">
        <v>0</v>
      </c>
      <c r="AG57" s="124">
        <f t="shared" si="5"/>
        <v>-6000</v>
      </c>
      <c r="AH57" s="124"/>
      <c r="AI57" s="251"/>
    </row>
    <row r="58" spans="1:35" s="287" customFormat="1">
      <c r="A58" s="287" t="s">
        <v>1007</v>
      </c>
      <c r="B58" s="287" t="s">
        <v>951</v>
      </c>
      <c r="C58" s="288" t="s">
        <v>1008</v>
      </c>
      <c r="D58" s="337">
        <v>3250</v>
      </c>
      <c r="E58" s="337">
        <v>3250</v>
      </c>
      <c r="F58" s="337">
        <v>3250</v>
      </c>
      <c r="G58" s="337">
        <v>3250</v>
      </c>
      <c r="H58" s="337">
        <v>3250</v>
      </c>
      <c r="I58" s="337">
        <v>3250</v>
      </c>
      <c r="J58" s="337">
        <v>3250</v>
      </c>
      <c r="K58" s="337">
        <v>3250</v>
      </c>
      <c r="L58" s="337">
        <v>3250</v>
      </c>
      <c r="M58" s="337">
        <v>3250</v>
      </c>
      <c r="N58" s="337">
        <v>3250</v>
      </c>
      <c r="O58" s="337">
        <v>3250</v>
      </c>
      <c r="P58" s="324">
        <f t="shared" si="7"/>
        <v>39000</v>
      </c>
      <c r="Q58" s="329">
        <v>0</v>
      </c>
      <c r="R58" s="329">
        <v>0</v>
      </c>
      <c r="S58" s="329">
        <v>-253.2</v>
      </c>
      <c r="T58" s="329">
        <v>350</v>
      </c>
      <c r="U58" s="329">
        <v>-3</v>
      </c>
      <c r="V58" s="329">
        <v>500</v>
      </c>
      <c r="W58" s="329">
        <v>770.5</v>
      </c>
      <c r="X58" s="329">
        <v>15643</v>
      </c>
      <c r="Y58" s="329">
        <v>4650</v>
      </c>
      <c r="Z58" s="329">
        <v>4650</v>
      </c>
      <c r="AA58" s="329">
        <v>4650</v>
      </c>
      <c r="AB58" s="329">
        <v>4650</v>
      </c>
      <c r="AC58" s="330">
        <f t="shared" si="2"/>
        <v>35607.300000000003</v>
      </c>
      <c r="AD58" s="328">
        <f t="shared" si="3"/>
        <v>-3392.6999999999971</v>
      </c>
      <c r="AE58" s="331">
        <f t="shared" si="4"/>
        <v>-9.5281023835000034E-2</v>
      </c>
      <c r="AF58" s="250">
        <v>134215.34</v>
      </c>
      <c r="AG58" s="124">
        <f t="shared" si="5"/>
        <v>95215.34</v>
      </c>
      <c r="AH58" s="124"/>
      <c r="AI58" s="251"/>
    </row>
    <row r="59" spans="1:35" s="287" customFormat="1">
      <c r="A59" s="287" t="s">
        <v>1009</v>
      </c>
      <c r="B59" s="287" t="s">
        <v>951</v>
      </c>
      <c r="C59" s="288" t="s">
        <v>1010</v>
      </c>
      <c r="D59" s="337">
        <v>0</v>
      </c>
      <c r="E59" s="337">
        <v>0</v>
      </c>
      <c r="F59" s="337">
        <v>0</v>
      </c>
      <c r="G59" s="337">
        <v>0</v>
      </c>
      <c r="H59" s="337">
        <v>0</v>
      </c>
      <c r="I59" s="337">
        <v>0</v>
      </c>
      <c r="J59" s="337">
        <v>0</v>
      </c>
      <c r="K59" s="337">
        <v>0</v>
      </c>
      <c r="L59" s="337">
        <v>0</v>
      </c>
      <c r="M59" s="337">
        <v>0</v>
      </c>
      <c r="N59" s="337">
        <v>0</v>
      </c>
      <c r="O59" s="337">
        <v>0</v>
      </c>
      <c r="P59" s="324">
        <f t="shared" si="7"/>
        <v>0</v>
      </c>
      <c r="Q59" s="329">
        <v>0</v>
      </c>
      <c r="R59" s="329">
        <v>0</v>
      </c>
      <c r="S59" s="329">
        <v>0</v>
      </c>
      <c r="T59" s="329">
        <v>0</v>
      </c>
      <c r="U59" s="329">
        <v>0</v>
      </c>
      <c r="V59" s="329">
        <v>0</v>
      </c>
      <c r="W59" s="329">
        <v>0</v>
      </c>
      <c r="X59" s="329">
        <v>0</v>
      </c>
      <c r="Y59" s="329">
        <v>0</v>
      </c>
      <c r="Z59" s="329">
        <v>0</v>
      </c>
      <c r="AA59" s="329">
        <v>0</v>
      </c>
      <c r="AB59" s="329">
        <v>0</v>
      </c>
      <c r="AC59" s="330">
        <f t="shared" si="2"/>
        <v>0</v>
      </c>
      <c r="AD59" s="328">
        <f t="shared" si="3"/>
        <v>0</v>
      </c>
      <c r="AE59" s="331"/>
      <c r="AF59" s="250">
        <v>0</v>
      </c>
      <c r="AG59" s="124">
        <f t="shared" si="5"/>
        <v>0</v>
      </c>
      <c r="AH59" s="124"/>
      <c r="AI59" s="251"/>
    </row>
    <row r="60" spans="1:35" s="287" customFormat="1">
      <c r="A60" s="287" t="s">
        <v>1011</v>
      </c>
      <c r="B60" s="287" t="s">
        <v>951</v>
      </c>
      <c r="C60" s="288" t="s">
        <v>1012</v>
      </c>
      <c r="D60" s="337">
        <v>3000</v>
      </c>
      <c r="E60" s="337">
        <v>3000</v>
      </c>
      <c r="F60" s="337">
        <v>3000</v>
      </c>
      <c r="G60" s="337">
        <v>3000</v>
      </c>
      <c r="H60" s="337">
        <v>3000</v>
      </c>
      <c r="I60" s="337">
        <v>3000</v>
      </c>
      <c r="J60" s="337">
        <v>3000</v>
      </c>
      <c r="K60" s="337">
        <v>3000</v>
      </c>
      <c r="L60" s="337">
        <v>3000</v>
      </c>
      <c r="M60" s="337">
        <v>3000</v>
      </c>
      <c r="N60" s="337">
        <v>3000</v>
      </c>
      <c r="O60" s="337">
        <v>3000</v>
      </c>
      <c r="P60" s="324">
        <f t="shared" si="7"/>
        <v>36000</v>
      </c>
      <c r="Q60" s="329">
        <v>0</v>
      </c>
      <c r="R60" s="329">
        <v>0</v>
      </c>
      <c r="S60" s="329">
        <v>0</v>
      </c>
      <c r="T60" s="329">
        <v>0</v>
      </c>
      <c r="U60" s="329">
        <v>0</v>
      </c>
      <c r="V60" s="329">
        <v>0</v>
      </c>
      <c r="W60" s="329">
        <v>0</v>
      </c>
      <c r="X60" s="329">
        <v>0</v>
      </c>
      <c r="Y60" s="329">
        <v>3000</v>
      </c>
      <c r="Z60" s="329">
        <v>3000</v>
      </c>
      <c r="AA60" s="329">
        <v>3000</v>
      </c>
      <c r="AB60" s="329">
        <v>3000</v>
      </c>
      <c r="AC60" s="330">
        <f t="shared" si="2"/>
        <v>12000</v>
      </c>
      <c r="AD60" s="328">
        <f t="shared" si="3"/>
        <v>-24000</v>
      </c>
      <c r="AE60" s="331">
        <f t="shared" si="4"/>
        <v>-2</v>
      </c>
      <c r="AF60" s="250">
        <v>0</v>
      </c>
      <c r="AG60" s="124">
        <f t="shared" si="5"/>
        <v>-36000</v>
      </c>
      <c r="AH60" s="124"/>
      <c r="AI60" s="251"/>
    </row>
    <row r="61" spans="1:35" s="287" customFormat="1">
      <c r="A61" s="287" t="s">
        <v>1013</v>
      </c>
      <c r="B61" s="287" t="s">
        <v>951</v>
      </c>
      <c r="C61" s="288" t="s">
        <v>1014</v>
      </c>
      <c r="D61" s="124">
        <v>371128</v>
      </c>
      <c r="E61" s="124">
        <v>371128</v>
      </c>
      <c r="F61" s="124">
        <v>371128</v>
      </c>
      <c r="G61" s="124">
        <v>371128</v>
      </c>
      <c r="H61" s="124">
        <v>371128</v>
      </c>
      <c r="I61" s="124">
        <v>371128</v>
      </c>
      <c r="J61" s="124">
        <v>371128</v>
      </c>
      <c r="K61" s="124">
        <v>371128</v>
      </c>
      <c r="L61" s="124">
        <v>371128</v>
      </c>
      <c r="M61" s="124">
        <v>371128</v>
      </c>
      <c r="N61" s="124">
        <v>371128</v>
      </c>
      <c r="O61" s="124">
        <v>371128</v>
      </c>
      <c r="P61" s="324">
        <f>SUM(D61:O61)</f>
        <v>4453536</v>
      </c>
      <c r="Q61" s="329">
        <v>365816.6</v>
      </c>
      <c r="R61" s="329">
        <v>318823.13</v>
      </c>
      <c r="S61" s="329">
        <v>296278.99</v>
      </c>
      <c r="T61" s="329">
        <v>314724.71000000002</v>
      </c>
      <c r="U61" s="329">
        <v>305585.3</v>
      </c>
      <c r="V61" s="329">
        <v>300047.43</v>
      </c>
      <c r="W61" s="329">
        <v>353432.73</v>
      </c>
      <c r="X61" s="329">
        <v>330951.49</v>
      </c>
      <c r="Y61" s="329">
        <v>342663</v>
      </c>
      <c r="Z61" s="329">
        <v>342663</v>
      </c>
      <c r="AA61" s="329">
        <v>342663</v>
      </c>
      <c r="AB61" s="329">
        <v>342663</v>
      </c>
      <c r="AC61" s="330">
        <f t="shared" si="2"/>
        <v>3956312.38</v>
      </c>
      <c r="AD61" s="328">
        <f>AC61-P61</f>
        <v>-497223.62000000011</v>
      </c>
      <c r="AE61" s="331">
        <f t="shared" si="4"/>
        <v>-0.12567855422983565</v>
      </c>
      <c r="AF61" s="250">
        <v>3510617.0300000003</v>
      </c>
      <c r="AG61" s="124">
        <f t="shared" si="5"/>
        <v>-942918.96999999974</v>
      </c>
      <c r="AH61" s="163"/>
      <c r="AI61" s="251"/>
    </row>
    <row r="62" spans="1:35" s="287" customFormat="1">
      <c r="A62" s="287" t="s">
        <v>698</v>
      </c>
      <c r="B62" s="287" t="s">
        <v>951</v>
      </c>
      <c r="C62" s="287" t="s">
        <v>222</v>
      </c>
      <c r="D62" s="337">
        <v>2100</v>
      </c>
      <c r="E62" s="337">
        <v>2100</v>
      </c>
      <c r="F62" s="337">
        <v>2100</v>
      </c>
      <c r="G62" s="337">
        <v>2100</v>
      </c>
      <c r="H62" s="337">
        <v>2100</v>
      </c>
      <c r="I62" s="337">
        <v>2100</v>
      </c>
      <c r="J62" s="337">
        <v>2100</v>
      </c>
      <c r="K62" s="337">
        <v>2100</v>
      </c>
      <c r="L62" s="337">
        <v>2100</v>
      </c>
      <c r="M62" s="337">
        <v>2100</v>
      </c>
      <c r="N62" s="337">
        <v>2100</v>
      </c>
      <c r="O62" s="337">
        <v>2100</v>
      </c>
      <c r="P62" s="324">
        <f t="shared" si="7"/>
        <v>25200</v>
      </c>
      <c r="Q62" s="329">
        <v>8604.24</v>
      </c>
      <c r="R62" s="329">
        <v>0</v>
      </c>
      <c r="S62" s="329">
        <v>4456.57</v>
      </c>
      <c r="T62" s="329">
        <v>574.4</v>
      </c>
      <c r="U62" s="329">
        <v>373.44</v>
      </c>
      <c r="V62" s="329">
        <v>-721.06</v>
      </c>
      <c r="W62" s="329">
        <v>0</v>
      </c>
      <c r="X62" s="329">
        <v>84.96</v>
      </c>
      <c r="Y62" s="329">
        <v>2000</v>
      </c>
      <c r="Z62" s="329">
        <v>2000</v>
      </c>
      <c r="AA62" s="329">
        <v>2000</v>
      </c>
      <c r="AB62" s="329">
        <v>2000</v>
      </c>
      <c r="AC62" s="330">
        <f t="shared" si="2"/>
        <v>21372.55</v>
      </c>
      <c r="AD62" s="323">
        <f t="shared" si="3"/>
        <v>-3827.4500000000007</v>
      </c>
      <c r="AE62" s="327">
        <f t="shared" si="4"/>
        <v>-0.1790825147209856</v>
      </c>
      <c r="AF62" s="250">
        <v>9556.2000000000007</v>
      </c>
      <c r="AG62" s="124">
        <f t="shared" si="5"/>
        <v>-15643.8</v>
      </c>
      <c r="AH62" s="124"/>
      <c r="AI62" s="251"/>
    </row>
    <row r="63" spans="1:35">
      <c r="C63" s="109" t="s">
        <v>867</v>
      </c>
      <c r="D63" s="270">
        <f t="shared" ref="D63:AC63" si="9">SUM(D12:D62)</f>
        <v>1111600.6200000001</v>
      </c>
      <c r="E63" s="270">
        <f t="shared" si="9"/>
        <v>1110702.6600000001</v>
      </c>
      <c r="F63" s="270">
        <f t="shared" si="9"/>
        <v>1107471.6600000001</v>
      </c>
      <c r="G63" s="270">
        <f t="shared" si="9"/>
        <v>1111977.1400000001</v>
      </c>
      <c r="H63" s="270">
        <f t="shared" si="9"/>
        <v>1112116.8999999999</v>
      </c>
      <c r="I63" s="270">
        <f t="shared" si="9"/>
        <v>1110559.6600000001</v>
      </c>
      <c r="J63" s="270">
        <f t="shared" si="9"/>
        <v>1110606.6600000001</v>
      </c>
      <c r="K63" s="270">
        <f t="shared" si="9"/>
        <v>1110643.6600000001</v>
      </c>
      <c r="L63" s="270">
        <f t="shared" si="9"/>
        <v>1114638.6600000001</v>
      </c>
      <c r="M63" s="270">
        <f t="shared" si="9"/>
        <v>1119103.1000000001</v>
      </c>
      <c r="N63" s="270">
        <f t="shared" si="9"/>
        <v>1110501.6600000001</v>
      </c>
      <c r="O63" s="270">
        <f t="shared" si="9"/>
        <v>1110481.6600000001</v>
      </c>
      <c r="P63" s="129">
        <f t="shared" si="9"/>
        <v>13340404.039999999</v>
      </c>
      <c r="Q63" s="142">
        <f t="shared" si="9"/>
        <v>1453054.0599999998</v>
      </c>
      <c r="R63" s="142">
        <f t="shared" si="9"/>
        <v>823078.65</v>
      </c>
      <c r="S63" s="142">
        <f t="shared" si="9"/>
        <v>1089159.3700000001</v>
      </c>
      <c r="T63" s="142">
        <f t="shared" si="9"/>
        <v>1091208.4500000002</v>
      </c>
      <c r="U63" s="142">
        <f t="shared" si="9"/>
        <v>961276.8600000001</v>
      </c>
      <c r="V63" s="142">
        <f t="shared" si="9"/>
        <v>964966.06</v>
      </c>
      <c r="W63" s="142">
        <f t="shared" si="9"/>
        <v>1268325.8800000001</v>
      </c>
      <c r="X63" s="142">
        <f t="shared" si="9"/>
        <v>1339799.42</v>
      </c>
      <c r="Y63" s="142">
        <f t="shared" si="9"/>
        <v>719474.12</v>
      </c>
      <c r="Z63" s="142">
        <f t="shared" si="9"/>
        <v>2069591.29</v>
      </c>
      <c r="AA63" s="142">
        <f t="shared" si="9"/>
        <v>2115564.27</v>
      </c>
      <c r="AB63" s="142">
        <f t="shared" si="9"/>
        <v>2489421.64</v>
      </c>
      <c r="AC63" s="142">
        <f t="shared" si="9"/>
        <v>16384920.070000004</v>
      </c>
      <c r="AD63" s="129">
        <f t="shared" si="3"/>
        <v>3044516.0300000049</v>
      </c>
      <c r="AE63" s="132">
        <f t="shared" si="4"/>
        <v>0.18581207701918342</v>
      </c>
      <c r="AF63" s="129">
        <v>11235397.899999999</v>
      </c>
      <c r="AG63" s="124">
        <f t="shared" si="5"/>
        <v>-2105006.1400000006</v>
      </c>
      <c r="AH63" s="124"/>
      <c r="AI63" s="251"/>
    </row>
    <row r="64" spans="1:35">
      <c r="C64" s="109" t="s">
        <v>868</v>
      </c>
      <c r="D64" s="270">
        <f t="shared" ref="D64:AC64" si="10">D63+D99</f>
        <v>1497039.09</v>
      </c>
      <c r="E64" s="270">
        <f t="shared" si="10"/>
        <v>1457304.6</v>
      </c>
      <c r="F64" s="270">
        <f t="shared" si="10"/>
        <v>1466686.1900000002</v>
      </c>
      <c r="G64" s="270">
        <f t="shared" si="10"/>
        <v>1487870.62</v>
      </c>
      <c r="H64" s="270">
        <f t="shared" si="10"/>
        <v>1514447.5599999998</v>
      </c>
      <c r="I64" s="270">
        <f t="shared" si="10"/>
        <v>1490347.1300000001</v>
      </c>
      <c r="J64" s="270">
        <f t="shared" si="10"/>
        <v>1491912.9400000002</v>
      </c>
      <c r="K64" s="270">
        <f t="shared" si="10"/>
        <v>1491787.7600000002</v>
      </c>
      <c r="L64" s="270">
        <f t="shared" si="10"/>
        <v>1495983.7600000002</v>
      </c>
      <c r="M64" s="270">
        <f t="shared" si="10"/>
        <v>1548202.24</v>
      </c>
      <c r="N64" s="270">
        <f t="shared" si="10"/>
        <v>1491148.8200000003</v>
      </c>
      <c r="O64" s="270">
        <f t="shared" si="10"/>
        <v>1490629.2800000003</v>
      </c>
      <c r="P64" s="129">
        <f t="shared" si="10"/>
        <v>17923359.989999998</v>
      </c>
      <c r="Q64" s="142">
        <f t="shared" si="10"/>
        <v>1866651.1199999999</v>
      </c>
      <c r="R64" s="142">
        <f t="shared" si="10"/>
        <v>1196664.3700000001</v>
      </c>
      <c r="S64" s="142">
        <f t="shared" si="10"/>
        <v>1434136.4200000002</v>
      </c>
      <c r="T64" s="142">
        <f t="shared" si="10"/>
        <v>1470058.83</v>
      </c>
      <c r="U64" s="142">
        <f t="shared" si="10"/>
        <v>1334478.6400000001</v>
      </c>
      <c r="V64" s="142">
        <f t="shared" si="10"/>
        <v>1345507.27</v>
      </c>
      <c r="W64" s="142">
        <f t="shared" si="10"/>
        <v>1637089.1500000001</v>
      </c>
      <c r="X64" s="142">
        <f t="shared" si="10"/>
        <v>1699213.9699999997</v>
      </c>
      <c r="Y64" s="142">
        <f t="shared" si="10"/>
        <v>1152755.45</v>
      </c>
      <c r="Z64" s="142">
        <f t="shared" si="10"/>
        <v>2530408.4500000002</v>
      </c>
      <c r="AA64" s="142">
        <f t="shared" si="10"/>
        <v>2587098.4500000002</v>
      </c>
      <c r="AB64" s="142">
        <f t="shared" si="10"/>
        <v>2907147.12</v>
      </c>
      <c r="AC64" s="129">
        <f t="shared" si="10"/>
        <v>21161209.240000002</v>
      </c>
      <c r="AD64" s="129">
        <f t="shared" si="3"/>
        <v>3237849.2500000037</v>
      </c>
      <c r="AE64" s="132">
        <f t="shared" si="4"/>
        <v>0.15300870632098165</v>
      </c>
      <c r="AF64" s="129">
        <v>16738535.739999998</v>
      </c>
      <c r="AG64" s="124">
        <f t="shared" si="5"/>
        <v>-1184824.25</v>
      </c>
      <c r="AH64" s="124"/>
      <c r="AI64" s="251"/>
    </row>
    <row r="65" spans="1:35">
      <c r="C65" s="105" t="s">
        <v>154</v>
      </c>
      <c r="D65" s="126"/>
      <c r="E65" s="126"/>
      <c r="F65" s="126"/>
      <c r="G65" s="126"/>
      <c r="H65" s="126"/>
      <c r="I65" s="126"/>
      <c r="J65" s="126"/>
      <c r="K65" s="126" t="s">
        <v>950</v>
      </c>
      <c r="L65" s="126"/>
      <c r="M65" s="126" t="s">
        <v>950</v>
      </c>
      <c r="N65" s="126" t="s">
        <v>950</v>
      </c>
      <c r="O65" s="126" t="s">
        <v>950</v>
      </c>
      <c r="P65" s="129"/>
      <c r="X65" s="141"/>
      <c r="Y65" s="141"/>
      <c r="Z65" s="141"/>
      <c r="AA65" s="141"/>
      <c r="AB65" s="141"/>
      <c r="AC65" s="142"/>
      <c r="AF65" s="129"/>
      <c r="AG65" s="124">
        <f t="shared" si="5"/>
        <v>0</v>
      </c>
      <c r="AH65" s="124"/>
      <c r="AI65" s="251"/>
    </row>
    <row r="66" spans="1:35">
      <c r="C66" s="109" t="s">
        <v>869</v>
      </c>
      <c r="D66" s="126"/>
      <c r="E66" s="126"/>
      <c r="F66" s="126"/>
      <c r="G66" s="126"/>
      <c r="H66" s="126"/>
      <c r="I66" s="126"/>
      <c r="J66" s="126"/>
      <c r="K66" s="126" t="s">
        <v>950</v>
      </c>
      <c r="L66" s="126"/>
      <c r="M66" s="126" t="s">
        <v>950</v>
      </c>
      <c r="N66" s="126" t="s">
        <v>950</v>
      </c>
      <c r="O66" s="126" t="s">
        <v>950</v>
      </c>
      <c r="P66" s="129"/>
      <c r="X66" s="141"/>
      <c r="Y66" s="141"/>
      <c r="Z66" s="141"/>
      <c r="AA66" s="141"/>
      <c r="AB66" s="141"/>
      <c r="AC66" s="142"/>
      <c r="AF66" s="129"/>
      <c r="AG66" s="124">
        <f t="shared" si="5"/>
        <v>0</v>
      </c>
      <c r="AH66" s="124"/>
      <c r="AI66" s="251"/>
    </row>
    <row r="67" spans="1:35">
      <c r="C67" s="105" t="s">
        <v>465</v>
      </c>
      <c r="D67" s="126"/>
      <c r="E67" s="126"/>
      <c r="F67" s="126"/>
      <c r="G67" s="126"/>
      <c r="H67" s="126"/>
      <c r="I67" s="126"/>
      <c r="J67" s="126"/>
      <c r="K67" s="126" t="s">
        <v>950</v>
      </c>
      <c r="L67" s="126"/>
      <c r="M67" s="126" t="s">
        <v>950</v>
      </c>
      <c r="N67" s="126" t="s">
        <v>950</v>
      </c>
      <c r="O67" s="126" t="s">
        <v>950</v>
      </c>
      <c r="P67" s="129"/>
      <c r="X67" s="141"/>
      <c r="Y67" s="141"/>
      <c r="Z67" s="141"/>
      <c r="AA67" s="141"/>
      <c r="AB67" s="141"/>
      <c r="AC67" s="142"/>
      <c r="AF67" s="129"/>
      <c r="AG67" s="124">
        <f t="shared" si="5"/>
        <v>0</v>
      </c>
      <c r="AH67" s="124"/>
      <c r="AI67" s="251"/>
    </row>
    <row r="68" spans="1:35">
      <c r="A68" s="105" t="s">
        <v>248</v>
      </c>
      <c r="B68" s="105" t="s">
        <v>951</v>
      </c>
      <c r="C68" s="105" t="s">
        <v>250</v>
      </c>
      <c r="D68" s="265">
        <v>97535.7</v>
      </c>
      <c r="E68" s="126">
        <v>97535.7</v>
      </c>
      <c r="F68" s="126">
        <v>101070.8</v>
      </c>
      <c r="G68" s="126">
        <v>101070.8</v>
      </c>
      <c r="H68" s="126">
        <v>101070.8</v>
      </c>
      <c r="I68" s="126">
        <v>101070.8</v>
      </c>
      <c r="J68" s="126">
        <v>101070.8</v>
      </c>
      <c r="K68" s="126">
        <v>101070.8</v>
      </c>
      <c r="L68" s="126">
        <v>101070.8</v>
      </c>
      <c r="M68" s="126">
        <v>101070.8</v>
      </c>
      <c r="N68" s="126">
        <v>101070.8</v>
      </c>
      <c r="O68" s="126">
        <v>101070.8</v>
      </c>
      <c r="P68" s="129">
        <f>SUM(D68:O68)</f>
        <v>1205779.4000000001</v>
      </c>
      <c r="Q68" s="141">
        <v>120800</v>
      </c>
      <c r="R68" s="141">
        <v>78800</v>
      </c>
      <c r="S68" s="141">
        <v>78800</v>
      </c>
      <c r="T68" s="141">
        <v>102248.28</v>
      </c>
      <c r="U68" s="141">
        <v>110041.38</v>
      </c>
      <c r="V68" s="141">
        <v>112800</v>
      </c>
      <c r="W68" s="329">
        <v>113042.76</v>
      </c>
      <c r="X68" s="329">
        <v>112209.65</v>
      </c>
      <c r="Y68" s="329">
        <v>127800</v>
      </c>
      <c r="Z68" s="329">
        <v>127800</v>
      </c>
      <c r="AA68" s="329">
        <v>127800</v>
      </c>
      <c r="AB68" s="329">
        <v>127800</v>
      </c>
      <c r="AC68" s="142">
        <f>SUM(Q68:AB68)</f>
        <v>1339942.07</v>
      </c>
      <c r="AD68" s="124">
        <f>AC68-P68</f>
        <v>134162.66999999993</v>
      </c>
      <c r="AE68" s="192">
        <f>AD68/AC68</f>
        <v>0.10012572409193773</v>
      </c>
      <c r="AF68" s="129">
        <v>1214877.92</v>
      </c>
      <c r="AG68" s="124">
        <f t="shared" si="5"/>
        <v>9098.5199999997858</v>
      </c>
      <c r="AH68" s="124"/>
      <c r="AI68" s="251"/>
    </row>
    <row r="69" spans="1:35">
      <c r="A69" s="105" t="s">
        <v>251</v>
      </c>
      <c r="B69" s="105" t="s">
        <v>951</v>
      </c>
      <c r="C69" s="105" t="s">
        <v>468</v>
      </c>
      <c r="D69" s="265">
        <v>63760</v>
      </c>
      <c r="E69" s="126">
        <v>66800</v>
      </c>
      <c r="F69" s="126">
        <v>73080</v>
      </c>
      <c r="G69" s="126">
        <v>76020</v>
      </c>
      <c r="H69" s="126">
        <v>83916</v>
      </c>
      <c r="I69" s="126">
        <v>83916</v>
      </c>
      <c r="J69" s="126">
        <v>83916</v>
      </c>
      <c r="K69" s="126">
        <v>83916</v>
      </c>
      <c r="L69" s="126">
        <v>83916</v>
      </c>
      <c r="M69" s="126">
        <v>83916</v>
      </c>
      <c r="N69" s="126">
        <v>83916</v>
      </c>
      <c r="O69" s="126">
        <v>83916</v>
      </c>
      <c r="P69" s="129">
        <f>SUM(D69:O69)</f>
        <v>950988</v>
      </c>
      <c r="Q69" s="141">
        <v>79219.73</v>
      </c>
      <c r="R69" s="141">
        <v>79896.88</v>
      </c>
      <c r="S69" s="141">
        <v>77684.399999999994</v>
      </c>
      <c r="T69" s="141">
        <v>77080.95</v>
      </c>
      <c r="U69" s="141">
        <v>78046.149999999994</v>
      </c>
      <c r="V69" s="141">
        <v>77583.62</v>
      </c>
      <c r="W69" s="329">
        <v>79659.77</v>
      </c>
      <c r="X69" s="329">
        <v>80788.960000000006</v>
      </c>
      <c r="Y69" s="329">
        <v>100600</v>
      </c>
      <c r="Z69" s="329">
        <v>100599.83</v>
      </c>
      <c r="AA69" s="329">
        <v>154450.85</v>
      </c>
      <c r="AB69" s="329">
        <v>100592.48</v>
      </c>
      <c r="AC69" s="142">
        <f>SUM(Q69:AB69)</f>
        <v>1086203.6199999999</v>
      </c>
      <c r="AD69" s="124">
        <f>AC69-P69</f>
        <v>135215.61999999988</v>
      </c>
      <c r="AE69" s="192">
        <f>AD69/AC69</f>
        <v>0.12448459709607661</v>
      </c>
      <c r="AF69" s="129">
        <v>1429116.83</v>
      </c>
      <c r="AG69" s="124">
        <f t="shared" si="5"/>
        <v>478128.83000000007</v>
      </c>
      <c r="AH69" s="124"/>
      <c r="AI69" s="251"/>
    </row>
    <row r="70" spans="1:35">
      <c r="C70" s="109" t="s">
        <v>471</v>
      </c>
      <c r="D70" s="270">
        <f t="shared" ref="D70:AC70" si="11">SUM(D68:D69)</f>
        <v>161295.70000000001</v>
      </c>
      <c r="E70" s="270">
        <f t="shared" si="11"/>
        <v>164335.70000000001</v>
      </c>
      <c r="F70" s="270">
        <f t="shared" si="11"/>
        <v>174150.8</v>
      </c>
      <c r="G70" s="270">
        <f t="shared" si="11"/>
        <v>177090.8</v>
      </c>
      <c r="H70" s="270">
        <f t="shared" si="11"/>
        <v>184986.8</v>
      </c>
      <c r="I70" s="270">
        <f t="shared" si="11"/>
        <v>184986.8</v>
      </c>
      <c r="J70" s="270">
        <f t="shared" si="11"/>
        <v>184986.8</v>
      </c>
      <c r="K70" s="270">
        <f t="shared" si="11"/>
        <v>184986.8</v>
      </c>
      <c r="L70" s="270">
        <f t="shared" si="11"/>
        <v>184986.8</v>
      </c>
      <c r="M70" s="270">
        <f t="shared" si="11"/>
        <v>184986.8</v>
      </c>
      <c r="N70" s="270">
        <f t="shared" si="11"/>
        <v>184986.8</v>
      </c>
      <c r="O70" s="270">
        <f t="shared" si="11"/>
        <v>184986.8</v>
      </c>
      <c r="P70" s="129">
        <f t="shared" si="11"/>
        <v>2156767.4000000004</v>
      </c>
      <c r="Q70" s="142">
        <f t="shared" si="11"/>
        <v>200019.72999999998</v>
      </c>
      <c r="R70" s="142">
        <f t="shared" si="11"/>
        <v>158696.88</v>
      </c>
      <c r="S70" s="142">
        <f t="shared" si="11"/>
        <v>156484.4</v>
      </c>
      <c r="T70" s="142">
        <f t="shared" si="11"/>
        <v>179329.22999999998</v>
      </c>
      <c r="U70" s="142">
        <f t="shared" si="11"/>
        <v>188087.53</v>
      </c>
      <c r="V70" s="142">
        <f t="shared" si="11"/>
        <v>190383.62</v>
      </c>
      <c r="W70" s="142">
        <f t="shared" si="11"/>
        <v>192702.53</v>
      </c>
      <c r="X70" s="142">
        <f t="shared" si="11"/>
        <v>192998.61</v>
      </c>
      <c r="Y70" s="142">
        <f t="shared" si="11"/>
        <v>228400</v>
      </c>
      <c r="Z70" s="142">
        <f t="shared" si="11"/>
        <v>228399.83000000002</v>
      </c>
      <c r="AA70" s="142">
        <f t="shared" si="11"/>
        <v>282250.84999999998</v>
      </c>
      <c r="AB70" s="142">
        <f t="shared" si="11"/>
        <v>228392.47999999998</v>
      </c>
      <c r="AC70" s="142">
        <f t="shared" si="11"/>
        <v>2426145.69</v>
      </c>
      <c r="AD70" s="129">
        <f>AC70-P70</f>
        <v>269378.28999999957</v>
      </c>
      <c r="AE70" s="132">
        <f>AD70/AC70</f>
        <v>0.11103137421232093</v>
      </c>
      <c r="AF70" s="129">
        <v>2643994.75</v>
      </c>
      <c r="AG70" s="124">
        <f t="shared" si="5"/>
        <v>487227.34999999963</v>
      </c>
      <c r="AH70" s="124"/>
      <c r="AI70" s="251"/>
    </row>
    <row r="71" spans="1:35">
      <c r="C71" s="105" t="s">
        <v>154</v>
      </c>
      <c r="D71" s="126"/>
      <c r="E71" s="126"/>
      <c r="F71" s="126"/>
      <c r="G71" s="126"/>
      <c r="H71" s="126"/>
      <c r="I71" s="126"/>
      <c r="J71" s="126"/>
      <c r="K71" s="126" t="s">
        <v>950</v>
      </c>
      <c r="L71" s="126"/>
      <c r="M71" s="126" t="s">
        <v>950</v>
      </c>
      <c r="N71" s="126"/>
      <c r="O71" s="126" t="s">
        <v>950</v>
      </c>
      <c r="P71" s="129" t="s">
        <v>950</v>
      </c>
      <c r="X71" s="141"/>
      <c r="Y71" s="141"/>
      <c r="Z71" s="141"/>
      <c r="AA71" s="141"/>
      <c r="AB71" s="141"/>
      <c r="AC71" s="142"/>
      <c r="AF71" s="129"/>
      <c r="AG71" s="124" t="e">
        <f t="shared" si="5"/>
        <v>#VALUE!</v>
      </c>
      <c r="AH71" s="124"/>
      <c r="AI71" s="251"/>
    </row>
    <row r="72" spans="1:35">
      <c r="A72" s="105" t="s">
        <v>870</v>
      </c>
      <c r="B72" s="105" t="s">
        <v>951</v>
      </c>
      <c r="C72" s="105" t="s">
        <v>260</v>
      </c>
      <c r="D72" s="265">
        <v>36082.759999999995</v>
      </c>
      <c r="E72" s="265">
        <v>0</v>
      </c>
      <c r="F72" s="265">
        <v>0</v>
      </c>
      <c r="G72" s="265">
        <v>8993.130000000001</v>
      </c>
      <c r="H72" s="265">
        <v>18800.019999999997</v>
      </c>
      <c r="I72" s="265">
        <v>0</v>
      </c>
      <c r="J72" s="265">
        <v>0</v>
      </c>
      <c r="K72" s="265">
        <v>0</v>
      </c>
      <c r="L72" s="265">
        <v>0</v>
      </c>
      <c r="M72" s="265">
        <v>41406.889999999992</v>
      </c>
      <c r="N72" s="265">
        <v>0</v>
      </c>
      <c r="O72" s="265">
        <v>0</v>
      </c>
      <c r="P72" s="129">
        <f>SUM(D72:O72)</f>
        <v>105282.79999999999</v>
      </c>
      <c r="Q72" s="141">
        <v>10110.299999999999</v>
      </c>
      <c r="R72" s="141">
        <v>26744.7</v>
      </c>
      <c r="S72" s="141">
        <v>0</v>
      </c>
      <c r="T72" s="141">
        <v>7986.18</v>
      </c>
      <c r="U72" s="141">
        <v>7765.47</v>
      </c>
      <c r="V72" s="141">
        <v>8675.82</v>
      </c>
      <c r="W72" s="329">
        <v>0</v>
      </c>
      <c r="X72" s="329">
        <v>0</v>
      </c>
      <c r="Y72" s="329">
        <v>13063</v>
      </c>
      <c r="Z72" s="329">
        <v>39190</v>
      </c>
      <c r="AA72" s="329">
        <v>0</v>
      </c>
      <c r="AB72" s="329">
        <v>0</v>
      </c>
      <c r="AC72" s="142">
        <f>SUM(Q72:AB72)</f>
        <v>113535.47</v>
      </c>
      <c r="AD72" s="124">
        <f t="shared" ref="AD72:AD77" si="12">AC72-P72</f>
        <v>8252.6700000000128</v>
      </c>
      <c r="AE72" s="192">
        <f t="shared" ref="AE72:AE77" si="13">AD72/AC72</f>
        <v>7.2688033087809592E-2</v>
      </c>
      <c r="AF72" s="129">
        <v>136245.94</v>
      </c>
      <c r="AG72" s="124">
        <f t="shared" si="5"/>
        <v>30963.140000000014</v>
      </c>
      <c r="AH72" s="124"/>
      <c r="AI72" s="251"/>
    </row>
    <row r="73" spans="1:35" s="287" customFormat="1">
      <c r="A73" s="287" t="s">
        <v>120</v>
      </c>
      <c r="B73" s="287" t="s">
        <v>951</v>
      </c>
      <c r="C73" s="287" t="s">
        <v>261</v>
      </c>
      <c r="D73" s="265">
        <v>30638.82</v>
      </c>
      <c r="E73" s="265">
        <v>31272.15</v>
      </c>
      <c r="F73" s="265">
        <v>31855.479999999996</v>
      </c>
      <c r="G73" s="265">
        <v>32438.809999999998</v>
      </c>
      <c r="H73" s="265">
        <v>34005.47</v>
      </c>
      <c r="I73" s="265">
        <v>34005.47</v>
      </c>
      <c r="J73" s="265">
        <v>34005.47</v>
      </c>
      <c r="K73" s="265">
        <v>34005.47</v>
      </c>
      <c r="L73" s="265">
        <v>34005.47</v>
      </c>
      <c r="M73" s="265">
        <v>34005.47</v>
      </c>
      <c r="N73" s="265">
        <v>34005.47</v>
      </c>
      <c r="O73" s="265">
        <v>34005.47</v>
      </c>
      <c r="P73" s="324">
        <f>SUM(D73:O73)</f>
        <v>398249.0199999999</v>
      </c>
      <c r="Q73" s="329">
        <v>50107.33</v>
      </c>
      <c r="R73" s="329">
        <v>39605.81</v>
      </c>
      <c r="S73" s="329">
        <v>39604.199999999997</v>
      </c>
      <c r="T73" s="329">
        <v>32077.65</v>
      </c>
      <c r="U73" s="329">
        <v>31044.48</v>
      </c>
      <c r="V73" s="329">
        <v>32087.9</v>
      </c>
      <c r="W73" s="329">
        <v>32075.83</v>
      </c>
      <c r="X73" s="329">
        <v>31721.62</v>
      </c>
      <c r="Y73" s="329">
        <v>29733.33</v>
      </c>
      <c r="Z73" s="329">
        <v>29733.33</v>
      </c>
      <c r="AA73" s="329">
        <v>29733.33</v>
      </c>
      <c r="AB73" s="329">
        <v>29732</v>
      </c>
      <c r="AC73" s="330">
        <f>SUM(Q73:AB73)</f>
        <v>407256.81000000006</v>
      </c>
      <c r="AD73" s="328">
        <f t="shared" si="12"/>
        <v>9007.7900000001537</v>
      </c>
      <c r="AE73" s="331">
        <f t="shared" si="13"/>
        <v>2.2118205954616579E-2</v>
      </c>
      <c r="AF73" s="324">
        <v>375659.87</v>
      </c>
      <c r="AG73" s="124">
        <f t="shared" si="5"/>
        <v>-22589.149999999907</v>
      </c>
      <c r="AH73" s="124"/>
      <c r="AI73" s="251"/>
    </row>
    <row r="74" spans="1:35">
      <c r="A74" s="105" t="s">
        <v>871</v>
      </c>
      <c r="B74" s="105" t="s">
        <v>951</v>
      </c>
      <c r="C74" s="105" t="s">
        <v>262</v>
      </c>
      <c r="D74" s="265">
        <v>20000</v>
      </c>
      <c r="E74" s="265">
        <v>20330</v>
      </c>
      <c r="F74" s="265">
        <v>20760</v>
      </c>
      <c r="G74" s="265">
        <v>21190</v>
      </c>
      <c r="H74" s="265">
        <v>21950</v>
      </c>
      <c r="I74" s="265">
        <v>21950</v>
      </c>
      <c r="J74" s="265">
        <v>21950</v>
      </c>
      <c r="K74" s="265">
        <v>21950</v>
      </c>
      <c r="L74" s="265">
        <v>21950</v>
      </c>
      <c r="M74" s="265">
        <v>21950</v>
      </c>
      <c r="N74" s="265">
        <v>21950</v>
      </c>
      <c r="O74" s="265">
        <v>21950</v>
      </c>
      <c r="P74" s="129">
        <f>SUM(D74:O74)</f>
        <v>257880</v>
      </c>
      <c r="Q74" s="141">
        <v>20358.060000000001</v>
      </c>
      <c r="R74" s="141">
        <v>20204.48</v>
      </c>
      <c r="S74" s="141">
        <v>19962.41</v>
      </c>
      <c r="T74" s="141">
        <v>19622.580000000002</v>
      </c>
      <c r="U74" s="141">
        <v>19863.669999999998</v>
      </c>
      <c r="V74" s="141">
        <v>19976.45</v>
      </c>
      <c r="W74" s="329">
        <v>19747.14</v>
      </c>
      <c r="X74" s="329">
        <v>18320.97</v>
      </c>
      <c r="Y74" s="329">
        <v>24540</v>
      </c>
      <c r="Z74" s="329">
        <v>22908</v>
      </c>
      <c r="AA74" s="329">
        <v>23004</v>
      </c>
      <c r="AB74" s="329">
        <v>23052</v>
      </c>
      <c r="AC74" s="142">
        <f>SUM(Q74:AB74)</f>
        <v>251559.75999999998</v>
      </c>
      <c r="AD74" s="124">
        <f t="shared" si="12"/>
        <v>-6320.2400000000198</v>
      </c>
      <c r="AE74" s="192">
        <f t="shared" si="13"/>
        <v>-2.5124209054739201E-2</v>
      </c>
      <c r="AF74" s="129">
        <v>181412</v>
      </c>
      <c r="AG74" s="124">
        <f t="shared" si="5"/>
        <v>-76468</v>
      </c>
      <c r="AH74" s="124"/>
      <c r="AI74" s="251"/>
    </row>
    <row r="75" spans="1:35">
      <c r="A75" s="105" t="s">
        <v>872</v>
      </c>
      <c r="B75" s="105" t="s">
        <v>951</v>
      </c>
      <c r="C75" s="105" t="s">
        <v>263</v>
      </c>
      <c r="D75" s="265">
        <v>0</v>
      </c>
      <c r="E75" s="265">
        <v>0</v>
      </c>
      <c r="F75" s="265">
        <v>0</v>
      </c>
      <c r="G75" s="265">
        <v>0</v>
      </c>
      <c r="H75" s="265">
        <v>0</v>
      </c>
      <c r="I75" s="265">
        <v>0</v>
      </c>
      <c r="J75" s="265">
        <v>0</v>
      </c>
      <c r="K75" s="265">
        <v>0</v>
      </c>
      <c r="L75" s="265">
        <v>0</v>
      </c>
      <c r="M75" s="265">
        <v>0</v>
      </c>
      <c r="N75" s="265">
        <v>0</v>
      </c>
      <c r="O75" s="265">
        <v>0</v>
      </c>
      <c r="P75" s="129">
        <f>SUM(D75:O75)</f>
        <v>0</v>
      </c>
      <c r="Q75" s="141">
        <v>0</v>
      </c>
      <c r="R75" s="141">
        <v>0</v>
      </c>
      <c r="S75" s="141">
        <v>0</v>
      </c>
      <c r="T75" s="141">
        <v>0</v>
      </c>
      <c r="U75" s="141">
        <v>0</v>
      </c>
      <c r="V75" s="141">
        <v>0</v>
      </c>
      <c r="W75" s="329">
        <v>0</v>
      </c>
      <c r="X75" s="329">
        <v>0</v>
      </c>
      <c r="Y75" s="329">
        <v>0</v>
      </c>
      <c r="Z75" s="329">
        <v>0</v>
      </c>
      <c r="AA75" s="329">
        <v>0</v>
      </c>
      <c r="AB75" s="329">
        <v>0</v>
      </c>
      <c r="AC75" s="142">
        <f>SUM(Q75:AB75)</f>
        <v>0</v>
      </c>
      <c r="AD75" s="124">
        <f t="shared" si="12"/>
        <v>0</v>
      </c>
      <c r="AE75" s="192" t="e">
        <f t="shared" si="13"/>
        <v>#DIV/0!</v>
      </c>
      <c r="AF75" s="129">
        <v>0</v>
      </c>
      <c r="AG75" s="124">
        <f t="shared" si="5"/>
        <v>0</v>
      </c>
      <c r="AH75" s="124"/>
      <c r="AI75" s="251"/>
    </row>
    <row r="76" spans="1:35">
      <c r="A76" s="105" t="s">
        <v>873</v>
      </c>
      <c r="B76" s="105" t="s">
        <v>951</v>
      </c>
      <c r="C76" s="105" t="s">
        <v>264</v>
      </c>
      <c r="D76" s="265">
        <v>6800</v>
      </c>
      <c r="E76" s="265">
        <v>6800</v>
      </c>
      <c r="F76" s="265">
        <v>6800</v>
      </c>
      <c r="G76" s="265">
        <v>6800</v>
      </c>
      <c r="H76" s="265">
        <v>6800</v>
      </c>
      <c r="I76" s="265">
        <v>6800</v>
      </c>
      <c r="J76" s="265">
        <v>6800</v>
      </c>
      <c r="K76" s="265">
        <v>6800</v>
      </c>
      <c r="L76" s="265">
        <v>6800</v>
      </c>
      <c r="M76" s="265">
        <v>6800</v>
      </c>
      <c r="N76" s="265">
        <v>6800</v>
      </c>
      <c r="O76" s="265">
        <v>6800</v>
      </c>
      <c r="P76" s="129">
        <f>SUM(D76:O76)</f>
        <v>81600</v>
      </c>
      <c r="Q76" s="141">
        <v>6800</v>
      </c>
      <c r="R76" s="141">
        <v>6800</v>
      </c>
      <c r="S76" s="141">
        <v>6800</v>
      </c>
      <c r="T76" s="141">
        <v>6574.08</v>
      </c>
      <c r="U76" s="141">
        <v>6800</v>
      </c>
      <c r="V76" s="141">
        <v>6800</v>
      </c>
      <c r="W76" s="329">
        <v>6600</v>
      </c>
      <c r="X76" s="329">
        <v>6441.6</v>
      </c>
      <c r="Y76" s="329">
        <v>5600</v>
      </c>
      <c r="Z76" s="329">
        <v>5600</v>
      </c>
      <c r="AA76" s="329">
        <v>5600</v>
      </c>
      <c r="AB76" s="329">
        <v>5600</v>
      </c>
      <c r="AC76" s="142">
        <f>SUM(Q76:AB76)</f>
        <v>76015.679999999993</v>
      </c>
      <c r="AD76" s="124">
        <f t="shared" si="12"/>
        <v>-5584.320000000007</v>
      </c>
      <c r="AE76" s="192">
        <f t="shared" si="13"/>
        <v>-7.3462738214010684E-2</v>
      </c>
      <c r="AF76" s="129">
        <v>85868.099999999991</v>
      </c>
      <c r="AG76" s="124">
        <f t="shared" ref="AG76:AG101" si="14">AF76-P76</f>
        <v>4268.0999999999913</v>
      </c>
      <c r="AH76" s="124"/>
      <c r="AI76" s="251"/>
    </row>
    <row r="77" spans="1:35">
      <c r="C77" s="109" t="s">
        <v>265</v>
      </c>
      <c r="D77" s="270">
        <f t="shared" ref="D77:AC77" si="15">SUM(D72:D76)</f>
        <v>93521.579999999987</v>
      </c>
      <c r="E77" s="270">
        <f t="shared" si="15"/>
        <v>58402.15</v>
      </c>
      <c r="F77" s="270">
        <f t="shared" si="15"/>
        <v>59415.479999999996</v>
      </c>
      <c r="G77" s="270">
        <f t="shared" si="15"/>
        <v>69421.94</v>
      </c>
      <c r="H77" s="270">
        <f t="shared" si="15"/>
        <v>81555.489999999991</v>
      </c>
      <c r="I77" s="270">
        <f t="shared" si="15"/>
        <v>62755.47</v>
      </c>
      <c r="J77" s="270">
        <f t="shared" si="15"/>
        <v>62755.47</v>
      </c>
      <c r="K77" s="270">
        <f t="shared" si="15"/>
        <v>62755.47</v>
      </c>
      <c r="L77" s="270">
        <f t="shared" si="15"/>
        <v>62755.47</v>
      </c>
      <c r="M77" s="270">
        <f t="shared" si="15"/>
        <v>104162.35999999999</v>
      </c>
      <c r="N77" s="270">
        <f t="shared" si="15"/>
        <v>62755.47</v>
      </c>
      <c r="O77" s="270">
        <f t="shared" si="15"/>
        <v>62755.47</v>
      </c>
      <c r="P77" s="129">
        <f t="shared" si="15"/>
        <v>843011.81999999983</v>
      </c>
      <c r="Q77" s="142">
        <f t="shared" si="15"/>
        <v>87375.69</v>
      </c>
      <c r="R77" s="142">
        <f t="shared" si="15"/>
        <v>93354.989999999991</v>
      </c>
      <c r="S77" s="142">
        <f t="shared" si="15"/>
        <v>66366.61</v>
      </c>
      <c r="T77" s="142">
        <f t="shared" si="15"/>
        <v>66260.490000000005</v>
      </c>
      <c r="U77" s="142">
        <f t="shared" si="15"/>
        <v>65473.619999999995</v>
      </c>
      <c r="V77" s="142">
        <f t="shared" si="15"/>
        <v>67540.17</v>
      </c>
      <c r="W77" s="142">
        <f t="shared" si="15"/>
        <v>58422.97</v>
      </c>
      <c r="X77" s="142">
        <f t="shared" si="15"/>
        <v>56484.189999999995</v>
      </c>
      <c r="Y77" s="142">
        <f t="shared" si="15"/>
        <v>72936.33</v>
      </c>
      <c r="Z77" s="142">
        <f t="shared" si="15"/>
        <v>97431.33</v>
      </c>
      <c r="AA77" s="142">
        <f t="shared" si="15"/>
        <v>58337.33</v>
      </c>
      <c r="AB77" s="142">
        <f t="shared" si="15"/>
        <v>58384</v>
      </c>
      <c r="AC77" s="142">
        <f t="shared" si="15"/>
        <v>848367.72</v>
      </c>
      <c r="AD77" s="129">
        <f t="shared" si="12"/>
        <v>5355.9000000001397</v>
      </c>
      <c r="AE77" s="132">
        <f t="shared" si="13"/>
        <v>6.3131822130150592E-3</v>
      </c>
      <c r="AF77" s="129">
        <v>779185.91</v>
      </c>
      <c r="AG77" s="124">
        <f t="shared" si="14"/>
        <v>-63825.9099999998</v>
      </c>
      <c r="AH77" s="124"/>
      <c r="AI77" s="251"/>
    </row>
    <row r="78" spans="1:35">
      <c r="C78" s="105" t="s">
        <v>154</v>
      </c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9"/>
      <c r="X78" s="141"/>
      <c r="Y78" s="141"/>
      <c r="Z78" s="141"/>
      <c r="AA78" s="141"/>
      <c r="AB78" s="141"/>
      <c r="AC78" s="142"/>
      <c r="AF78" s="129"/>
      <c r="AG78" s="124">
        <f t="shared" si="14"/>
        <v>0</v>
      </c>
      <c r="AH78" s="124"/>
      <c r="AI78" s="251"/>
    </row>
    <row r="79" spans="1:35">
      <c r="A79" s="105" t="s">
        <v>874</v>
      </c>
      <c r="B79" s="105" t="s">
        <v>951</v>
      </c>
      <c r="C79" s="105" t="s">
        <v>266</v>
      </c>
      <c r="D79" s="265">
        <v>37144.54</v>
      </c>
      <c r="E79" s="265">
        <v>37971.78</v>
      </c>
      <c r="F79" s="265">
        <v>38799.020000000004</v>
      </c>
      <c r="G79" s="265">
        <v>39626.26</v>
      </c>
      <c r="H79" s="265">
        <v>41280.74</v>
      </c>
      <c r="I79" s="265">
        <v>41280.74</v>
      </c>
      <c r="J79" s="265">
        <v>42097.01</v>
      </c>
      <c r="K79" s="265">
        <v>42097.01</v>
      </c>
      <c r="L79" s="265">
        <v>42097.01</v>
      </c>
      <c r="M79" s="265">
        <v>42097.01</v>
      </c>
      <c r="N79" s="265">
        <v>42097.01</v>
      </c>
      <c r="O79" s="265">
        <v>42097.01</v>
      </c>
      <c r="P79" s="129">
        <f t="shared" ref="P79:P86" si="16">SUM(D79:O79)</f>
        <v>488685.14</v>
      </c>
      <c r="Q79" s="141">
        <v>42859.83</v>
      </c>
      <c r="R79" s="141">
        <v>38995.83</v>
      </c>
      <c r="S79" s="141">
        <v>38995.83</v>
      </c>
      <c r="T79" s="141">
        <v>42642.27</v>
      </c>
      <c r="U79" s="141">
        <v>41855.410000000003</v>
      </c>
      <c r="V79" s="141">
        <v>42642.27</v>
      </c>
      <c r="W79" s="329">
        <v>42754.55</v>
      </c>
      <c r="X79" s="329">
        <v>37298.17</v>
      </c>
      <c r="Y79" s="329">
        <v>40356</v>
      </c>
      <c r="Z79" s="341">
        <v>40356</v>
      </c>
      <c r="AA79" s="341">
        <v>40356</v>
      </c>
      <c r="AB79" s="341">
        <v>40356</v>
      </c>
      <c r="AC79" s="142">
        <f t="shared" ref="AC79:AC86" si="17">SUM(Q79:AB79)</f>
        <v>489468.15999999997</v>
      </c>
      <c r="AD79" s="124">
        <f t="shared" ref="AD79:AD85" si="18">AC79-P79</f>
        <v>783.01999999996042</v>
      </c>
      <c r="AE79" s="192">
        <f t="shared" ref="AE79:AE85" si="19">AD79/AC79</f>
        <v>1.5997363342284828E-3</v>
      </c>
      <c r="AF79" s="129">
        <v>514764.2</v>
      </c>
      <c r="AG79" s="124">
        <f t="shared" si="14"/>
        <v>26079.059999999998</v>
      </c>
      <c r="AH79" s="124"/>
      <c r="AI79" s="251"/>
    </row>
    <row r="80" spans="1:35">
      <c r="A80" s="105" t="s">
        <v>875</v>
      </c>
      <c r="B80" s="105" t="s">
        <v>951</v>
      </c>
      <c r="C80" s="105" t="s">
        <v>267</v>
      </c>
      <c r="D80" s="265">
        <v>15072.83</v>
      </c>
      <c r="E80" s="265">
        <v>15405.470000000001</v>
      </c>
      <c r="F80" s="265">
        <v>15738.11</v>
      </c>
      <c r="G80" s="265">
        <v>16070.75</v>
      </c>
      <c r="H80" s="265">
        <v>16736.03</v>
      </c>
      <c r="I80" s="265">
        <v>16736.03</v>
      </c>
      <c r="J80" s="265">
        <v>17024.11</v>
      </c>
      <c r="K80" s="265">
        <v>17024.11</v>
      </c>
      <c r="L80" s="265">
        <v>17024.11</v>
      </c>
      <c r="M80" s="265">
        <v>17024.11</v>
      </c>
      <c r="N80" s="265">
        <v>17024.11</v>
      </c>
      <c r="O80" s="265">
        <v>17024.11</v>
      </c>
      <c r="P80" s="133">
        <f t="shared" si="16"/>
        <v>197903.87999999995</v>
      </c>
      <c r="Q80" s="231">
        <v>22769.27</v>
      </c>
      <c r="R80" s="231">
        <v>20716.52</v>
      </c>
      <c r="S80" s="231">
        <v>20716.52</v>
      </c>
      <c r="T80" s="231">
        <v>22653.69</v>
      </c>
      <c r="U80" s="231">
        <v>22235.67</v>
      </c>
      <c r="V80" s="231">
        <v>22653.69</v>
      </c>
      <c r="W80" s="329">
        <v>17383.07</v>
      </c>
      <c r="X80" s="329">
        <v>15152.38</v>
      </c>
      <c r="Y80" s="329">
        <v>21475</v>
      </c>
      <c r="Z80" s="341">
        <v>21475</v>
      </c>
      <c r="AA80" s="341">
        <v>21475</v>
      </c>
      <c r="AB80" s="341">
        <v>21475</v>
      </c>
      <c r="AC80" s="145">
        <f t="shared" si="17"/>
        <v>250180.81</v>
      </c>
      <c r="AD80" s="123">
        <f t="shared" si="18"/>
        <v>52276.930000000051</v>
      </c>
      <c r="AE80" s="196">
        <f t="shared" si="19"/>
        <v>0.20895659423278728</v>
      </c>
      <c r="AF80" s="133">
        <v>250339.95</v>
      </c>
      <c r="AG80" s="124">
        <f t="shared" si="14"/>
        <v>52436.070000000065</v>
      </c>
      <c r="AH80" s="124"/>
      <c r="AI80" s="251"/>
    </row>
    <row r="81" spans="1:35">
      <c r="A81" s="105" t="s">
        <v>876</v>
      </c>
      <c r="B81" s="105" t="s">
        <v>951</v>
      </c>
      <c r="C81" s="105" t="s">
        <v>268</v>
      </c>
      <c r="D81" s="265">
        <v>1159.5</v>
      </c>
      <c r="E81" s="265">
        <v>1185.0899999999999</v>
      </c>
      <c r="F81" s="265">
        <v>1210.6799999999998</v>
      </c>
      <c r="G81" s="265">
        <v>1236.27</v>
      </c>
      <c r="H81" s="265">
        <v>1287.4499999999998</v>
      </c>
      <c r="I81" s="265">
        <v>1287.4499999999998</v>
      </c>
      <c r="J81" s="265">
        <v>1309.6399999999999</v>
      </c>
      <c r="K81" s="265">
        <v>1309.6399999999999</v>
      </c>
      <c r="L81" s="265">
        <v>1309.6399999999999</v>
      </c>
      <c r="M81" s="265">
        <v>1309.6399999999999</v>
      </c>
      <c r="N81" s="265">
        <v>1309.6399999999999</v>
      </c>
      <c r="O81" s="265">
        <v>1309.6399999999999</v>
      </c>
      <c r="P81" s="129">
        <f t="shared" si="16"/>
        <v>15224.279999999997</v>
      </c>
      <c r="Q81" s="141">
        <v>1339.36</v>
      </c>
      <c r="R81" s="141">
        <v>1218.6099999999999</v>
      </c>
      <c r="S81" s="141">
        <v>1218.6099999999999</v>
      </c>
      <c r="T81" s="141">
        <v>1332.56</v>
      </c>
      <c r="U81" s="141">
        <v>1307.97</v>
      </c>
      <c r="V81" s="141">
        <v>1332.56</v>
      </c>
      <c r="W81" s="329">
        <v>1336.07</v>
      </c>
      <c r="X81" s="329">
        <v>1165.56</v>
      </c>
      <c r="Y81" s="329">
        <v>1263</v>
      </c>
      <c r="Z81" s="329">
        <v>1263</v>
      </c>
      <c r="AA81" s="329">
        <v>1263</v>
      </c>
      <c r="AB81" s="329">
        <v>1263</v>
      </c>
      <c r="AC81" s="142">
        <f t="shared" si="17"/>
        <v>15303.3</v>
      </c>
      <c r="AD81" s="124">
        <f t="shared" si="18"/>
        <v>79.020000000002256</v>
      </c>
      <c r="AE81" s="192">
        <f t="shared" si="19"/>
        <v>5.1635921663956306E-3</v>
      </c>
      <c r="AF81" s="129">
        <v>15343.51</v>
      </c>
      <c r="AG81" s="124">
        <f t="shared" si="14"/>
        <v>119.2300000000032</v>
      </c>
      <c r="AH81" s="124"/>
      <c r="AI81" s="251"/>
    </row>
    <row r="82" spans="1:35">
      <c r="A82" s="105" t="s">
        <v>877</v>
      </c>
      <c r="B82" s="105" t="s">
        <v>951</v>
      </c>
      <c r="C82" s="105" t="s">
        <v>269</v>
      </c>
      <c r="D82" s="265">
        <v>278.26</v>
      </c>
      <c r="E82" s="265">
        <v>284.39999999999998</v>
      </c>
      <c r="F82" s="265">
        <v>290.53999999999996</v>
      </c>
      <c r="G82" s="265">
        <v>296.67999999999995</v>
      </c>
      <c r="H82" s="265">
        <v>308.95999999999992</v>
      </c>
      <c r="I82" s="265">
        <v>308.95999999999992</v>
      </c>
      <c r="J82" s="265">
        <v>314.32999999999993</v>
      </c>
      <c r="K82" s="265">
        <v>314.32999999999993</v>
      </c>
      <c r="L82" s="265">
        <v>314.32999999999993</v>
      </c>
      <c r="M82" s="265">
        <v>314.32999999999993</v>
      </c>
      <c r="N82" s="265">
        <v>314.32999999999993</v>
      </c>
      <c r="O82" s="265">
        <v>314.32999999999993</v>
      </c>
      <c r="P82" s="129">
        <f t="shared" si="16"/>
        <v>3653.7799999999993</v>
      </c>
      <c r="Q82" s="141">
        <v>321.45999999999998</v>
      </c>
      <c r="R82" s="141">
        <v>292.48</v>
      </c>
      <c r="S82" s="141">
        <v>292.48</v>
      </c>
      <c r="T82" s="141">
        <v>319.83</v>
      </c>
      <c r="U82" s="141">
        <v>313.93</v>
      </c>
      <c r="V82" s="141">
        <v>319.83</v>
      </c>
      <c r="W82" s="329">
        <v>320.67</v>
      </c>
      <c r="X82" s="329">
        <v>279.75</v>
      </c>
      <c r="Y82" s="329">
        <v>318</v>
      </c>
      <c r="Z82" s="329">
        <v>318</v>
      </c>
      <c r="AA82" s="329">
        <v>318</v>
      </c>
      <c r="AB82" s="329">
        <v>318</v>
      </c>
      <c r="AC82" s="142">
        <f t="shared" si="17"/>
        <v>3732.43</v>
      </c>
      <c r="AD82" s="124">
        <f t="shared" si="18"/>
        <v>78.650000000000546</v>
      </c>
      <c r="AE82" s="192">
        <f t="shared" si="19"/>
        <v>2.1072062972380071E-2</v>
      </c>
      <c r="AF82" s="129">
        <v>4909.83</v>
      </c>
      <c r="AG82" s="124">
        <f t="shared" si="14"/>
        <v>1256.0500000000006</v>
      </c>
      <c r="AH82" s="124"/>
      <c r="AI82" s="251"/>
    </row>
    <row r="83" spans="1:35">
      <c r="A83" s="105" t="s">
        <v>878</v>
      </c>
      <c r="B83" s="105" t="s">
        <v>951</v>
      </c>
      <c r="C83" s="105" t="s">
        <v>270</v>
      </c>
      <c r="D83" s="265">
        <v>0</v>
      </c>
      <c r="E83" s="265">
        <v>0</v>
      </c>
      <c r="F83" s="265">
        <v>0</v>
      </c>
      <c r="G83" s="265">
        <v>0</v>
      </c>
      <c r="H83" s="265">
        <v>0</v>
      </c>
      <c r="I83" s="265">
        <v>0</v>
      </c>
      <c r="J83" s="265">
        <v>0</v>
      </c>
      <c r="K83" s="265">
        <v>0</v>
      </c>
      <c r="L83" s="265">
        <v>0</v>
      </c>
      <c r="M83" s="265">
        <v>0</v>
      </c>
      <c r="N83" s="265">
        <v>0</v>
      </c>
      <c r="O83" s="265">
        <v>0</v>
      </c>
      <c r="P83" s="129">
        <f t="shared" si="16"/>
        <v>0</v>
      </c>
      <c r="Q83" s="141">
        <v>0</v>
      </c>
      <c r="R83" s="141">
        <v>0</v>
      </c>
      <c r="S83" s="141">
        <v>0</v>
      </c>
      <c r="T83" s="141">
        <v>0</v>
      </c>
      <c r="U83" s="141">
        <v>0</v>
      </c>
      <c r="V83" s="141">
        <v>0</v>
      </c>
      <c r="W83" s="329">
        <v>0</v>
      </c>
      <c r="X83" s="329">
        <v>0</v>
      </c>
      <c r="Y83" s="329">
        <v>0</v>
      </c>
      <c r="Z83" s="329">
        <v>0</v>
      </c>
      <c r="AA83" s="329">
        <v>0</v>
      </c>
      <c r="AB83" s="329">
        <v>0</v>
      </c>
      <c r="AC83" s="142">
        <f t="shared" si="17"/>
        <v>0</v>
      </c>
      <c r="AD83" s="124">
        <f t="shared" si="18"/>
        <v>0</v>
      </c>
      <c r="AE83" s="192" t="e">
        <f t="shared" si="19"/>
        <v>#DIV/0!</v>
      </c>
      <c r="AF83" s="129">
        <v>10497.61</v>
      </c>
      <c r="AG83" s="124">
        <f t="shared" si="14"/>
        <v>10497.61</v>
      </c>
      <c r="AH83" s="124"/>
      <c r="AI83" s="251"/>
    </row>
    <row r="84" spans="1:35">
      <c r="A84" s="105" t="s">
        <v>879</v>
      </c>
      <c r="B84" s="105" t="s">
        <v>951</v>
      </c>
      <c r="C84" s="105" t="s">
        <v>271</v>
      </c>
      <c r="D84" s="265">
        <v>11573.44</v>
      </c>
      <c r="E84" s="265">
        <v>11763.44</v>
      </c>
      <c r="F84" s="265">
        <v>11938.44</v>
      </c>
      <c r="G84" s="265">
        <v>12113.44</v>
      </c>
      <c r="H84" s="265">
        <v>12583.44</v>
      </c>
      <c r="I84" s="265">
        <v>12583.44</v>
      </c>
      <c r="J84" s="265">
        <v>13095.540000000003</v>
      </c>
      <c r="K84" s="265">
        <v>12663.58</v>
      </c>
      <c r="L84" s="265">
        <v>12663.58</v>
      </c>
      <c r="M84" s="265">
        <v>12663.58</v>
      </c>
      <c r="N84" s="265">
        <v>13095.540000000003</v>
      </c>
      <c r="O84" s="265">
        <v>12663.58</v>
      </c>
      <c r="P84" s="129">
        <f t="shared" si="16"/>
        <v>149401.04</v>
      </c>
      <c r="Q84" s="141">
        <v>13734</v>
      </c>
      <c r="R84" s="141">
        <v>12410</v>
      </c>
      <c r="S84" s="141">
        <v>12410</v>
      </c>
      <c r="T84" s="141">
        <v>13600</v>
      </c>
      <c r="U84" s="141">
        <v>13389</v>
      </c>
      <c r="V84" s="141">
        <v>13600</v>
      </c>
      <c r="W84" s="329">
        <v>13792</v>
      </c>
      <c r="X84" s="329">
        <v>12122</v>
      </c>
      <c r="Y84" s="329">
        <v>12537</v>
      </c>
      <c r="Z84" s="329">
        <v>12537</v>
      </c>
      <c r="AA84" s="329">
        <v>12537</v>
      </c>
      <c r="AB84" s="329">
        <v>12537</v>
      </c>
      <c r="AC84" s="142">
        <f t="shared" si="17"/>
        <v>155205</v>
      </c>
      <c r="AD84" s="124">
        <f t="shared" si="18"/>
        <v>5803.9599999999919</v>
      </c>
      <c r="AE84" s="192">
        <f t="shared" si="19"/>
        <v>3.7395444734383505E-2</v>
      </c>
      <c r="AF84" s="129">
        <v>146853</v>
      </c>
      <c r="AG84" s="124">
        <f t="shared" si="14"/>
        <v>-2548.0400000000081</v>
      </c>
      <c r="AH84" s="124"/>
      <c r="AI84" s="251"/>
    </row>
    <row r="85" spans="1:35">
      <c r="A85" s="105" t="s">
        <v>880</v>
      </c>
      <c r="B85" s="105" t="s">
        <v>951</v>
      </c>
      <c r="C85" s="105" t="s">
        <v>272</v>
      </c>
      <c r="D85" s="265">
        <v>5136</v>
      </c>
      <c r="E85" s="265">
        <v>4495</v>
      </c>
      <c r="F85" s="265">
        <v>4711</v>
      </c>
      <c r="G85" s="265">
        <v>4970</v>
      </c>
      <c r="H85" s="265">
        <v>5371</v>
      </c>
      <c r="I85" s="265">
        <v>4995</v>
      </c>
      <c r="J85" s="265">
        <v>4995</v>
      </c>
      <c r="K85" s="265">
        <v>4995</v>
      </c>
      <c r="L85" s="265">
        <v>4995</v>
      </c>
      <c r="M85" s="265">
        <v>5823</v>
      </c>
      <c r="N85" s="265">
        <v>4995</v>
      </c>
      <c r="O85" s="265">
        <v>4995</v>
      </c>
      <c r="P85" s="133">
        <f t="shared" si="16"/>
        <v>60476</v>
      </c>
      <c r="Q85" s="231">
        <v>4685.76</v>
      </c>
      <c r="R85" s="231">
        <v>4253.03</v>
      </c>
      <c r="S85" s="231">
        <v>7601.17</v>
      </c>
      <c r="T85" s="231">
        <v>8353.35</v>
      </c>
      <c r="U85" s="231">
        <v>4445.45</v>
      </c>
      <c r="V85" s="231">
        <v>4470.5200000000004</v>
      </c>
      <c r="W85" s="329">
        <v>4319.5200000000004</v>
      </c>
      <c r="X85" s="329">
        <v>4295.22</v>
      </c>
      <c r="Y85" s="329">
        <v>5774</v>
      </c>
      <c r="Z85" s="329">
        <v>5774</v>
      </c>
      <c r="AA85" s="329">
        <v>5774</v>
      </c>
      <c r="AB85" s="329">
        <v>5774</v>
      </c>
      <c r="AC85" s="145">
        <f t="shared" si="17"/>
        <v>65520.020000000004</v>
      </c>
      <c r="AD85" s="123">
        <f t="shared" si="18"/>
        <v>5044.0200000000041</v>
      </c>
      <c r="AE85" s="196">
        <f t="shared" si="19"/>
        <v>7.698440873491802E-2</v>
      </c>
      <c r="AF85" s="133">
        <v>77043.7</v>
      </c>
      <c r="AG85" s="124">
        <f t="shared" si="14"/>
        <v>16567.699999999997</v>
      </c>
      <c r="AH85" s="124"/>
      <c r="AI85" s="251"/>
    </row>
    <row r="86" spans="1:35">
      <c r="A86" s="105" t="s">
        <v>273</v>
      </c>
      <c r="C86" s="105" t="s">
        <v>274</v>
      </c>
      <c r="D86" s="265">
        <v>0</v>
      </c>
      <c r="E86" s="265">
        <v>0</v>
      </c>
      <c r="F86" s="265">
        <v>0</v>
      </c>
      <c r="G86" s="265">
        <v>0</v>
      </c>
      <c r="H86" s="265">
        <v>0</v>
      </c>
      <c r="I86" s="265">
        <v>0</v>
      </c>
      <c r="J86" s="265">
        <v>0</v>
      </c>
      <c r="K86" s="265">
        <v>0</v>
      </c>
      <c r="L86" s="265">
        <v>0</v>
      </c>
      <c r="M86" s="265">
        <v>0</v>
      </c>
      <c r="N86" s="265">
        <v>0</v>
      </c>
      <c r="O86" s="265">
        <v>0</v>
      </c>
      <c r="P86" s="129">
        <f t="shared" si="16"/>
        <v>0</v>
      </c>
      <c r="W86" s="329">
        <v>0</v>
      </c>
      <c r="X86" s="329">
        <v>0</v>
      </c>
      <c r="Y86" s="329">
        <v>0</v>
      </c>
      <c r="Z86" s="329">
        <v>0</v>
      </c>
      <c r="AA86" s="329">
        <v>0</v>
      </c>
      <c r="AB86" s="329">
        <v>0</v>
      </c>
      <c r="AC86" s="142">
        <f t="shared" si="17"/>
        <v>0</v>
      </c>
      <c r="AF86" s="129">
        <v>0</v>
      </c>
      <c r="AG86" s="124">
        <f t="shared" si="14"/>
        <v>0</v>
      </c>
      <c r="AH86" s="124"/>
      <c r="AI86" s="251"/>
    </row>
    <row r="87" spans="1:35">
      <c r="C87" s="109" t="s">
        <v>275</v>
      </c>
      <c r="D87" s="270">
        <f t="shared" ref="D87:AC87" si="20">SUM(D79:D86)</f>
        <v>70364.570000000007</v>
      </c>
      <c r="E87" s="270">
        <f t="shared" si="20"/>
        <v>71105.179999999993</v>
      </c>
      <c r="F87" s="270">
        <f t="shared" si="20"/>
        <v>72687.790000000008</v>
      </c>
      <c r="G87" s="270">
        <f t="shared" si="20"/>
        <v>74313.399999999994</v>
      </c>
      <c r="H87" s="270">
        <f t="shared" si="20"/>
        <v>77567.62</v>
      </c>
      <c r="I87" s="270">
        <f t="shared" si="20"/>
        <v>77191.62</v>
      </c>
      <c r="J87" s="270">
        <f t="shared" si="20"/>
        <v>78835.63</v>
      </c>
      <c r="K87" s="270">
        <f t="shared" si="20"/>
        <v>78403.67</v>
      </c>
      <c r="L87" s="270">
        <f t="shared" si="20"/>
        <v>78403.67</v>
      </c>
      <c r="M87" s="270">
        <f t="shared" si="20"/>
        <v>79231.67</v>
      </c>
      <c r="N87" s="270">
        <f t="shared" si="20"/>
        <v>78835.63</v>
      </c>
      <c r="O87" s="270">
        <f t="shared" si="20"/>
        <v>78403.67</v>
      </c>
      <c r="P87" s="129">
        <f t="shared" si="20"/>
        <v>915344.12000000011</v>
      </c>
      <c r="Q87" s="142">
        <f t="shared" si="20"/>
        <v>85709.680000000008</v>
      </c>
      <c r="R87" s="142">
        <f t="shared" si="20"/>
        <v>77886.47</v>
      </c>
      <c r="S87" s="142">
        <f t="shared" si="20"/>
        <v>81234.61</v>
      </c>
      <c r="T87" s="142">
        <f t="shared" si="20"/>
        <v>88901.7</v>
      </c>
      <c r="U87" s="142">
        <f t="shared" si="20"/>
        <v>83547.429999999993</v>
      </c>
      <c r="V87" s="142">
        <f t="shared" si="20"/>
        <v>85018.87</v>
      </c>
      <c r="W87" s="142">
        <f t="shared" si="20"/>
        <v>79905.88</v>
      </c>
      <c r="X87" s="142">
        <f t="shared" si="20"/>
        <v>70313.079999999987</v>
      </c>
      <c r="Y87" s="142">
        <f t="shared" si="20"/>
        <v>81723</v>
      </c>
      <c r="Z87" s="142">
        <f t="shared" si="20"/>
        <v>81723</v>
      </c>
      <c r="AA87" s="142">
        <f t="shared" si="20"/>
        <v>81723</v>
      </c>
      <c r="AB87" s="142">
        <f t="shared" si="20"/>
        <v>81723</v>
      </c>
      <c r="AC87" s="142">
        <f t="shared" si="20"/>
        <v>979409.72000000009</v>
      </c>
      <c r="AD87" s="129">
        <f>AC87-P87</f>
        <v>64065.599999999977</v>
      </c>
      <c r="AE87" s="132">
        <f>AD87/AC87</f>
        <v>6.5412460885113502E-2</v>
      </c>
      <c r="AF87" s="129">
        <v>1019751.7999999999</v>
      </c>
      <c r="AG87" s="124">
        <f t="shared" si="14"/>
        <v>104407.67999999982</v>
      </c>
      <c r="AH87" s="124"/>
      <c r="AI87" s="251"/>
    </row>
    <row r="88" spans="1:35">
      <c r="C88" s="105" t="s">
        <v>154</v>
      </c>
      <c r="D88" s="126"/>
      <c r="E88" s="126"/>
      <c r="F88" s="126"/>
      <c r="G88" s="126"/>
      <c r="H88" s="126"/>
      <c r="I88" s="126"/>
      <c r="J88" s="126"/>
      <c r="K88" s="126" t="s">
        <v>950</v>
      </c>
      <c r="L88" s="126"/>
      <c r="M88" s="126" t="s">
        <v>950</v>
      </c>
      <c r="N88" s="126" t="s">
        <v>950</v>
      </c>
      <c r="O88" s="126" t="s">
        <v>950</v>
      </c>
      <c r="P88" s="129" t="s">
        <v>950</v>
      </c>
      <c r="X88" s="141"/>
      <c r="Y88" s="141"/>
      <c r="Z88" s="141"/>
      <c r="AA88" s="141"/>
      <c r="AB88" s="141"/>
      <c r="AC88" s="142"/>
      <c r="AF88" s="129"/>
      <c r="AG88" s="124" t="e">
        <f t="shared" si="14"/>
        <v>#VALUE!</v>
      </c>
      <c r="AH88" s="124"/>
      <c r="AI88" s="251"/>
    </row>
    <row r="89" spans="1:35">
      <c r="A89" s="105" t="s">
        <v>131</v>
      </c>
      <c r="B89" s="105" t="s">
        <v>951</v>
      </c>
      <c r="C89" s="105" t="s">
        <v>276</v>
      </c>
      <c r="D89" s="265">
        <v>0</v>
      </c>
      <c r="E89" s="265">
        <v>0</v>
      </c>
      <c r="F89" s="265">
        <v>0</v>
      </c>
      <c r="G89" s="265">
        <v>0</v>
      </c>
      <c r="H89" s="265">
        <v>0</v>
      </c>
      <c r="I89" s="265">
        <v>0</v>
      </c>
      <c r="J89" s="265">
        <v>0</v>
      </c>
      <c r="K89" s="265">
        <v>0</v>
      </c>
      <c r="L89" s="265">
        <v>0</v>
      </c>
      <c r="M89" s="265">
        <v>0</v>
      </c>
      <c r="N89" s="265">
        <v>0</v>
      </c>
      <c r="O89" s="265">
        <v>0</v>
      </c>
      <c r="P89" s="129">
        <f t="shared" ref="P89:P97" si="21">SUM(D89:O89)</f>
        <v>0</v>
      </c>
      <c r="W89" s="329">
        <v>0</v>
      </c>
      <c r="X89" s="329">
        <v>0</v>
      </c>
      <c r="Y89" s="329">
        <v>0</v>
      </c>
      <c r="Z89" s="329">
        <v>0</v>
      </c>
      <c r="AA89" s="329">
        <v>0</v>
      </c>
      <c r="AB89" s="329">
        <v>0</v>
      </c>
      <c r="AC89" s="142">
        <f t="shared" ref="AC89:AC97" si="22">SUM(Q89:AB89)</f>
        <v>0</v>
      </c>
      <c r="AF89" s="129">
        <v>0</v>
      </c>
      <c r="AG89" s="124">
        <f t="shared" si="14"/>
        <v>0</v>
      </c>
      <c r="AH89" s="124"/>
      <c r="AI89" s="251"/>
    </row>
    <row r="90" spans="1:35">
      <c r="A90" s="105" t="s">
        <v>132</v>
      </c>
      <c r="B90" s="105" t="s">
        <v>951</v>
      </c>
      <c r="C90" s="105" t="s">
        <v>277</v>
      </c>
      <c r="D90" s="265">
        <v>0</v>
      </c>
      <c r="E90" s="265">
        <v>0</v>
      </c>
      <c r="F90" s="265">
        <v>0</v>
      </c>
      <c r="G90" s="265">
        <v>0</v>
      </c>
      <c r="H90" s="265">
        <v>0</v>
      </c>
      <c r="I90" s="265">
        <v>0</v>
      </c>
      <c r="J90" s="265">
        <v>0</v>
      </c>
      <c r="K90" s="265">
        <v>0</v>
      </c>
      <c r="L90" s="265">
        <v>0</v>
      </c>
      <c r="M90" s="265">
        <v>0</v>
      </c>
      <c r="N90" s="265">
        <v>0</v>
      </c>
      <c r="O90" s="265">
        <v>0</v>
      </c>
      <c r="P90" s="129">
        <f t="shared" si="21"/>
        <v>0</v>
      </c>
      <c r="W90" s="329">
        <v>0</v>
      </c>
      <c r="X90" s="329">
        <v>0</v>
      </c>
      <c r="Y90" s="329">
        <v>0</v>
      </c>
      <c r="Z90" s="329">
        <v>0</v>
      </c>
      <c r="AA90" s="329">
        <v>0</v>
      </c>
      <c r="AB90" s="329">
        <v>0</v>
      </c>
      <c r="AC90" s="142">
        <f t="shared" si="22"/>
        <v>0</v>
      </c>
      <c r="AF90" s="129">
        <v>0</v>
      </c>
      <c r="AG90" s="124">
        <f t="shared" si="14"/>
        <v>0</v>
      </c>
      <c r="AH90" s="124"/>
      <c r="AI90" s="251"/>
    </row>
    <row r="91" spans="1:35">
      <c r="A91" s="105" t="s">
        <v>133</v>
      </c>
      <c r="B91" s="105" t="s">
        <v>951</v>
      </c>
      <c r="C91" s="105" t="s">
        <v>278</v>
      </c>
      <c r="D91" s="265">
        <v>0</v>
      </c>
      <c r="E91" s="265">
        <v>0</v>
      </c>
      <c r="F91" s="265">
        <v>0</v>
      </c>
      <c r="G91" s="265">
        <v>0</v>
      </c>
      <c r="H91" s="265">
        <v>0</v>
      </c>
      <c r="I91" s="265">
        <v>0</v>
      </c>
      <c r="J91" s="265">
        <v>0</v>
      </c>
      <c r="K91" s="265">
        <v>0</v>
      </c>
      <c r="L91" s="265">
        <v>0</v>
      </c>
      <c r="M91" s="265">
        <v>0</v>
      </c>
      <c r="N91" s="265">
        <v>0</v>
      </c>
      <c r="O91" s="265">
        <v>0</v>
      </c>
      <c r="P91" s="129">
        <f t="shared" si="21"/>
        <v>0</v>
      </c>
      <c r="W91" s="329">
        <v>0</v>
      </c>
      <c r="X91" s="329">
        <v>0</v>
      </c>
      <c r="Y91" s="329">
        <v>0</v>
      </c>
      <c r="Z91" s="329">
        <v>0</v>
      </c>
      <c r="AA91" s="329">
        <v>0</v>
      </c>
      <c r="AB91" s="329">
        <v>0</v>
      </c>
      <c r="AC91" s="142">
        <f t="shared" si="22"/>
        <v>0</v>
      </c>
      <c r="AF91" s="129">
        <v>0</v>
      </c>
      <c r="AG91" s="124">
        <f t="shared" si="14"/>
        <v>0</v>
      </c>
      <c r="AH91" s="124"/>
      <c r="AI91" s="251"/>
    </row>
    <row r="92" spans="1:35">
      <c r="A92" s="105" t="s">
        <v>134</v>
      </c>
      <c r="B92" s="105" t="s">
        <v>951</v>
      </c>
      <c r="C92" s="105" t="s">
        <v>279</v>
      </c>
      <c r="D92" s="265">
        <v>2266.66</v>
      </c>
      <c r="E92" s="265">
        <v>2266.66</v>
      </c>
      <c r="F92" s="265">
        <v>2266.66</v>
      </c>
      <c r="G92" s="265">
        <v>2266.66</v>
      </c>
      <c r="H92" s="265">
        <v>2266.66</v>
      </c>
      <c r="I92" s="265">
        <v>2266.66</v>
      </c>
      <c r="J92" s="265">
        <v>2266.66</v>
      </c>
      <c r="K92" s="265">
        <v>2266.66</v>
      </c>
      <c r="L92" s="265">
        <v>2266.66</v>
      </c>
      <c r="M92" s="265">
        <v>2266.66</v>
      </c>
      <c r="N92" s="265">
        <v>2266.66</v>
      </c>
      <c r="O92" s="265">
        <v>2266.66</v>
      </c>
      <c r="P92" s="129">
        <f t="shared" si="21"/>
        <v>27199.919999999998</v>
      </c>
      <c r="Q92" s="231">
        <v>1243.07</v>
      </c>
      <c r="R92" s="231">
        <v>254</v>
      </c>
      <c r="S92" s="231">
        <v>272</v>
      </c>
      <c r="T92" s="231">
        <v>2170.86</v>
      </c>
      <c r="U92" s="231">
        <v>2242</v>
      </c>
      <c r="V92" s="231">
        <v>2172</v>
      </c>
      <c r="W92" s="329">
        <v>2242</v>
      </c>
      <c r="X92" s="329">
        <v>2242</v>
      </c>
      <c r="Y92" s="329">
        <v>2067</v>
      </c>
      <c r="Z92" s="329">
        <v>2067</v>
      </c>
      <c r="AA92" s="329">
        <v>2067</v>
      </c>
      <c r="AB92" s="329">
        <v>2067</v>
      </c>
      <c r="AC92" s="142">
        <f t="shared" si="22"/>
        <v>21105.93</v>
      </c>
      <c r="AD92" s="124">
        <f t="shared" ref="AD92:AD99" si="23">AC92-P92</f>
        <v>-6093.989999999998</v>
      </c>
      <c r="AE92" s="192">
        <f t="shared" ref="AE92:AE101" si="24">AD92/AC92</f>
        <v>-0.28873354550119318</v>
      </c>
      <c r="AF92" s="129">
        <v>16291.32</v>
      </c>
      <c r="AG92" s="124">
        <f t="shared" si="14"/>
        <v>-10908.599999999999</v>
      </c>
      <c r="AH92" s="124"/>
      <c r="AI92" s="251"/>
    </row>
    <row r="93" spans="1:35">
      <c r="A93" s="105" t="s">
        <v>135</v>
      </c>
      <c r="B93" s="105" t="s">
        <v>951</v>
      </c>
      <c r="C93" s="105" t="s">
        <v>280</v>
      </c>
      <c r="D93" s="265">
        <v>2672.19</v>
      </c>
      <c r="E93" s="265">
        <v>2672.19</v>
      </c>
      <c r="F93" s="265">
        <v>2672.19</v>
      </c>
      <c r="G93" s="265">
        <v>2672.19</v>
      </c>
      <c r="H93" s="265">
        <v>2672.19</v>
      </c>
      <c r="I93" s="265">
        <v>2672.19</v>
      </c>
      <c r="J93" s="265">
        <v>2672.19</v>
      </c>
      <c r="K93" s="265">
        <v>2672.19</v>
      </c>
      <c r="L93" s="265">
        <v>2672.19</v>
      </c>
      <c r="M93" s="265">
        <v>2672.19</v>
      </c>
      <c r="N93" s="265">
        <v>2672.19</v>
      </c>
      <c r="O93" s="265">
        <v>2672.19</v>
      </c>
      <c r="P93" s="133">
        <f t="shared" si="21"/>
        <v>32066.279999999995</v>
      </c>
      <c r="Q93" s="231">
        <v>2483.67</v>
      </c>
      <c r="R93" s="231">
        <v>551.29</v>
      </c>
      <c r="S93" s="231">
        <v>546.66999999999996</v>
      </c>
      <c r="T93" s="231">
        <v>565.53</v>
      </c>
      <c r="U93" s="231">
        <v>590.22</v>
      </c>
      <c r="V93" s="231">
        <v>-1307.19</v>
      </c>
      <c r="W93" s="329">
        <v>599.38</v>
      </c>
      <c r="X93" s="329">
        <v>587.65</v>
      </c>
      <c r="Y93" s="329">
        <v>520</v>
      </c>
      <c r="Z93" s="329">
        <v>520</v>
      </c>
      <c r="AA93" s="329">
        <v>520</v>
      </c>
      <c r="AB93" s="329">
        <v>520</v>
      </c>
      <c r="AC93" s="145">
        <f t="shared" si="22"/>
        <v>6697.22</v>
      </c>
      <c r="AD93" s="123">
        <f t="shared" si="23"/>
        <v>-25369.059999999994</v>
      </c>
      <c r="AE93" s="196">
        <f t="shared" si="24"/>
        <v>-3.7879986024051759</v>
      </c>
      <c r="AF93" s="133">
        <v>45300.12000000001</v>
      </c>
      <c r="AG93" s="124">
        <f t="shared" si="14"/>
        <v>13233.840000000015</v>
      </c>
      <c r="AH93" s="124"/>
      <c r="AI93" s="251"/>
    </row>
    <row r="94" spans="1:35">
      <c r="A94" s="105" t="s">
        <v>281</v>
      </c>
      <c r="B94" s="105" t="s">
        <v>951</v>
      </c>
      <c r="C94" s="105" t="s">
        <v>282</v>
      </c>
      <c r="D94" s="233">
        <v>13839.66</v>
      </c>
      <c r="E94" s="233">
        <v>12712.87</v>
      </c>
      <c r="F94" s="233">
        <v>12891.17</v>
      </c>
      <c r="G94" s="233">
        <v>14536.69</v>
      </c>
      <c r="H94" s="233">
        <v>15034.33</v>
      </c>
      <c r="I94" s="233">
        <v>14250.17</v>
      </c>
      <c r="J94" s="233">
        <v>14316.27</v>
      </c>
      <c r="K94" s="233">
        <v>14623.45</v>
      </c>
      <c r="L94" s="233">
        <v>14620.45</v>
      </c>
      <c r="M94" s="233">
        <v>14686.93</v>
      </c>
      <c r="N94" s="233">
        <v>13630.27</v>
      </c>
      <c r="O94" s="233">
        <v>13600.45</v>
      </c>
      <c r="P94" s="129">
        <f t="shared" si="21"/>
        <v>168742.71</v>
      </c>
      <c r="Q94" s="141">
        <v>9185.82</v>
      </c>
      <c r="R94" s="141">
        <v>7692.11</v>
      </c>
      <c r="S94" s="141">
        <v>6398.44</v>
      </c>
      <c r="T94" s="141">
        <v>7881.19</v>
      </c>
      <c r="U94" s="141">
        <v>8485.48</v>
      </c>
      <c r="V94" s="141">
        <v>8388.2099999999991</v>
      </c>
      <c r="W94" s="329">
        <v>7234.98</v>
      </c>
      <c r="X94" s="329">
        <v>7383.46</v>
      </c>
      <c r="Y94" s="329">
        <v>13066</v>
      </c>
      <c r="Z94" s="329">
        <v>12424</v>
      </c>
      <c r="AA94" s="329">
        <v>11620</v>
      </c>
      <c r="AB94" s="329">
        <v>11623</v>
      </c>
      <c r="AC94" s="142">
        <f t="shared" si="22"/>
        <v>111382.69</v>
      </c>
      <c r="AD94" s="124">
        <f t="shared" si="23"/>
        <v>-57360.01999999999</v>
      </c>
      <c r="AE94" s="192">
        <f t="shared" si="24"/>
        <v>-0.51498145717256416</v>
      </c>
      <c r="AF94" s="129">
        <v>176038.28000000003</v>
      </c>
      <c r="AG94" s="124">
        <f t="shared" si="14"/>
        <v>7295.5700000000361</v>
      </c>
      <c r="AH94" s="124"/>
      <c r="AI94" s="251"/>
    </row>
    <row r="95" spans="1:35">
      <c r="A95" s="105" t="s">
        <v>137</v>
      </c>
      <c r="B95" s="105" t="s">
        <v>951</v>
      </c>
      <c r="C95" s="105" t="s">
        <v>283</v>
      </c>
      <c r="D95" s="233">
        <v>41478.11</v>
      </c>
      <c r="E95" s="233">
        <v>35107.19</v>
      </c>
      <c r="F95" s="233">
        <v>35130.44</v>
      </c>
      <c r="G95" s="233">
        <v>35591.800000000003</v>
      </c>
      <c r="H95" s="233">
        <v>38247.57</v>
      </c>
      <c r="I95" s="233">
        <v>35664.559999999998</v>
      </c>
      <c r="J95" s="233">
        <v>35473.26</v>
      </c>
      <c r="K95" s="233">
        <v>35435.86</v>
      </c>
      <c r="L95" s="233">
        <v>35639.86</v>
      </c>
      <c r="M95" s="233">
        <v>41092.53</v>
      </c>
      <c r="N95" s="233">
        <v>35500.14</v>
      </c>
      <c r="O95" s="233">
        <v>35462.379999999997</v>
      </c>
      <c r="P95" s="129">
        <f t="shared" si="21"/>
        <v>439823.70000000007</v>
      </c>
      <c r="Q95" s="141">
        <v>27579.4</v>
      </c>
      <c r="R95" s="141">
        <v>35149.980000000003</v>
      </c>
      <c r="S95" s="141">
        <v>33674.32</v>
      </c>
      <c r="T95" s="141">
        <v>33741.379999999997</v>
      </c>
      <c r="U95" s="141">
        <v>24775.5</v>
      </c>
      <c r="V95" s="141">
        <v>28345.53</v>
      </c>
      <c r="W95" s="329">
        <v>27655.53</v>
      </c>
      <c r="X95" s="329">
        <v>29405.56</v>
      </c>
      <c r="Y95" s="329">
        <v>34569</v>
      </c>
      <c r="Z95" s="329">
        <v>38252</v>
      </c>
      <c r="AA95" s="329">
        <v>35016</v>
      </c>
      <c r="AB95" s="329">
        <v>35016</v>
      </c>
      <c r="AC95" s="142">
        <f t="shared" si="22"/>
        <v>383180.2</v>
      </c>
      <c r="AD95" s="124">
        <f t="shared" si="23"/>
        <v>-56643.500000000058</v>
      </c>
      <c r="AE95" s="192">
        <f t="shared" si="24"/>
        <v>-0.14782470492995217</v>
      </c>
      <c r="AF95" s="129">
        <v>822575.66</v>
      </c>
      <c r="AG95" s="124">
        <f t="shared" si="14"/>
        <v>382751.95999999996</v>
      </c>
      <c r="AH95" s="124"/>
      <c r="AI95" s="251"/>
    </row>
    <row r="96" spans="1:35">
      <c r="A96" s="105" t="s">
        <v>138</v>
      </c>
      <c r="B96" s="105" t="s">
        <v>951</v>
      </c>
      <c r="C96" s="105" t="s">
        <v>881</v>
      </c>
      <c r="D96" s="126">
        <v>0</v>
      </c>
      <c r="E96" s="126">
        <v>0</v>
      </c>
      <c r="F96" s="126">
        <v>0</v>
      </c>
      <c r="G96" s="126">
        <v>0</v>
      </c>
      <c r="H96" s="126">
        <v>0</v>
      </c>
      <c r="I96" s="126">
        <v>0</v>
      </c>
      <c r="J96" s="126">
        <v>0</v>
      </c>
      <c r="K96" s="126">
        <v>0</v>
      </c>
      <c r="L96" s="126">
        <v>0</v>
      </c>
      <c r="M96" s="126">
        <v>0</v>
      </c>
      <c r="N96" s="126">
        <v>0</v>
      </c>
      <c r="O96" s="126">
        <v>0</v>
      </c>
      <c r="P96" s="129">
        <f t="shared" si="21"/>
        <v>0</v>
      </c>
      <c r="W96" s="329">
        <v>0</v>
      </c>
      <c r="X96" s="329">
        <v>0</v>
      </c>
      <c r="Y96" s="329">
        <v>0</v>
      </c>
      <c r="Z96" s="329">
        <v>0</v>
      </c>
      <c r="AA96" s="329">
        <v>0</v>
      </c>
      <c r="AB96" s="329">
        <v>0</v>
      </c>
      <c r="AC96" s="142">
        <f t="shared" si="22"/>
        <v>0</v>
      </c>
      <c r="AF96" s="129">
        <v>0</v>
      </c>
      <c r="AG96" s="124">
        <f t="shared" si="14"/>
        <v>0</v>
      </c>
      <c r="AH96" s="124"/>
      <c r="AI96" s="251"/>
    </row>
    <row r="97" spans="1:35">
      <c r="A97" s="105" t="s">
        <v>140</v>
      </c>
      <c r="B97" s="105" t="s">
        <v>951</v>
      </c>
      <c r="C97" s="105" t="s">
        <v>882</v>
      </c>
      <c r="D97" s="126">
        <v>0</v>
      </c>
      <c r="E97" s="126">
        <v>0</v>
      </c>
      <c r="F97" s="126">
        <v>0</v>
      </c>
      <c r="G97" s="126">
        <v>0</v>
      </c>
      <c r="H97" s="126">
        <v>0</v>
      </c>
      <c r="I97" s="126">
        <v>0</v>
      </c>
      <c r="J97" s="126">
        <v>0</v>
      </c>
      <c r="K97" s="126">
        <v>0</v>
      </c>
      <c r="L97" s="126">
        <v>0</v>
      </c>
      <c r="M97" s="126">
        <v>0</v>
      </c>
      <c r="N97" s="126">
        <v>0</v>
      </c>
      <c r="O97" s="126">
        <v>0</v>
      </c>
      <c r="P97" s="129">
        <f t="shared" si="21"/>
        <v>0</v>
      </c>
      <c r="W97" s="329">
        <v>0</v>
      </c>
      <c r="X97" s="329">
        <v>0</v>
      </c>
      <c r="Y97" s="329">
        <v>0</v>
      </c>
      <c r="Z97" s="329">
        <v>0</v>
      </c>
      <c r="AA97" s="329">
        <v>0</v>
      </c>
      <c r="AB97" s="329">
        <v>0</v>
      </c>
      <c r="AC97" s="142">
        <f t="shared" si="22"/>
        <v>0</v>
      </c>
      <c r="AF97" s="129">
        <v>0</v>
      </c>
      <c r="AG97" s="124">
        <f t="shared" si="14"/>
        <v>0</v>
      </c>
      <c r="AH97" s="124"/>
      <c r="AI97" s="251"/>
    </row>
    <row r="98" spans="1:35">
      <c r="C98" s="109" t="s">
        <v>286</v>
      </c>
      <c r="D98" s="270">
        <f t="shared" ref="D98:AC98" si="25">SUM(D89:D95)</f>
        <v>60256.62</v>
      </c>
      <c r="E98" s="270">
        <f t="shared" si="25"/>
        <v>52758.91</v>
      </c>
      <c r="F98" s="270">
        <f t="shared" si="25"/>
        <v>52960.460000000006</v>
      </c>
      <c r="G98" s="270">
        <f t="shared" si="25"/>
        <v>55067.340000000004</v>
      </c>
      <c r="H98" s="270">
        <f t="shared" si="25"/>
        <v>58220.75</v>
      </c>
      <c r="I98" s="270">
        <f t="shared" si="25"/>
        <v>54853.58</v>
      </c>
      <c r="J98" s="270">
        <f t="shared" si="25"/>
        <v>54728.380000000005</v>
      </c>
      <c r="K98" s="270">
        <f t="shared" si="25"/>
        <v>54998.16</v>
      </c>
      <c r="L98" s="270">
        <f t="shared" si="25"/>
        <v>55199.16</v>
      </c>
      <c r="M98" s="270">
        <f t="shared" si="25"/>
        <v>60718.31</v>
      </c>
      <c r="N98" s="270">
        <f t="shared" si="25"/>
        <v>54069.26</v>
      </c>
      <c r="O98" s="270">
        <f t="shared" si="25"/>
        <v>54001.68</v>
      </c>
      <c r="P98" s="129">
        <f t="shared" si="25"/>
        <v>667832.6100000001</v>
      </c>
      <c r="Q98" s="142">
        <f t="shared" si="25"/>
        <v>40491.96</v>
      </c>
      <c r="R98" s="142">
        <f t="shared" si="25"/>
        <v>43647.380000000005</v>
      </c>
      <c r="S98" s="142">
        <f t="shared" si="25"/>
        <v>40891.43</v>
      </c>
      <c r="T98" s="142">
        <f t="shared" si="25"/>
        <v>44358.96</v>
      </c>
      <c r="U98" s="142">
        <f t="shared" si="25"/>
        <v>36093.199999999997</v>
      </c>
      <c r="V98" s="142">
        <f t="shared" si="25"/>
        <v>37598.549999999996</v>
      </c>
      <c r="W98" s="142">
        <f t="shared" si="25"/>
        <v>37731.89</v>
      </c>
      <c r="X98" s="142">
        <f t="shared" si="25"/>
        <v>39618.67</v>
      </c>
      <c r="Y98" s="142">
        <f t="shared" si="25"/>
        <v>50222</v>
      </c>
      <c r="Z98" s="142">
        <f t="shared" si="25"/>
        <v>53263</v>
      </c>
      <c r="AA98" s="142">
        <f t="shared" si="25"/>
        <v>49223</v>
      </c>
      <c r="AB98" s="142">
        <f t="shared" si="25"/>
        <v>49226</v>
      </c>
      <c r="AC98" s="142">
        <f t="shared" si="25"/>
        <v>522366.04000000004</v>
      </c>
      <c r="AD98" s="129">
        <f t="shared" si="23"/>
        <v>-145466.57000000007</v>
      </c>
      <c r="AE98" s="132">
        <f t="shared" si="24"/>
        <v>-0.27847631519078087</v>
      </c>
      <c r="AF98" s="129">
        <v>1060205.3800000001</v>
      </c>
      <c r="AG98" s="124">
        <f t="shared" si="14"/>
        <v>392372.77</v>
      </c>
      <c r="AH98" s="124"/>
      <c r="AI98" s="251"/>
    </row>
    <row r="99" spans="1:35">
      <c r="C99" s="109" t="s">
        <v>287</v>
      </c>
      <c r="D99" s="270">
        <f t="shared" ref="D99:AC99" si="26">D98+D87+D77+D70</f>
        <v>385438.47</v>
      </c>
      <c r="E99" s="270">
        <f t="shared" si="26"/>
        <v>346601.94</v>
      </c>
      <c r="F99" s="270">
        <f t="shared" si="26"/>
        <v>359214.53</v>
      </c>
      <c r="G99" s="270">
        <f t="shared" si="26"/>
        <v>375893.48</v>
      </c>
      <c r="H99" s="270">
        <f t="shared" si="26"/>
        <v>402330.66</v>
      </c>
      <c r="I99" s="270">
        <f t="shared" si="26"/>
        <v>379787.47</v>
      </c>
      <c r="J99" s="270">
        <f t="shared" si="26"/>
        <v>381306.28</v>
      </c>
      <c r="K99" s="270">
        <f t="shared" si="26"/>
        <v>381144.1</v>
      </c>
      <c r="L99" s="270">
        <f t="shared" si="26"/>
        <v>381345.1</v>
      </c>
      <c r="M99" s="270">
        <f t="shared" si="26"/>
        <v>429099.13999999996</v>
      </c>
      <c r="N99" s="270">
        <f t="shared" si="26"/>
        <v>380647.16000000003</v>
      </c>
      <c r="O99" s="270">
        <f t="shared" si="26"/>
        <v>380147.62</v>
      </c>
      <c r="P99" s="129">
        <f t="shared" si="26"/>
        <v>4582955.95</v>
      </c>
      <c r="Q99" s="142">
        <f t="shared" si="26"/>
        <v>413597.06</v>
      </c>
      <c r="R99" s="142">
        <f t="shared" si="26"/>
        <v>373585.72</v>
      </c>
      <c r="S99" s="142">
        <f t="shared" si="26"/>
        <v>344977.05000000005</v>
      </c>
      <c r="T99" s="142">
        <f t="shared" si="26"/>
        <v>378850.38</v>
      </c>
      <c r="U99" s="142">
        <f t="shared" si="26"/>
        <v>373201.78</v>
      </c>
      <c r="V99" s="142">
        <f t="shared" si="26"/>
        <v>380541.20999999996</v>
      </c>
      <c r="W99" s="142">
        <f t="shared" si="26"/>
        <v>368763.27</v>
      </c>
      <c r="X99" s="142">
        <f t="shared" si="26"/>
        <v>359414.54999999993</v>
      </c>
      <c r="Y99" s="142">
        <f t="shared" si="26"/>
        <v>433281.33</v>
      </c>
      <c r="Z99" s="142">
        <f t="shared" si="26"/>
        <v>460817.16000000003</v>
      </c>
      <c r="AA99" s="142">
        <f t="shared" si="26"/>
        <v>471534.18</v>
      </c>
      <c r="AB99" s="142">
        <f t="shared" si="26"/>
        <v>417725.48</v>
      </c>
      <c r="AC99" s="142">
        <f t="shared" si="26"/>
        <v>4776289.17</v>
      </c>
      <c r="AD99" s="129">
        <f t="shared" si="23"/>
        <v>193333.21999999974</v>
      </c>
      <c r="AE99" s="132">
        <f t="shared" si="24"/>
        <v>4.0477704158770549E-2</v>
      </c>
      <c r="AF99" s="129">
        <v>5503137.8399999999</v>
      </c>
      <c r="AG99" s="124">
        <f t="shared" si="14"/>
        <v>920181.88999999966</v>
      </c>
      <c r="AH99" s="124"/>
      <c r="AI99" s="251"/>
    </row>
    <row r="100" spans="1:35">
      <c r="C100" s="105" t="s">
        <v>154</v>
      </c>
      <c r="D100" s="105"/>
      <c r="E100" s="105"/>
      <c r="F100" s="105"/>
      <c r="G100" s="105"/>
      <c r="H100" s="105"/>
      <c r="I100" s="105"/>
      <c r="K100" s="141" t="s">
        <v>950</v>
      </c>
      <c r="M100" s="141" t="s">
        <v>950</v>
      </c>
      <c r="N100" s="141" t="s">
        <v>950</v>
      </c>
      <c r="O100" s="141" t="s">
        <v>950</v>
      </c>
      <c r="P100" s="142" t="s">
        <v>950</v>
      </c>
      <c r="Q100" s="105"/>
      <c r="R100" s="105"/>
      <c r="S100" s="105"/>
      <c r="T100" s="105"/>
      <c r="U100" s="105"/>
      <c r="V100" s="105"/>
      <c r="W100" s="105"/>
      <c r="AF100" s="129"/>
      <c r="AG100" s="124" t="e">
        <f t="shared" si="14"/>
        <v>#VALUE!</v>
      </c>
      <c r="AH100" s="124"/>
      <c r="AI100" s="251"/>
    </row>
    <row r="101" spans="1:35" s="256" customFormat="1">
      <c r="A101" s="109" t="s">
        <v>141</v>
      </c>
      <c r="B101" s="256" t="s">
        <v>951</v>
      </c>
      <c r="C101" s="256" t="s">
        <v>1015</v>
      </c>
      <c r="D101" s="215">
        <v>34</v>
      </c>
      <c r="E101" s="215">
        <v>34</v>
      </c>
      <c r="F101" s="215">
        <v>34</v>
      </c>
      <c r="G101" s="215">
        <v>34</v>
      </c>
      <c r="H101" s="215">
        <v>34</v>
      </c>
      <c r="I101" s="215">
        <v>34</v>
      </c>
      <c r="J101" s="215">
        <v>34</v>
      </c>
      <c r="K101" s="215">
        <v>34</v>
      </c>
      <c r="L101" s="215">
        <v>34</v>
      </c>
      <c r="M101" s="215">
        <v>34</v>
      </c>
      <c r="N101" s="215">
        <v>34</v>
      </c>
      <c r="O101" s="215">
        <v>34</v>
      </c>
      <c r="P101" s="294">
        <f>SUM(D101:O101)/12</f>
        <v>34</v>
      </c>
      <c r="Q101" s="256">
        <v>29</v>
      </c>
      <c r="R101" s="256">
        <v>29</v>
      </c>
      <c r="S101" s="256">
        <v>29</v>
      </c>
      <c r="T101" s="256">
        <v>30</v>
      </c>
      <c r="U101" s="256">
        <v>30</v>
      </c>
      <c r="V101" s="256">
        <v>30</v>
      </c>
      <c r="W101" s="330">
        <v>30</v>
      </c>
      <c r="X101" s="330">
        <v>30</v>
      </c>
      <c r="Y101" s="330">
        <v>33</v>
      </c>
      <c r="Z101" s="330">
        <v>33</v>
      </c>
      <c r="AA101" s="330">
        <v>33</v>
      </c>
      <c r="AB101" s="330">
        <v>33</v>
      </c>
      <c r="AC101" s="294">
        <f>SUM(Q101:AB101)/12</f>
        <v>30.75</v>
      </c>
      <c r="AD101" s="294">
        <f>AC101-P101</f>
        <v>-3.25</v>
      </c>
      <c r="AE101" s="295">
        <f t="shared" si="24"/>
        <v>-0.10569105691056911</v>
      </c>
      <c r="AF101" s="294">
        <v>49.666666666666664</v>
      </c>
      <c r="AG101" s="294">
        <f t="shared" si="14"/>
        <v>15.666666666666664</v>
      </c>
      <c r="AH101" s="124"/>
      <c r="AI101" s="251"/>
    </row>
    <row r="102" spans="1:35">
      <c r="AI102" s="251"/>
    </row>
    <row r="103" spans="1:35">
      <c r="P103" s="142">
        <f>P99/P101</f>
        <v>134792.82205882354</v>
      </c>
      <c r="AC103" s="142">
        <f>AC99/AC101</f>
        <v>155326.47707317074</v>
      </c>
      <c r="AI103" s="251"/>
    </row>
    <row r="104" spans="1:35">
      <c r="W104" s="141">
        <v>2800.1428571428573</v>
      </c>
      <c r="AI104" s="251"/>
    </row>
    <row r="105" spans="1:35">
      <c r="AI105" s="251"/>
    </row>
    <row r="106" spans="1:35">
      <c r="C106" s="151" t="s">
        <v>292</v>
      </c>
      <c r="D106" s="141">
        <v>117517</v>
      </c>
      <c r="E106" s="141">
        <v>117517</v>
      </c>
      <c r="F106" s="141">
        <v>117517</v>
      </c>
      <c r="G106" s="141">
        <v>117517</v>
      </c>
      <c r="H106" s="141">
        <v>117517</v>
      </c>
      <c r="I106" s="141">
        <v>117517</v>
      </c>
      <c r="J106" s="141">
        <v>117517</v>
      </c>
      <c r="K106" s="141">
        <v>117517</v>
      </c>
      <c r="L106" s="141">
        <v>117517</v>
      </c>
      <c r="M106" s="141">
        <v>117517</v>
      </c>
      <c r="N106" s="141">
        <v>117517</v>
      </c>
      <c r="O106" s="141">
        <v>117517</v>
      </c>
      <c r="P106" s="129">
        <f t="shared" ref="P106:P108" si="27">SUM(D106:O106)</f>
        <v>1410204</v>
      </c>
      <c r="AI106" s="251"/>
    </row>
    <row r="107" spans="1:35">
      <c r="C107" s="152" t="s">
        <v>366</v>
      </c>
      <c r="D107" s="136">
        <v>32400</v>
      </c>
      <c r="E107" s="136">
        <v>28867</v>
      </c>
      <c r="F107" s="136">
        <v>29625</v>
      </c>
      <c r="G107" s="136">
        <v>33468</v>
      </c>
      <c r="H107" s="136">
        <v>33896</v>
      </c>
      <c r="I107" s="136">
        <v>32703</v>
      </c>
      <c r="J107" s="136">
        <v>32683</v>
      </c>
      <c r="K107" s="136">
        <v>32725</v>
      </c>
      <c r="L107" s="136">
        <v>32758</v>
      </c>
      <c r="M107" s="136">
        <v>39176</v>
      </c>
      <c r="N107" s="136">
        <v>32615</v>
      </c>
      <c r="O107" s="136">
        <v>32604</v>
      </c>
      <c r="P107" s="129">
        <f t="shared" si="27"/>
        <v>393520</v>
      </c>
      <c r="AI107" s="251"/>
    </row>
    <row r="108" spans="1:35">
      <c r="C108" s="151" t="s">
        <v>367</v>
      </c>
      <c r="D108" s="136">
        <v>7369.62</v>
      </c>
      <c r="E108" s="136">
        <v>6100.66</v>
      </c>
      <c r="F108" s="136">
        <v>6100.66</v>
      </c>
      <c r="G108" s="136">
        <v>6735.14</v>
      </c>
      <c r="H108" s="136">
        <v>6417.9</v>
      </c>
      <c r="I108" s="136">
        <v>6100.66</v>
      </c>
      <c r="J108" s="136">
        <v>6100.66</v>
      </c>
      <c r="K108" s="136">
        <v>6100.66</v>
      </c>
      <c r="L108" s="136">
        <v>6100.66</v>
      </c>
      <c r="M108" s="136">
        <v>8004.1</v>
      </c>
      <c r="N108" s="136">
        <v>6100.66</v>
      </c>
      <c r="O108" s="136">
        <v>6100.66</v>
      </c>
      <c r="P108" s="129">
        <f t="shared" si="27"/>
        <v>77332.040000000008</v>
      </c>
      <c r="AI108" s="251"/>
    </row>
    <row r="109" spans="1:35">
      <c r="C109" s="109" t="s">
        <v>476</v>
      </c>
      <c r="D109" s="117">
        <f>SUM(D106:D108)</f>
        <v>157286.62</v>
      </c>
      <c r="E109" s="117">
        <f t="shared" ref="E109:P109" si="28">SUM(E106:E108)</f>
        <v>152484.66</v>
      </c>
      <c r="F109" s="117">
        <f t="shared" si="28"/>
        <v>153242.66</v>
      </c>
      <c r="G109" s="117">
        <f t="shared" si="28"/>
        <v>157720.14000000001</v>
      </c>
      <c r="H109" s="117">
        <f t="shared" si="28"/>
        <v>157830.9</v>
      </c>
      <c r="I109" s="117">
        <f t="shared" si="28"/>
        <v>156320.66</v>
      </c>
      <c r="J109" s="117">
        <f t="shared" si="28"/>
        <v>156300.66</v>
      </c>
      <c r="K109" s="117">
        <f t="shared" si="28"/>
        <v>156342.66</v>
      </c>
      <c r="L109" s="117">
        <f t="shared" si="28"/>
        <v>156375.66</v>
      </c>
      <c r="M109" s="117">
        <f t="shared" si="28"/>
        <v>164697.1</v>
      </c>
      <c r="N109" s="117">
        <f t="shared" si="28"/>
        <v>156232.66</v>
      </c>
      <c r="O109" s="117">
        <f t="shared" si="28"/>
        <v>156221.66</v>
      </c>
      <c r="P109" s="117">
        <f t="shared" si="28"/>
        <v>1881056.04</v>
      </c>
      <c r="AI109" s="251"/>
    </row>
  </sheetData>
  <phoneticPr fontId="7" type="noConversion"/>
  <dataValidations count="259">
    <dataValidation type="textLength" errorStyle="information" allowBlank="1" showInputMessage="1" showErrorMessage="1" error="XLBVal:6=272_x000d__x000a_" sqref="S92">
      <formula1>0</formula1>
      <formula2>300</formula2>
    </dataValidation>
    <dataValidation type="textLength" errorStyle="information" allowBlank="1" showInputMessage="1" showErrorMessage="1" error="XLBVal:6=12410_x000d__x000a_" sqref="R84:S84">
      <formula1>0</formula1>
      <formula2>300</formula2>
    </dataValidation>
    <dataValidation type="textLength" errorStyle="information" allowBlank="1" showInputMessage="1" showErrorMessage="1" error="XLBVal:6=292.48_x000d__x000a_" sqref="R82:S82">
      <formula1>0</formula1>
      <formula2>300</formula2>
    </dataValidation>
    <dataValidation type="textLength" errorStyle="information" allowBlank="1" showInputMessage="1" showErrorMessage="1" error="XLBVal:6=1218.61_x000d__x000a_" sqref="R81:S81">
      <formula1>0</formula1>
      <formula2>300</formula2>
    </dataValidation>
    <dataValidation type="textLength" errorStyle="information" allowBlank="1" showInputMessage="1" showErrorMessage="1" error="XLBVal:6=20716.52_x000d__x000a_" sqref="R80:S80">
      <formula1>0</formula1>
      <formula2>300</formula2>
    </dataValidation>
    <dataValidation type="textLength" errorStyle="information" allowBlank="1" showInputMessage="1" showErrorMessage="1" error="XLBVal:6=38995.83_x000d__x000a_" sqref="R79:S79">
      <formula1>0</formula1>
      <formula2>300</formula2>
    </dataValidation>
    <dataValidation type="textLength" errorStyle="information" allowBlank="1" showInputMessage="1" showErrorMessage="1" error="XLBVal:6=6574.08_x000d__x000a_" sqref="T76">
      <formula1>0</formula1>
      <formula2>300</formula2>
    </dataValidation>
    <dataValidation type="textLength" errorStyle="information" allowBlank="1" showInputMessage="1" showErrorMessage="1" error="XLBVal:6=50107.33_x000d__x000a_" sqref="Q73">
      <formula1>0</formula1>
      <formula2>300</formula2>
    </dataValidation>
    <dataValidation type="textLength" errorStyle="information" allowBlank="1" showInputMessage="1" showErrorMessage="1" error="XLBVal:6=110041.38_x000d__x000a_" sqref="U68">
      <formula1>0</formula1>
      <formula2>300</formula2>
    </dataValidation>
    <dataValidation type="textLength" errorStyle="information" allowBlank="1" showInputMessage="1" showErrorMessage="1" error="XLBVal:6=78800_x000d__x000a_" sqref="R68:S68">
      <formula1>0</formula1>
      <formula2>300</formula2>
    </dataValidation>
    <dataValidation type="textLength" errorStyle="information" allowBlank="1" showInputMessage="1" showErrorMessage="1" error="XLBVal:6=120800_x000d__x000a_" sqref="Q68">
      <formula1>0</formula1>
      <formula2>300</formula2>
    </dataValidation>
    <dataValidation type="textLength" errorStyle="information" allowBlank="1" showInputMessage="1" showErrorMessage="1" error="XLBVal:6=350_x000d__x000a_" sqref="T58">
      <formula1>0</formula1>
      <formula2>300</formula2>
    </dataValidation>
    <dataValidation type="textLength" errorStyle="information" allowBlank="1" showInputMessage="1" showErrorMessage="1" error="XLBVal:6=345_x000d__x000a_" sqref="R57:S57">
      <formula1>0</formula1>
      <formula2>300</formula2>
    </dataValidation>
    <dataValidation type="textLength" errorStyle="information" allowBlank="1" showInputMessage="1" showErrorMessage="1" error="XLBVal:6=460_x000d__x000a_" sqref="Q57">
      <formula1>0</formula1>
      <formula2>300</formula2>
    </dataValidation>
    <dataValidation type="textLength" errorStyle="information" allowBlank="1" showInputMessage="1" showErrorMessage="1" error="XLBVal:6=-0.01_x000d__x000a_" sqref="U54">
      <formula1>0</formula1>
      <formula2>300</formula2>
    </dataValidation>
    <dataValidation type="textLength" errorStyle="information" allowBlank="1" showInputMessage="1" showErrorMessage="1" error="XLBVal:6=717_x000d__x000a_" sqref="S54">
      <formula1>0</formula1>
      <formula2>300</formula2>
    </dataValidation>
    <dataValidation type="textLength" errorStyle="information" allowBlank="1" showInputMessage="1" showErrorMessage="1" error="XLBVal:6=6491.15_x000d__x000a_" sqref="R54">
      <formula1>0</formula1>
      <formula2>300</formula2>
    </dataValidation>
    <dataValidation type="textLength" errorStyle="information" allowBlank="1" showInputMessage="1" showErrorMessage="1" error="XLBVal:6=4514_x000d__x000a_" sqref="Q50">
      <formula1>0</formula1>
      <formula2>300</formula2>
    </dataValidation>
    <dataValidation type="textLength" errorStyle="information" allowBlank="1" showInputMessage="1" showErrorMessage="1" error="XLBVal:6=4690.3_x000d__x000a_" sqref="V49">
      <formula1>0</formula1>
      <formula2>300</formula2>
    </dataValidation>
    <dataValidation type="textLength" errorStyle="information" allowBlank="1" showInputMessage="1" showErrorMessage="1" error="XLBVal:6=9823.1_x000d__x000a_" sqref="U49">
      <formula1>0</formula1>
      <formula2>300</formula2>
    </dataValidation>
    <dataValidation type="textLength" errorStyle="information" allowBlank="1" showInputMessage="1" showErrorMessage="1" error="XLBVal:6=7513.28_x000d__x000a_" sqref="S49">
      <formula1>0</formula1>
      <formula2>300</formula2>
    </dataValidation>
    <dataValidation type="textLength" errorStyle="information" allowBlank="1" showInputMessage="1" showErrorMessage="1" error="XLBVal:6=14905.49_x000d__x000a_" sqref="R49">
      <formula1>0</formula1>
      <formula2>300</formula2>
    </dataValidation>
    <dataValidation type="textLength" errorStyle="information" allowBlank="1" showInputMessage="1" showErrorMessage="1" error="XLBVal:6=37645.12_x000d__x000a_" sqref="T45">
      <formula1>0</formula1>
      <formula2>300</formula2>
    </dataValidation>
    <dataValidation type="textLength" errorStyle="information" allowBlank="1" showInputMessage="1" showErrorMessage="1" error="XLBVal:6=55667.15_x000d__x000a_" sqref="R45">
      <formula1>0</formula1>
      <formula2>300</formula2>
    </dataValidation>
    <dataValidation type="textLength" errorStyle="information" allowBlank="1" showInputMessage="1" showErrorMessage="1" error="XLBVal:6=26163.8_x000d__x000a_" sqref="Q43">
      <formula1>0</formula1>
      <formula2>300</formula2>
    </dataValidation>
    <dataValidation type="textLength" errorStyle="information" allowBlank="1" showInputMessage="1" showErrorMessage="1" error="XLBVal:6=1054.83_x000d__x000a_" sqref="U42">
      <formula1>0</formula1>
      <formula2>300</formula2>
    </dataValidation>
    <dataValidation type="textLength" errorStyle="information" allowBlank="1" showInputMessage="1" showErrorMessage="1" error="XLBVal:6=1223.88_x000d__x000a_" sqref="S40">
      <formula1>0</formula1>
      <formula2>300</formula2>
    </dataValidation>
    <dataValidation type="textLength" errorStyle="information" allowBlank="1" showInputMessage="1" showErrorMessage="1" error="XLBVal:6=7569.96_x000d__x000a_" sqref="V37">
      <formula1>0</formula1>
      <formula2>300</formula2>
    </dataValidation>
    <dataValidation type="textLength" errorStyle="information" allowBlank="1" showInputMessage="1" showErrorMessage="1" error="XLBVal:6=5330.24_x000d__x000a_" sqref="U37">
      <formula1>0</formula1>
      <formula2>300</formula2>
    </dataValidation>
    <dataValidation type="textLength" errorStyle="information" allowBlank="1" showInputMessage="1" showErrorMessage="1" error="XLBVal:6=17775.53_x000d__x000a_" sqref="T37">
      <formula1>0</formula1>
      <formula2>300</formula2>
    </dataValidation>
    <dataValidation type="textLength" errorStyle="information" allowBlank="1" showInputMessage="1" showErrorMessage="1" error="XLBVal:6=18836.24_x000d__x000a_" sqref="S37">
      <formula1>0</formula1>
      <formula2>300</formula2>
    </dataValidation>
    <dataValidation type="textLength" errorStyle="information" allowBlank="1" showInputMessage="1" showErrorMessage="1" error="XLBVal:6=9607.91_x000d__x000a_" sqref="R37">
      <formula1>0</formula1>
      <formula2>300</formula2>
    </dataValidation>
    <dataValidation type="textLength" errorStyle="information" allowBlank="1" showInputMessage="1" showErrorMessage="1" error="XLBVal:6=988.03_x000d__x000a_" sqref="Q37">
      <formula1>0</formula1>
      <formula2>300</formula2>
    </dataValidation>
    <dataValidation type="textLength" errorStyle="information" allowBlank="1" showInputMessage="1" showErrorMessage="1" error="XLBVal:6=1250_x000d__x000a_" sqref="U36">
      <formula1>0</formula1>
      <formula2>300</formula2>
    </dataValidation>
    <dataValidation type="textLength" errorStyle="information" allowBlank="1" showInputMessage="1" showErrorMessage="1" error="XLBVal:6=1307.18_x000d__x000a_" sqref="R36">
      <formula1>0</formula1>
      <formula2>300</formula2>
    </dataValidation>
    <dataValidation type="textLength" errorStyle="information" allowBlank="1" showInputMessage="1" showErrorMessage="1" error="XLBVal:6=249914_x000d__x000a_" sqref="U35">
      <formula1>0</formula1>
      <formula2>300</formula2>
    </dataValidation>
    <dataValidation type="textLength" errorStyle="information" allowBlank="1" showInputMessage="1" showErrorMessage="1" error="XLBVal:6=15240_x000d__x000a_" sqref="S35">
      <formula1>0</formula1>
      <formula2>300</formula2>
    </dataValidation>
    <dataValidation type="textLength" errorStyle="information" allowBlank="1" showInputMessage="1" showErrorMessage="1" error="XLBVal:6=-159.83_x000d__x000a_" sqref="U27">
      <formula1>0</formula1>
      <formula2>300</formula2>
    </dataValidation>
    <dataValidation type="textLength" errorStyle="information" allowBlank="1" showInputMessage="1" showErrorMessage="1" error="XLBVal:6=388_x000d__x000a_" sqref="T27">
      <formula1>0</formula1>
      <formula2>300</formula2>
    </dataValidation>
    <dataValidation type="textLength" errorStyle="information" allowBlank="1" showInputMessage="1" showErrorMessage="1" error="XLBVal:6=39.82_x000d__x000a_" sqref="Q20:V20">
      <formula1>0</formula1>
      <formula2>300</formula2>
    </dataValidation>
    <dataValidation type="textLength" errorStyle="information" allowBlank="1" showInputMessage="1" showErrorMessage="1" error="XLBVal:6=3528_x000d__x000a_" sqref="Q19:S19">
      <formula1>0</formula1>
      <formula2>300</formula2>
    </dataValidation>
    <dataValidation type="textLength" errorStyle="information" allowBlank="1" showInputMessage="1" showErrorMessage="1" error="XLBVal:6=34143_x000d__x000a_" sqref="D68:D69 D72:O76 D79:O86 D89:O93 D101:O101">
      <formula1>0</formula1>
      <formula2>300</formula2>
    </dataValidation>
    <dataValidation type="textLength" errorStyle="information" allowBlank="1" showInputMessage="1" showErrorMessage="1" error="XLBVal:6=42700_x000d__x000a_" sqref="E68:O69">
      <formula1>0</formula1>
      <formula2>300</formula2>
    </dataValidation>
    <dataValidation type="textLength" errorStyle="information" allowBlank="1" showInputMessage="1" showErrorMessage="1" error="XLBVal:6=546.67_x000d__x000a_" sqref="S93">
      <formula1>0</formula1>
      <formula2>300</formula2>
    </dataValidation>
    <dataValidation type="textLength" errorStyle="information" allowBlank="1" showInputMessage="1" showErrorMessage="1" error="XLBVal:6=1243.07_x000d__x000a_" sqref="Q92">
      <formula1>0</formula1>
      <formula2>300</formula2>
    </dataValidation>
    <dataValidation type="textLength" errorStyle="information" allowBlank="1" showInputMessage="1" showErrorMessage="1" error="XLBVal:6=32087.9_x000d__x000a_" sqref="V73">
      <formula1>0</formula1>
      <formula2>300</formula2>
    </dataValidation>
    <dataValidation type="textLength" errorStyle="information" allowBlank="1" showInputMessage="1" showErrorMessage="1" error="XLBVal:6=31044.48_x000d__x000a_" sqref="U73">
      <formula1>0</formula1>
      <formula2>300</formula2>
    </dataValidation>
    <dataValidation type="textLength" errorStyle="information" allowBlank="1" showInputMessage="1" showErrorMessage="1" error="XLBVal:6=32077.65_x000d__x000a_" sqref="T73">
      <formula1>0</formula1>
      <formula2>300</formula2>
    </dataValidation>
    <dataValidation type="textLength" errorStyle="information" allowBlank="1" showInputMessage="1" showErrorMessage="1" error="XLBVal:6=39604.2_x000d__x000a_" sqref="S73">
      <formula1>0</formula1>
      <formula2>300</formula2>
    </dataValidation>
    <dataValidation type="textLength" errorStyle="information" allowBlank="1" showInputMessage="1" showErrorMessage="1" error="XLBVal:6=10110.3_x000d__x000a_" sqref="Q72">
      <formula1>0</formula1>
      <formula2>300</formula2>
    </dataValidation>
    <dataValidation type="textLength" errorStyle="information" allowBlank="1" showInputMessage="1" showErrorMessage="1" error="XLBVal:6=53951.8_x000d__x000a_" sqref="T50">
      <formula1>0</formula1>
      <formula2>300</formula2>
    </dataValidation>
    <dataValidation type="textLength" errorStyle="information" allowBlank="1" showInputMessage="1" showErrorMessage="1" error="XLBVal:6=15987.4_x000d__x000a_" sqref="T49">
      <formula1>0</formula1>
      <formula2>300</formula2>
    </dataValidation>
    <dataValidation type="textLength" errorStyle="information" allowBlank="1" showInputMessage="1" showErrorMessage="1" error="XLBVal:6=3864.66_x000d__x000a_" sqref="Q49">
      <formula1>0</formula1>
      <formula2>300</formula2>
    </dataValidation>
    <dataValidation type="textLength" errorStyle="information" allowBlank="1" showInputMessage="1" showErrorMessage="1" error="XLBVal:6=1547.39_x000d__x000a_" sqref="T47">
      <formula1>0</formula1>
      <formula2>300</formula2>
    </dataValidation>
    <dataValidation type="textLength" errorStyle="information" allowBlank="1" showInputMessage="1" showErrorMessage="1" error="XLBVal:6=880_x000d__x000a_" sqref="V45">
      <formula1>0</formula1>
      <formula2>300</formula2>
    </dataValidation>
    <dataValidation type="textLength" errorStyle="information" allowBlank="1" showInputMessage="1" showErrorMessage="1" error="XLBVal:6=15663.8_x000d__x000a_" sqref="U43">
      <formula1>0</formula1>
      <formula2>300</formula2>
    </dataValidation>
    <dataValidation type="textLength" errorStyle="information" allowBlank="1" showInputMessage="1" showErrorMessage="1" error="XLBVal:6=1713.41_x000d__x000a_" sqref="T42">
      <formula1>0</formula1>
      <formula2>300</formula2>
    </dataValidation>
    <dataValidation type="textLength" errorStyle="information" allowBlank="1" showInputMessage="1" showErrorMessage="1" error="XLBVal:6=750.46_x000d__x000a_" sqref="S42">
      <formula1>0</formula1>
      <formula2>300</formula2>
    </dataValidation>
    <dataValidation type="textLength" errorStyle="information" allowBlank="1" showInputMessage="1" showErrorMessage="1" error="XLBVal:6=690.2_x000d__x000a_" sqref="R42">
      <formula1>0</formula1>
      <formula2>300</formula2>
    </dataValidation>
    <dataValidation type="textLength" errorStyle="information" allowBlank="1" showInputMessage="1" showErrorMessage="1" error="XLBVal:6=336.2_x000d__x000a_" sqref="Q42">
      <formula1>0</formula1>
      <formula2>300</formula2>
    </dataValidation>
    <dataValidation type="textLength" errorStyle="information" allowBlank="1" showInputMessage="1" showErrorMessage="1" error="XLBVal:6=39.8_x000d__x000a_" sqref="U40">
      <formula1>0</formula1>
      <formula2>300</formula2>
    </dataValidation>
    <dataValidation type="textLength" errorStyle="information" allowBlank="1" showInputMessage="1" showErrorMessage="1" error="XLBVal:6=8351.44_x000d__x000a_" sqref="T40">
      <formula1>0</formula1>
      <formula2>300</formula2>
    </dataValidation>
    <dataValidation type="textLength" errorStyle="information" allowBlank="1" showInputMessage="1" showErrorMessage="1" error="XLBVal:6=59.7_x000d__x000a_" sqref="Q40">
      <formula1>0</formula1>
      <formula2>300</formula2>
    </dataValidation>
    <dataValidation type="textLength" errorStyle="information" allowBlank="1" showInputMessage="1" showErrorMessage="1" error="XLBVal:6=-0.05_x000d__x000a_" sqref="U39">
      <formula1>0</formula1>
      <formula2>300</formula2>
    </dataValidation>
    <dataValidation type="textLength" errorStyle="information" allowBlank="1" showInputMessage="1" showErrorMessage="1" error="XLBVal:6=4930.6_x000d__x000a_" sqref="T35">
      <formula1>0</formula1>
      <formula2>300</formula2>
    </dataValidation>
    <dataValidation type="textLength" errorStyle="information" allowBlank="1" showInputMessage="1" showErrorMessage="1" error="XLBVal:6=555826.7_x000d__x000a_" sqref="Q35">
      <formula1>0</formula1>
      <formula2>300</formula2>
    </dataValidation>
    <dataValidation type="textLength" errorStyle="information" allowBlank="1" showInputMessage="1" showErrorMessage="1" error="XLBVal:6=22255.28_x000d__x000a_" sqref="T34">
      <formula1>0</formula1>
      <formula2>300</formula2>
    </dataValidation>
    <dataValidation type="textLength" errorStyle="information" allowBlank="1" showInputMessage="1" showErrorMessage="1" error="XLBVal:6=6044.27_x000d__x000a_" sqref="T31">
      <formula1>0</formula1>
      <formula2>300</formula2>
    </dataValidation>
    <dataValidation type="textLength" errorStyle="information" allowBlank="1" showInputMessage="1" showErrorMessage="1" error="XLBVal:6=8980_x000d__x000a_" sqref="T29">
      <formula1>0</formula1>
      <formula2>300</formula2>
    </dataValidation>
    <dataValidation type="textLength" errorStyle="information" allowBlank="1" showInputMessage="1" showErrorMessage="1" error="XLBVal:6=10897.96_x000d__x000a_" sqref="S26">
      <formula1>0</formula1>
      <formula2>300</formula2>
    </dataValidation>
    <dataValidation type="textLength" errorStyle="information" allowBlank="1" showInputMessage="1" showErrorMessage="1" error="XLBVal:6=-8559.65_x000d__x000a_" sqref="Q26">
      <formula1>0</formula1>
      <formula2>300</formula2>
    </dataValidation>
    <dataValidation type="textLength" errorStyle="information" allowBlank="1" showInputMessage="1" showErrorMessage="1" error="XLBVal:6=893.79_x000d__x000a_" sqref="T22">
      <formula1>0</formula1>
      <formula2>300</formula2>
    </dataValidation>
    <dataValidation type="textLength" errorStyle="information" allowBlank="1" showInputMessage="1" showErrorMessage="1" error="XLBVal:6=50.51_x000d__x000a_" sqref="R16">
      <formula1>0</formula1>
      <formula2>300</formula2>
    </dataValidation>
    <dataValidation type="textLength" errorStyle="information" allowBlank="1" showInputMessage="1" showErrorMessage="1" error="XLBVal:6=124333.12_x000d__x000a_" sqref="AB13">
      <formula1>0</formula1>
      <formula2>300</formula2>
    </dataValidation>
    <dataValidation type="textLength" errorStyle="information" allowBlank="1" showInputMessage="1" showErrorMessage="1" error="XLBVal:6=90594.19_x000d__x000a_" sqref="AB12">
      <formula1>0</formula1>
      <formula2>300</formula2>
    </dataValidation>
    <dataValidation type="textLength" errorStyle="information" allowBlank="1" showInputMessage="1" showErrorMessage="1" error="XLBVal:6=3580_x000d__x000a_" sqref="V26 T26">
      <formula1>0</formula1>
      <formula2>300</formula2>
    </dataValidation>
    <dataValidation type="textLength" errorStyle="information" allowBlank="1" showInputMessage="1" showErrorMessage="1" error="XLBVal:6=-38.8_x000d__x000a_" sqref="Z19">
      <formula1>0</formula1>
      <formula2>300</formula2>
    </dataValidation>
    <dataValidation type="textLength" errorStyle="information" allowBlank="1" showInputMessage="1" showErrorMessage="1" error="XLBVal:6=129387.54_x000d__x000a_" sqref="AA13">
      <formula1>0</formula1>
      <formula2>300</formula2>
    </dataValidation>
    <dataValidation type="textLength" errorStyle="information" allowBlank="1" showInputMessage="1" showErrorMessage="1" error="XLBVal:6=125042.29_x000d__x000a_" sqref="Z13">
      <formula1>0</formula1>
      <formula2>300</formula2>
    </dataValidation>
    <dataValidation type="textLength" errorStyle="information" allowBlank="1" showInputMessage="1" showErrorMessage="1" error="XLBVal:6=50821.46_x000d__x000a_" sqref="AA12">
      <formula1>0</formula1>
      <formula2>300</formula2>
    </dataValidation>
    <dataValidation type="textLength" errorStyle="information" allowBlank="1" showInputMessage="1" showErrorMessage="1" error="XLBVal:6=49928.68_x000d__x000a_" sqref="Z12">
      <formula1>0</formula1>
      <formula2>300</formula2>
    </dataValidation>
    <dataValidation type="textLength" errorStyle="information" allowBlank="1" showInputMessage="1" showErrorMessage="1" error="XLBVal:6=1135.1_x000d__x000a_" sqref="Y16">
      <formula1>0</formula1>
      <formula2>300</formula2>
    </dataValidation>
    <dataValidation type="textLength" errorStyle="information" allowBlank="1" showInputMessage="1" showErrorMessage="1" error="XLBVal:6=65439.85_x000d__x000a_" sqref="Y13">
      <formula1>0</formula1>
      <formula2>300</formula2>
    </dataValidation>
    <dataValidation type="textLength" errorStyle="information" allowBlank="1" showInputMessage="1" showErrorMessage="1" error="XLBVal:6=42577.88_x000d__x000a_" sqref="Y12">
      <formula1>0</formula1>
      <formula2>300</formula2>
    </dataValidation>
    <dataValidation type="textLength" errorStyle="information" allowBlank="1" showInputMessage="1" showErrorMessage="1" error="XLBVal:6=44_x000d__x000a_" sqref="X21">
      <formula1>0</formula1>
      <formula2>300</formula2>
    </dataValidation>
    <dataValidation type="textLength" errorStyle="information" allowBlank="1" showInputMessage="1" showErrorMessage="1" error="XLBVal:6=43319.19_x000d__x000a_" sqref="X13">
      <formula1>0</formula1>
      <formula2>300</formula2>
    </dataValidation>
    <dataValidation type="textLength" errorStyle="information" allowBlank="1" showInputMessage="1" showErrorMessage="1" error="XLBVal:6=54656.8_x000d__x000a_" sqref="X12">
      <formula1>0</formula1>
      <formula2>300</formula2>
    </dataValidation>
    <dataValidation type="textLength" errorStyle="information" allowBlank="1" showInputMessage="1" showErrorMessage="1" error="XLBVal:6=2172_x000d__x000a_" sqref="V92">
      <formula1>0</formula1>
      <formula2>300</formula2>
    </dataValidation>
    <dataValidation type="textLength" errorStyle="information" allowBlank="1" showInputMessage="1" showErrorMessage="1" error="XLBVal:6=2242_x000d__x000a_" sqref="U92">
      <formula1>0</formula1>
      <formula2>300</formula2>
    </dataValidation>
    <dataValidation type="textLength" errorStyle="information" allowBlank="1" showInputMessage="1" showErrorMessage="1" error="XLBVal:6=11637.17_x000d__x000a_" sqref="V39">
      <formula1>0</formula1>
      <formula2>300</formula2>
    </dataValidation>
    <dataValidation type="textLength" errorStyle="information" allowBlank="1" showInputMessage="1" showErrorMessage="1" error="XLBVal:6=21067.77_x000d__x000a_" sqref="R39">
      <formula1>0</formula1>
      <formula2>300</formula2>
    </dataValidation>
    <dataValidation type="textLength" errorStyle="information" allowBlank="1" showInputMessage="1" showErrorMessage="1" error="XLBVal:6=504.72_x000d__x000a_" sqref="Q16">
      <formula1>0</formula1>
      <formula2>300</formula2>
    </dataValidation>
    <dataValidation type="textLength" errorStyle="information" allowBlank="1" showInputMessage="1" showErrorMessage="1" error="XLBVal:6=1068.64_x000d__x000a_" sqref="W22:AB62 W68:AB69 W72:AB76 W101:AB101 W89:AB97 W79:AB86">
      <formula1>0</formula1>
      <formula2>300</formula2>
    </dataValidation>
    <dataValidation type="textLength" errorStyle="information" allowBlank="1" showInputMessage="1" showErrorMessage="1" error="XLBVal:6=121436.14_x000d__x000a_" sqref="W13">
      <formula1>0</formula1>
      <formula2>300</formula2>
    </dataValidation>
    <dataValidation type="textLength" errorStyle="information" allowBlank="1" showInputMessage="1" showErrorMessage="1" error="XLBVal:6=59253.8_x000d__x000a_" sqref="W12">
      <formula1>0</formula1>
      <formula2>300</formula2>
    </dataValidation>
    <dataValidation type="textLength" errorStyle="information" allowBlank="1" showInputMessage="1" showErrorMessage="1" error="XLBVal:6=63731.89_x000d__x000a_" sqref="V50">
      <formula1>0</formula1>
      <formula2>300</formula2>
    </dataValidation>
    <dataValidation type="textLength" errorStyle="information" allowBlank="1" showInputMessage="1" showErrorMessage="1" error="XLBVal:6=-4680.53_x000d__x000a_" sqref="V35">
      <formula1>0</formula1>
      <formula2>300</formula2>
    </dataValidation>
    <dataValidation type="textLength" errorStyle="information" allowBlank="1" showInputMessage="1" showErrorMessage="1" error="XLBVal:6=2170.86_x000d__x000a_" sqref="T92">
      <formula1>0</formula1>
      <formula2>300</formula2>
    </dataValidation>
    <dataValidation type="textLength" errorStyle="information" allowBlank="1" showInputMessage="1" showErrorMessage="1" error="XLBVal:6=17056.98_x000d__x000a_" sqref="R47">
      <formula1>0</formula1>
      <formula2>300</formula2>
    </dataValidation>
    <dataValidation type="textLength" errorStyle="information" allowBlank="1" showInputMessage="1" showErrorMessage="1" error="XLBVal:6=13445.3_x000d__x000a_" sqref="S45">
      <formula1>0</formula1>
      <formula2>300</formula2>
    </dataValidation>
    <dataValidation type="textLength" errorStyle="information" allowBlank="1" showInputMessage="1" showErrorMessage="1" error="XLBVal:6=53805.04_x000d__x000a_" sqref="D12:O12 D14:O22 D62:O62 D42:O60 D24:O34 D36:O40">
      <formula1>0</formula1>
      <formula2>300</formula2>
    </dataValidation>
    <dataValidation type="textLength" errorStyle="information" allowBlank="1" showInputMessage="1" showErrorMessage="1" error="XLBVal:6=1332.56_x000d__x000a_" sqref="V81 T81">
      <formula1>0</formula1>
      <formula2>300</formula2>
    </dataValidation>
    <dataValidation type="textLength" errorStyle="information" allowBlank="1" showInputMessage="1" showErrorMessage="1" error="XLBVal:6=1307.97_x000d__x000a_" sqref="U81">
      <formula1>0</formula1>
      <formula2>300</formula2>
    </dataValidation>
    <dataValidation type="textLength" errorStyle="information" allowBlank="1" showInputMessage="1" showErrorMessage="1" error="XLBVal:6=1339.36_x000d__x000a_" sqref="Q81">
      <formula1>0</formula1>
      <formula2>300</formula2>
    </dataValidation>
    <dataValidation type="textLength" errorStyle="information" allowBlank="1" showInputMessage="1" showErrorMessage="1" error="XLBVal:6=793.53_x000d__x000a_" sqref="S22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30_x000d__x000a_" sqref="T101:V101">
      <formula1>0</formula1>
      <formula2>300</formula2>
    </dataValidation>
    <dataValidation type="textLength" errorStyle="information" allowBlank="1" showInputMessage="1" showErrorMessage="1" error="XLBVal:6=28345.53_x000d__x000a_" sqref="V95">
      <formula1>0</formula1>
      <formula2>300</formula2>
    </dataValidation>
    <dataValidation type="textLength" errorStyle="information" allowBlank="1" showInputMessage="1" showErrorMessage="1" error="XLBVal:6=24775.5_x000d__x000a_" sqref="U95">
      <formula1>0</formula1>
      <formula2>300</formula2>
    </dataValidation>
    <dataValidation type="textLength" errorStyle="information" allowBlank="1" showInputMessage="1" showErrorMessage="1" error="XLBVal:6=33741.38_x000d__x000a_" sqref="T95">
      <formula1>0</formula1>
      <formula2>300</formula2>
    </dataValidation>
    <dataValidation type="textLength" errorStyle="information" allowBlank="1" showInputMessage="1" showErrorMessage="1" error="XLBVal:6=33674.32_x000d__x000a_" sqref="S95">
      <formula1>0</formula1>
      <formula2>300</formula2>
    </dataValidation>
    <dataValidation type="textLength" errorStyle="information" allowBlank="1" showInputMessage="1" showErrorMessage="1" error="XLBVal:6=35149.98_x000d__x000a_" sqref="R95">
      <formula1>0</formula1>
      <formula2>300</formula2>
    </dataValidation>
    <dataValidation type="textLength" errorStyle="information" allowBlank="1" showInputMessage="1" showErrorMessage="1" error="XLBVal:6=27579.4_x000d__x000a_" sqref="Q95">
      <formula1>0</formula1>
      <formula2>300</formula2>
    </dataValidation>
    <dataValidation type="textLength" errorStyle="information" allowBlank="1" showInputMessage="1" showErrorMessage="1" error="XLBVal:6=8388.21_x000d__x000a_" sqref="V94">
      <formula1>0</formula1>
      <formula2>300</formula2>
    </dataValidation>
    <dataValidation type="textLength" errorStyle="information" allowBlank="1" showInputMessage="1" showErrorMessage="1" error="XLBVal:6=8485.48_x000d__x000a_" sqref="U94">
      <formula1>0</formula1>
      <formula2>300</formula2>
    </dataValidation>
    <dataValidation type="textLength" errorStyle="information" allowBlank="1" showInputMessage="1" showErrorMessage="1" error="XLBVal:6=7881.19_x000d__x000a_" sqref="T94">
      <formula1>0</formula1>
      <formula2>300</formula2>
    </dataValidation>
    <dataValidation type="textLength" errorStyle="information" allowBlank="1" showInputMessage="1" showErrorMessage="1" error="XLBVal:6=6398.44_x000d__x000a_" sqref="S94">
      <formula1>0</formula1>
      <formula2>300</formula2>
    </dataValidation>
    <dataValidation type="textLength" errorStyle="information" allowBlank="1" showInputMessage="1" showErrorMessage="1" error="XLBVal:6=7692.11_x000d__x000a_" sqref="R94">
      <formula1>0</formula1>
      <formula2>300</formula2>
    </dataValidation>
    <dataValidation type="textLength" errorStyle="information" allowBlank="1" showInputMessage="1" showErrorMessage="1" error="XLBVal:6=9185.82_x000d__x000a_" sqref="Q94">
      <formula1>0</formula1>
      <formula2>300</formula2>
    </dataValidation>
    <dataValidation type="textLength" errorStyle="information" allowBlank="1" showInputMessage="1" showErrorMessage="1" error="XLBVal:6=-1307.19_x000d__x000a_" sqref="V93">
      <formula1>0</formula1>
      <formula2>300</formula2>
    </dataValidation>
    <dataValidation type="textLength" errorStyle="information" allowBlank="1" showInputMessage="1" showErrorMessage="1" error="XLBVal:6=590.22_x000d__x000a_" sqref="U93">
      <formula1>0</formula1>
      <formula2>300</formula2>
    </dataValidation>
    <dataValidation type="textLength" errorStyle="information" allowBlank="1" showInputMessage="1" showErrorMessage="1" error="XLBVal:6=565.53_x000d__x000a_" sqref="T93">
      <formula1>0</formula1>
      <formula2>300</formula2>
    </dataValidation>
    <dataValidation type="textLength" errorStyle="information" allowBlank="1" showInputMessage="1" showErrorMessage="1" error="XLBVal:6=551.29_x000d__x000a_" sqref="R93">
      <formula1>0</formula1>
      <formula2>300</formula2>
    </dataValidation>
    <dataValidation type="textLength" errorStyle="information" allowBlank="1" showInputMessage="1" showErrorMessage="1" error="XLBVal:6=2483.67_x000d__x000a_" sqref="Q93">
      <formula1>0</formula1>
      <formula2>300</formula2>
    </dataValidation>
    <dataValidation type="textLength" errorStyle="information" allowBlank="1" showInputMessage="1" showErrorMessage="1" error="XLBVal:6=254_x000d__x000a_" sqref="R92">
      <formula1>0</formula1>
      <formula2>300</formula2>
    </dataValidation>
    <dataValidation type="textLength" errorStyle="information" allowBlank="1" showInputMessage="1" showErrorMessage="1" error="XLBVal:6=4470.52_x000d__x000a_" sqref="V85">
      <formula1>0</formula1>
      <formula2>300</formula2>
    </dataValidation>
    <dataValidation type="textLength" errorStyle="information" allowBlank="1" showInputMessage="1" showErrorMessage="1" error="XLBVal:6=4445.45_x000d__x000a_" sqref="U85">
      <formula1>0</formula1>
      <formula2>300</formula2>
    </dataValidation>
    <dataValidation type="textLength" errorStyle="information" allowBlank="1" showInputMessage="1" showErrorMessage="1" error="XLBVal:6=8353.35_x000d__x000a_" sqref="T85">
      <formula1>0</formula1>
      <formula2>300</formula2>
    </dataValidation>
    <dataValidation type="textLength" errorStyle="information" allowBlank="1" showInputMessage="1" showErrorMessage="1" error="XLBVal:6=7601.17_x000d__x000a_" sqref="S85">
      <formula1>0</formula1>
      <formula2>300</formula2>
    </dataValidation>
    <dataValidation type="textLength" errorStyle="information" allowBlank="1" showInputMessage="1" showErrorMessage="1" error="XLBVal:6=4253.03_x000d__x000a_" sqref="R85">
      <formula1>0</formula1>
      <formula2>300</formula2>
    </dataValidation>
    <dataValidation type="textLength" errorStyle="information" allowBlank="1" showInputMessage="1" showErrorMessage="1" error="XLBVal:6=4685.76_x000d__x000a_" sqref="Q85">
      <formula1>0</formula1>
      <formula2>300</formula2>
    </dataValidation>
    <dataValidation type="textLength" errorStyle="information" allowBlank="1" showInputMessage="1" showErrorMessage="1" error="XLBVal:6=13600_x000d__x000a_" sqref="V84 T84">
      <formula1>0</formula1>
      <formula2>300</formula2>
    </dataValidation>
    <dataValidation type="textLength" errorStyle="information" allowBlank="1" showInputMessage="1" showErrorMessage="1" error="XLBVal:6=13389_x000d__x000a_" sqref="U84">
      <formula1>0</formula1>
      <formula2>300</formula2>
    </dataValidation>
    <dataValidation type="textLength" errorStyle="information" allowBlank="1" showInputMessage="1" showErrorMessage="1" error="XLBVal:6=13734_x000d__x000a_" sqref="Q84">
      <formula1>0</formula1>
      <formula2>300</formula2>
    </dataValidation>
    <dataValidation type="textLength" errorStyle="information" allowBlank="1" showInputMessage="1" showErrorMessage="1" error="XLBVal:6=319.83_x000d__x000a_" sqref="V82 T82">
      <formula1>0</formula1>
      <formula2>300</formula2>
    </dataValidation>
    <dataValidation type="textLength" errorStyle="information" allowBlank="1" showInputMessage="1" showErrorMessage="1" error="XLBVal:6=313.93_x000d__x000a_" sqref="U82">
      <formula1>0</formula1>
      <formula2>300</formula2>
    </dataValidation>
    <dataValidation type="textLength" errorStyle="information" allowBlank="1" showInputMessage="1" showErrorMessage="1" error="XLBVal:6=321.46_x000d__x000a_" sqref="Q82">
      <formula1>0</formula1>
      <formula2>300</formula2>
    </dataValidation>
    <dataValidation type="textLength" errorStyle="information" allowBlank="1" showInputMessage="1" showErrorMessage="1" error="XLBVal:6=22653.69_x000d__x000a_" sqref="V80 T80">
      <formula1>0</formula1>
      <formula2>300</formula2>
    </dataValidation>
    <dataValidation type="textLength" errorStyle="information" allowBlank="1" showInputMessage="1" showErrorMessage="1" error="XLBVal:6=22235.67_x000d__x000a_" sqref="U80">
      <formula1>0</formula1>
      <formula2>300</formula2>
    </dataValidation>
    <dataValidation type="textLength" errorStyle="information" allowBlank="1" showInputMessage="1" showErrorMessage="1" error="XLBVal:6=22769.27_x000d__x000a_" sqref="Q80">
      <formula1>0</formula1>
      <formula2>300</formula2>
    </dataValidation>
    <dataValidation type="textLength" errorStyle="information" allowBlank="1" showInputMessage="1" showErrorMessage="1" error="XLBVal:6=42642.27_x000d__x000a_" sqref="V79 T79">
      <formula1>0</formula1>
      <formula2>300</formula2>
    </dataValidation>
    <dataValidation type="textLength" errorStyle="information" allowBlank="1" showInputMessage="1" showErrorMessage="1" error="XLBVal:6=41855.41_x000d__x000a_" sqref="U79">
      <formula1>0</formula1>
      <formula2>300</formula2>
    </dataValidation>
    <dataValidation type="textLength" errorStyle="information" allowBlank="1" showInputMessage="1" showErrorMessage="1" error="XLBVal:6=42859.83_x000d__x000a_" sqref="Q79">
      <formula1>0</formula1>
      <formula2>300</formula2>
    </dataValidation>
    <dataValidation type="textLength" errorStyle="information" allowBlank="1" showInputMessage="1" showErrorMessage="1" error="XLBVal:6=0_x000d__x000a_" sqref="AB16 T19">
      <formula1>0</formula1>
      <formula2>300</formula2>
    </dataValidation>
    <dataValidation type="textLength" errorStyle="information" allowBlank="1" showInputMessage="1" showErrorMessage="1" error="XLBVal:6=6800_x000d__x000a_" sqref="U76:V76 Q76:S76">
      <formula1>0</formula1>
      <formula2>300</formula2>
    </dataValidation>
    <dataValidation type="textLength" errorStyle="information" allowBlank="1" showInputMessage="1" showErrorMessage="1" error="XLBVal:6=19976.45_x000d__x000a_" sqref="V74">
      <formula1>0</formula1>
      <formula2>300</formula2>
    </dataValidation>
    <dataValidation type="textLength" errorStyle="information" allowBlank="1" showInputMessage="1" showErrorMessage="1" error="XLBVal:6=19863.67_x000d__x000a_" sqref="U74">
      <formula1>0</formula1>
      <formula2>300</formula2>
    </dataValidation>
    <dataValidation type="textLength" errorStyle="information" allowBlank="1" showInputMessage="1" showErrorMessage="1" error="XLBVal:6=19622.58_x000d__x000a_" sqref="T74">
      <formula1>0</formula1>
      <formula2>300</formula2>
    </dataValidation>
    <dataValidation type="textLength" errorStyle="information" allowBlank="1" showInputMessage="1" showErrorMessage="1" error="XLBVal:6=19962.41_x000d__x000a_" sqref="S74">
      <formula1>0</formula1>
      <formula2>300</formula2>
    </dataValidation>
    <dataValidation type="textLength" errorStyle="information" allowBlank="1" showInputMessage="1" showErrorMessage="1" error="XLBVal:6=20204.48_x000d__x000a_" sqref="R74">
      <formula1>0</formula1>
      <formula2>300</formula2>
    </dataValidation>
    <dataValidation type="textLength" errorStyle="information" allowBlank="1" showInputMessage="1" showErrorMessage="1" error="XLBVal:6=20358.06_x000d__x000a_" sqref="Q74">
      <formula1>0</formula1>
      <formula2>300</formula2>
    </dataValidation>
    <dataValidation type="textLength" errorStyle="information" allowBlank="1" showInputMessage="1" showErrorMessage="1" error="XLBVal:6=39605.81_x000d__x000a_" sqref="R73">
      <formula1>0</formula1>
      <formula2>300</formula2>
    </dataValidation>
    <dataValidation type="textLength" errorStyle="information" allowBlank="1" showInputMessage="1" showErrorMessage="1" error="XLBVal:6=8675.82_x000d__x000a_" sqref="V72">
      <formula1>0</formula1>
      <formula2>300</formula2>
    </dataValidation>
    <dataValidation type="textLength" errorStyle="information" allowBlank="1" showInputMessage="1" showErrorMessage="1" error="XLBVal:6=7765.47_x000d__x000a_" sqref="U72">
      <formula1>0</formula1>
      <formula2>300</formula2>
    </dataValidation>
    <dataValidation type="textLength" errorStyle="information" allowBlank="1" showInputMessage="1" showErrorMessage="1" error="XLBVal:6=7986.18_x000d__x000a_" sqref="T72">
      <formula1>0</formula1>
      <formula2>300</formula2>
    </dataValidation>
    <dataValidation type="textLength" errorStyle="information" allowBlank="1" showInputMessage="1" showErrorMessage="1" error="XLBVal:6=26744.7_x000d__x000a_" sqref="R72">
      <formula1>0</formula1>
      <formula2>300</formula2>
    </dataValidation>
    <dataValidation type="textLength" errorStyle="information" allowBlank="1" showInputMessage="1" showErrorMessage="1" error="XLBVal:6=77583.62_x000d__x000a_" sqref="V69">
      <formula1>0</formula1>
      <formula2>300</formula2>
    </dataValidation>
    <dataValidation type="textLength" errorStyle="information" allowBlank="1" showInputMessage="1" showErrorMessage="1" error="XLBVal:6=78046.15_x000d__x000a_" sqref="U69">
      <formula1>0</formula1>
      <formula2>300</formula2>
    </dataValidation>
    <dataValidation type="textLength" errorStyle="information" allowBlank="1" showInputMessage="1" showErrorMessage="1" error="XLBVal:6=77080.95_x000d__x000a_" sqref="T69">
      <formula1>0</formula1>
      <formula2>300</formula2>
    </dataValidation>
    <dataValidation type="textLength" errorStyle="information" allowBlank="1" showInputMessage="1" showErrorMessage="1" error="XLBVal:6=77684.4_x000d__x000a_" sqref="S69">
      <formula1>0</formula1>
      <formula2>300</formula2>
    </dataValidation>
    <dataValidation type="textLength" errorStyle="information" allowBlank="1" showInputMessage="1" showErrorMessage="1" error="XLBVal:6=79896.88_x000d__x000a_" sqref="R69">
      <formula1>0</formula1>
      <formula2>300</formula2>
    </dataValidation>
    <dataValidation type="textLength" errorStyle="information" allowBlank="1" showInputMessage="1" showErrorMessage="1" error="XLBVal:6=79219.73_x000d__x000a_" sqref="Q69">
      <formula1>0</formula1>
      <formula2>300</formula2>
    </dataValidation>
    <dataValidation type="textLength" errorStyle="information" allowBlank="1" showInputMessage="1" showErrorMessage="1" error="XLBVal:6=112800_x000d__x000a_" sqref="V68">
      <formula1>0</formula1>
      <formula2>300</formula2>
    </dataValidation>
    <dataValidation type="textLength" errorStyle="information" allowBlank="1" showInputMessage="1" showErrorMessage="1" error="XLBVal:6=373.44_x000d__x000a_" sqref="U62">
      <formula1>0</formula1>
      <formula2>300</formula2>
    </dataValidation>
    <dataValidation type="textLength" errorStyle="information" allowBlank="1" showInputMessage="1" showErrorMessage="1" error="XLBVal:6=574.4_x000d__x000a_" sqref="T62">
      <formula1>0</formula1>
      <formula2>300</formula2>
    </dataValidation>
    <dataValidation type="textLength" errorStyle="information" allowBlank="1" showInputMessage="1" showErrorMessage="1" error="XLBVal:6=4456.57_x000d__x000a_" sqref="S62">
      <formula1>0</formula1>
      <formula2>300</formula2>
    </dataValidation>
    <dataValidation type="textLength" errorStyle="information" allowBlank="1" showInputMessage="1" showErrorMessage="1" error="XLBVal:6=8604.24_x000d__x000a_" sqref="Q62">
      <formula1>0</formula1>
      <formula2>300</formula2>
    </dataValidation>
    <dataValidation type="textLength" errorStyle="information" allowBlank="1" showInputMessage="1" showErrorMessage="1" error="XLBVal:6=300047.43_x000d__x000a_" sqref="V61">
      <formula1>0</formula1>
      <formula2>300</formula2>
    </dataValidation>
    <dataValidation type="textLength" errorStyle="information" allowBlank="1" showInputMessage="1" showErrorMessage="1" error="XLBVal:6=305585.3_x000d__x000a_" sqref="U61">
      <formula1>0</formula1>
      <formula2>300</formula2>
    </dataValidation>
    <dataValidation type="textLength" errorStyle="information" allowBlank="1" showInputMessage="1" showErrorMessage="1" error="XLBVal:6=314724.71_x000d__x000a_" sqref="T61">
      <formula1>0</formula1>
      <formula2>300</formula2>
    </dataValidation>
    <dataValidation type="textLength" errorStyle="information" allowBlank="1" showInputMessage="1" showErrorMessage="1" error="XLBVal:6=296278.99_x000d__x000a_" sqref="S61">
      <formula1>0</formula1>
      <formula2>300</formula2>
    </dataValidation>
    <dataValidation type="textLength" errorStyle="information" allowBlank="1" showInputMessage="1" showErrorMessage="1" error="XLBVal:6=318823.13_x000d__x000a_" sqref="R61">
      <formula1>0</formula1>
      <formula2>300</formula2>
    </dataValidation>
    <dataValidation type="textLength" errorStyle="information" allowBlank="1" showInputMessage="1" showErrorMessage="1" error="XLBVal:6=365816.6_x000d__x000a_" sqref="Q61">
      <formula1>0</formula1>
      <formula2>300</formula2>
    </dataValidation>
    <dataValidation type="textLength" errorStyle="information" allowBlank="1" showInputMessage="1" showErrorMessage="1" error="XLBVal:6=500_x000d__x000a_" sqref="V58">
      <formula1>0</formula1>
      <formula2>300</formula2>
    </dataValidation>
    <dataValidation type="textLength" errorStyle="information" allowBlank="1" showInputMessage="1" showErrorMessage="1" error="XLBVal:6=-3_x000d__x000a_" sqref="U58">
      <formula1>0</formula1>
      <formula2>300</formula2>
    </dataValidation>
    <dataValidation type="textLength" errorStyle="information" allowBlank="1" showInputMessage="1" showErrorMessage="1" error="XLBVal:6=-253.2_x000d__x000a_" sqref="S58">
      <formula1>0</formula1>
      <formula2>300</formula2>
    </dataValidation>
    <dataValidation type="textLength" errorStyle="information" allowBlank="1" showInputMessage="1" showErrorMessage="1" error="XLBVal:6=4240_x000d__x000a_" sqref="V56">
      <formula1>0</formula1>
      <formula2>300</formula2>
    </dataValidation>
    <dataValidation type="textLength" errorStyle="information" allowBlank="1" showInputMessage="1" showErrorMessage="1" error="XLBVal:6=9070.76_x000d__x000a_" sqref="U56">
      <formula1>0</formula1>
      <formula2>300</formula2>
    </dataValidation>
    <dataValidation type="textLength" errorStyle="information" allowBlank="1" showInputMessage="1" showErrorMessage="1" error="XLBVal:6=9072.81_x000d__x000a_" sqref="S56">
      <formula1>0</formula1>
      <formula2>300</formula2>
    </dataValidation>
    <dataValidation type="textLength" errorStyle="information" allowBlank="1" showInputMessage="1" showErrorMessage="1" error="XLBVal:6=3232.74_x000d__x000a_" sqref="R56">
      <formula1>0</formula1>
      <formula2>300</formula2>
    </dataValidation>
    <dataValidation type="textLength" errorStyle="information" allowBlank="1" showInputMessage="1" showErrorMessage="1" error="XLBVal:6=34617.73_x000d__x000a_" sqref="Q56">
      <formula1>0</formula1>
      <formula2>300</formula2>
    </dataValidation>
    <dataValidation type="textLength" errorStyle="information" allowBlank="1" showInputMessage="1" showErrorMessage="1" error="XLBVal:6=78155.52_x000d__x000a_" sqref="U50">
      <formula1>0</formula1>
      <formula2>300</formula2>
    </dataValidation>
    <dataValidation type="textLength" errorStyle="information" allowBlank="1" showInputMessage="1" showErrorMessage="1" error="XLBVal:6=6274.98_x000d__x000a_" sqref="S50">
      <formula1>0</formula1>
      <formula2>300</formula2>
    </dataValidation>
    <dataValidation type="textLength" errorStyle="information" allowBlank="1" showInputMessage="1" showErrorMessage="1" error="XLBVal:6=4415.41_x000d__x000a_" sqref="R50">
      <formula1>0</formula1>
      <formula2>300</formula2>
    </dataValidation>
    <dataValidation type="textLength" errorStyle="information" allowBlank="1" showInputMessage="1" showErrorMessage="1" error="XLBVal:6=83495.38_x000d__x000a_" sqref="V47">
      <formula1>0</formula1>
      <formula2>300</formula2>
    </dataValidation>
    <dataValidation type="textLength" errorStyle="information" allowBlank="1" showInputMessage="1" showErrorMessage="1" error="XLBVal:6=200_x000d__x000a_" sqref="U47">
      <formula1>0</formula1>
      <formula2>300</formula2>
    </dataValidation>
    <dataValidation type="textLength" errorStyle="information" allowBlank="1" showInputMessage="1" showErrorMessage="1" error="XLBVal:6=8796.95_x000d__x000a_" sqref="S47">
      <formula1>0</formula1>
      <formula2>300</formula2>
    </dataValidation>
    <dataValidation type="textLength" errorStyle="information" allowBlank="1" showInputMessage="1" showErrorMessage="1" error="XLBVal:6=910_x000d__x000a_" sqref="Q47">
      <formula1>0</formula1>
      <formula2>300</formula2>
    </dataValidation>
    <dataValidation type="textLength" errorStyle="information" allowBlank="1" showInputMessage="1" showErrorMessage="1" error="XLBVal:6=6700_x000d__x000a_" sqref="V43">
      <formula1>0</formula1>
      <formula2>300</formula2>
    </dataValidation>
    <dataValidation type="textLength" errorStyle="information" allowBlank="1" showInputMessage="1" showErrorMessage="1" error="XLBVal:6=21879.32_x000d__x000a_" sqref="V42">
      <formula1>0</formula1>
      <formula2>300</formula2>
    </dataValidation>
    <dataValidation type="textLength" errorStyle="information" allowBlank="1" showInputMessage="1" showErrorMessage="1" error="XLBVal:6=30379.32_x000d__x000a_" sqref="V41">
      <formula1>0</formula1>
      <formula2>300</formula2>
    </dataValidation>
    <dataValidation type="textLength" errorStyle="information" allowBlank="1" showInputMessage="1" showErrorMessage="1" error="XLBVal:6=-172081.73_x000d__x000a_" sqref="U41">
      <formula1>0</formula1>
      <formula2>300</formula2>
    </dataValidation>
    <dataValidation type="textLength" errorStyle="information" allowBlank="1" showInputMessage="1" showErrorMessage="1" error="XLBVal:6=208657.17_x000d__x000a_" sqref="T41">
      <formula1>0</formula1>
      <formula2>300</formula2>
    </dataValidation>
    <dataValidation type="textLength" errorStyle="information" allowBlank="1" showInputMessage="1" showErrorMessage="1" error="XLBVal:6=494130.3_x000d__x000a_" sqref="S41">
      <formula1>0</formula1>
      <formula2>300</formula2>
    </dataValidation>
    <dataValidation type="textLength" errorStyle="information" allowBlank="1" showInputMessage="1" showErrorMessage="1" error="XLBVal:6=32431.73_x000d__x000a_" sqref="R41">
      <formula1>0</formula1>
      <formula2>300</formula2>
    </dataValidation>
    <dataValidation type="textLength" errorStyle="information" allowBlank="1" showInputMessage="1" showErrorMessage="1" error="XLBVal:6=107926.41_x000d__x000a_" sqref="Q41">
      <formula1>0</formula1>
      <formula2>300</formula2>
    </dataValidation>
    <dataValidation type="textLength" errorStyle="information" allowBlank="1" showInputMessage="1" showErrorMessage="1" error="XLBVal:6=2840.7_x000d__x000a_" sqref="R40">
      <formula1>0</formula1>
      <formula2>300</formula2>
    </dataValidation>
    <dataValidation type="textLength" errorStyle="information" allowBlank="1" showInputMessage="1" showErrorMessage="1" error="XLBVal:6=-6655_x000d__x000a_" sqref="S39">
      <formula1>0</formula1>
      <formula2>300</formula2>
    </dataValidation>
    <dataValidation type="textLength" errorStyle="information" allowBlank="1" showInputMessage="1" showErrorMessage="1" error="XLBVal:6=246530.73_x000d__x000a_" sqref="V38">
      <formula1>0</formula1>
      <formula2>300</formula2>
    </dataValidation>
    <dataValidation type="textLength" errorStyle="information" allowBlank="1" showInputMessage="1" showErrorMessage="1" error="XLBVal:6=37905.76_x000d__x000a_" sqref="U38">
      <formula1>0</formula1>
      <formula2>300</formula2>
    </dataValidation>
    <dataValidation type="textLength" errorStyle="information" allowBlank="1" showInputMessage="1" showErrorMessage="1" error="XLBVal:6=84772.53_x000d__x000a_" sqref="T38">
      <formula1>0</formula1>
      <formula2>300</formula2>
    </dataValidation>
    <dataValidation type="textLength" errorStyle="information" allowBlank="1" showInputMessage="1" showErrorMessage="1" error="XLBVal:6=6983.82_x000d__x000a_" sqref="S38">
      <formula1>0</formula1>
      <formula2>300</formula2>
    </dataValidation>
    <dataValidation type="textLength" errorStyle="information" allowBlank="1" showInputMessage="1" showErrorMessage="1" error="XLBVal:6=70842.25_x000d__x000a_" sqref="R38">
      <formula1>0</formula1>
      <formula2>300</formula2>
    </dataValidation>
    <dataValidation type="textLength" errorStyle="information" allowBlank="1" showInputMessage="1" showErrorMessage="1" error="XLBVal:6=85632.84_x000d__x000a_" sqref="Q38">
      <formula1>0</formula1>
      <formula2>300</formula2>
    </dataValidation>
    <dataValidation type="textLength" errorStyle="information" allowBlank="1" showInputMessage="1" showErrorMessage="1" error="XLBVal:6=61264.07_x000d__x000a_" sqref="V34">
      <formula1>0</formula1>
      <formula2>300</formula2>
    </dataValidation>
    <dataValidation type="textLength" errorStyle="information" allowBlank="1" showInputMessage="1" showErrorMessage="1" error="XLBVal:6=144704.31_x000d__x000a_" sqref="U34">
      <formula1>0</formula1>
      <formula2>300</formula2>
    </dataValidation>
    <dataValidation type="textLength" errorStyle="information" allowBlank="1" showInputMessage="1" showErrorMessage="1" error="XLBVal:6=21302_x000d__x000a_" sqref="S34">
      <formula1>0</formula1>
      <formula2>300</formula2>
    </dataValidation>
    <dataValidation type="textLength" errorStyle="information" allowBlank="1" showInputMessage="1" showErrorMessage="1" error="XLBVal:6=3856.2_x000d__x000a_" sqref="R34">
      <formula1>0</formula1>
      <formula2>300</formula2>
    </dataValidation>
    <dataValidation type="textLength" errorStyle="information" allowBlank="1" showInputMessage="1" showErrorMessage="1" error="XLBVal:6=15624_x000d__x000a_" sqref="Q34">
      <formula1>0</formula1>
      <formula2>300</formula2>
    </dataValidation>
    <dataValidation type="textLength" errorStyle="information" allowBlank="1" showInputMessage="1" showErrorMessage="1" error="XLBVal:6=10811.29_x000d__x000a_" sqref="V33">
      <formula1>0</formula1>
      <formula2>300</formula2>
    </dataValidation>
    <dataValidation type="textLength" errorStyle="information" allowBlank="1" showInputMessage="1" showErrorMessage="1" error="XLBVal:6=49520.97_x000d__x000a_" sqref="U33">
      <formula1>0</formula1>
      <formula2>300</formula2>
    </dataValidation>
    <dataValidation type="textLength" errorStyle="information" allowBlank="1" showInputMessage="1" showErrorMessage="1" error="XLBVal:6=25708.09_x000d__x000a_" sqref="T33">
      <formula1>0</formula1>
      <formula2>300</formula2>
    </dataValidation>
    <dataValidation type="textLength" errorStyle="information" allowBlank="1" showInputMessage="1" showErrorMessage="1" error="XLBVal:6=18548.44_x000d__x000a_" sqref="S33">
      <formula1>0</formula1>
      <formula2>300</formula2>
    </dataValidation>
    <dataValidation type="textLength" errorStyle="information" allowBlank="1" showInputMessage="1" showErrorMessage="1" error="XLBVal:6=23864.86_x000d__x000a_" sqref="R33">
      <formula1>0</formula1>
      <formula2>300</formula2>
    </dataValidation>
    <dataValidation type="textLength" errorStyle="information" allowBlank="1" showInputMessage="1" showErrorMessage="1" error="XLBVal:6=15836.12_x000d__x000a_" sqref="Q33">
      <formula1>0</formula1>
      <formula2>300</formula2>
    </dataValidation>
    <dataValidation type="textLength" errorStyle="information" allowBlank="1" showInputMessage="1" showErrorMessage="1" error="XLBVal:6=11285.37_x000d__x000a_" sqref="V31">
      <formula1>0</formula1>
      <formula2>300</formula2>
    </dataValidation>
    <dataValidation type="textLength" errorStyle="information" allowBlank="1" showInputMessage="1" showErrorMessage="1" error="XLBVal:6=7083.08_x000d__x000a_" sqref="U31">
      <formula1>0</formula1>
      <formula2>300</formula2>
    </dataValidation>
    <dataValidation type="textLength" errorStyle="information" allowBlank="1" showInputMessage="1" showErrorMessage="1" error="XLBVal:6=2462.87_x000d__x000a_" sqref="S31">
      <formula1>0</formula1>
      <formula2>300</formula2>
    </dataValidation>
    <dataValidation type="textLength" errorStyle="information" allowBlank="1" showInputMessage="1" showErrorMessage="1" error="XLBVal:6=10967.23_x000d__x000a_" sqref="R31">
      <formula1>0</formula1>
      <formula2>300</formula2>
    </dataValidation>
    <dataValidation type="textLength" errorStyle="information" allowBlank="1" showInputMessage="1" showErrorMessage="1" error="XLBVal:6=21633.16_x000d__x000a_" sqref="Q31">
      <formula1>0</formula1>
      <formula2>300</formula2>
    </dataValidation>
    <dataValidation type="textLength" errorStyle="information" allowBlank="1" showInputMessage="1" showErrorMessage="1" error="XLBVal:6=14090.06_x000d__x000a_" sqref="U29:V29">
      <formula1>0</formula1>
      <formula2>300</formula2>
    </dataValidation>
    <dataValidation type="textLength" errorStyle="information" allowBlank="1" showInputMessage="1" showErrorMessage="1" error="XLBVal:6=-50547.6_x000d__x000a_" sqref="S29">
      <formula1>0</formula1>
      <formula2>300</formula2>
    </dataValidation>
    <dataValidation type="textLength" errorStyle="information" allowBlank="1" showInputMessage="1" showErrorMessage="1" error="XLBVal:6=4028.64_x000d__x000a_" sqref="U26">
      <formula1>0</formula1>
      <formula2>300</formula2>
    </dataValidation>
    <dataValidation type="textLength" errorStyle="information" allowBlank="1" showInputMessage="1" showErrorMessage="1" error="XLBVal:6=1583.53_x000d__x000a_" sqref="V25">
      <formula1>0</formula1>
      <formula2>300</formula2>
    </dataValidation>
    <dataValidation type="textLength" errorStyle="information" allowBlank="1" showInputMessage="1" showErrorMessage="1" error="XLBVal:6=2451_x000d__x000a_" sqref="U25">
      <formula1>0</formula1>
      <formula2>300</formula2>
    </dataValidation>
    <dataValidation type="textLength" errorStyle="information" allowBlank="1" showInputMessage="1" showErrorMessage="1" error="XLBVal:6=1947.25_x000d__x000a_" sqref="T25">
      <formula1>0</formula1>
      <formula2>300</formula2>
    </dataValidation>
    <dataValidation type="textLength" errorStyle="information" allowBlank="1" showInputMessage="1" showErrorMessage="1" error="XLBVal:6=1201.5_x000d__x000a_" sqref="S25">
      <formula1>0</formula1>
      <formula2>300</formula2>
    </dataValidation>
    <dataValidation type="textLength" errorStyle="information" allowBlank="1" showInputMessage="1" showErrorMessage="1" error="XLBVal:6=2100.3_x000d__x000a_" sqref="R25">
      <formula1>0</formula1>
      <formula2>300</formula2>
    </dataValidation>
    <dataValidation type="textLength" errorStyle="information" allowBlank="1" showInputMessage="1" showErrorMessage="1" error="XLBVal:6=-2040.18_x000d__x000a_" sqref="Q25">
      <formula1>0</formula1>
      <formula2>300</formula2>
    </dataValidation>
    <dataValidation type="textLength" errorStyle="information" allowBlank="1" showInputMessage="1" showErrorMessage="1" error="XLBVal:6=1143.95_x000d__x000a_" sqref="V23">
      <formula1>0</formula1>
      <formula2>300</formula2>
    </dataValidation>
    <dataValidation type="textLength" errorStyle="information" allowBlank="1" showInputMessage="1" showErrorMessage="1" error="XLBVal:6=372.87_x000d__x000a_" sqref="U23">
      <formula1>0</formula1>
      <formula2>300</formula2>
    </dataValidation>
    <dataValidation type="textLength" errorStyle="information" allowBlank="1" showInputMessage="1" showErrorMessage="1" error="XLBVal:6=996.81_x000d__x000a_" sqref="T23">
      <formula1>0</formula1>
      <formula2>300</formula2>
    </dataValidation>
    <dataValidation type="textLength" errorStyle="information" allowBlank="1" showInputMessage="1" showErrorMessage="1" error="XLBVal:6=1036.79_x000d__x000a_" sqref="S23">
      <formula1>0</formula1>
      <formula2>300</formula2>
    </dataValidation>
    <dataValidation type="textLength" errorStyle="information" allowBlank="1" showInputMessage="1" showErrorMessage="1" error="XLBVal:6=1376.69_x000d__x000a_" sqref="R23">
      <formula1>0</formula1>
      <formula2>300</formula2>
    </dataValidation>
    <dataValidation type="textLength" errorStyle="information" allowBlank="1" showInputMessage="1" showErrorMessage="1" error="XLBVal:6=1430.8_x000d__x000a_" sqref="Q23">
      <formula1>0</formula1>
      <formula2>300</formula2>
    </dataValidation>
    <dataValidation type="textLength" errorStyle="information" allowBlank="1" showInputMessage="1" showErrorMessage="1" error="XLBVal:6=1133.24_x000d__x000a_" sqref="V22">
      <formula1>0</formula1>
      <formula2>300</formula2>
    </dataValidation>
    <dataValidation type="textLength" errorStyle="information" allowBlank="1" showInputMessage="1" showErrorMessage="1" error="XLBVal:6=1656.23_x000d__x000a_" sqref="U22">
      <formula1>0</formula1>
      <formula2>300</formula2>
    </dataValidation>
    <dataValidation type="textLength" errorStyle="information" allowBlank="1" showInputMessage="1" showErrorMessage="1" error="XLBVal:6=978.55_x000d__x000a_" sqref="R22">
      <formula1>0</formula1>
      <formula2>300</formula2>
    </dataValidation>
    <dataValidation type="textLength" errorStyle="information" allowBlank="1" showInputMessage="1" showErrorMessage="1" error="XLBVal:6=1777.53_x000d__x000a_" sqref="Q22">
      <formula1>0</formula1>
      <formula2>300</formula2>
    </dataValidation>
    <dataValidation type="textLength" errorStyle="information" allowBlank="1" showInputMessage="1" showErrorMessage="1" error="XLBVal:6=4845_x000d__x000a_" sqref="AA19:AB19 W19">
      <formula1>0</formula1>
      <formula2>300</formula2>
    </dataValidation>
    <dataValidation type="textLength" errorStyle="information" allowBlank="1" showInputMessage="1" showErrorMessage="1" error="XLBVal:6=32768.74_x000d__x000a_" sqref="V13">
      <formula1>0</formula1>
      <formula2>300</formula2>
    </dataValidation>
    <dataValidation type="textLength" errorStyle="information" allowBlank="1" showInputMessage="1" showErrorMessage="1" error="XLBVal:6=145157.63_x000d__x000a_" sqref="U13">
      <formula1>0</formula1>
      <formula2>300</formula2>
    </dataValidation>
    <dataValidation type="textLength" errorStyle="information" allowBlank="1" showInputMessage="1" showErrorMessage="1" error="XLBVal:6=181173.52_x000d__x000a_" sqref="T13">
      <formula1>0</formula1>
      <formula2>300</formula2>
    </dataValidation>
    <dataValidation type="textLength" errorStyle="information" allowBlank="1" showInputMessage="1" showErrorMessage="1" error="XLBVal:6=156596.6_x000d__x000a_" sqref="S13">
      <formula1>0</formula1>
      <formula2>300</formula2>
    </dataValidation>
    <dataValidation type="textLength" errorStyle="information" allowBlank="1" showInputMessage="1" showErrorMessage="1" error="XLBVal:6=168327.14_x000d__x000a_" sqref="R13">
      <formula1>0</formula1>
      <formula2>300</formula2>
    </dataValidation>
    <dataValidation type="textLength" errorStyle="information" allowBlank="1" showInputMessage="1" showErrorMessage="1" error="XLBVal:6=156398.11_x000d__x000a_" sqref="Q13">
      <formula1>0</formula1>
      <formula2>300</formula2>
    </dataValidation>
    <dataValidation type="textLength" errorStyle="information" allowBlank="1" showInputMessage="1" showErrorMessage="1" error="XLBVal:6=50386.08_x000d__x000a_" sqref="V12">
      <formula1>0</formula1>
      <formula2>300</formula2>
    </dataValidation>
    <dataValidation type="textLength" errorStyle="information" allowBlank="1" showInputMessage="1" showErrorMessage="1" error="XLBVal:6=50050.32_x000d__x000a_" sqref="U12">
      <formula1>0</formula1>
      <formula2>300</formula2>
    </dataValidation>
    <dataValidation type="textLength" errorStyle="information" allowBlank="1" showInputMessage="1" showErrorMessage="1" error="XLBVal:6=88220.12_x000d__x000a_" sqref="T12">
      <formula1>0</formula1>
      <formula2>300</formula2>
    </dataValidation>
    <dataValidation type="textLength" errorStyle="information" allowBlank="1" showInputMessage="1" showErrorMessage="1" error="XLBVal:6=46142.08_x000d__x000a_" sqref="S12">
      <formula1>0</formula1>
      <formula2>300</formula2>
    </dataValidation>
    <dataValidation type="textLength" errorStyle="information" allowBlank="1" showInputMessage="1" showErrorMessage="1" error="XLBVal:6=48264.56_x000d__x000a_" sqref="R12">
      <formula1>0</formula1>
      <formula2>300</formula2>
    </dataValidation>
    <dataValidation type="textLength" errorStyle="information" allowBlank="1" showInputMessage="1" showErrorMessage="1" error="XLBVal:6=51160.72_x000d__x000a_" sqref="Q12">
      <formula1>0</formula1>
      <formula2>300</formula2>
    </dataValidation>
    <dataValidation type="textLength" errorStyle="information" allowBlank="1" showInputMessage="1" showErrorMessage="1" error="XLBVal:6=29_x000d__x000a_" sqref="Q101:S101">
      <formula1>0</formula1>
      <formula2>300</formula2>
    </dataValidation>
    <dataValidation type="textLength" errorStyle="information" allowBlank="1" showInputMessage="1" showErrorMessage="1" error="XLBVal:6=3916543.05_x000d__x000a_" sqref="D9:I9 Q9:AB9">
      <formula1>0</formula1>
      <formula2>300</formula2>
    </dataValidation>
    <dataValidation type="textLength" errorStyle="information" allowBlank="1" showInputMessage="1" showErrorMessage="1" error="XLBVal:6=44.25_x000d__x000a_" sqref="Z20:AB20 W20">
      <formula1>0</formula1>
      <formula2>300</formula2>
    </dataValidation>
    <dataValidation type="textLength" errorStyle="information" allowBlank="1" showInputMessage="1" showErrorMessage="1" error="XLBVal:6=-721.06_x000d__x000a_" sqref="V62">
      <formula1>0</formula1>
      <formula2>300</formula2>
    </dataValidation>
    <dataValidation type="textLength" errorStyle="information" allowBlank="1" showInputMessage="1" showErrorMessage="1" error="XLBVal:6=102248.28_x000d__x000a_" sqref="T68">
      <formula1>0</formula1>
      <formula2>300</formula2>
    </dataValidation>
    <dataValidation type="textLength" errorStyle="information" allowBlank="1" showInputMessage="1" showErrorMessage="1" error="XLBVal:2=0_x000d__x000a_" sqref="Q36 V36 Q75:V75 Q44:V44 Q46:V46 T28:U28 Q21:W21 Q32:V32 Y21:AB21 T57:V57 Q24:V24 S36:T36 U55 S16:X16 X19:Y20 Q18:AB18 U45 Q30:V30 V27:V28 Z16:AA16 Q59:V60 Q83:V83 Q27:S28 Q48:V48 Q51:Q55 R55:S55 R51:S53 V51:V55 U51:U53 S72 Q45 T39 R35 R26 V40 R62 Q58:R58 T51:T56 R43:T43 Q39 Q29:R29 U19:V19">
      <formula1>0</formula1>
      <formula2>300</formula2>
    </dataValidation>
    <dataValidation type="textLength" errorStyle="information" allowBlank="1" showInputMessage="1" showErrorMessage="1" error="XLBVal:6=570032.24_x000d__x000a_" sqref="D96:I97 Q96:V97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D7C3F6"/>
  </sheetPr>
  <dimension ref="A1:AI36"/>
  <sheetViews>
    <sheetView view="pageBreakPreview" zoomScaleNormal="100" zoomScaleSheetLayoutView="100" workbookViewId="0">
      <pane xSplit="4" ySplit="7" topLeftCell="K8" activePane="bottomRight" state="frozen"/>
      <selection activeCell="AP43" sqref="AP43"/>
      <selection pane="topRight" activeCell="AP43" sqref="AP43"/>
      <selection pane="bottomLeft" activeCell="AP43" sqref="AP43"/>
      <selection pane="bottomRight" activeCell="M16" sqref="M16"/>
    </sheetView>
  </sheetViews>
  <sheetFormatPr defaultColWidth="9" defaultRowHeight="14.25" outlineLevelCol="2"/>
  <cols>
    <col min="1" max="2" width="9" style="105" hidden="1" customWidth="1" outlineLevel="1"/>
    <col min="3" max="3" width="39.25" style="105" customWidth="1" collapsed="1"/>
    <col min="4" max="15" width="16.625" style="141" customWidth="1"/>
    <col min="16" max="16" width="19.5" style="142" bestFit="1" customWidth="1"/>
    <col min="17" max="22" width="14.5" style="141" hidden="1" customWidth="1" outlineLevel="1"/>
    <col min="23" max="23" width="16.125" style="141" hidden="1" customWidth="1" outlineLevel="1"/>
    <col min="24" max="28" width="16.125" style="105" hidden="1" customWidth="1" outlineLevel="2"/>
    <col min="29" max="29" width="17.5" style="129" customWidth="1" collapsed="1"/>
    <col min="30" max="30" width="17.25" style="124" customWidth="1"/>
    <col min="31" max="31" width="9.5" style="192" customWidth="1"/>
    <col min="32" max="32" width="23" style="109" hidden="1" customWidth="1"/>
    <col min="33" max="33" width="17.25" style="105" hidden="1" customWidth="1"/>
    <col min="34" max="16384" width="9" style="105"/>
  </cols>
  <sheetData>
    <row r="1" spans="1:35" s="100" customFormat="1">
      <c r="C1" s="100" t="s">
        <v>146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7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E1" s="186"/>
      <c r="AF1" s="103"/>
    </row>
    <row r="2" spans="1:35" s="100" customFormat="1">
      <c r="C2" s="100" t="s">
        <v>147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7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E2" s="186"/>
      <c r="AF2" s="103"/>
    </row>
    <row r="3" spans="1:35">
      <c r="C3" s="105" t="s">
        <v>1016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342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09"/>
      <c r="AD3" s="184"/>
      <c r="AE3" s="279"/>
    </row>
    <row r="4" spans="1:35" s="100" customFormat="1" ht="18">
      <c r="C4" s="18">
        <f>+'2025 Summay'!$D$7</f>
        <v>2025</v>
      </c>
      <c r="D4" s="124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72"/>
      <c r="Q4" s="101"/>
      <c r="R4" s="101"/>
      <c r="S4" s="101"/>
      <c r="T4" s="101"/>
      <c r="U4" s="101"/>
      <c r="V4" s="101"/>
      <c r="W4" s="101"/>
      <c r="X4" s="183"/>
      <c r="Y4" s="101"/>
      <c r="Z4" s="101"/>
      <c r="AA4" s="101"/>
      <c r="AB4" s="101"/>
      <c r="AC4" s="172"/>
      <c r="AD4" s="183"/>
      <c r="AE4" s="186"/>
      <c r="AF4" s="103"/>
    </row>
    <row r="5" spans="1:35" s="100" customFormat="1">
      <c r="C5" s="100" t="s">
        <v>154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72"/>
      <c r="Q5" s="101"/>
      <c r="R5" s="101"/>
      <c r="S5" s="101"/>
      <c r="T5" s="101"/>
      <c r="U5" s="101"/>
      <c r="V5" s="101"/>
      <c r="W5" s="101"/>
      <c r="X5" s="183"/>
      <c r="Y5" s="101"/>
      <c r="Z5" s="101"/>
      <c r="AA5" s="101"/>
      <c r="AB5" s="101"/>
      <c r="AC5" s="172"/>
      <c r="AD5" s="183"/>
      <c r="AE5" s="186"/>
      <c r="AF5" s="103"/>
    </row>
    <row r="6" spans="1:35" s="100" customFormat="1">
      <c r="C6" s="100" t="s">
        <v>154</v>
      </c>
      <c r="D6" s="183">
        <f>'2025 Summay'!E9</f>
        <v>1</v>
      </c>
      <c r="E6" s="183">
        <f>'2025 Summay'!F9</f>
        <v>2</v>
      </c>
      <c r="F6" s="183">
        <f>'2025 Summay'!G9</f>
        <v>3</v>
      </c>
      <c r="G6" s="183">
        <f>'2025 Summay'!H9</f>
        <v>4</v>
      </c>
      <c r="H6" s="183">
        <f>'2025 Summay'!I9</f>
        <v>5</v>
      </c>
      <c r="I6" s="183">
        <f>'2025 Summay'!J9</f>
        <v>6</v>
      </c>
      <c r="J6" s="183">
        <f>'2025 Summay'!K9</f>
        <v>7</v>
      </c>
      <c r="K6" s="183">
        <f>'2025 Summay'!L9</f>
        <v>8</v>
      </c>
      <c r="L6" s="183">
        <f>'2025 Summay'!M9</f>
        <v>9</v>
      </c>
      <c r="M6" s="183">
        <f>'2025 Summay'!N9</f>
        <v>10</v>
      </c>
      <c r="N6" s="183">
        <f>'2025 Summay'!O9</f>
        <v>11</v>
      </c>
      <c r="O6" s="183">
        <f>'2025 Summay'!P9</f>
        <v>12</v>
      </c>
      <c r="P6" s="242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 t="s">
        <v>6</v>
      </c>
      <c r="AE6" s="177" t="s">
        <v>156</v>
      </c>
      <c r="AF6" s="157">
        <v>2019</v>
      </c>
    </row>
    <row r="7" spans="1:35">
      <c r="C7" s="105" t="s">
        <v>154</v>
      </c>
      <c r="D7" s="184" t="str">
        <f>'2025 Summay'!E10</f>
        <v>Budget</v>
      </c>
      <c r="E7" s="184" t="str">
        <f>'2025 Summay'!F10</f>
        <v>Budget</v>
      </c>
      <c r="F7" s="184" t="str">
        <f>'2025 Summay'!G10</f>
        <v>Budget</v>
      </c>
      <c r="G7" s="184" t="str">
        <f>'2025 Summay'!H10</f>
        <v>Budget</v>
      </c>
      <c r="H7" s="184" t="str">
        <f>'2025 Summay'!I10</f>
        <v>Budget</v>
      </c>
      <c r="I7" s="184" t="str">
        <f>'2025 Summay'!J10</f>
        <v>Budget</v>
      </c>
      <c r="J7" s="184" t="str">
        <f>'2025 Summay'!K10</f>
        <v>Budget</v>
      </c>
      <c r="K7" s="184" t="str">
        <f>'2025 Summay'!L10</f>
        <v>Budget</v>
      </c>
      <c r="L7" s="184" t="str">
        <f>'2025 Summay'!M10</f>
        <v>Budget</v>
      </c>
      <c r="M7" s="184" t="str">
        <f>'2025 Summay'!N10</f>
        <v>Budget</v>
      </c>
      <c r="N7" s="184" t="str">
        <f>'2025 Summay'!O10</f>
        <v>Budget</v>
      </c>
      <c r="O7" s="184" t="str">
        <f>'2025 Summay'!P10</f>
        <v>Budget</v>
      </c>
      <c r="P7" s="209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343"/>
      <c r="AE7" s="185"/>
      <c r="AF7" s="335" t="s">
        <v>12</v>
      </c>
    </row>
    <row r="8" spans="1:35">
      <c r="A8" s="105" t="s">
        <v>8</v>
      </c>
      <c r="B8" s="105" t="s">
        <v>9</v>
      </c>
      <c r="C8" s="105" t="s">
        <v>154</v>
      </c>
      <c r="D8" s="105"/>
      <c r="E8" s="105"/>
      <c r="F8" s="105"/>
      <c r="G8" s="105"/>
      <c r="H8" s="105"/>
      <c r="I8" s="105"/>
      <c r="Q8" s="105"/>
      <c r="R8" s="105"/>
      <c r="S8" s="105"/>
      <c r="T8" s="105"/>
      <c r="U8" s="105"/>
      <c r="V8" s="105"/>
      <c r="W8" s="105"/>
      <c r="AF8" s="129"/>
    </row>
    <row r="9" spans="1:35">
      <c r="C9" s="105" t="s">
        <v>176</v>
      </c>
      <c r="D9" s="192"/>
      <c r="E9" s="192"/>
      <c r="F9" s="192"/>
      <c r="G9" s="192"/>
      <c r="H9" s="192"/>
      <c r="I9" s="192"/>
      <c r="Q9" s="105"/>
      <c r="R9" s="105"/>
      <c r="S9" s="105"/>
      <c r="T9" s="105"/>
      <c r="U9" s="105"/>
      <c r="V9" s="192"/>
      <c r="W9" s="192"/>
      <c r="X9" s="192"/>
      <c r="Y9" s="192"/>
      <c r="Z9" s="192"/>
      <c r="AA9" s="192"/>
      <c r="AB9" s="192"/>
      <c r="AF9" s="129"/>
    </row>
    <row r="10" spans="1:35">
      <c r="A10" s="105" t="s">
        <v>1017</v>
      </c>
      <c r="B10" s="105" t="s">
        <v>1018</v>
      </c>
      <c r="C10" s="105" t="s">
        <v>1019</v>
      </c>
      <c r="D10" s="123">
        <v>1144842</v>
      </c>
      <c r="E10" s="123">
        <v>1088412</v>
      </c>
      <c r="F10" s="123">
        <v>1125018</v>
      </c>
      <c r="G10" s="123">
        <v>1217412</v>
      </c>
      <c r="H10" s="123">
        <v>1256450</v>
      </c>
      <c r="I10" s="123">
        <v>1337202</v>
      </c>
      <c r="J10" s="123">
        <v>1425536</v>
      </c>
      <c r="K10" s="123">
        <v>1430884</v>
      </c>
      <c r="L10" s="123">
        <v>1206972</v>
      </c>
      <c r="M10" s="123">
        <v>1140248</v>
      </c>
      <c r="N10" s="123">
        <v>1093392</v>
      </c>
      <c r="O10" s="123">
        <v>1168523</v>
      </c>
      <c r="P10" s="129">
        <f>SUM(D10:O10)</f>
        <v>14634891</v>
      </c>
      <c r="Q10" s="141">
        <v>958370</v>
      </c>
      <c r="R10" s="141">
        <v>944013.64</v>
      </c>
      <c r="S10" s="141">
        <v>1026279.71</v>
      </c>
      <c r="T10" s="141">
        <v>1195704.55</v>
      </c>
      <c r="U10" s="141">
        <v>1257603.6299999999</v>
      </c>
      <c r="V10" s="141">
        <v>1314901.01</v>
      </c>
      <c r="W10" s="141">
        <v>1320439.74</v>
      </c>
      <c r="X10" s="141">
        <v>1393962.07</v>
      </c>
      <c r="Y10" s="141">
        <v>1248230.0900000001</v>
      </c>
      <c r="Z10" s="141">
        <v>1232123.8899999999</v>
      </c>
      <c r="AA10" s="141">
        <v>1183805.31</v>
      </c>
      <c r="AB10" s="141">
        <v>1135486.73</v>
      </c>
      <c r="AC10" s="142">
        <f t="shared" ref="AC10:AC15" si="0">SUM(Q10:AB10)</f>
        <v>14210920.370000001</v>
      </c>
      <c r="AD10" s="141">
        <f t="shared" ref="AD10:AD15" si="1">AC10-P10</f>
        <v>-423970.62999999896</v>
      </c>
      <c r="AE10" s="192">
        <f t="shared" ref="AE10:AE15" si="2">AD10/AC10</f>
        <v>-2.9834142966209509E-2</v>
      </c>
      <c r="AF10" s="129">
        <v>13727823.579999998</v>
      </c>
      <c r="AG10" s="124">
        <f t="shared" ref="AG10:AG15" si="3">AF10-P10</f>
        <v>-907067.42000000179</v>
      </c>
      <c r="AH10" s="124"/>
      <c r="AI10" s="124"/>
    </row>
    <row r="11" spans="1:35">
      <c r="A11" s="105" t="s">
        <v>1020</v>
      </c>
      <c r="B11" s="105" t="s">
        <v>1018</v>
      </c>
      <c r="C11" s="105" t="s">
        <v>1021</v>
      </c>
      <c r="D11" s="124">
        <v>287238</v>
      </c>
      <c r="E11" s="124">
        <v>339227</v>
      </c>
      <c r="F11" s="124">
        <v>307318</v>
      </c>
      <c r="G11" s="124">
        <v>311082</v>
      </c>
      <c r="H11" s="124">
        <v>293667</v>
      </c>
      <c r="I11" s="124">
        <v>283060</v>
      </c>
      <c r="J11" s="124">
        <v>307921</v>
      </c>
      <c r="K11" s="124">
        <v>327656</v>
      </c>
      <c r="L11" s="124">
        <v>295236</v>
      </c>
      <c r="M11" s="124">
        <v>296114</v>
      </c>
      <c r="N11" s="124">
        <v>288397</v>
      </c>
      <c r="O11" s="124">
        <v>284308</v>
      </c>
      <c r="P11" s="129">
        <f>SUM(D11:O11)</f>
        <v>3621224</v>
      </c>
      <c r="Q11" s="141">
        <v>354115.39</v>
      </c>
      <c r="R11" s="141">
        <v>369843.78</v>
      </c>
      <c r="S11" s="141">
        <v>365765.43</v>
      </c>
      <c r="T11" s="141">
        <v>334056.49</v>
      </c>
      <c r="U11" s="141">
        <v>299993.87</v>
      </c>
      <c r="V11" s="141">
        <v>283671.31</v>
      </c>
      <c r="W11" s="141">
        <v>309607</v>
      </c>
      <c r="X11" s="141">
        <v>319005.33</v>
      </c>
      <c r="Y11" s="141">
        <v>275449.53999999998</v>
      </c>
      <c r="Z11" s="141">
        <v>315050</v>
      </c>
      <c r="AA11" s="141">
        <v>315707</v>
      </c>
      <c r="AB11" s="141">
        <v>332549</v>
      </c>
      <c r="AC11" s="142">
        <f t="shared" si="0"/>
        <v>3874814.14</v>
      </c>
      <c r="AD11" s="141">
        <f t="shared" si="1"/>
        <v>253590.14000000013</v>
      </c>
      <c r="AE11" s="192">
        <f t="shared" si="2"/>
        <v>6.5445755805980443E-2</v>
      </c>
      <c r="AF11" s="129">
        <v>3989143.6500000004</v>
      </c>
      <c r="AG11" s="124">
        <f t="shared" si="3"/>
        <v>367919.65000000037</v>
      </c>
      <c r="AH11" s="124"/>
      <c r="AI11" s="124"/>
    </row>
    <row r="12" spans="1:35">
      <c r="A12" s="105" t="s">
        <v>1022</v>
      </c>
      <c r="B12" s="105" t="s">
        <v>1018</v>
      </c>
      <c r="C12" s="105" t="s">
        <v>1023</v>
      </c>
      <c r="D12" s="124">
        <v>0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4">
        <v>0</v>
      </c>
      <c r="K12" s="124">
        <v>0</v>
      </c>
      <c r="L12" s="124">
        <v>0</v>
      </c>
      <c r="M12" s="124">
        <v>0</v>
      </c>
      <c r="N12" s="124">
        <v>0</v>
      </c>
      <c r="O12" s="124">
        <v>0</v>
      </c>
      <c r="P12" s="129">
        <f>SUM(D12:O12)</f>
        <v>0</v>
      </c>
      <c r="Q12" s="141">
        <v>0</v>
      </c>
      <c r="R12" s="141">
        <v>0</v>
      </c>
      <c r="S12" s="141">
        <v>0</v>
      </c>
      <c r="T12" s="141">
        <v>0</v>
      </c>
      <c r="U12" s="141">
        <v>0</v>
      </c>
      <c r="V12" s="141">
        <v>0</v>
      </c>
      <c r="W12" s="141">
        <v>0</v>
      </c>
      <c r="X12" s="141">
        <v>0</v>
      </c>
      <c r="Y12" s="141">
        <v>0</v>
      </c>
      <c r="Z12" s="141">
        <v>0</v>
      </c>
      <c r="AA12" s="141">
        <v>0</v>
      </c>
      <c r="AB12" s="141">
        <v>0</v>
      </c>
      <c r="AC12" s="142">
        <f t="shared" si="0"/>
        <v>0</v>
      </c>
      <c r="AD12" s="141">
        <f t="shared" si="1"/>
        <v>0</v>
      </c>
      <c r="AE12" s="192" t="e">
        <f t="shared" si="2"/>
        <v>#DIV/0!</v>
      </c>
      <c r="AF12" s="129">
        <v>0</v>
      </c>
      <c r="AG12" s="124">
        <f t="shared" si="3"/>
        <v>0</v>
      </c>
      <c r="AH12" s="124"/>
      <c r="AI12" s="124"/>
    </row>
    <row r="13" spans="1:35">
      <c r="A13" s="105" t="s">
        <v>1024</v>
      </c>
      <c r="B13" s="105" t="s">
        <v>1018</v>
      </c>
      <c r="C13" s="105" t="s">
        <v>1025</v>
      </c>
      <c r="D13" s="124">
        <v>226038</v>
      </c>
      <c r="E13" s="124">
        <v>215551</v>
      </c>
      <c r="F13" s="124">
        <v>206406</v>
      </c>
      <c r="G13" s="124">
        <v>210903</v>
      </c>
      <c r="H13" s="124">
        <v>223012</v>
      </c>
      <c r="I13" s="124">
        <v>244020</v>
      </c>
      <c r="J13" s="124">
        <v>264311</v>
      </c>
      <c r="K13" s="124">
        <v>273317</v>
      </c>
      <c r="L13" s="124">
        <v>282366</v>
      </c>
      <c r="M13" s="124">
        <v>230181</v>
      </c>
      <c r="N13" s="124">
        <v>225544</v>
      </c>
      <c r="O13" s="124">
        <v>188755</v>
      </c>
      <c r="P13" s="129">
        <f>SUM(D13:O13)</f>
        <v>2790404</v>
      </c>
      <c r="Q13" s="141">
        <v>212721</v>
      </c>
      <c r="R13" s="141">
        <v>184007.31</v>
      </c>
      <c r="S13" s="141">
        <v>202129.05</v>
      </c>
      <c r="T13" s="141">
        <v>228605.51</v>
      </c>
      <c r="U13" s="141">
        <v>245623.93</v>
      </c>
      <c r="V13" s="141">
        <v>230923.57</v>
      </c>
      <c r="W13" s="141">
        <v>262577.96999999997</v>
      </c>
      <c r="X13" s="141">
        <v>271187.7</v>
      </c>
      <c r="Y13" s="141">
        <v>245373.79</v>
      </c>
      <c r="Z13" s="141">
        <v>242553.4</v>
      </c>
      <c r="AA13" s="141">
        <v>245373.79</v>
      </c>
      <c r="AB13" s="141">
        <v>236912.62</v>
      </c>
      <c r="AC13" s="142">
        <f t="shared" si="0"/>
        <v>2807989.64</v>
      </c>
      <c r="AD13" s="141">
        <f t="shared" si="1"/>
        <v>17585.64000000013</v>
      </c>
      <c r="AE13" s="192">
        <f t="shared" si="2"/>
        <v>6.2627154137221567E-3</v>
      </c>
      <c r="AF13" s="129">
        <v>2531231.0499999998</v>
      </c>
      <c r="AG13" s="124">
        <f t="shared" si="3"/>
        <v>-259172.95000000019</v>
      </c>
      <c r="AH13" s="124"/>
      <c r="AI13" s="124"/>
    </row>
    <row r="14" spans="1:35">
      <c r="A14" s="105" t="s">
        <v>1026</v>
      </c>
      <c r="B14" s="105" t="s">
        <v>1018</v>
      </c>
      <c r="C14" s="105" t="s">
        <v>1027</v>
      </c>
      <c r="D14" s="124">
        <v>0</v>
      </c>
      <c r="E14" s="124">
        <v>0</v>
      </c>
      <c r="F14" s="124">
        <v>1600</v>
      </c>
      <c r="G14" s="124">
        <v>0</v>
      </c>
      <c r="H14" s="124">
        <v>0</v>
      </c>
      <c r="I14" s="124">
        <v>1600</v>
      </c>
      <c r="J14" s="124">
        <v>0</v>
      </c>
      <c r="K14" s="124">
        <v>0</v>
      </c>
      <c r="L14" s="124">
        <v>1600</v>
      </c>
      <c r="M14" s="124">
        <v>0</v>
      </c>
      <c r="N14" s="124">
        <v>0</v>
      </c>
      <c r="O14" s="124">
        <v>1600</v>
      </c>
      <c r="P14" s="129">
        <f>SUM(D14:O14)</f>
        <v>6400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142">
        <f t="shared" si="0"/>
        <v>0</v>
      </c>
      <c r="AD14" s="141">
        <f t="shared" si="1"/>
        <v>-6400</v>
      </c>
      <c r="AE14" s="192" t="e">
        <f t="shared" si="2"/>
        <v>#DIV/0!</v>
      </c>
      <c r="AF14" s="129">
        <v>0</v>
      </c>
      <c r="AG14" s="124">
        <f t="shared" si="3"/>
        <v>-6400</v>
      </c>
      <c r="AH14" s="124"/>
      <c r="AI14" s="124"/>
    </row>
    <row r="15" spans="1:35" s="109" customFormat="1">
      <c r="C15" s="109" t="s">
        <v>1028</v>
      </c>
      <c r="D15" s="129">
        <f t="shared" ref="D15:AB15" si="4">SUM(D10:D14)</f>
        <v>1658118</v>
      </c>
      <c r="E15" s="129">
        <f t="shared" si="4"/>
        <v>1643190</v>
      </c>
      <c r="F15" s="129">
        <f t="shared" si="4"/>
        <v>1640342</v>
      </c>
      <c r="G15" s="129">
        <f t="shared" si="4"/>
        <v>1739397</v>
      </c>
      <c r="H15" s="129">
        <f t="shared" si="4"/>
        <v>1773129</v>
      </c>
      <c r="I15" s="129">
        <f t="shared" si="4"/>
        <v>1865882</v>
      </c>
      <c r="J15" s="129">
        <f t="shared" si="4"/>
        <v>1997768</v>
      </c>
      <c r="K15" s="129">
        <f t="shared" si="4"/>
        <v>2031857</v>
      </c>
      <c r="L15" s="129">
        <f t="shared" si="4"/>
        <v>1786174</v>
      </c>
      <c r="M15" s="129">
        <f t="shared" si="4"/>
        <v>1666543</v>
      </c>
      <c r="N15" s="129">
        <f t="shared" si="4"/>
        <v>1607333</v>
      </c>
      <c r="O15" s="129">
        <f t="shared" si="4"/>
        <v>1643186</v>
      </c>
      <c r="P15" s="129">
        <f t="shared" si="4"/>
        <v>21052919</v>
      </c>
      <c r="Q15" s="142">
        <f t="shared" si="4"/>
        <v>1525206.3900000001</v>
      </c>
      <c r="R15" s="142">
        <f t="shared" si="4"/>
        <v>1497864.73</v>
      </c>
      <c r="S15" s="142">
        <f t="shared" si="4"/>
        <v>1594174.19</v>
      </c>
      <c r="T15" s="142">
        <f t="shared" si="4"/>
        <v>1758366.55</v>
      </c>
      <c r="U15" s="142">
        <f t="shared" si="4"/>
        <v>1803221.43</v>
      </c>
      <c r="V15" s="142">
        <f t="shared" si="4"/>
        <v>1829495.8900000001</v>
      </c>
      <c r="W15" s="142">
        <f t="shared" si="4"/>
        <v>1892624.71</v>
      </c>
      <c r="X15" s="142">
        <f t="shared" si="4"/>
        <v>1984155.1</v>
      </c>
      <c r="Y15" s="142">
        <f t="shared" si="4"/>
        <v>1769053.4200000002</v>
      </c>
      <c r="Z15" s="142">
        <f t="shared" si="4"/>
        <v>1789727.2899999998</v>
      </c>
      <c r="AA15" s="142">
        <f t="shared" si="4"/>
        <v>1744886.1</v>
      </c>
      <c r="AB15" s="142">
        <f t="shared" si="4"/>
        <v>1704948.35</v>
      </c>
      <c r="AC15" s="142">
        <f t="shared" si="0"/>
        <v>20893724.150000002</v>
      </c>
      <c r="AD15" s="142">
        <f t="shared" si="1"/>
        <v>-159194.84999999776</v>
      </c>
      <c r="AE15" s="132">
        <f t="shared" si="2"/>
        <v>-7.6192663814793277E-3</v>
      </c>
      <c r="AF15" s="129">
        <v>20248198.280000001</v>
      </c>
      <c r="AG15" s="124">
        <f t="shared" si="3"/>
        <v>-804720.71999999881</v>
      </c>
      <c r="AH15" s="124"/>
      <c r="AI15" s="124"/>
    </row>
    <row r="16" spans="1:35">
      <c r="C16" s="105" t="s">
        <v>154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9"/>
      <c r="Q16" s="105"/>
      <c r="R16" s="105"/>
      <c r="S16" s="105"/>
      <c r="T16" s="105"/>
      <c r="U16" s="105"/>
      <c r="V16" s="105"/>
      <c r="W16" s="105"/>
      <c r="AF16" s="332"/>
      <c r="AI16" s="124"/>
    </row>
    <row r="17" spans="3:35">
      <c r="C17" s="105" t="s">
        <v>1029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9">
        <f t="shared" ref="P17:P22" si="5">SUM(D17:O17)</f>
        <v>0</v>
      </c>
      <c r="Q17" s="105"/>
      <c r="R17" s="105"/>
      <c r="S17" s="105"/>
      <c r="T17" s="105"/>
      <c r="U17" s="105"/>
      <c r="V17" s="105"/>
      <c r="W17" s="105"/>
      <c r="Z17" s="304"/>
      <c r="AA17" s="304"/>
      <c r="AB17" s="304"/>
      <c r="AC17" s="258"/>
      <c r="AF17" s="332"/>
      <c r="AI17" s="124"/>
    </row>
    <row r="18" spans="3:35">
      <c r="C18" s="105" t="s">
        <v>1019</v>
      </c>
      <c r="D18" s="124">
        <v>1346950</v>
      </c>
      <c r="E18" s="124">
        <v>1309560</v>
      </c>
      <c r="F18" s="124">
        <v>1398410</v>
      </c>
      <c r="G18" s="124">
        <v>1511250</v>
      </c>
      <c r="H18" s="124">
        <v>1558928</v>
      </c>
      <c r="I18" s="124">
        <v>1603500</v>
      </c>
      <c r="J18" s="124">
        <v>1689500</v>
      </c>
      <c r="K18" s="124">
        <v>1660050</v>
      </c>
      <c r="L18" s="124">
        <v>1498500</v>
      </c>
      <c r="M18" s="124">
        <v>1417010</v>
      </c>
      <c r="N18" s="124">
        <v>1329900</v>
      </c>
      <c r="O18" s="124">
        <v>1389110</v>
      </c>
      <c r="P18" s="129">
        <f t="shared" si="5"/>
        <v>17712668</v>
      </c>
      <c r="Q18" s="105"/>
      <c r="R18" s="105"/>
      <c r="S18" s="105"/>
      <c r="T18" s="105"/>
      <c r="U18" s="105"/>
      <c r="V18" s="105"/>
      <c r="W18" s="105"/>
      <c r="X18" s="192"/>
      <c r="Y18" s="192"/>
      <c r="Z18" s="192"/>
      <c r="AA18" s="192"/>
      <c r="AB18" s="192"/>
      <c r="AC18" s="129">
        <v>0</v>
      </c>
      <c r="AE18" s="192">
        <v>0</v>
      </c>
      <c r="AF18" s="332">
        <f>AF10/0.97</f>
        <v>14152395.443298968</v>
      </c>
      <c r="AI18" s="124"/>
    </row>
    <row r="19" spans="3:35">
      <c r="C19" s="105" t="s">
        <v>1021</v>
      </c>
      <c r="D19" s="124">
        <v>51662</v>
      </c>
      <c r="E19" s="124">
        <v>61012</v>
      </c>
      <c r="F19" s="124">
        <v>55273</v>
      </c>
      <c r="G19" s="124">
        <v>55950</v>
      </c>
      <c r="H19" s="124">
        <v>52818</v>
      </c>
      <c r="I19" s="124">
        <v>50910</v>
      </c>
      <c r="J19" s="124">
        <v>55382</v>
      </c>
      <c r="K19" s="124">
        <v>58931</v>
      </c>
      <c r="L19" s="124">
        <v>53100</v>
      </c>
      <c r="M19" s="124">
        <v>53258</v>
      </c>
      <c r="N19" s="124">
        <v>51870</v>
      </c>
      <c r="O19" s="124">
        <v>51135</v>
      </c>
      <c r="P19" s="129">
        <f t="shared" si="5"/>
        <v>651301</v>
      </c>
      <c r="Q19" s="105"/>
      <c r="R19" s="105"/>
      <c r="S19" s="105"/>
      <c r="T19" s="105"/>
      <c r="U19" s="105"/>
      <c r="V19" s="105"/>
      <c r="W19" s="105"/>
      <c r="X19" s="192"/>
      <c r="Y19" s="192"/>
      <c r="Z19" s="192"/>
      <c r="AA19" s="192"/>
      <c r="AB19" s="192"/>
      <c r="AC19" s="129">
        <v>0</v>
      </c>
      <c r="AE19" s="192">
        <v>0</v>
      </c>
      <c r="AF19" s="332"/>
      <c r="AI19" s="124"/>
    </row>
    <row r="20" spans="3:35">
      <c r="C20" s="105" t="s">
        <v>1023</v>
      </c>
      <c r="D20" s="124">
        <v>0</v>
      </c>
      <c r="E20" s="124">
        <v>0</v>
      </c>
      <c r="F20" s="124">
        <v>0</v>
      </c>
      <c r="G20" s="124">
        <v>0</v>
      </c>
      <c r="H20" s="124">
        <v>0</v>
      </c>
      <c r="I20" s="124">
        <v>0</v>
      </c>
      <c r="J20" s="124">
        <v>0</v>
      </c>
      <c r="K20" s="124">
        <v>0</v>
      </c>
      <c r="L20" s="124">
        <v>0</v>
      </c>
      <c r="M20" s="124">
        <v>0</v>
      </c>
      <c r="N20" s="124">
        <v>0</v>
      </c>
      <c r="O20" s="124">
        <v>0</v>
      </c>
      <c r="P20" s="129">
        <f t="shared" si="5"/>
        <v>0</v>
      </c>
      <c r="Q20" s="105"/>
      <c r="R20" s="105"/>
      <c r="S20" s="105"/>
      <c r="T20" s="105"/>
      <c r="U20" s="105"/>
      <c r="V20" s="105"/>
      <c r="W20" s="105"/>
      <c r="X20" s="192"/>
      <c r="Y20" s="192"/>
      <c r="Z20" s="192"/>
      <c r="AA20" s="192"/>
      <c r="AB20" s="192"/>
      <c r="AC20" s="129">
        <v>0</v>
      </c>
      <c r="AE20" s="192">
        <v>0</v>
      </c>
      <c r="AF20" s="332"/>
      <c r="AI20" s="124"/>
    </row>
    <row r="21" spans="3:35">
      <c r="C21" s="105" t="s">
        <v>1025</v>
      </c>
      <c r="D21" s="124">
        <v>38905</v>
      </c>
      <c r="E21" s="124">
        <v>37100</v>
      </c>
      <c r="F21" s="124">
        <v>35526</v>
      </c>
      <c r="G21" s="124">
        <v>36300</v>
      </c>
      <c r="H21" s="124">
        <v>38384</v>
      </c>
      <c r="I21" s="124">
        <v>39450</v>
      </c>
      <c r="J21" s="124">
        <v>45493</v>
      </c>
      <c r="K21" s="124">
        <v>47043</v>
      </c>
      <c r="L21" s="124">
        <v>48600</v>
      </c>
      <c r="M21" s="124">
        <v>39618</v>
      </c>
      <c r="N21" s="124">
        <v>38820</v>
      </c>
      <c r="O21" s="124">
        <v>32488</v>
      </c>
      <c r="P21" s="129">
        <f t="shared" si="5"/>
        <v>477727</v>
      </c>
      <c r="Q21" s="105"/>
      <c r="R21" s="105"/>
      <c r="S21" s="105"/>
      <c r="T21" s="105"/>
      <c r="U21" s="105"/>
      <c r="V21" s="105"/>
      <c r="W21" s="105"/>
      <c r="X21" s="192"/>
      <c r="Y21" s="192"/>
      <c r="Z21" s="192"/>
      <c r="AA21" s="192"/>
      <c r="AB21" s="192"/>
      <c r="AC21" s="129">
        <v>0</v>
      </c>
      <c r="AE21" s="192">
        <v>0</v>
      </c>
      <c r="AF21" s="332"/>
      <c r="AI21" s="124"/>
    </row>
    <row r="22" spans="3:35">
      <c r="C22" s="105" t="s">
        <v>1027</v>
      </c>
      <c r="D22" s="124">
        <v>0</v>
      </c>
      <c r="E22" s="124">
        <v>0</v>
      </c>
      <c r="F22" s="124">
        <v>200</v>
      </c>
      <c r="G22" s="124">
        <v>0</v>
      </c>
      <c r="H22" s="124">
        <v>0</v>
      </c>
      <c r="I22" s="124">
        <v>200</v>
      </c>
      <c r="J22" s="124">
        <v>0</v>
      </c>
      <c r="K22" s="124">
        <v>0</v>
      </c>
      <c r="L22" s="124">
        <v>200</v>
      </c>
      <c r="M22" s="124">
        <v>0</v>
      </c>
      <c r="N22" s="124">
        <v>0</v>
      </c>
      <c r="O22" s="124">
        <v>200</v>
      </c>
      <c r="P22" s="129">
        <f t="shared" si="5"/>
        <v>800</v>
      </c>
      <c r="Q22" s="105"/>
      <c r="R22" s="105"/>
      <c r="S22" s="105"/>
      <c r="T22" s="105"/>
      <c r="U22" s="105"/>
      <c r="V22" s="105"/>
      <c r="W22" s="105"/>
      <c r="AC22" s="129">
        <v>0</v>
      </c>
      <c r="AE22" s="192">
        <v>0</v>
      </c>
      <c r="AF22" s="332"/>
      <c r="AI22" s="124"/>
    </row>
    <row r="23" spans="3:35">
      <c r="Q23" s="105"/>
      <c r="R23" s="105"/>
      <c r="S23" s="105"/>
      <c r="T23" s="105"/>
      <c r="U23" s="105"/>
      <c r="V23" s="105"/>
      <c r="W23" s="105"/>
    </row>
    <row r="24" spans="3:35">
      <c r="Q24" s="105"/>
      <c r="R24" s="105"/>
      <c r="S24" s="105"/>
      <c r="T24" s="105"/>
      <c r="U24" s="105"/>
      <c r="V24" s="105"/>
      <c r="W24" s="124">
        <v>1134646.1200000001</v>
      </c>
      <c r="X24" s="124">
        <v>1195871.2</v>
      </c>
      <c r="Y24" s="124">
        <v>1093705.2</v>
      </c>
      <c r="Z24" s="124">
        <v>1065228.44</v>
      </c>
      <c r="AA24" s="124">
        <v>1012342.24</v>
      </c>
      <c r="AB24" s="124">
        <v>1071677.6400000001</v>
      </c>
    </row>
    <row r="25" spans="3:35">
      <c r="Q25" s="105"/>
      <c r="R25" s="105"/>
      <c r="S25" s="105"/>
      <c r="T25" s="105"/>
      <c r="U25" s="105"/>
      <c r="V25" s="105"/>
      <c r="W25" s="124">
        <v>288790.85397849465</v>
      </c>
      <c r="X25" s="124">
        <v>303001.01191939216</v>
      </c>
      <c r="Y25" s="124">
        <v>264953.92226590944</v>
      </c>
      <c r="Z25" s="124">
        <v>329723.43359960918</v>
      </c>
      <c r="AA25" s="124">
        <v>309294.36667368031</v>
      </c>
      <c r="AB25" s="124">
        <v>358938.48331156565</v>
      </c>
    </row>
    <row r="26" spans="3:35">
      <c r="C26" s="124" t="str">
        <f>'2025 Summay'!D16</f>
        <v>Total Gross Operating Revenue 运营总收入</v>
      </c>
      <c r="D26" s="124">
        <f>'2025 Summay'!E16</f>
        <v>39233149</v>
      </c>
      <c r="E26" s="124">
        <f>'2025 Summay'!F16</f>
        <v>43452422</v>
      </c>
      <c r="F26" s="124">
        <f>'2025 Summay'!G16</f>
        <v>27030377</v>
      </c>
      <c r="G26" s="124">
        <f>'2025 Summay'!H16</f>
        <v>25027257</v>
      </c>
      <c r="H26" s="124">
        <f>'2025 Summay'!I16</f>
        <v>23807640</v>
      </c>
      <c r="I26" s="124">
        <f>'2025 Summay'!J16</f>
        <v>21296011</v>
      </c>
      <c r="J26" s="124">
        <f>'2025 Summay'!K16</f>
        <v>30906188</v>
      </c>
      <c r="K26" s="124">
        <f>'2025 Summay'!L16</f>
        <v>34819289</v>
      </c>
      <c r="L26" s="124">
        <f>'2025 Summay'!M16</f>
        <v>20076077</v>
      </c>
      <c r="M26" s="124">
        <f>'2025 Summay'!N16</f>
        <v>25381394</v>
      </c>
      <c r="N26" s="124">
        <f>'2025 Summay'!O16</f>
        <v>21936590</v>
      </c>
      <c r="O26" s="124">
        <f>'2025 Summay'!P16</f>
        <v>27659550</v>
      </c>
      <c r="P26" s="124">
        <f>'2025 Summay'!Q16</f>
        <v>340625944</v>
      </c>
      <c r="Q26" s="105"/>
      <c r="R26" s="105"/>
      <c r="S26" s="105"/>
      <c r="T26" s="105"/>
      <c r="U26" s="105"/>
      <c r="V26" s="105"/>
      <c r="W26" s="124"/>
      <c r="X26" s="124"/>
      <c r="Y26" s="124"/>
      <c r="Z26" s="124"/>
      <c r="AA26" s="124"/>
      <c r="AB26" s="124"/>
      <c r="AC26" s="124">
        <f>'2025 Summay'!AD16</f>
        <v>361746592.26999998</v>
      </c>
      <c r="AF26" s="129">
        <f>+'2025 Summay'!AI16</f>
        <v>339554458.64999998</v>
      </c>
    </row>
    <row r="27" spans="3:35">
      <c r="D27" s="304">
        <f>D15/D26</f>
        <v>4.2263189222970607E-2</v>
      </c>
      <c r="E27" s="304">
        <f t="shared" ref="E27:P27" si="6">E15/E26</f>
        <v>3.78158437290331E-2</v>
      </c>
      <c r="F27" s="304">
        <f t="shared" si="6"/>
        <v>6.0685132138556558E-2</v>
      </c>
      <c r="G27" s="304">
        <f t="shared" si="6"/>
        <v>6.9500105425057163E-2</v>
      </c>
      <c r="H27" s="304">
        <f t="shared" si="6"/>
        <v>7.4477310644818218E-2</v>
      </c>
      <c r="I27" s="304">
        <f t="shared" si="6"/>
        <v>8.761650245203198E-2</v>
      </c>
      <c r="J27" s="304">
        <f t="shared" si="6"/>
        <v>6.4639741400654135E-2</v>
      </c>
      <c r="K27" s="304">
        <f t="shared" si="6"/>
        <v>5.8354350658912077E-2</v>
      </c>
      <c r="L27" s="304">
        <f t="shared" si="6"/>
        <v>8.8970270436798976E-2</v>
      </c>
      <c r="M27" s="304">
        <f t="shared" si="6"/>
        <v>6.5660026395713333E-2</v>
      </c>
      <c r="N27" s="304">
        <f t="shared" si="6"/>
        <v>7.3271780162732683E-2</v>
      </c>
      <c r="O27" s="304">
        <f t="shared" si="6"/>
        <v>5.9407546398983352E-2</v>
      </c>
      <c r="P27" s="304">
        <f t="shared" si="6"/>
        <v>6.1806563389663588E-2</v>
      </c>
      <c r="Q27" s="105"/>
      <c r="R27" s="105"/>
      <c r="S27" s="105"/>
      <c r="T27" s="105"/>
      <c r="U27" s="105"/>
      <c r="V27" s="105"/>
      <c r="W27" s="124">
        <v>222600.44</v>
      </c>
      <c r="X27" s="124">
        <v>224269.32</v>
      </c>
      <c r="Y27" s="124">
        <v>205184.84</v>
      </c>
      <c r="Z27" s="124">
        <v>217876.24000000002</v>
      </c>
      <c r="AA27" s="124">
        <v>198119.24000000002</v>
      </c>
      <c r="AB27" s="124">
        <v>227264.84</v>
      </c>
      <c r="AC27" s="304">
        <f>AC15/AC26</f>
        <v>5.7757901792217493E-2</v>
      </c>
      <c r="AF27" s="304">
        <f>AF15/AF26</f>
        <v>5.9631666627211297E-2</v>
      </c>
    </row>
    <row r="28" spans="3:35">
      <c r="P28" s="258"/>
      <c r="Q28" s="304">
        <f>Q10/'2025 Summay'!K16</f>
        <v>3.1009000527661323E-2</v>
      </c>
      <c r="R28" s="304">
        <f>R10/'2025 Summay'!L16</f>
        <v>2.7111801162855453E-2</v>
      </c>
      <c r="S28" s="304">
        <f>S10/'2025 Summay'!M16</f>
        <v>5.1119534458848703E-2</v>
      </c>
      <c r="T28" s="304">
        <f>T10/'2025 Summay'!N16</f>
        <v>4.7109490912910459E-2</v>
      </c>
      <c r="U28" s="304">
        <f>U10/'2025 Summay'!O16</f>
        <v>5.7329039290062854E-2</v>
      </c>
      <c r="V28" s="304">
        <f>V10/'2025 Summay'!P16</f>
        <v>4.7538770876605005E-2</v>
      </c>
      <c r="W28" s="124">
        <v>2.9919895857469063E-2</v>
      </c>
      <c r="X28" s="124">
        <v>3.9578235362466269E-2</v>
      </c>
      <c r="Y28" s="124">
        <v>6.5116859474464939E-2</v>
      </c>
      <c r="Z28" s="124">
        <v>5.1034529720353973E-2</v>
      </c>
      <c r="AA28" s="124">
        <v>5.0980111947751636E-2</v>
      </c>
      <c r="AB28" s="124">
        <v>4.1469221051113322E-2</v>
      </c>
      <c r="AC28" s="258"/>
      <c r="AD28" s="307"/>
    </row>
    <row r="29" spans="3:35">
      <c r="P29" s="258"/>
      <c r="Q29" s="304">
        <f>Q11/'2025 Summay'!K16</f>
        <v>1.145775046731742E-2</v>
      </c>
      <c r="R29" s="304">
        <f>R11/'2025 Summay'!L16</f>
        <v>1.0621807355112853E-2</v>
      </c>
      <c r="S29" s="304">
        <f>S11/'2025 Summay'!M16</f>
        <v>1.8218969273728128E-2</v>
      </c>
      <c r="T29" s="304">
        <f>T11/'2025 Summay'!N16</f>
        <v>1.3161471351809912E-2</v>
      </c>
      <c r="U29" s="304">
        <f>U11/'2025 Summay'!O16</f>
        <v>1.3675501525077507E-2</v>
      </c>
      <c r="V29" s="304">
        <f>V11/'2025 Summay'!P16</f>
        <v>1.025581797245436E-2</v>
      </c>
      <c r="W29" s="124">
        <v>7.6152309723018438E-3</v>
      </c>
      <c r="X29" s="124">
        <v>1.0028040950238746E-2</v>
      </c>
      <c r="Y29" s="124">
        <v>1.5774787688124303E-2</v>
      </c>
      <c r="Z29" s="124">
        <v>1.5796874867081482E-2</v>
      </c>
      <c r="AA29" s="124">
        <v>1.5575623356221079E-2</v>
      </c>
      <c r="AB29" s="124">
        <v>1.3889343915208184E-2</v>
      </c>
      <c r="AC29" s="258"/>
      <c r="AD29" s="307"/>
    </row>
    <row r="30" spans="3:35">
      <c r="P30" s="258"/>
      <c r="Q30" s="304"/>
      <c r="R30" s="304"/>
      <c r="S30" s="304"/>
      <c r="T30" s="304"/>
      <c r="U30" s="304"/>
      <c r="V30" s="304"/>
      <c r="W30" s="124"/>
      <c r="X30" s="124"/>
      <c r="Y30" s="124"/>
      <c r="Z30" s="124"/>
      <c r="AA30" s="124"/>
      <c r="AB30" s="124"/>
      <c r="AD30" s="307"/>
    </row>
    <row r="31" spans="3:35"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44">
        <v>1868634.5799999982</v>
      </c>
      <c r="Q31" s="304">
        <f>Q13/'2025 Summay'!K16</f>
        <v>6.8827964160445799E-3</v>
      </c>
      <c r="R31" s="304">
        <f>R13/'2025 Summay'!L16</f>
        <v>5.2846372020979521E-3</v>
      </c>
      <c r="S31" s="304">
        <f>S13/'2025 Summay'!M16</f>
        <v>1.0068154749555901E-2</v>
      </c>
      <c r="T31" s="304">
        <f>T13/'2025 Summay'!N16</f>
        <v>9.006814598126486E-3</v>
      </c>
      <c r="U31" s="304">
        <f>U13/'2025 Summay'!O16</f>
        <v>1.1196996889671549E-2</v>
      </c>
      <c r="V31" s="304">
        <f>V13/'2025 Summay'!P16</f>
        <v>8.3487826085384617E-3</v>
      </c>
      <c r="W31" s="124">
        <v>5.8698318931604777E-3</v>
      </c>
      <c r="X31" s="124">
        <v>7.4223578020277299E-3</v>
      </c>
      <c r="Y31" s="124">
        <v>1.2216264851415694E-2</v>
      </c>
      <c r="Z31" s="124">
        <v>1.0438335128978508E-2</v>
      </c>
      <c r="AA31" s="124">
        <v>9.9770024751742788E-3</v>
      </c>
      <c r="AB31" s="124">
        <v>8.7941518375860683E-3</v>
      </c>
      <c r="AC31" s="258"/>
      <c r="AD31" s="307"/>
    </row>
    <row r="32" spans="3:35">
      <c r="P32" s="142">
        <f>+P31+'R&amp;M'!P3</f>
        <v>1868634.5799999982</v>
      </c>
      <c r="W32" s="124"/>
      <c r="X32" s="124"/>
      <c r="Y32" s="124"/>
      <c r="Z32" s="124"/>
      <c r="AA32" s="124"/>
      <c r="AB32" s="124"/>
    </row>
    <row r="33" spans="4:28">
      <c r="W33" s="124"/>
      <c r="X33" s="124"/>
      <c r="Y33" s="124"/>
      <c r="Z33" s="124"/>
      <c r="AA33" s="124"/>
      <c r="AB33" s="124"/>
    </row>
    <row r="34" spans="4:28"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W34" s="124">
        <v>74.67019489247312</v>
      </c>
      <c r="X34" s="124">
        <v>66.064310098006828</v>
      </c>
      <c r="Y34" s="124">
        <v>82.919033056647734</v>
      </c>
      <c r="Z34" s="124">
        <v>72.545315744472944</v>
      </c>
      <c r="AA34" s="124">
        <v>71.809641685747877</v>
      </c>
      <c r="AB34" s="124">
        <v>62.86723514490798</v>
      </c>
    </row>
    <row r="35" spans="4:28"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W35" s="124">
        <v>13.971998207885305</v>
      </c>
      <c r="X35" s="124">
        <v>14.424512718863561</v>
      </c>
      <c r="Y35" s="124">
        <v>16.900975680792193</v>
      </c>
      <c r="Z35" s="124">
        <v>15.461646512764139</v>
      </c>
      <c r="AA35" s="124">
        <v>15.343956928027724</v>
      </c>
      <c r="AB35" s="124">
        <v>15.72907334448702</v>
      </c>
    </row>
    <row r="36" spans="4:28"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W36" s="124">
        <v>12.430387544802867</v>
      </c>
      <c r="X36" s="124">
        <v>10.66903424732959</v>
      </c>
      <c r="Y36" s="124">
        <v>14.782801805737586</v>
      </c>
      <c r="Z36" s="124">
        <v>13.241846830340783</v>
      </c>
      <c r="AA36" s="124">
        <v>11.470202364007674</v>
      </c>
      <c r="AB36" s="124">
        <v>10.633439473258136</v>
      </c>
    </row>
  </sheetData>
  <phoneticPr fontId="7" type="noConversion"/>
  <dataValidations count="38">
    <dataValidation type="textLength" errorStyle="information" allowBlank="1" showInputMessage="1" showErrorMessage="1" error="XLBVal:6=228217.04_x000d__x000a_" sqref="AB13">
      <formula1>0</formula1>
      <formula2>300</formula2>
    </dataValidation>
    <dataValidation type="textLength" errorStyle="information" allowBlank="1" showInputMessage="1" showErrorMessage="1" error="XLBVal:6=378702.17_x000d__x000a_" sqref="AB11">
      <formula1>0</formula1>
      <formula2>300</formula2>
    </dataValidation>
    <dataValidation type="textLength" errorStyle="information" allowBlank="1" showInputMessage="1" showErrorMessage="1" error="XLBVal:6=825674.97_x000d__x000a_" sqref="AB10">
      <formula1>0</formula1>
      <formula2>300</formula2>
    </dataValidation>
    <dataValidation type="textLength" errorStyle="information" allowBlank="1" showInputMessage="1" showErrorMessage="1" error="XLBVal:6=237352.51_x000d__x000a_" sqref="AA13">
      <formula1>0</formula1>
      <formula2>300</formula2>
    </dataValidation>
    <dataValidation type="textLength" errorStyle="information" allowBlank="1" showInputMessage="1" showErrorMessage="1" error="XLBVal:6=193653.91_x000d__x000a_" sqref="Z13">
      <formula1>0</formula1>
      <formula2>300</formula2>
    </dataValidation>
    <dataValidation type="textLength" errorStyle="information" allowBlank="1" showInputMessage="1" showErrorMessage="1" error="XLBVal:6=365498.33_x000d__x000a_" sqref="AA11">
      <formula1>0</formula1>
      <formula2>300</formula2>
    </dataValidation>
    <dataValidation type="textLength" errorStyle="information" allowBlank="1" showInputMessage="1" showErrorMessage="1" error="XLBVal:6=233391.89_x000d__x000a_" sqref="Z11">
      <formula1>0</formula1>
      <formula2>300</formula2>
    </dataValidation>
    <dataValidation type="textLength" errorStyle="information" allowBlank="1" showInputMessage="1" showErrorMessage="1" error="XLBVal:6=897435.77_x000d__x000a_" sqref="AA10">
      <formula1>0</formula1>
      <formula2>300</formula2>
    </dataValidation>
    <dataValidation type="textLength" errorStyle="information" allowBlank="1" showInputMessage="1" showErrorMessage="1" error="XLBVal:6=727511.32_x000d__x000a_" sqref="Z10">
      <formula1>0</formula1>
      <formula2>300</formula2>
    </dataValidation>
    <dataValidation type="textLength" errorStyle="information" allowBlank="1" showInputMessage="1" showErrorMessage="1" error="XLBVal:6=192297.35_x000d__x000a_" sqref="Y13">
      <formula1>0</formula1>
      <formula2>300</formula2>
    </dataValidation>
    <dataValidation type="textLength" errorStyle="information" allowBlank="1" showInputMessage="1" showErrorMessage="1" error="XLBVal:6=85983.2_x000d__x000a_" sqref="Y11">
      <formula1>0</formula1>
      <formula2>300</formula2>
    </dataValidation>
    <dataValidation type="textLength" errorStyle="information" allowBlank="1" showInputMessage="1" showErrorMessage="1" error="XLBVal:6=613553_x000d__x000a_" sqref="Y10">
      <formula1>0</formula1>
      <formula2>300</formula2>
    </dataValidation>
    <dataValidation type="textLength" errorStyle="information" allowBlank="1" showInputMessage="1" showErrorMessage="1" error="XLBVal:6=187620.13_x000d__x000a_" sqref="X13">
      <formula1>0</formula1>
      <formula2>300</formula2>
    </dataValidation>
    <dataValidation type="textLength" errorStyle="information" allowBlank="1" showInputMessage="1" showErrorMessage="1" error="XLBVal:6=240138.22_x000d__x000a_" sqref="X11">
      <formula1>0</formula1>
      <formula2>300</formula2>
    </dataValidation>
    <dataValidation type="textLength" errorStyle="information" allowBlank="1" showInputMessage="1" showErrorMessage="1" error="XLBVal:6=913594.62_x000d__x000a_" sqref="X10">
      <formula1>0</formula1>
      <formula2>300</formula2>
    </dataValidation>
    <dataValidation type="textLength" errorStyle="information" allowBlank="1" showInputMessage="1" showErrorMessage="1" error="XLBVal:6=267233.07_x000d__x000a_" sqref="W13">
      <formula1>0</formula1>
      <formula2>300</formula2>
    </dataValidation>
    <dataValidation type="textLength" errorStyle="information" allowBlank="1" showInputMessage="1" showErrorMessage="1" error="XLBVal:6=307182.07_x000d__x000a_" sqref="W11">
      <formula1>0</formula1>
      <formula2>300</formula2>
    </dataValidation>
    <dataValidation type="textLength" errorStyle="information" allowBlank="1" showInputMessage="1" showErrorMessage="1" error="XLBVal:6=1158824.96_x000d__x000a_" sqref="W10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230923.57_x000d__x000a_" sqref="V13">
      <formula1>0</formula1>
      <formula2>300</formula2>
    </dataValidation>
    <dataValidation type="textLength" errorStyle="information" allowBlank="1" showInputMessage="1" showErrorMessage="1" error="XLBVal:6=245623.93_x000d__x000a_" sqref="U13">
      <formula1>0</formula1>
      <formula2>300</formula2>
    </dataValidation>
    <dataValidation type="textLength" errorStyle="information" allowBlank="1" showInputMessage="1" showErrorMessage="1" error="XLBVal:6=228605.51_x000d__x000a_" sqref="T13">
      <formula1>0</formula1>
      <formula2>300</formula2>
    </dataValidation>
    <dataValidation type="textLength" errorStyle="information" allowBlank="1" showInputMessage="1" showErrorMessage="1" error="XLBVal:6=202129.05_x000d__x000a_" sqref="S13">
      <formula1>0</formula1>
      <formula2>300</formula2>
    </dataValidation>
    <dataValidation type="textLength" errorStyle="information" allowBlank="1" showInputMessage="1" showErrorMessage="1" error="XLBVal:6=184007.31_x000d__x000a_" sqref="R13">
      <formula1>0</formula1>
      <formula2>300</formula2>
    </dataValidation>
    <dataValidation type="textLength" errorStyle="information" allowBlank="1" showInputMessage="1" showErrorMessage="1" error="XLBVal:6=212721_x000d__x000a_" sqref="Q13">
      <formula1>0</formula1>
      <formula2>300</formula2>
    </dataValidation>
    <dataValidation type="textLength" errorStyle="information" allowBlank="1" showInputMessage="1" showErrorMessage="1" error="XLBVal:6=283671.31_x000d__x000a_" sqref="V11">
      <formula1>0</formula1>
      <formula2>300</formula2>
    </dataValidation>
    <dataValidation type="textLength" errorStyle="information" allowBlank="1" showInputMessage="1" showErrorMessage="1" error="XLBVal:6=299993.87_x000d__x000a_" sqref="U11">
      <formula1>0</formula1>
      <formula2>300</formula2>
    </dataValidation>
    <dataValidation type="textLength" errorStyle="information" allowBlank="1" showInputMessage="1" showErrorMessage="1" error="XLBVal:6=334056.49_x000d__x000a_" sqref="T11">
      <formula1>0</formula1>
      <formula2>300</formula2>
    </dataValidation>
    <dataValidation type="textLength" errorStyle="information" allowBlank="1" showInputMessage="1" showErrorMessage="1" error="XLBVal:6=365765.43_x000d__x000a_" sqref="S11">
      <formula1>0</formula1>
      <formula2>300</formula2>
    </dataValidation>
    <dataValidation type="textLength" errorStyle="information" allowBlank="1" showInputMessage="1" showErrorMessage="1" error="XLBVal:6=369843.78_x000d__x000a_" sqref="R11">
      <formula1>0</formula1>
      <formula2>300</formula2>
    </dataValidation>
    <dataValidation type="textLength" errorStyle="information" allowBlank="1" showInputMessage="1" showErrorMessage="1" error="XLBVal:6=354115.39_x000d__x000a_" sqref="Q11">
      <formula1>0</formula1>
      <formula2>300</formula2>
    </dataValidation>
    <dataValidation type="textLength" errorStyle="information" allowBlank="1" showInputMessage="1" showErrorMessage="1" error="XLBVal:6=1314901.01_x000d__x000a_" sqref="V10">
      <formula1>0</formula1>
      <formula2>300</formula2>
    </dataValidation>
    <dataValidation type="textLength" errorStyle="information" allowBlank="1" showInputMessage="1" showErrorMessage="1" error="XLBVal:6=1257603.63_x000d__x000a_" sqref="U10">
      <formula1>0</formula1>
      <formula2>300</formula2>
    </dataValidation>
    <dataValidation type="textLength" errorStyle="information" allowBlank="1" showInputMessage="1" showErrorMessage="1" error="XLBVal:6=1195704.55_x000d__x000a_" sqref="T10">
      <formula1>0</formula1>
      <formula2>300</formula2>
    </dataValidation>
    <dataValidation type="textLength" errorStyle="information" allowBlank="1" showInputMessage="1" showErrorMessage="1" error="XLBVal:6=1026279.71_x000d__x000a_" sqref="S10">
      <formula1>0</formula1>
      <formula2>300</formula2>
    </dataValidation>
    <dataValidation type="textLength" errorStyle="information" allowBlank="1" showInputMessage="1" showErrorMessage="1" error="XLBVal:6=944013.64_x000d__x000a_" sqref="R10">
      <formula1>0</formula1>
      <formula2>300</formula2>
    </dataValidation>
    <dataValidation type="textLength" errorStyle="information" allowBlank="1" showInputMessage="1" showErrorMessage="1" error="XLBVal:6=958370_x000d__x000a_" sqref="Q10">
      <formula1>0</formula1>
      <formula2>300</formula2>
    </dataValidation>
    <dataValidation type="textLength" errorStyle="information" allowBlank="1" showInputMessage="1" showErrorMessage="1" error="XLBVal:2=0_x000d__x000a_" sqref="Q14:AB14 Q12:AB12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7"/>
  <dimension ref="A1:AH269"/>
  <sheetViews>
    <sheetView view="pageBreakPreview" zoomScaleNormal="100" zoomScaleSheetLayoutView="100" workbookViewId="0">
      <pane xSplit="4" ySplit="7" topLeftCell="L8" activePane="bottomRight" state="frozen"/>
      <selection activeCell="AP43" sqref="AP43"/>
      <selection pane="topRight" activeCell="AP43" sqref="AP43"/>
      <selection pane="bottomLeft" activeCell="AP43" sqref="AP43"/>
      <selection pane="bottomRight" activeCell="P21" sqref="P21"/>
    </sheetView>
  </sheetViews>
  <sheetFormatPr defaultColWidth="9" defaultRowHeight="14.25" outlineLevelCol="2"/>
  <cols>
    <col min="1" max="1" width="13" style="105" hidden="1" customWidth="1" outlineLevel="1"/>
    <col min="2" max="2" width="9" style="105" hidden="1" customWidth="1" outlineLevel="1"/>
    <col min="3" max="3" width="40.375" style="105" customWidth="1" collapsed="1"/>
    <col min="4" max="15" width="15.25" style="105" customWidth="1"/>
    <col min="16" max="16" width="18.25" style="109" bestFit="1" customWidth="1"/>
    <col min="17" max="23" width="16.375" style="105" hidden="1" customWidth="1" outlineLevel="1"/>
    <col min="24" max="28" width="16.375" style="105" hidden="1" customWidth="1" outlineLevel="2"/>
    <col min="29" max="29" width="18.25" style="109" bestFit="1" customWidth="1" collapsed="1"/>
    <col min="30" max="30" width="19.5" style="105" bestFit="1" customWidth="1"/>
    <col min="31" max="31" width="9" style="105" customWidth="1"/>
    <col min="32" max="32" width="18.25" style="109" hidden="1" customWidth="1"/>
    <col min="33" max="33" width="18.25" style="105" hidden="1" customWidth="1"/>
    <col min="34" max="34" width="13.25" style="105" bestFit="1" customWidth="1"/>
    <col min="35" max="16384" width="9" style="105"/>
  </cols>
  <sheetData>
    <row r="1" spans="1:34" s="100" customFormat="1">
      <c r="C1" s="100" t="s">
        <v>680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3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F1" s="103"/>
    </row>
    <row r="2" spans="1:34" s="100" customFormat="1">
      <c r="C2" s="100" t="s">
        <v>681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3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F2" s="103"/>
    </row>
    <row r="3" spans="1:34">
      <c r="C3" s="105" t="s">
        <v>1030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P3" s="209"/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09"/>
    </row>
    <row r="4" spans="1:34" s="100" customFormat="1" ht="18">
      <c r="C4" s="18">
        <f>+'2025 Summay'!$D$7</f>
        <v>2025</v>
      </c>
      <c r="P4" s="172"/>
      <c r="Q4" s="101"/>
      <c r="R4" s="101"/>
      <c r="S4" s="101"/>
      <c r="T4" s="101"/>
      <c r="U4" s="101"/>
      <c r="V4" s="101"/>
      <c r="W4" s="101"/>
      <c r="X4" s="183"/>
      <c r="Y4" s="101"/>
      <c r="Z4" s="101"/>
      <c r="AA4" s="101"/>
      <c r="AB4" s="101"/>
      <c r="AC4" s="172"/>
      <c r="AF4" s="103"/>
    </row>
    <row r="5" spans="1:34" s="100" customFormat="1">
      <c r="C5" s="100" t="s">
        <v>154</v>
      </c>
      <c r="P5" s="103"/>
      <c r="Q5" s="101"/>
      <c r="R5" s="101"/>
      <c r="S5" s="101"/>
      <c r="T5" s="101"/>
      <c r="U5" s="101"/>
      <c r="V5" s="101"/>
      <c r="W5" s="101"/>
      <c r="X5" s="183"/>
      <c r="Y5" s="101"/>
      <c r="Z5" s="101"/>
      <c r="AA5" s="101"/>
      <c r="AB5" s="101"/>
      <c r="AC5" s="172"/>
      <c r="AF5" s="103"/>
    </row>
    <row r="6" spans="1:34" s="100" customFormat="1">
      <c r="C6" s="100" t="s">
        <v>154</v>
      </c>
      <c r="D6" s="100">
        <f>'2025 Summay'!E9</f>
        <v>1</v>
      </c>
      <c r="E6" s="100">
        <f>'2025 Summay'!F9</f>
        <v>2</v>
      </c>
      <c r="F6" s="100">
        <f>'2025 Summay'!G9</f>
        <v>3</v>
      </c>
      <c r="G6" s="100">
        <f>'2025 Summay'!H9</f>
        <v>4</v>
      </c>
      <c r="H6" s="100">
        <f>'2025 Summay'!I9</f>
        <v>5</v>
      </c>
      <c r="I6" s="100">
        <f>'2025 Summay'!J9</f>
        <v>6</v>
      </c>
      <c r="J6" s="100">
        <f>'2025 Summay'!K9</f>
        <v>7</v>
      </c>
      <c r="K6" s="100">
        <f>'2025 Summay'!L9</f>
        <v>8</v>
      </c>
      <c r="L6" s="100">
        <f>'2025 Summay'!M9</f>
        <v>9</v>
      </c>
      <c r="M6" s="100">
        <f>'2025 Summay'!N9</f>
        <v>10</v>
      </c>
      <c r="N6" s="100">
        <f>'2025 Summay'!O9</f>
        <v>11</v>
      </c>
      <c r="O6" s="100">
        <f>'2025 Summay'!P9</f>
        <v>12</v>
      </c>
      <c r="P6" s="280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 t="s">
        <v>6</v>
      </c>
      <c r="AE6" s="100" t="s">
        <v>156</v>
      </c>
      <c r="AF6" s="157">
        <v>2019</v>
      </c>
    </row>
    <row r="7" spans="1:34">
      <c r="C7" s="105" t="s">
        <v>154</v>
      </c>
      <c r="D7" s="105" t="str">
        <f>'2025 Summay'!E10</f>
        <v>Budget</v>
      </c>
      <c r="E7" s="105" t="str">
        <f>'2025 Summay'!F10</f>
        <v>Budget</v>
      </c>
      <c r="F7" s="105" t="str">
        <f>'2025 Summay'!G10</f>
        <v>Budget</v>
      </c>
      <c r="G7" s="105" t="str">
        <f>'2025 Summay'!H10</f>
        <v>Budget</v>
      </c>
      <c r="H7" s="105" t="str">
        <f>'2025 Summay'!I10</f>
        <v>Budget</v>
      </c>
      <c r="I7" s="105" t="str">
        <f>'2025 Summay'!J10</f>
        <v>Budget</v>
      </c>
      <c r="J7" s="105" t="str">
        <f>'2025 Summay'!K10</f>
        <v>Budget</v>
      </c>
      <c r="K7" s="105" t="str">
        <f>'2025 Summay'!L10</f>
        <v>Budget</v>
      </c>
      <c r="L7" s="105" t="str">
        <f>'2025 Summay'!M10</f>
        <v>Budget</v>
      </c>
      <c r="M7" s="105" t="str">
        <f>'2025 Summay'!N10</f>
        <v>Budget</v>
      </c>
      <c r="N7" s="105" t="str">
        <f>'2025 Summay'!O10</f>
        <v>Budget</v>
      </c>
      <c r="O7" s="105" t="str">
        <f>'2025 Summay'!P10</f>
        <v>Budget</v>
      </c>
      <c r="P7" s="109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189"/>
      <c r="AF7" s="335" t="s">
        <v>12</v>
      </c>
    </row>
    <row r="8" spans="1:34">
      <c r="C8" s="105" t="s">
        <v>154</v>
      </c>
      <c r="AF8" s="129"/>
    </row>
    <row r="9" spans="1:34" s="109" customFormat="1">
      <c r="C9" s="109" t="s">
        <v>289</v>
      </c>
      <c r="D9" s="345">
        <f t="shared" ref="D9:O9" si="0">D57</f>
        <v>119474.04000000001</v>
      </c>
      <c r="E9" s="345">
        <f t="shared" si="0"/>
        <v>107318.80000000002</v>
      </c>
      <c r="F9" s="345">
        <f t="shared" si="0"/>
        <v>109253.1</v>
      </c>
      <c r="G9" s="345">
        <f t="shared" si="0"/>
        <v>112489.51000000001</v>
      </c>
      <c r="H9" s="345">
        <f t="shared" si="0"/>
        <v>118370.05000000002</v>
      </c>
      <c r="I9" s="345">
        <f t="shared" si="0"/>
        <v>109253.1</v>
      </c>
      <c r="J9" s="345">
        <f t="shared" si="0"/>
        <v>109745.07</v>
      </c>
      <c r="K9" s="345">
        <f t="shared" si="0"/>
        <v>109655.51000000001</v>
      </c>
      <c r="L9" s="345">
        <f t="shared" si="0"/>
        <v>109655.51000000001</v>
      </c>
      <c r="M9" s="345">
        <f t="shared" si="0"/>
        <v>122404.13</v>
      </c>
      <c r="N9" s="345">
        <f t="shared" si="0"/>
        <v>109745.07</v>
      </c>
      <c r="O9" s="345">
        <f t="shared" si="0"/>
        <v>109655.51000000001</v>
      </c>
      <c r="P9" s="129">
        <f>SUM(D9:O9)</f>
        <v>1347019.4000000004</v>
      </c>
      <c r="Q9" s="117">
        <f t="shared" ref="Q9:AB9" si="1">Q57</f>
        <v>117718.62</v>
      </c>
      <c r="R9" s="117">
        <f t="shared" si="1"/>
        <v>125384.68</v>
      </c>
      <c r="S9" s="117">
        <f t="shared" si="1"/>
        <v>116692.34</v>
      </c>
      <c r="T9" s="117">
        <f t="shared" si="1"/>
        <v>115596.79999999999</v>
      </c>
      <c r="U9" s="117">
        <f t="shared" si="1"/>
        <v>114842.02</v>
      </c>
      <c r="V9" s="117">
        <f t="shared" si="1"/>
        <v>116405.11</v>
      </c>
      <c r="W9" s="117">
        <f t="shared" si="1"/>
        <v>110303.44</v>
      </c>
      <c r="X9" s="117">
        <f t="shared" si="1"/>
        <v>110386.60999999999</v>
      </c>
      <c r="Y9" s="117">
        <f t="shared" si="1"/>
        <v>111485.67</v>
      </c>
      <c r="Z9" s="117">
        <f t="shared" si="1"/>
        <v>118054.67</v>
      </c>
      <c r="AA9" s="117">
        <f t="shared" si="1"/>
        <v>108200.67</v>
      </c>
      <c r="AB9" s="117">
        <f t="shared" si="1"/>
        <v>108200.67</v>
      </c>
      <c r="AC9" s="127">
        <f>SUM(Q9:AB9)</f>
        <v>1373271.2999999998</v>
      </c>
      <c r="AD9" s="117">
        <f>AC9-P9</f>
        <v>26251.899999999441</v>
      </c>
      <c r="AE9" s="132">
        <f>AD9/AC9</f>
        <v>1.9116324647576517E-2</v>
      </c>
      <c r="AF9" s="129">
        <v>1523163.69</v>
      </c>
      <c r="AG9" s="129">
        <f t="shared" ref="AG9:AG59" si="2">AF9-P9</f>
        <v>176144.28999999957</v>
      </c>
      <c r="AH9" s="129"/>
    </row>
    <row r="10" spans="1:34">
      <c r="C10" s="105" t="s">
        <v>154</v>
      </c>
      <c r="D10" s="346"/>
      <c r="E10" s="346"/>
      <c r="F10" s="346"/>
      <c r="G10" s="346"/>
      <c r="H10" s="346"/>
      <c r="I10" s="346"/>
      <c r="J10" s="346"/>
      <c r="K10" s="346"/>
      <c r="L10" s="346"/>
      <c r="M10" s="346"/>
      <c r="N10" s="346"/>
      <c r="O10" s="346"/>
      <c r="P10" s="129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7"/>
      <c r="AD10" s="116"/>
      <c r="AF10" s="129"/>
      <c r="AG10" s="129">
        <f t="shared" si="2"/>
        <v>0</v>
      </c>
      <c r="AH10" s="129"/>
    </row>
    <row r="11" spans="1:34">
      <c r="C11" s="105" t="s">
        <v>502</v>
      </c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46"/>
      <c r="P11" s="129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7"/>
      <c r="AD11" s="116"/>
      <c r="AF11" s="129"/>
      <c r="AG11" s="129">
        <f t="shared" si="2"/>
        <v>0</v>
      </c>
      <c r="AH11" s="129"/>
    </row>
    <row r="12" spans="1:34">
      <c r="A12" s="105" t="s">
        <v>687</v>
      </c>
      <c r="B12" s="105" t="s">
        <v>1031</v>
      </c>
      <c r="C12" s="105" t="s">
        <v>144</v>
      </c>
      <c r="D12" s="212">
        <f>+D62+D63+D64</f>
        <v>6897.619999999999</v>
      </c>
      <c r="E12" s="212">
        <f t="shared" ref="E12:O12" si="3">+E62+E63+E64</f>
        <v>2801.0699999999997</v>
      </c>
      <c r="F12" s="212">
        <f t="shared" si="3"/>
        <v>3296.0699999999997</v>
      </c>
      <c r="G12" s="212">
        <f t="shared" si="3"/>
        <v>4289.18</v>
      </c>
      <c r="H12" s="212">
        <f t="shared" si="3"/>
        <v>5682.2799999999988</v>
      </c>
      <c r="I12" s="212">
        <f t="shared" si="3"/>
        <v>3296.0699999999997</v>
      </c>
      <c r="J12" s="212">
        <f t="shared" si="3"/>
        <v>3615.2000000000007</v>
      </c>
      <c r="K12" s="212">
        <f t="shared" si="3"/>
        <v>3344.9399999999987</v>
      </c>
      <c r="L12" s="212">
        <f t="shared" si="3"/>
        <v>3344.9399999999987</v>
      </c>
      <c r="M12" s="212">
        <f t="shared" si="3"/>
        <v>6420.7999999999993</v>
      </c>
      <c r="N12" s="212">
        <f t="shared" si="3"/>
        <v>3615.2000000000007</v>
      </c>
      <c r="O12" s="212">
        <f t="shared" si="3"/>
        <v>3344.9399999999987</v>
      </c>
      <c r="P12" s="129">
        <f>SUM(D12:O12)</f>
        <v>49948.31</v>
      </c>
      <c r="Q12" s="141">
        <v>26213.54</v>
      </c>
      <c r="R12" s="141">
        <v>35719.699999999997</v>
      </c>
      <c r="S12" s="141">
        <v>25425.54</v>
      </c>
      <c r="T12" s="141">
        <v>26665.08</v>
      </c>
      <c r="U12" s="141">
        <v>25604.53</v>
      </c>
      <c r="V12" s="141">
        <v>20698.59</v>
      </c>
      <c r="W12" s="141">
        <v>17777.07</v>
      </c>
      <c r="X12" s="141">
        <v>17396.45</v>
      </c>
      <c r="Y12" s="141">
        <v>40000</v>
      </c>
      <c r="Z12" s="141">
        <v>40000</v>
      </c>
      <c r="AA12" s="141">
        <v>40000</v>
      </c>
      <c r="AB12" s="141">
        <v>40000</v>
      </c>
      <c r="AC12" s="117">
        <f>SUM(Q12:AB12)</f>
        <v>355500.5</v>
      </c>
      <c r="AD12" s="116">
        <f>AC12-P12</f>
        <v>305552.19</v>
      </c>
      <c r="AE12" s="347">
        <f>AD12/AC12</f>
        <v>0.85949862236480679</v>
      </c>
      <c r="AF12" s="129">
        <v>0</v>
      </c>
      <c r="AG12" s="129">
        <f>AF12-P12</f>
        <v>-49948.31</v>
      </c>
      <c r="AH12" s="129"/>
    </row>
    <row r="13" spans="1:34">
      <c r="A13" s="105" t="s">
        <v>835</v>
      </c>
      <c r="B13" s="105" t="s">
        <v>1031</v>
      </c>
      <c r="C13" s="105" t="s">
        <v>305</v>
      </c>
      <c r="D13" s="124">
        <v>2300</v>
      </c>
      <c r="E13" s="124">
        <v>2300</v>
      </c>
      <c r="F13" s="124">
        <v>2300</v>
      </c>
      <c r="G13" s="124">
        <v>2300</v>
      </c>
      <c r="H13" s="124">
        <v>2300</v>
      </c>
      <c r="I13" s="124">
        <v>2300</v>
      </c>
      <c r="J13" s="124">
        <v>2300</v>
      </c>
      <c r="K13" s="124">
        <v>2300</v>
      </c>
      <c r="L13" s="124">
        <v>2300</v>
      </c>
      <c r="M13" s="124">
        <v>2300</v>
      </c>
      <c r="N13" s="124">
        <v>2300</v>
      </c>
      <c r="O13" s="124">
        <v>2300</v>
      </c>
      <c r="P13" s="129">
        <f t="shared" ref="P13:P20" si="4">SUM(D13:O13)</f>
        <v>27600</v>
      </c>
      <c r="Q13" s="141">
        <v>2152.73</v>
      </c>
      <c r="R13" s="141">
        <v>2144.9499999999998</v>
      </c>
      <c r="S13" s="141">
        <v>2144</v>
      </c>
      <c r="T13" s="141">
        <v>1286.4000000000001</v>
      </c>
      <c r="U13" s="141">
        <v>2144</v>
      </c>
      <c r="V13" s="141">
        <v>2144</v>
      </c>
      <c r="W13" s="141">
        <v>1293.1199999999999</v>
      </c>
      <c r="X13" s="141">
        <v>1109.07</v>
      </c>
      <c r="Y13" s="141">
        <v>2500</v>
      </c>
      <c r="Z13" s="141">
        <v>2500</v>
      </c>
      <c r="AA13" s="141">
        <v>2500</v>
      </c>
      <c r="AB13" s="141">
        <v>2500</v>
      </c>
      <c r="AC13" s="117">
        <f t="shared" ref="AC13:AC22" si="5">SUM(Q13:AB13)</f>
        <v>24418.27</v>
      </c>
      <c r="AD13" s="116">
        <f t="shared" ref="AD13:AD21" si="6">AC13-P13</f>
        <v>-3181.7299999999996</v>
      </c>
      <c r="AE13" s="347">
        <f>AD13/AC13</f>
        <v>-0.13030120479460663</v>
      </c>
      <c r="AF13" s="129">
        <v>-17946.14</v>
      </c>
      <c r="AG13" s="129">
        <f t="shared" si="2"/>
        <v>-45546.14</v>
      </c>
      <c r="AH13" s="129"/>
    </row>
    <row r="14" spans="1:34">
      <c r="A14" s="105" t="s">
        <v>689</v>
      </c>
      <c r="B14" s="105" t="s">
        <v>1031</v>
      </c>
      <c r="C14" s="105" t="s">
        <v>202</v>
      </c>
      <c r="D14" s="124"/>
      <c r="E14" s="124"/>
      <c r="F14" s="124"/>
      <c r="G14" s="124"/>
      <c r="H14" s="124"/>
      <c r="I14" s="124"/>
      <c r="J14" s="346"/>
      <c r="K14" s="346"/>
      <c r="L14" s="346"/>
      <c r="M14" s="346"/>
      <c r="N14" s="346"/>
      <c r="O14" s="346"/>
      <c r="P14" s="129">
        <f t="shared" si="4"/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117">
        <f t="shared" si="5"/>
        <v>0</v>
      </c>
      <c r="AD14" s="116">
        <f t="shared" si="6"/>
        <v>0</v>
      </c>
      <c r="AE14" s="347" t="e">
        <f t="shared" ref="AE14:AE22" si="7">AD14/AC14</f>
        <v>#DIV/0!</v>
      </c>
      <c r="AF14" s="129">
        <v>0</v>
      </c>
      <c r="AG14" s="129">
        <f t="shared" si="2"/>
        <v>0</v>
      </c>
      <c r="AH14" s="129"/>
    </row>
    <row r="15" spans="1:34">
      <c r="A15" s="105" t="s">
        <v>692</v>
      </c>
      <c r="B15" s="105" t="s">
        <v>1031</v>
      </c>
      <c r="C15" s="105" t="s">
        <v>204</v>
      </c>
      <c r="D15" s="123">
        <v>1000</v>
      </c>
      <c r="E15" s="123">
        <v>1000</v>
      </c>
      <c r="F15" s="123">
        <v>1000</v>
      </c>
      <c r="G15" s="123">
        <v>1000</v>
      </c>
      <c r="H15" s="123">
        <v>1000</v>
      </c>
      <c r="I15" s="123">
        <v>1000</v>
      </c>
      <c r="J15" s="123">
        <v>1000</v>
      </c>
      <c r="K15" s="123">
        <v>1000</v>
      </c>
      <c r="L15" s="123">
        <v>1000</v>
      </c>
      <c r="M15" s="123">
        <v>1000</v>
      </c>
      <c r="N15" s="123">
        <v>1000</v>
      </c>
      <c r="O15" s="123">
        <v>1000</v>
      </c>
      <c r="P15" s="133">
        <f t="shared" si="4"/>
        <v>12000</v>
      </c>
      <c r="Q15" s="231">
        <v>4007</v>
      </c>
      <c r="R15" s="231">
        <v>4007</v>
      </c>
      <c r="S15" s="231">
        <v>4007</v>
      </c>
      <c r="T15" s="231">
        <v>0</v>
      </c>
      <c r="U15" s="231">
        <v>0</v>
      </c>
      <c r="V15" s="231">
        <v>0</v>
      </c>
      <c r="W15" s="231">
        <v>0</v>
      </c>
      <c r="X15" s="231">
        <v>0</v>
      </c>
      <c r="Y15" s="231">
        <v>0</v>
      </c>
      <c r="Z15" s="231">
        <v>0</v>
      </c>
      <c r="AA15" s="231">
        <v>0</v>
      </c>
      <c r="AB15" s="231">
        <v>0</v>
      </c>
      <c r="AC15" s="135">
        <f t="shared" si="5"/>
        <v>12021</v>
      </c>
      <c r="AD15" s="140">
        <f t="shared" si="6"/>
        <v>21</v>
      </c>
      <c r="AE15" s="348">
        <f t="shared" si="7"/>
        <v>1.7469428500124782E-3</v>
      </c>
      <c r="AF15" s="133">
        <v>36170.15</v>
      </c>
      <c r="AG15" s="129">
        <f t="shared" si="2"/>
        <v>24170.15</v>
      </c>
      <c r="AH15" s="129"/>
    </row>
    <row r="16" spans="1:34">
      <c r="A16" s="105" t="s">
        <v>1032</v>
      </c>
      <c r="B16" s="105" t="s">
        <v>1031</v>
      </c>
      <c r="C16" s="105" t="s">
        <v>1033</v>
      </c>
      <c r="D16" s="124">
        <v>800</v>
      </c>
      <c r="E16" s="124">
        <v>800</v>
      </c>
      <c r="F16" s="124">
        <v>800</v>
      </c>
      <c r="G16" s="124">
        <v>800</v>
      </c>
      <c r="H16" s="124">
        <v>800</v>
      </c>
      <c r="I16" s="124">
        <v>800</v>
      </c>
      <c r="J16" s="124">
        <v>1000</v>
      </c>
      <c r="K16" s="124">
        <v>800</v>
      </c>
      <c r="L16" s="124">
        <v>800</v>
      </c>
      <c r="M16" s="124">
        <v>800</v>
      </c>
      <c r="N16" s="124">
        <v>1000</v>
      </c>
      <c r="O16" s="124">
        <v>800</v>
      </c>
      <c r="P16" s="129">
        <f t="shared" si="4"/>
        <v>10000</v>
      </c>
      <c r="Q16" s="141">
        <v>-126</v>
      </c>
      <c r="R16" s="141">
        <v>495</v>
      </c>
      <c r="S16" s="141">
        <v>-117.33</v>
      </c>
      <c r="T16" s="141">
        <v>-140</v>
      </c>
      <c r="U16" s="141">
        <v>-142.44</v>
      </c>
      <c r="V16" s="141">
        <v>-873</v>
      </c>
      <c r="W16" s="141">
        <v>-240</v>
      </c>
      <c r="X16" s="141">
        <v>-400</v>
      </c>
      <c r="Y16" s="141">
        <v>9000</v>
      </c>
      <c r="Z16" s="141">
        <v>10000</v>
      </c>
      <c r="AA16" s="141">
        <v>10000</v>
      </c>
      <c r="AB16" s="141">
        <v>10000</v>
      </c>
      <c r="AC16" s="117">
        <f t="shared" si="5"/>
        <v>37456.229999999996</v>
      </c>
      <c r="AD16" s="116">
        <f t="shared" si="6"/>
        <v>27456.229999999996</v>
      </c>
      <c r="AE16" s="347">
        <f t="shared" si="7"/>
        <v>0.733021716280576</v>
      </c>
      <c r="AF16" s="129">
        <v>1012.8700000000003</v>
      </c>
      <c r="AG16" s="129">
        <f t="shared" si="2"/>
        <v>-8987.1299999999992</v>
      </c>
      <c r="AH16" s="129"/>
    </row>
    <row r="17" spans="1:34">
      <c r="A17" s="105" t="s">
        <v>709</v>
      </c>
      <c r="B17" s="105" t="s">
        <v>1031</v>
      </c>
      <c r="C17" s="105" t="s">
        <v>214</v>
      </c>
      <c r="D17" s="349">
        <f>Laundry!E162</f>
        <v>1899</v>
      </c>
      <c r="E17" s="349">
        <f>Laundry!F162</f>
        <v>1731</v>
      </c>
      <c r="F17" s="349">
        <f>Laundry!G162</f>
        <v>1751</v>
      </c>
      <c r="G17" s="349">
        <f>Laundry!H162</f>
        <v>1799</v>
      </c>
      <c r="H17" s="349">
        <f>Laundry!I162</f>
        <v>1850</v>
      </c>
      <c r="I17" s="349">
        <f>Laundry!J162</f>
        <v>1767</v>
      </c>
      <c r="J17" s="349">
        <f>Laundry!K162</f>
        <v>1885</v>
      </c>
      <c r="K17" s="349">
        <f>Laundry!L162</f>
        <v>1875</v>
      </c>
      <c r="L17" s="349">
        <f>Laundry!M162</f>
        <v>1810</v>
      </c>
      <c r="M17" s="349">
        <f>Laundry!N162</f>
        <v>2060</v>
      </c>
      <c r="N17" s="349">
        <f>Laundry!O162</f>
        <v>1819</v>
      </c>
      <c r="O17" s="349">
        <f>Laundry!P162</f>
        <v>1810</v>
      </c>
      <c r="P17" s="129">
        <f t="shared" si="4"/>
        <v>22056</v>
      </c>
      <c r="Q17" s="141">
        <v>2531.4</v>
      </c>
      <c r="R17" s="141">
        <v>2544.7800000000002</v>
      </c>
      <c r="S17" s="141">
        <v>2102.38</v>
      </c>
      <c r="T17" s="141">
        <v>1912.81</v>
      </c>
      <c r="U17" s="141">
        <v>634.88</v>
      </c>
      <c r="V17" s="141">
        <v>2167.48</v>
      </c>
      <c r="W17" s="141">
        <v>1725.35</v>
      </c>
      <c r="X17" s="141">
        <v>1376.11</v>
      </c>
      <c r="Y17" s="141">
        <v>2230</v>
      </c>
      <c r="Z17" s="141">
        <v>2495</v>
      </c>
      <c r="AA17" s="141">
        <v>2097</v>
      </c>
      <c r="AB17" s="141">
        <v>2144</v>
      </c>
      <c r="AC17" s="117">
        <f t="shared" si="5"/>
        <v>23961.190000000002</v>
      </c>
      <c r="AD17" s="116">
        <f t="shared" si="6"/>
        <v>1905.1900000000023</v>
      </c>
      <c r="AE17" s="347">
        <f t="shared" si="7"/>
        <v>7.9511493377415823E-2</v>
      </c>
      <c r="AF17" s="129">
        <v>22064.84</v>
      </c>
      <c r="AG17" s="129">
        <f t="shared" si="2"/>
        <v>8.8400000000001455</v>
      </c>
      <c r="AH17" s="129"/>
    </row>
    <row r="18" spans="1:34">
      <c r="A18" s="105" t="s">
        <v>696</v>
      </c>
      <c r="B18" s="105" t="s">
        <v>1031</v>
      </c>
      <c r="C18" s="105" t="s">
        <v>216</v>
      </c>
      <c r="D18" s="124">
        <v>3300</v>
      </c>
      <c r="E18" s="124">
        <v>3300</v>
      </c>
      <c r="F18" s="124">
        <v>3300</v>
      </c>
      <c r="G18" s="124">
        <v>3300</v>
      </c>
      <c r="H18" s="124">
        <v>3300</v>
      </c>
      <c r="I18" s="124">
        <v>3300</v>
      </c>
      <c r="J18" s="346">
        <v>3300</v>
      </c>
      <c r="K18" s="346">
        <v>3300</v>
      </c>
      <c r="L18" s="346">
        <v>3300</v>
      </c>
      <c r="M18" s="346">
        <v>3300</v>
      </c>
      <c r="N18" s="346">
        <v>3300</v>
      </c>
      <c r="O18" s="346">
        <v>3300</v>
      </c>
      <c r="P18" s="129">
        <f t="shared" si="4"/>
        <v>39600</v>
      </c>
      <c r="Q18" s="141">
        <v>2784.57</v>
      </c>
      <c r="R18" s="141">
        <v>3283.37</v>
      </c>
      <c r="S18" s="141">
        <v>3275.56</v>
      </c>
      <c r="T18" s="141">
        <v>3264.67</v>
      </c>
      <c r="U18" s="141">
        <v>3222.87</v>
      </c>
      <c r="V18" s="141">
        <v>3217.81</v>
      </c>
      <c r="W18" s="141">
        <v>3193.06</v>
      </c>
      <c r="X18" s="141">
        <v>3234.09</v>
      </c>
      <c r="Y18" s="141">
        <v>3600</v>
      </c>
      <c r="Z18" s="141">
        <v>3600</v>
      </c>
      <c r="AA18" s="141">
        <v>3600</v>
      </c>
      <c r="AB18" s="141">
        <v>3600</v>
      </c>
      <c r="AC18" s="117">
        <f t="shared" si="5"/>
        <v>39876</v>
      </c>
      <c r="AD18" s="116">
        <f t="shared" si="6"/>
        <v>276</v>
      </c>
      <c r="AE18" s="347">
        <f t="shared" si="7"/>
        <v>6.921456515197111E-3</v>
      </c>
      <c r="AF18" s="129">
        <v>74783.849999999991</v>
      </c>
      <c r="AG18" s="129">
        <f t="shared" si="2"/>
        <v>35183.849999999991</v>
      </c>
      <c r="AH18" s="129"/>
    </row>
    <row r="19" spans="1:34">
      <c r="A19" s="105" t="s">
        <v>697</v>
      </c>
      <c r="B19" s="105" t="s">
        <v>1031</v>
      </c>
      <c r="C19" s="105" t="s">
        <v>218</v>
      </c>
      <c r="D19" s="124">
        <v>0</v>
      </c>
      <c r="E19" s="124">
        <v>0</v>
      </c>
      <c r="F19" s="124">
        <v>100</v>
      </c>
      <c r="G19" s="124">
        <v>0</v>
      </c>
      <c r="H19" s="124">
        <v>0</v>
      </c>
      <c r="I19" s="124">
        <v>100</v>
      </c>
      <c r="J19" s="124">
        <v>0</v>
      </c>
      <c r="K19" s="124">
        <v>0</v>
      </c>
      <c r="L19" s="124">
        <v>100</v>
      </c>
      <c r="M19" s="124">
        <v>0</v>
      </c>
      <c r="N19" s="124">
        <v>0</v>
      </c>
      <c r="O19" s="124">
        <v>100</v>
      </c>
      <c r="P19" s="129">
        <f t="shared" si="4"/>
        <v>400</v>
      </c>
      <c r="Q19" s="141">
        <v>0</v>
      </c>
      <c r="R19" s="141">
        <v>0</v>
      </c>
      <c r="S19" s="141">
        <v>0</v>
      </c>
      <c r="T19" s="141">
        <v>0</v>
      </c>
      <c r="U19" s="141">
        <v>0</v>
      </c>
      <c r="V19" s="141">
        <v>0</v>
      </c>
      <c r="W19" s="141">
        <v>0</v>
      </c>
      <c r="X19" s="141">
        <v>0</v>
      </c>
      <c r="Y19" s="141">
        <v>0</v>
      </c>
      <c r="Z19" s="141">
        <v>0</v>
      </c>
      <c r="AA19" s="141">
        <v>0</v>
      </c>
      <c r="AB19" s="141">
        <v>0</v>
      </c>
      <c r="AC19" s="117">
        <f t="shared" si="5"/>
        <v>0</v>
      </c>
      <c r="AD19" s="116">
        <f t="shared" si="6"/>
        <v>-400</v>
      </c>
      <c r="AE19" s="347" t="e">
        <f t="shared" si="7"/>
        <v>#DIV/0!</v>
      </c>
      <c r="AF19" s="129">
        <v>29416.500000000007</v>
      </c>
      <c r="AG19" s="129">
        <f t="shared" si="2"/>
        <v>29016.500000000007</v>
      </c>
      <c r="AH19" s="129"/>
    </row>
    <row r="20" spans="1:34">
      <c r="A20" s="105" t="s">
        <v>698</v>
      </c>
      <c r="B20" s="105" t="s">
        <v>1031</v>
      </c>
      <c r="C20" s="105" t="s">
        <v>222</v>
      </c>
      <c r="D20" s="124">
        <v>50000</v>
      </c>
      <c r="E20" s="124">
        <v>50000</v>
      </c>
      <c r="F20" s="124">
        <v>50000</v>
      </c>
      <c r="G20" s="124">
        <v>70000</v>
      </c>
      <c r="H20" s="124">
        <v>70000</v>
      </c>
      <c r="I20" s="124">
        <v>70000</v>
      </c>
      <c r="J20" s="124">
        <v>70000</v>
      </c>
      <c r="K20" s="124">
        <v>75000</v>
      </c>
      <c r="L20" s="124">
        <v>75000</v>
      </c>
      <c r="M20" s="124">
        <v>60000</v>
      </c>
      <c r="N20" s="124">
        <v>60000</v>
      </c>
      <c r="O20" s="124">
        <v>60000</v>
      </c>
      <c r="P20" s="129">
        <f t="shared" si="4"/>
        <v>760000</v>
      </c>
      <c r="Q20" s="350">
        <v>48157.06</v>
      </c>
      <c r="R20" s="141">
        <v>48876.88</v>
      </c>
      <c r="S20" s="141">
        <v>36654.31</v>
      </c>
      <c r="T20" s="141">
        <v>64417.18</v>
      </c>
      <c r="U20" s="141">
        <v>72309.69</v>
      </c>
      <c r="V20" s="141">
        <v>60375.69</v>
      </c>
      <c r="W20" s="141">
        <v>63800.07</v>
      </c>
      <c r="X20" s="141">
        <v>86324.800000000003</v>
      </c>
      <c r="Y20" s="141">
        <v>79000</v>
      </c>
      <c r="Z20" s="141">
        <v>59000</v>
      </c>
      <c r="AA20" s="141">
        <v>54000</v>
      </c>
      <c r="AB20" s="141">
        <v>54000</v>
      </c>
      <c r="AC20" s="117">
        <f t="shared" si="5"/>
        <v>726915.67999999993</v>
      </c>
      <c r="AD20" s="116">
        <f>AC20-P20</f>
        <v>-33084.320000000065</v>
      </c>
      <c r="AE20" s="347">
        <f t="shared" si="7"/>
        <v>-4.5513284291790308E-2</v>
      </c>
      <c r="AF20" s="129">
        <v>786826.58</v>
      </c>
      <c r="AG20" s="129">
        <f t="shared" si="2"/>
        <v>26826.579999999958</v>
      </c>
      <c r="AH20" s="129"/>
    </row>
    <row r="21" spans="1:34" s="109" customFormat="1">
      <c r="C21" s="109" t="s">
        <v>507</v>
      </c>
      <c r="D21" s="129">
        <f>SUM(D12:D20)</f>
        <v>66196.62</v>
      </c>
      <c r="E21" s="129">
        <f t="shared" ref="E21:O21" si="8">SUM(E12:E20)</f>
        <v>61932.07</v>
      </c>
      <c r="F21" s="129">
        <f t="shared" si="8"/>
        <v>62547.07</v>
      </c>
      <c r="G21" s="129">
        <f t="shared" si="8"/>
        <v>83488.179999999993</v>
      </c>
      <c r="H21" s="129">
        <f t="shared" si="8"/>
        <v>84932.28</v>
      </c>
      <c r="I21" s="129">
        <f t="shared" si="8"/>
        <v>82563.070000000007</v>
      </c>
      <c r="J21" s="129">
        <f t="shared" si="8"/>
        <v>83100.2</v>
      </c>
      <c r="K21" s="129">
        <f t="shared" si="8"/>
        <v>87619.94</v>
      </c>
      <c r="L21" s="129">
        <f t="shared" si="8"/>
        <v>87654.94</v>
      </c>
      <c r="M21" s="129">
        <f t="shared" si="8"/>
        <v>75880.800000000003</v>
      </c>
      <c r="N21" s="129">
        <f t="shared" si="8"/>
        <v>73034.2</v>
      </c>
      <c r="O21" s="129">
        <f t="shared" si="8"/>
        <v>72654.94</v>
      </c>
      <c r="P21" s="129">
        <f>SUM(P12:P20)</f>
        <v>921604.31</v>
      </c>
      <c r="Q21" s="142">
        <f>SUM(Q12:Q20)</f>
        <v>85720.299999999988</v>
      </c>
      <c r="R21" s="142">
        <f t="shared" ref="R21:AB21" si="9">SUM(R12:R20)</f>
        <v>97071.679999999993</v>
      </c>
      <c r="S21" s="142">
        <f t="shared" si="9"/>
        <v>73491.459999999992</v>
      </c>
      <c r="T21" s="142">
        <f t="shared" si="9"/>
        <v>97406.140000000014</v>
      </c>
      <c r="U21" s="142">
        <f t="shared" si="9"/>
        <v>103773.53</v>
      </c>
      <c r="V21" s="142">
        <f t="shared" si="9"/>
        <v>87730.57</v>
      </c>
      <c r="W21" s="142">
        <f t="shared" si="9"/>
        <v>87548.67</v>
      </c>
      <c r="X21" s="142">
        <f t="shared" si="9"/>
        <v>109040.52</v>
      </c>
      <c r="Y21" s="142">
        <f t="shared" si="9"/>
        <v>136330</v>
      </c>
      <c r="Z21" s="142">
        <f t="shared" si="9"/>
        <v>117595</v>
      </c>
      <c r="AA21" s="142">
        <f t="shared" si="9"/>
        <v>112197</v>
      </c>
      <c r="AB21" s="142">
        <f t="shared" si="9"/>
        <v>112244</v>
      </c>
      <c r="AC21" s="129">
        <f>SUM(AC12:AC20)</f>
        <v>1220148.8699999999</v>
      </c>
      <c r="AD21" s="117">
        <f t="shared" si="6"/>
        <v>298544.55999999982</v>
      </c>
      <c r="AE21" s="347">
        <f t="shared" si="7"/>
        <v>0.24467879890754629</v>
      </c>
      <c r="AF21" s="129">
        <v>932328.64999999991</v>
      </c>
      <c r="AG21" s="129">
        <f t="shared" si="2"/>
        <v>10724.339999999851</v>
      </c>
      <c r="AH21" s="129"/>
    </row>
    <row r="22" spans="1:34" s="109" customFormat="1">
      <c r="A22" s="109" t="s">
        <v>140</v>
      </c>
      <c r="B22" s="109" t="s">
        <v>1031</v>
      </c>
      <c r="C22" s="109" t="s">
        <v>1034</v>
      </c>
      <c r="D22" s="345">
        <f t="shared" ref="D22:N22" si="10">D21+D57</f>
        <v>185670.66</v>
      </c>
      <c r="E22" s="345">
        <f t="shared" si="10"/>
        <v>169250.87000000002</v>
      </c>
      <c r="F22" s="345">
        <f t="shared" si="10"/>
        <v>171800.17</v>
      </c>
      <c r="G22" s="345">
        <f t="shared" si="10"/>
        <v>195977.69</v>
      </c>
      <c r="H22" s="345">
        <f t="shared" si="10"/>
        <v>203302.33000000002</v>
      </c>
      <c r="I22" s="345">
        <f t="shared" si="10"/>
        <v>191816.17</v>
      </c>
      <c r="J22" s="345">
        <f t="shared" si="10"/>
        <v>192845.27000000002</v>
      </c>
      <c r="K22" s="345">
        <f t="shared" si="10"/>
        <v>197275.45</v>
      </c>
      <c r="L22" s="345">
        <f t="shared" si="10"/>
        <v>197310.45</v>
      </c>
      <c r="M22" s="345">
        <f t="shared" si="10"/>
        <v>198284.93</v>
      </c>
      <c r="N22" s="345">
        <f t="shared" si="10"/>
        <v>182779.27000000002</v>
      </c>
      <c r="O22" s="345">
        <f>O21+O57</f>
        <v>182310.45</v>
      </c>
      <c r="P22" s="129">
        <f>P21+P57</f>
        <v>2268623.71</v>
      </c>
      <c r="Q22" s="142">
        <v>203328.58</v>
      </c>
      <c r="R22" s="142">
        <v>222456.36</v>
      </c>
      <c r="S22" s="142">
        <v>190183.8</v>
      </c>
      <c r="T22" s="142">
        <v>213113.28</v>
      </c>
      <c r="U22" s="142">
        <v>218615.55</v>
      </c>
      <c r="V22" s="142">
        <v>204135.67999999999</v>
      </c>
      <c r="W22" s="142">
        <v>197852.11</v>
      </c>
      <c r="X22" s="142">
        <v>219427.13</v>
      </c>
      <c r="Y22" s="142">
        <v>247815.66999999998</v>
      </c>
      <c r="Z22" s="142">
        <v>235649.66999999998</v>
      </c>
      <c r="AA22" s="142">
        <v>220397.66999999998</v>
      </c>
      <c r="AB22" s="142">
        <v>220444.66999999998</v>
      </c>
      <c r="AC22" s="129">
        <f t="shared" si="5"/>
        <v>2593420.1699999995</v>
      </c>
      <c r="AD22" s="117">
        <f>AC22-P22</f>
        <v>324796.4599999995</v>
      </c>
      <c r="AE22" s="347">
        <f t="shared" si="7"/>
        <v>0.12523865733642364</v>
      </c>
      <c r="AF22" s="129">
        <v>2455731.86</v>
      </c>
      <c r="AG22" s="129">
        <f t="shared" si="2"/>
        <v>187108.14999999991</v>
      </c>
      <c r="AH22" s="129">
        <f>AD22-AD21-AD9</f>
        <v>2.3283064365386963E-10</v>
      </c>
    </row>
    <row r="23" spans="1:34">
      <c r="C23" s="105" t="s">
        <v>154</v>
      </c>
      <c r="D23" s="346"/>
      <c r="E23" s="346"/>
      <c r="F23" s="346"/>
      <c r="G23" s="346"/>
      <c r="H23" s="346"/>
      <c r="I23" s="346"/>
      <c r="J23" s="346"/>
      <c r="K23" s="346"/>
      <c r="L23" s="346"/>
      <c r="M23" s="346"/>
      <c r="N23" s="346"/>
      <c r="O23" s="346"/>
      <c r="P23" s="129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351"/>
      <c r="AF23" s="129"/>
      <c r="AG23" s="129">
        <f t="shared" si="2"/>
        <v>0</v>
      </c>
      <c r="AH23" s="129"/>
    </row>
    <row r="24" spans="1:34">
      <c r="C24" s="105" t="s">
        <v>154</v>
      </c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/>
      <c r="P24" s="129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7"/>
      <c r="AD24" s="116"/>
      <c r="AE24" s="351"/>
      <c r="AF24" s="129"/>
      <c r="AG24" s="129">
        <f t="shared" si="2"/>
        <v>0</v>
      </c>
      <c r="AH24" s="129"/>
    </row>
    <row r="25" spans="1:34">
      <c r="C25" s="105" t="s">
        <v>516</v>
      </c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129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7"/>
      <c r="AD25" s="116"/>
      <c r="AE25" s="351"/>
      <c r="AF25" s="129"/>
      <c r="AG25" s="129">
        <f t="shared" si="2"/>
        <v>0</v>
      </c>
      <c r="AH25" s="129"/>
    </row>
    <row r="26" spans="1:34">
      <c r="C26" s="105" t="s">
        <v>517</v>
      </c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129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7"/>
      <c r="AD26" s="116"/>
      <c r="AE26" s="351"/>
      <c r="AF26" s="129"/>
      <c r="AG26" s="129">
        <f t="shared" si="2"/>
        <v>0</v>
      </c>
      <c r="AH26" s="129"/>
    </row>
    <row r="27" spans="1:34">
      <c r="A27" s="105" t="s">
        <v>248</v>
      </c>
      <c r="B27" s="105" t="s">
        <v>1035</v>
      </c>
      <c r="C27" s="105" t="s">
        <v>250</v>
      </c>
      <c r="D27" s="293">
        <v>10000</v>
      </c>
      <c r="E27" s="124">
        <v>10000</v>
      </c>
      <c r="F27" s="124">
        <v>10050</v>
      </c>
      <c r="G27" s="124">
        <v>10050</v>
      </c>
      <c r="H27" s="124">
        <v>10050</v>
      </c>
      <c r="I27" s="124">
        <v>10050</v>
      </c>
      <c r="J27" s="124">
        <v>10050</v>
      </c>
      <c r="K27" s="124">
        <v>10050</v>
      </c>
      <c r="L27" s="124">
        <v>10050</v>
      </c>
      <c r="M27" s="124">
        <v>10050</v>
      </c>
      <c r="N27" s="124">
        <v>10050</v>
      </c>
      <c r="O27" s="124">
        <v>10050</v>
      </c>
      <c r="P27" s="129">
        <f>SUM(D27:O27)</f>
        <v>120500</v>
      </c>
      <c r="Q27" s="141">
        <v>10000</v>
      </c>
      <c r="R27" s="141">
        <v>10000</v>
      </c>
      <c r="S27" s="141">
        <v>10000</v>
      </c>
      <c r="T27" s="141">
        <v>10000</v>
      </c>
      <c r="U27" s="141">
        <v>10000</v>
      </c>
      <c r="V27" s="141">
        <v>10000</v>
      </c>
      <c r="W27" s="231">
        <v>10000</v>
      </c>
      <c r="X27" s="231">
        <v>10000</v>
      </c>
      <c r="Y27" s="231">
        <v>10000</v>
      </c>
      <c r="Z27" s="231">
        <v>10000</v>
      </c>
      <c r="AA27" s="231">
        <v>10000</v>
      </c>
      <c r="AB27" s="231">
        <v>10000</v>
      </c>
      <c r="AC27" s="117">
        <f>SUM(Q27:AB27)</f>
        <v>120000</v>
      </c>
      <c r="AD27" s="116">
        <f>AC27-P27</f>
        <v>-500</v>
      </c>
      <c r="AE27" s="192">
        <f>AD27/AC27</f>
        <v>-4.1666666666666666E-3</v>
      </c>
      <c r="AF27" s="129">
        <v>115376</v>
      </c>
      <c r="AG27" s="129">
        <f t="shared" si="2"/>
        <v>-5124</v>
      </c>
      <c r="AH27" s="129"/>
    </row>
    <row r="28" spans="1:34">
      <c r="A28" s="105" t="s">
        <v>251</v>
      </c>
      <c r="B28" s="105" t="s">
        <v>1035</v>
      </c>
      <c r="C28" s="105" t="s">
        <v>468</v>
      </c>
      <c r="D28" s="293">
        <v>36946</v>
      </c>
      <c r="E28" s="124">
        <v>36946</v>
      </c>
      <c r="F28" s="124">
        <v>38793.300000000003</v>
      </c>
      <c r="G28" s="124">
        <v>38793.300000000003</v>
      </c>
      <c r="H28" s="124">
        <v>38793.300000000003</v>
      </c>
      <c r="I28" s="124">
        <v>38793.300000000003</v>
      </c>
      <c r="J28" s="124">
        <v>38793.300000000003</v>
      </c>
      <c r="K28" s="124">
        <v>38793.300000000003</v>
      </c>
      <c r="L28" s="124">
        <v>38793.300000000003</v>
      </c>
      <c r="M28" s="124">
        <v>38793.300000000003</v>
      </c>
      <c r="N28" s="124">
        <v>38793.300000000003</v>
      </c>
      <c r="O28" s="124">
        <v>38793.300000000003</v>
      </c>
      <c r="P28" s="129">
        <f>SUM(D28:O28)</f>
        <v>461824.99999999994</v>
      </c>
      <c r="Q28" s="141">
        <v>38000</v>
      </c>
      <c r="R28" s="141">
        <v>37000</v>
      </c>
      <c r="S28" s="141">
        <v>37600</v>
      </c>
      <c r="T28" s="141">
        <v>37600</v>
      </c>
      <c r="U28" s="141">
        <v>37600</v>
      </c>
      <c r="V28" s="141">
        <v>38196.550000000003</v>
      </c>
      <c r="W28" s="231">
        <v>37700</v>
      </c>
      <c r="X28" s="231">
        <v>37700</v>
      </c>
      <c r="Y28" s="231">
        <v>40026</v>
      </c>
      <c r="Z28" s="231">
        <v>40026</v>
      </c>
      <c r="AA28" s="231">
        <v>40026</v>
      </c>
      <c r="AB28" s="231">
        <v>40026</v>
      </c>
      <c r="AC28" s="117">
        <f>SUM(Q28:AB28)</f>
        <v>461500.55</v>
      </c>
      <c r="AD28" s="116">
        <f>AC28-P28</f>
        <v>-324.44999999995343</v>
      </c>
      <c r="AE28" s="192">
        <f>AD28/AC28</f>
        <v>-7.0303274828156423E-4</v>
      </c>
      <c r="AF28" s="129">
        <v>629388</v>
      </c>
      <c r="AG28" s="129">
        <f t="shared" si="2"/>
        <v>167563.00000000006</v>
      </c>
      <c r="AH28" s="129"/>
    </row>
    <row r="29" spans="1:34" s="109" customFormat="1">
      <c r="C29" s="109" t="s">
        <v>520</v>
      </c>
      <c r="D29" s="129">
        <f t="shared" ref="D29:AC29" si="11">SUM(D27:D28)</f>
        <v>46946</v>
      </c>
      <c r="E29" s="129">
        <f t="shared" si="11"/>
        <v>46946</v>
      </c>
      <c r="F29" s="129">
        <f t="shared" si="11"/>
        <v>48843.3</v>
      </c>
      <c r="G29" s="129">
        <f t="shared" si="11"/>
        <v>48843.3</v>
      </c>
      <c r="H29" s="129">
        <f t="shared" si="11"/>
        <v>48843.3</v>
      </c>
      <c r="I29" s="129">
        <f t="shared" si="11"/>
        <v>48843.3</v>
      </c>
      <c r="J29" s="345">
        <f t="shared" si="11"/>
        <v>48843.3</v>
      </c>
      <c r="K29" s="345">
        <f t="shared" si="11"/>
        <v>48843.3</v>
      </c>
      <c r="L29" s="345">
        <f t="shared" si="11"/>
        <v>48843.3</v>
      </c>
      <c r="M29" s="345">
        <f t="shared" si="11"/>
        <v>48843.3</v>
      </c>
      <c r="N29" s="345">
        <f t="shared" si="11"/>
        <v>48843.3</v>
      </c>
      <c r="O29" s="345">
        <f t="shared" si="11"/>
        <v>48843.3</v>
      </c>
      <c r="P29" s="129">
        <f t="shared" si="11"/>
        <v>582325</v>
      </c>
      <c r="Q29" s="142">
        <f t="shared" si="11"/>
        <v>48000</v>
      </c>
      <c r="R29" s="142">
        <f t="shared" si="11"/>
        <v>47000</v>
      </c>
      <c r="S29" s="142">
        <f t="shared" si="11"/>
        <v>47600</v>
      </c>
      <c r="T29" s="142">
        <f t="shared" si="11"/>
        <v>47600</v>
      </c>
      <c r="U29" s="142">
        <f t="shared" si="11"/>
        <v>47600</v>
      </c>
      <c r="V29" s="142">
        <f t="shared" si="11"/>
        <v>48196.55</v>
      </c>
      <c r="W29" s="142">
        <f t="shared" si="11"/>
        <v>47700</v>
      </c>
      <c r="X29" s="142">
        <f t="shared" si="11"/>
        <v>47700</v>
      </c>
      <c r="Y29" s="142">
        <f t="shared" si="11"/>
        <v>50026</v>
      </c>
      <c r="Z29" s="142">
        <f t="shared" si="11"/>
        <v>50026</v>
      </c>
      <c r="AA29" s="142">
        <f t="shared" si="11"/>
        <v>50026</v>
      </c>
      <c r="AB29" s="142">
        <f t="shared" si="11"/>
        <v>50026</v>
      </c>
      <c r="AC29" s="142">
        <f t="shared" si="11"/>
        <v>581500.55000000005</v>
      </c>
      <c r="AD29" s="117">
        <f>AC29-P29</f>
        <v>-824.44999999995343</v>
      </c>
      <c r="AE29" s="132">
        <f>AD29/AC29</f>
        <v>-1.4177974552215874E-3</v>
      </c>
      <c r="AF29" s="129">
        <v>744764</v>
      </c>
      <c r="AG29" s="129">
        <f t="shared" si="2"/>
        <v>162439</v>
      </c>
      <c r="AH29" s="129"/>
    </row>
    <row r="30" spans="1:34">
      <c r="C30" s="105" t="s">
        <v>154</v>
      </c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129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7"/>
      <c r="AD30" s="116"/>
      <c r="AE30" s="192"/>
      <c r="AF30" s="129"/>
      <c r="AG30" s="129">
        <f t="shared" si="2"/>
        <v>0</v>
      </c>
      <c r="AH30" s="129"/>
    </row>
    <row r="31" spans="1:34">
      <c r="A31" s="105" t="s">
        <v>870</v>
      </c>
      <c r="B31" s="105" t="s">
        <v>1035</v>
      </c>
      <c r="C31" s="105" t="s">
        <v>260</v>
      </c>
      <c r="D31" s="293">
        <v>11917.24</v>
      </c>
      <c r="E31" s="293">
        <v>0</v>
      </c>
      <c r="F31" s="293">
        <v>0</v>
      </c>
      <c r="G31" s="293">
        <v>3172.4100000000003</v>
      </c>
      <c r="H31" s="293">
        <v>8937.9499999999989</v>
      </c>
      <c r="I31" s="293">
        <v>0</v>
      </c>
      <c r="J31" s="293">
        <v>0</v>
      </c>
      <c r="K31" s="293">
        <v>0</v>
      </c>
      <c r="L31" s="293">
        <v>0</v>
      </c>
      <c r="M31" s="293">
        <v>12498.62</v>
      </c>
      <c r="N31" s="293">
        <v>0</v>
      </c>
      <c r="O31" s="293">
        <v>0</v>
      </c>
      <c r="P31" s="129">
        <f>SUM(D31:O31)</f>
        <v>36526.22</v>
      </c>
      <c r="Q31" s="141">
        <v>2110.35</v>
      </c>
      <c r="R31" s="141">
        <v>9862.11</v>
      </c>
      <c r="S31" s="141">
        <v>0</v>
      </c>
      <c r="T31" s="141">
        <v>3158.64</v>
      </c>
      <c r="U31" s="141">
        <v>2386.1999999999998</v>
      </c>
      <c r="V31" s="141">
        <v>2868.99</v>
      </c>
      <c r="W31" s="231">
        <v>0</v>
      </c>
      <c r="X31" s="231">
        <v>0</v>
      </c>
      <c r="Y31" s="231">
        <v>3285</v>
      </c>
      <c r="Z31" s="231">
        <v>9854</v>
      </c>
      <c r="AA31" s="231">
        <v>0</v>
      </c>
      <c r="AB31" s="231">
        <v>0</v>
      </c>
      <c r="AC31" s="117">
        <f>SUM(Q31:AB31)</f>
        <v>33525.29</v>
      </c>
      <c r="AD31" s="116">
        <f t="shared" ref="AD31:AD36" si="12">AC31-P31</f>
        <v>-3000.9300000000003</v>
      </c>
      <c r="AE31" s="192">
        <f t="shared" ref="AE31:AE36" si="13">AD31/AC31</f>
        <v>-8.9512424799308224E-2</v>
      </c>
      <c r="AF31" s="129">
        <v>51964.920000000006</v>
      </c>
      <c r="AG31" s="129">
        <f t="shared" si="2"/>
        <v>15438.700000000004</v>
      </c>
      <c r="AH31" s="129"/>
    </row>
    <row r="32" spans="1:34">
      <c r="A32" s="105" t="s">
        <v>120</v>
      </c>
      <c r="B32" s="105" t="s">
        <v>1035</v>
      </c>
      <c r="C32" s="105" t="s">
        <v>261</v>
      </c>
      <c r="D32" s="293">
        <v>7950.01</v>
      </c>
      <c r="E32" s="293">
        <v>7950.01</v>
      </c>
      <c r="F32" s="293">
        <v>7950.01</v>
      </c>
      <c r="G32" s="293">
        <v>7950.01</v>
      </c>
      <c r="H32" s="293">
        <v>7950.01</v>
      </c>
      <c r="I32" s="293">
        <v>7950.01</v>
      </c>
      <c r="J32" s="293">
        <v>7950.01</v>
      </c>
      <c r="K32" s="293">
        <v>7950.01</v>
      </c>
      <c r="L32" s="293">
        <v>7950.01</v>
      </c>
      <c r="M32" s="293">
        <v>7950.01</v>
      </c>
      <c r="N32" s="293">
        <v>7950.01</v>
      </c>
      <c r="O32" s="293">
        <v>7950.01</v>
      </c>
      <c r="P32" s="129">
        <f>SUM(D32:O32)</f>
        <v>95400.12</v>
      </c>
      <c r="Q32" s="141">
        <v>11883.99</v>
      </c>
      <c r="R32" s="141">
        <v>11888.54</v>
      </c>
      <c r="S32" s="141">
        <v>11915.11</v>
      </c>
      <c r="T32" s="141">
        <v>7950.87</v>
      </c>
      <c r="U32" s="141">
        <v>7918.69</v>
      </c>
      <c r="V32" s="141">
        <v>8407.1200000000008</v>
      </c>
      <c r="W32" s="231">
        <v>7964.56</v>
      </c>
      <c r="X32" s="231">
        <v>7941.56</v>
      </c>
      <c r="Y32" s="231">
        <v>8337.67</v>
      </c>
      <c r="Z32" s="231">
        <v>8337.67</v>
      </c>
      <c r="AA32" s="231">
        <v>8337.67</v>
      </c>
      <c r="AB32" s="231">
        <v>8337.67</v>
      </c>
      <c r="AC32" s="117">
        <f>SUM(Q32:AB32)</f>
        <v>109221.12</v>
      </c>
      <c r="AD32" s="116">
        <f t="shared" si="12"/>
        <v>13821</v>
      </c>
      <c r="AE32" s="192">
        <f t="shared" si="13"/>
        <v>0.12654146011320888</v>
      </c>
      <c r="AF32" s="129">
        <v>173376</v>
      </c>
      <c r="AG32" s="129">
        <f t="shared" si="2"/>
        <v>77975.88</v>
      </c>
      <c r="AH32" s="129"/>
    </row>
    <row r="33" spans="1:34">
      <c r="A33" s="105" t="s">
        <v>871</v>
      </c>
      <c r="B33" s="105" t="s">
        <v>1035</v>
      </c>
      <c r="C33" s="105" t="s">
        <v>262</v>
      </c>
      <c r="D33" s="293">
        <v>24380</v>
      </c>
      <c r="E33" s="293">
        <v>24380</v>
      </c>
      <c r="F33" s="293">
        <v>24380</v>
      </c>
      <c r="G33" s="293">
        <v>24380</v>
      </c>
      <c r="H33" s="293">
        <v>24380</v>
      </c>
      <c r="I33" s="293">
        <v>24380</v>
      </c>
      <c r="J33" s="293">
        <v>24380</v>
      </c>
      <c r="K33" s="293">
        <v>24380</v>
      </c>
      <c r="L33" s="293">
        <v>24380</v>
      </c>
      <c r="M33" s="293">
        <v>24380</v>
      </c>
      <c r="N33" s="293">
        <v>24380</v>
      </c>
      <c r="O33" s="293">
        <v>24380</v>
      </c>
      <c r="P33" s="129">
        <f>SUM(D33:O33)</f>
        <v>292560</v>
      </c>
      <c r="Q33" s="141">
        <v>24740</v>
      </c>
      <c r="R33" s="141">
        <v>24780</v>
      </c>
      <c r="S33" s="141">
        <v>24620</v>
      </c>
      <c r="T33" s="141">
        <v>24660</v>
      </c>
      <c r="U33" s="141">
        <v>25740</v>
      </c>
      <c r="V33" s="141">
        <v>25127.42</v>
      </c>
      <c r="W33" s="231">
        <v>24940</v>
      </c>
      <c r="X33" s="231">
        <v>24980</v>
      </c>
      <c r="Y33" s="231">
        <v>17430</v>
      </c>
      <c r="Z33" s="231">
        <v>17430</v>
      </c>
      <c r="AA33" s="231">
        <v>17430</v>
      </c>
      <c r="AB33" s="231">
        <v>17430</v>
      </c>
      <c r="AC33" s="117">
        <f>SUM(Q33:AB33)</f>
        <v>269307.42</v>
      </c>
      <c r="AD33" s="116">
        <f t="shared" si="12"/>
        <v>-23252.580000000016</v>
      </c>
      <c r="AE33" s="192">
        <f t="shared" si="13"/>
        <v>-8.6342143859237219E-2</v>
      </c>
      <c r="AF33" s="129">
        <v>131300</v>
      </c>
      <c r="AG33" s="129">
        <f t="shared" si="2"/>
        <v>-161260</v>
      </c>
      <c r="AH33" s="129"/>
    </row>
    <row r="34" spans="1:34">
      <c r="A34" s="105" t="s">
        <v>872</v>
      </c>
      <c r="B34" s="105" t="s">
        <v>1035</v>
      </c>
      <c r="C34" s="105" t="s">
        <v>1036</v>
      </c>
      <c r="D34" s="293">
        <v>0</v>
      </c>
      <c r="E34" s="293">
        <v>0</v>
      </c>
      <c r="F34" s="293">
        <v>0</v>
      </c>
      <c r="G34" s="293">
        <v>0</v>
      </c>
      <c r="H34" s="293">
        <v>0</v>
      </c>
      <c r="I34" s="293">
        <v>0</v>
      </c>
      <c r="J34" s="293">
        <v>0</v>
      </c>
      <c r="K34" s="293">
        <v>0</v>
      </c>
      <c r="L34" s="293">
        <v>0</v>
      </c>
      <c r="M34" s="293">
        <v>0</v>
      </c>
      <c r="N34" s="293">
        <v>0</v>
      </c>
      <c r="O34" s="293">
        <v>0</v>
      </c>
      <c r="P34" s="129">
        <f>SUM(D34:O34)</f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41">
        <v>0</v>
      </c>
      <c r="W34" s="231">
        <v>0</v>
      </c>
      <c r="X34" s="231">
        <v>0</v>
      </c>
      <c r="Y34" s="231">
        <v>0</v>
      </c>
      <c r="Z34" s="231">
        <v>0</v>
      </c>
      <c r="AA34" s="231">
        <v>0</v>
      </c>
      <c r="AB34" s="231">
        <v>0</v>
      </c>
      <c r="AC34" s="117">
        <f>SUM(Q34:AB34)</f>
        <v>0</v>
      </c>
      <c r="AD34" s="116">
        <f t="shared" si="12"/>
        <v>0</v>
      </c>
      <c r="AE34" s="192" t="e">
        <f t="shared" si="13"/>
        <v>#DIV/0!</v>
      </c>
      <c r="AF34" s="129">
        <v>0</v>
      </c>
      <c r="AG34" s="129">
        <f t="shared" si="2"/>
        <v>0</v>
      </c>
      <c r="AH34" s="129"/>
    </row>
    <row r="35" spans="1:34">
      <c r="A35" s="105" t="s">
        <v>873</v>
      </c>
      <c r="B35" s="105" t="s">
        <v>1035</v>
      </c>
      <c r="C35" s="105" t="s">
        <v>264</v>
      </c>
      <c r="D35" s="293">
        <v>1200</v>
      </c>
      <c r="E35" s="293">
        <v>1200</v>
      </c>
      <c r="F35" s="293">
        <v>1200</v>
      </c>
      <c r="G35" s="293">
        <v>1200</v>
      </c>
      <c r="H35" s="293">
        <v>1200</v>
      </c>
      <c r="I35" s="293">
        <v>1200</v>
      </c>
      <c r="J35" s="293">
        <v>1200</v>
      </c>
      <c r="K35" s="293">
        <v>1200</v>
      </c>
      <c r="L35" s="293">
        <v>1200</v>
      </c>
      <c r="M35" s="293">
        <v>1200</v>
      </c>
      <c r="N35" s="293">
        <v>1200</v>
      </c>
      <c r="O35" s="293">
        <v>1200</v>
      </c>
      <c r="P35" s="129">
        <f>SUM(D35:O35)</f>
        <v>14400</v>
      </c>
      <c r="Q35" s="141">
        <v>1000</v>
      </c>
      <c r="R35" s="141">
        <v>1400</v>
      </c>
      <c r="S35" s="141">
        <v>1200</v>
      </c>
      <c r="T35" s="141">
        <v>1191.3599999999999</v>
      </c>
      <c r="U35" s="141">
        <v>1200</v>
      </c>
      <c r="V35" s="141">
        <v>1200</v>
      </c>
      <c r="W35" s="231">
        <v>1200</v>
      </c>
      <c r="X35" s="231">
        <v>1147.2</v>
      </c>
      <c r="Y35" s="231">
        <v>1400</v>
      </c>
      <c r="Z35" s="231">
        <v>1400</v>
      </c>
      <c r="AA35" s="231">
        <v>1400</v>
      </c>
      <c r="AB35" s="231">
        <v>1400</v>
      </c>
      <c r="AC35" s="117">
        <f>SUM(Q35:AB35)</f>
        <v>15138.560000000001</v>
      </c>
      <c r="AD35" s="116">
        <f t="shared" si="12"/>
        <v>738.56000000000131</v>
      </c>
      <c r="AE35" s="192">
        <f t="shared" si="13"/>
        <v>4.8786674558214338E-2</v>
      </c>
      <c r="AF35" s="129">
        <v>26979.780000000002</v>
      </c>
      <c r="AG35" s="129">
        <f t="shared" si="2"/>
        <v>12579.780000000002</v>
      </c>
      <c r="AH35" s="129"/>
    </row>
    <row r="36" spans="1:34" s="109" customFormat="1">
      <c r="C36" s="109" t="s">
        <v>521</v>
      </c>
      <c r="D36" s="129">
        <f t="shared" ref="D36:AC36" si="14">SUM(D31:D35)</f>
        <v>45447.25</v>
      </c>
      <c r="E36" s="129">
        <f t="shared" si="14"/>
        <v>33530.01</v>
      </c>
      <c r="F36" s="129">
        <f t="shared" si="14"/>
        <v>33530.01</v>
      </c>
      <c r="G36" s="129">
        <f t="shared" si="14"/>
        <v>36702.42</v>
      </c>
      <c r="H36" s="129">
        <f t="shared" si="14"/>
        <v>42467.96</v>
      </c>
      <c r="I36" s="129">
        <f t="shared" si="14"/>
        <v>33530.01</v>
      </c>
      <c r="J36" s="345">
        <f t="shared" si="14"/>
        <v>33530.01</v>
      </c>
      <c r="K36" s="345">
        <f t="shared" si="14"/>
        <v>33530.01</v>
      </c>
      <c r="L36" s="345">
        <f t="shared" si="14"/>
        <v>33530.01</v>
      </c>
      <c r="M36" s="345">
        <f t="shared" si="14"/>
        <v>46028.630000000005</v>
      </c>
      <c r="N36" s="345">
        <f t="shared" si="14"/>
        <v>33530.01</v>
      </c>
      <c r="O36" s="345">
        <f t="shared" si="14"/>
        <v>33530.01</v>
      </c>
      <c r="P36" s="129">
        <f t="shared" si="14"/>
        <v>438886.33999999997</v>
      </c>
      <c r="Q36" s="142">
        <f t="shared" si="14"/>
        <v>39734.339999999997</v>
      </c>
      <c r="R36" s="142">
        <f t="shared" si="14"/>
        <v>47930.65</v>
      </c>
      <c r="S36" s="142">
        <f t="shared" si="14"/>
        <v>37735.11</v>
      </c>
      <c r="T36" s="142">
        <f t="shared" si="14"/>
        <v>36960.870000000003</v>
      </c>
      <c r="U36" s="142">
        <f t="shared" si="14"/>
        <v>37244.89</v>
      </c>
      <c r="V36" s="142">
        <f t="shared" si="14"/>
        <v>37603.53</v>
      </c>
      <c r="W36" s="142">
        <f t="shared" si="14"/>
        <v>34104.559999999998</v>
      </c>
      <c r="X36" s="142">
        <f t="shared" si="14"/>
        <v>34068.759999999995</v>
      </c>
      <c r="Y36" s="142">
        <f t="shared" si="14"/>
        <v>30452.67</v>
      </c>
      <c r="Z36" s="142">
        <f t="shared" si="14"/>
        <v>37021.67</v>
      </c>
      <c r="AA36" s="142">
        <f t="shared" si="14"/>
        <v>27167.67</v>
      </c>
      <c r="AB36" s="142">
        <f t="shared" si="14"/>
        <v>27167.67</v>
      </c>
      <c r="AC36" s="142">
        <f t="shared" si="14"/>
        <v>427192.38999999996</v>
      </c>
      <c r="AD36" s="117">
        <f t="shared" si="12"/>
        <v>-11693.950000000012</v>
      </c>
      <c r="AE36" s="132">
        <f t="shared" si="13"/>
        <v>-2.7373966095229393E-2</v>
      </c>
      <c r="AF36" s="129">
        <v>383620.70000000007</v>
      </c>
      <c r="AG36" s="129">
        <f t="shared" si="2"/>
        <v>-55265.639999999898</v>
      </c>
      <c r="AH36" s="129"/>
    </row>
    <row r="37" spans="1:34">
      <c r="C37" s="105" t="s">
        <v>154</v>
      </c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129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7"/>
      <c r="AD37" s="116"/>
      <c r="AE37" s="192"/>
      <c r="AF37" s="129"/>
      <c r="AG37" s="129">
        <f t="shared" si="2"/>
        <v>0</v>
      </c>
      <c r="AH37" s="129"/>
    </row>
    <row r="38" spans="1:34">
      <c r="A38" s="105" t="s">
        <v>874</v>
      </c>
      <c r="B38" s="105" t="s">
        <v>1035</v>
      </c>
      <c r="C38" s="105" t="s">
        <v>266</v>
      </c>
      <c r="D38" s="293">
        <v>14143.659999999998</v>
      </c>
      <c r="E38" s="293">
        <v>14143.659999999998</v>
      </c>
      <c r="F38" s="293">
        <v>14143.659999999998</v>
      </c>
      <c r="G38" s="293">
        <v>14143.659999999998</v>
      </c>
      <c r="H38" s="293">
        <v>14143.659999999998</v>
      </c>
      <c r="I38" s="293">
        <v>14143.659999999998</v>
      </c>
      <c r="J38" s="293">
        <v>14442.880000000001</v>
      </c>
      <c r="K38" s="293">
        <v>14442.880000000001</v>
      </c>
      <c r="L38" s="293">
        <v>14442.880000000001</v>
      </c>
      <c r="M38" s="293">
        <v>14442.880000000001</v>
      </c>
      <c r="N38" s="293">
        <v>14442.880000000001</v>
      </c>
      <c r="O38" s="293">
        <v>14442.880000000001</v>
      </c>
      <c r="P38" s="129">
        <f t="shared" ref="P38:P45" si="15">SUM(D38:O38)</f>
        <v>171519.24000000002</v>
      </c>
      <c r="Q38" s="141">
        <v>14772.53</v>
      </c>
      <c r="R38" s="141">
        <v>14772.53</v>
      </c>
      <c r="S38" s="141">
        <v>14772.53</v>
      </c>
      <c r="T38" s="141">
        <v>14772.53</v>
      </c>
      <c r="U38" s="141">
        <v>14772.53</v>
      </c>
      <c r="V38" s="141">
        <v>14897.78</v>
      </c>
      <c r="W38" s="231">
        <v>14897.78</v>
      </c>
      <c r="X38" s="231">
        <v>14897.78</v>
      </c>
      <c r="Y38" s="231">
        <v>15419</v>
      </c>
      <c r="Z38" s="231">
        <v>15419</v>
      </c>
      <c r="AA38" s="231">
        <v>15419</v>
      </c>
      <c r="AB38" s="231">
        <v>15419</v>
      </c>
      <c r="AC38" s="117">
        <f t="shared" ref="AC38:AC45" si="16">SUM(Q38:AB38)</f>
        <v>180231.99</v>
      </c>
      <c r="AD38" s="116">
        <f t="shared" ref="AD38:AD46" si="17">AC38-P38</f>
        <v>8712.7499999999709</v>
      </c>
      <c r="AE38" s="192">
        <f t="shared" ref="AE38:AE46" si="18">AD38/AC38</f>
        <v>4.8341862063443736E-2</v>
      </c>
      <c r="AF38" s="129">
        <v>195281.73</v>
      </c>
      <c r="AG38" s="129">
        <f t="shared" si="2"/>
        <v>23762.489999999991</v>
      </c>
      <c r="AH38" s="129"/>
    </row>
    <row r="39" spans="1:34">
      <c r="A39" s="105" t="s">
        <v>875</v>
      </c>
      <c r="B39" s="105" t="s">
        <v>1035</v>
      </c>
      <c r="C39" s="105" t="s">
        <v>267</v>
      </c>
      <c r="D39" s="293">
        <v>5732.16</v>
      </c>
      <c r="E39" s="293">
        <v>5732.16</v>
      </c>
      <c r="F39" s="293">
        <v>5732.16</v>
      </c>
      <c r="G39" s="293">
        <v>5732.16</v>
      </c>
      <c r="H39" s="293">
        <v>5732.16</v>
      </c>
      <c r="I39" s="293">
        <v>5732.16</v>
      </c>
      <c r="J39" s="293">
        <v>5826.3099999999995</v>
      </c>
      <c r="K39" s="293">
        <v>5826.3099999999995</v>
      </c>
      <c r="L39" s="293">
        <v>5826.3099999999995</v>
      </c>
      <c r="M39" s="293">
        <v>5826.3099999999995</v>
      </c>
      <c r="N39" s="293">
        <v>5826.3099999999995</v>
      </c>
      <c r="O39" s="293">
        <v>5826.3099999999995</v>
      </c>
      <c r="P39" s="129">
        <f t="shared" si="15"/>
        <v>69350.819999999992</v>
      </c>
      <c r="Q39" s="141">
        <v>7847.9</v>
      </c>
      <c r="R39" s="141">
        <v>7847.9</v>
      </c>
      <c r="S39" s="141">
        <v>7847.9</v>
      </c>
      <c r="T39" s="141">
        <v>7847.9</v>
      </c>
      <c r="U39" s="141">
        <v>7847.9</v>
      </c>
      <c r="V39" s="141">
        <v>7914.44</v>
      </c>
      <c r="W39" s="231">
        <v>6052.22</v>
      </c>
      <c r="X39" s="231">
        <v>6052.22</v>
      </c>
      <c r="Y39" s="231">
        <v>8123</v>
      </c>
      <c r="Z39" s="231">
        <v>8123</v>
      </c>
      <c r="AA39" s="231">
        <v>8123</v>
      </c>
      <c r="AB39" s="231">
        <v>8123</v>
      </c>
      <c r="AC39" s="117">
        <f t="shared" si="16"/>
        <v>91750.38</v>
      </c>
      <c r="AD39" s="116">
        <f t="shared" si="17"/>
        <v>22399.560000000012</v>
      </c>
      <c r="AE39" s="192">
        <f t="shared" si="18"/>
        <v>0.24413588259797955</v>
      </c>
      <c r="AF39" s="129">
        <v>95375.35</v>
      </c>
      <c r="AG39" s="129">
        <f t="shared" si="2"/>
        <v>26024.530000000013</v>
      </c>
      <c r="AH39" s="129"/>
    </row>
    <row r="40" spans="1:34">
      <c r="A40" s="105" t="s">
        <v>876</v>
      </c>
      <c r="B40" s="105" t="s">
        <v>1035</v>
      </c>
      <c r="C40" s="105" t="s">
        <v>268</v>
      </c>
      <c r="D40" s="293">
        <v>440.93</v>
      </c>
      <c r="E40" s="293">
        <v>440.93</v>
      </c>
      <c r="F40" s="293">
        <v>440.93</v>
      </c>
      <c r="G40" s="293">
        <v>440.93</v>
      </c>
      <c r="H40" s="293">
        <v>440.93</v>
      </c>
      <c r="I40" s="293">
        <v>440.93</v>
      </c>
      <c r="J40" s="293">
        <v>448.2</v>
      </c>
      <c r="K40" s="293">
        <v>448.2</v>
      </c>
      <c r="L40" s="293">
        <v>448.2</v>
      </c>
      <c r="M40" s="293">
        <v>448.2</v>
      </c>
      <c r="N40" s="293">
        <v>448.2</v>
      </c>
      <c r="O40" s="293">
        <v>448.2</v>
      </c>
      <c r="P40" s="129">
        <f t="shared" si="15"/>
        <v>5334.7799999999988</v>
      </c>
      <c r="Q40" s="141">
        <v>461.64</v>
      </c>
      <c r="R40" s="141">
        <v>461.64</v>
      </c>
      <c r="S40" s="141">
        <v>461.64</v>
      </c>
      <c r="T40" s="141">
        <v>461.64</v>
      </c>
      <c r="U40" s="141">
        <v>461.64</v>
      </c>
      <c r="V40" s="141">
        <v>465.55</v>
      </c>
      <c r="W40" s="231">
        <v>465.55</v>
      </c>
      <c r="X40" s="231">
        <v>465.55</v>
      </c>
      <c r="Y40" s="231">
        <v>482</v>
      </c>
      <c r="Z40" s="231">
        <v>482</v>
      </c>
      <c r="AA40" s="231">
        <v>482</v>
      </c>
      <c r="AB40" s="231">
        <v>482</v>
      </c>
      <c r="AC40" s="117">
        <f t="shared" si="16"/>
        <v>5632.85</v>
      </c>
      <c r="AD40" s="116">
        <f t="shared" si="17"/>
        <v>298.07000000000153</v>
      </c>
      <c r="AE40" s="192">
        <f t="shared" si="18"/>
        <v>5.2916374481834505E-2</v>
      </c>
      <c r="AF40" s="129">
        <v>5836.15</v>
      </c>
      <c r="AG40" s="129">
        <f t="shared" si="2"/>
        <v>501.3700000000008</v>
      </c>
      <c r="AH40" s="129"/>
    </row>
    <row r="41" spans="1:34">
      <c r="A41" s="105" t="s">
        <v>877</v>
      </c>
      <c r="B41" s="105" t="s">
        <v>1035</v>
      </c>
      <c r="C41" s="105" t="s">
        <v>269</v>
      </c>
      <c r="D41" s="293">
        <v>105.81999999999998</v>
      </c>
      <c r="E41" s="293">
        <v>105.81999999999998</v>
      </c>
      <c r="F41" s="293">
        <v>105.81999999999998</v>
      </c>
      <c r="G41" s="293">
        <v>105.81999999999998</v>
      </c>
      <c r="H41" s="293">
        <v>105.81999999999998</v>
      </c>
      <c r="I41" s="293">
        <v>105.81999999999998</v>
      </c>
      <c r="J41" s="293">
        <v>107.58999999999999</v>
      </c>
      <c r="K41" s="293">
        <v>107.58999999999999</v>
      </c>
      <c r="L41" s="293">
        <v>107.58999999999999</v>
      </c>
      <c r="M41" s="293">
        <v>107.58999999999999</v>
      </c>
      <c r="N41" s="293">
        <v>107.58999999999999</v>
      </c>
      <c r="O41" s="293">
        <v>107.58999999999999</v>
      </c>
      <c r="P41" s="133">
        <f t="shared" si="15"/>
        <v>1280.4599999999998</v>
      </c>
      <c r="Q41" s="231">
        <v>110.79</v>
      </c>
      <c r="R41" s="231">
        <v>110.79</v>
      </c>
      <c r="S41" s="231">
        <v>110.79</v>
      </c>
      <c r="T41" s="231">
        <v>110.79</v>
      </c>
      <c r="U41" s="231">
        <v>110.79</v>
      </c>
      <c r="V41" s="231">
        <v>111.73</v>
      </c>
      <c r="W41" s="231">
        <v>111.73</v>
      </c>
      <c r="X41" s="231">
        <v>111.73</v>
      </c>
      <c r="Y41" s="231">
        <v>133</v>
      </c>
      <c r="Z41" s="231">
        <v>133</v>
      </c>
      <c r="AA41" s="231">
        <v>133</v>
      </c>
      <c r="AB41" s="231">
        <v>133</v>
      </c>
      <c r="AC41" s="135">
        <f t="shared" si="16"/>
        <v>1421.14</v>
      </c>
      <c r="AD41" s="140">
        <f t="shared" si="17"/>
        <v>140.68000000000029</v>
      </c>
      <c r="AE41" s="196">
        <f t="shared" si="18"/>
        <v>9.8990950926721E-2</v>
      </c>
      <c r="AF41" s="133">
        <v>1867.42</v>
      </c>
      <c r="AG41" s="129">
        <f t="shared" si="2"/>
        <v>586.96000000000026</v>
      </c>
      <c r="AH41" s="129"/>
    </row>
    <row r="42" spans="1:34">
      <c r="A42" s="105" t="s">
        <v>878</v>
      </c>
      <c r="B42" s="105" t="s">
        <v>1035</v>
      </c>
      <c r="C42" s="105" t="s">
        <v>270</v>
      </c>
      <c r="D42" s="293">
        <v>0</v>
      </c>
      <c r="E42" s="293">
        <v>0</v>
      </c>
      <c r="F42" s="293">
        <v>0</v>
      </c>
      <c r="G42" s="293">
        <v>0</v>
      </c>
      <c r="H42" s="293">
        <v>0</v>
      </c>
      <c r="I42" s="293">
        <v>0</v>
      </c>
      <c r="J42" s="293">
        <v>0</v>
      </c>
      <c r="K42" s="293">
        <v>0</v>
      </c>
      <c r="L42" s="293">
        <v>0</v>
      </c>
      <c r="M42" s="293">
        <v>0</v>
      </c>
      <c r="N42" s="293">
        <v>0</v>
      </c>
      <c r="O42" s="293">
        <v>0</v>
      </c>
      <c r="P42" s="129">
        <f t="shared" si="15"/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141">
        <v>0</v>
      </c>
      <c r="W42" s="231">
        <v>0</v>
      </c>
      <c r="X42" s="231">
        <v>0</v>
      </c>
      <c r="Y42" s="231">
        <v>0</v>
      </c>
      <c r="Z42" s="231">
        <v>0</v>
      </c>
      <c r="AA42" s="231">
        <v>0</v>
      </c>
      <c r="AB42" s="231">
        <v>0</v>
      </c>
      <c r="AC42" s="117">
        <f t="shared" si="16"/>
        <v>0</v>
      </c>
      <c r="AD42" s="116">
        <f t="shared" si="17"/>
        <v>0</v>
      </c>
      <c r="AE42" s="192" t="e">
        <f t="shared" si="18"/>
        <v>#DIV/0!</v>
      </c>
      <c r="AF42" s="129">
        <v>3842.23</v>
      </c>
      <c r="AG42" s="129">
        <f t="shared" si="2"/>
        <v>3842.23</v>
      </c>
      <c r="AH42" s="129"/>
    </row>
    <row r="43" spans="1:34">
      <c r="A43" s="105" t="s">
        <v>879</v>
      </c>
      <c r="B43" s="105" t="s">
        <v>1035</v>
      </c>
      <c r="C43" s="105" t="s">
        <v>271</v>
      </c>
      <c r="D43" s="293">
        <v>4392.25</v>
      </c>
      <c r="E43" s="293">
        <v>4392.25</v>
      </c>
      <c r="F43" s="293">
        <v>4392.25</v>
      </c>
      <c r="G43" s="293">
        <v>4392.25</v>
      </c>
      <c r="H43" s="293">
        <v>4392.25</v>
      </c>
      <c r="I43" s="293">
        <v>4392.25</v>
      </c>
      <c r="J43" s="293">
        <v>4481.8100000000004</v>
      </c>
      <c r="K43" s="293">
        <v>4392.25</v>
      </c>
      <c r="L43" s="293">
        <v>4392.25</v>
      </c>
      <c r="M43" s="293">
        <v>4392.25</v>
      </c>
      <c r="N43" s="293">
        <v>4481.8100000000004</v>
      </c>
      <c r="O43" s="293">
        <v>4392.25</v>
      </c>
      <c r="P43" s="129">
        <f t="shared" si="15"/>
        <v>52886.119999999995</v>
      </c>
      <c r="Q43" s="141">
        <v>4589</v>
      </c>
      <c r="R43" s="141">
        <v>4589</v>
      </c>
      <c r="S43" s="141">
        <v>4589</v>
      </c>
      <c r="T43" s="141">
        <v>4589</v>
      </c>
      <c r="U43" s="141">
        <v>4589</v>
      </c>
      <c r="V43" s="141">
        <v>4641</v>
      </c>
      <c r="W43" s="231">
        <v>4641</v>
      </c>
      <c r="X43" s="231">
        <v>4641</v>
      </c>
      <c r="Y43" s="231">
        <v>4794</v>
      </c>
      <c r="Z43" s="231">
        <v>4794</v>
      </c>
      <c r="AA43" s="231">
        <v>4794</v>
      </c>
      <c r="AB43" s="231">
        <v>4794</v>
      </c>
      <c r="AC43" s="117">
        <f t="shared" si="16"/>
        <v>56044</v>
      </c>
      <c r="AD43" s="116">
        <f t="shared" si="17"/>
        <v>3157.8800000000047</v>
      </c>
      <c r="AE43" s="192">
        <f t="shared" si="18"/>
        <v>5.6346442081221977E-2</v>
      </c>
      <c r="AF43" s="129">
        <v>52495</v>
      </c>
      <c r="AG43" s="129">
        <f t="shared" si="2"/>
        <v>-391.11999999999534</v>
      </c>
      <c r="AH43" s="129"/>
    </row>
    <row r="44" spans="1:34">
      <c r="A44" s="105" t="s">
        <v>880</v>
      </c>
      <c r="B44" s="105" t="s">
        <v>1035</v>
      </c>
      <c r="C44" s="105" t="s">
        <v>272</v>
      </c>
      <c r="D44" s="293">
        <v>1848</v>
      </c>
      <c r="E44" s="293">
        <v>1610</v>
      </c>
      <c r="F44" s="293">
        <v>1647</v>
      </c>
      <c r="G44" s="293">
        <v>1711</v>
      </c>
      <c r="H44" s="293">
        <v>1826</v>
      </c>
      <c r="I44" s="293">
        <v>1647</v>
      </c>
      <c r="J44" s="293">
        <v>1647</v>
      </c>
      <c r="K44" s="293">
        <v>1647</v>
      </c>
      <c r="L44" s="293">
        <v>1647</v>
      </c>
      <c r="M44" s="293">
        <v>1897</v>
      </c>
      <c r="N44" s="293">
        <v>1647</v>
      </c>
      <c r="O44" s="293">
        <v>1647</v>
      </c>
      <c r="P44" s="133">
        <f t="shared" si="15"/>
        <v>20421</v>
      </c>
      <c r="Q44" s="231">
        <v>1533.01</v>
      </c>
      <c r="R44" s="231">
        <v>1934.54</v>
      </c>
      <c r="S44" s="231">
        <v>2878.62</v>
      </c>
      <c r="T44" s="231">
        <v>2552.9499999999998</v>
      </c>
      <c r="U44" s="231">
        <v>1522.52</v>
      </c>
      <c r="V44" s="231">
        <v>1549.86</v>
      </c>
      <c r="W44" s="231">
        <v>1476.8</v>
      </c>
      <c r="X44" s="231">
        <v>1476.54</v>
      </c>
      <c r="Y44" s="231">
        <v>1651</v>
      </c>
      <c r="Z44" s="231">
        <v>1651</v>
      </c>
      <c r="AA44" s="231">
        <v>1651</v>
      </c>
      <c r="AB44" s="231">
        <v>1651</v>
      </c>
      <c r="AC44" s="135">
        <f t="shared" si="16"/>
        <v>21528.84</v>
      </c>
      <c r="AD44" s="140">
        <f t="shared" si="17"/>
        <v>1107.8400000000001</v>
      </c>
      <c r="AE44" s="196">
        <f t="shared" si="18"/>
        <v>5.145841578087812E-2</v>
      </c>
      <c r="AF44" s="133">
        <v>24333.58</v>
      </c>
      <c r="AG44" s="129">
        <f t="shared" si="2"/>
        <v>3912.5800000000017</v>
      </c>
      <c r="AH44" s="129"/>
    </row>
    <row r="45" spans="1:34">
      <c r="A45" s="105" t="s">
        <v>670</v>
      </c>
      <c r="B45" s="105" t="s">
        <v>1035</v>
      </c>
      <c r="C45" s="105" t="s">
        <v>274</v>
      </c>
      <c r="D45" s="293">
        <v>0</v>
      </c>
      <c r="E45" s="293">
        <v>0</v>
      </c>
      <c r="F45" s="293">
        <v>0</v>
      </c>
      <c r="G45" s="293">
        <v>0</v>
      </c>
      <c r="H45" s="293">
        <v>0</v>
      </c>
      <c r="I45" s="293">
        <v>0</v>
      </c>
      <c r="J45" s="293">
        <v>0</v>
      </c>
      <c r="K45" s="293">
        <v>0</v>
      </c>
      <c r="L45" s="293">
        <v>0</v>
      </c>
      <c r="M45" s="293">
        <v>0</v>
      </c>
      <c r="N45" s="293">
        <v>0</v>
      </c>
      <c r="O45" s="293">
        <v>0</v>
      </c>
      <c r="P45" s="129">
        <f t="shared" si="15"/>
        <v>0</v>
      </c>
      <c r="Q45" s="141">
        <v>0</v>
      </c>
      <c r="R45" s="141">
        <v>0</v>
      </c>
      <c r="S45" s="141">
        <v>0</v>
      </c>
      <c r="T45" s="141">
        <v>0</v>
      </c>
      <c r="U45" s="141">
        <v>0</v>
      </c>
      <c r="V45" s="141">
        <v>0</v>
      </c>
      <c r="W45" s="231">
        <v>0</v>
      </c>
      <c r="X45" s="231">
        <v>0</v>
      </c>
      <c r="Y45" s="231">
        <v>0</v>
      </c>
      <c r="Z45" s="231">
        <v>0</v>
      </c>
      <c r="AA45" s="231">
        <v>0</v>
      </c>
      <c r="AB45" s="231">
        <v>0</v>
      </c>
      <c r="AC45" s="117">
        <f t="shared" si="16"/>
        <v>0</v>
      </c>
      <c r="AD45" s="116">
        <f t="shared" si="17"/>
        <v>0</v>
      </c>
      <c r="AE45" s="192" t="e">
        <f t="shared" si="18"/>
        <v>#DIV/0!</v>
      </c>
      <c r="AF45" s="129">
        <v>0</v>
      </c>
      <c r="AG45" s="129">
        <f t="shared" si="2"/>
        <v>0</v>
      </c>
      <c r="AH45" s="129"/>
    </row>
    <row r="46" spans="1:34" s="109" customFormat="1">
      <c r="C46" s="109" t="s">
        <v>522</v>
      </c>
      <c r="D46" s="129">
        <f t="shared" ref="D46:AC46" si="19">SUM(D38:D45)</f>
        <v>26662.82</v>
      </c>
      <c r="E46" s="129">
        <f t="shared" si="19"/>
        <v>26424.82</v>
      </c>
      <c r="F46" s="129">
        <f t="shared" si="19"/>
        <v>26461.82</v>
      </c>
      <c r="G46" s="129">
        <f t="shared" si="19"/>
        <v>26525.82</v>
      </c>
      <c r="H46" s="129">
        <f t="shared" si="19"/>
        <v>26640.82</v>
      </c>
      <c r="I46" s="129">
        <f t="shared" si="19"/>
        <v>26461.82</v>
      </c>
      <c r="J46" s="345">
        <f t="shared" si="19"/>
        <v>26953.790000000005</v>
      </c>
      <c r="K46" s="345">
        <f t="shared" si="19"/>
        <v>26864.230000000003</v>
      </c>
      <c r="L46" s="345">
        <f t="shared" si="19"/>
        <v>26864.230000000003</v>
      </c>
      <c r="M46" s="345">
        <f t="shared" si="19"/>
        <v>27114.230000000003</v>
      </c>
      <c r="N46" s="345">
        <f t="shared" si="19"/>
        <v>26953.790000000005</v>
      </c>
      <c r="O46" s="345">
        <f t="shared" si="19"/>
        <v>26864.230000000003</v>
      </c>
      <c r="P46" s="129">
        <f t="shared" si="19"/>
        <v>320792.42</v>
      </c>
      <c r="Q46" s="142">
        <f t="shared" si="19"/>
        <v>29314.87</v>
      </c>
      <c r="R46" s="142">
        <f t="shared" si="19"/>
        <v>29716.400000000001</v>
      </c>
      <c r="S46" s="142">
        <f t="shared" si="19"/>
        <v>30660.48</v>
      </c>
      <c r="T46" s="142">
        <f t="shared" si="19"/>
        <v>30334.81</v>
      </c>
      <c r="U46" s="142">
        <f t="shared" si="19"/>
        <v>29304.38</v>
      </c>
      <c r="V46" s="142">
        <f t="shared" si="19"/>
        <v>29580.36</v>
      </c>
      <c r="W46" s="142">
        <f t="shared" si="19"/>
        <v>27645.079999999998</v>
      </c>
      <c r="X46" s="142">
        <f t="shared" si="19"/>
        <v>27644.82</v>
      </c>
      <c r="Y46" s="142">
        <f t="shared" si="19"/>
        <v>30602</v>
      </c>
      <c r="Z46" s="142">
        <f t="shared" si="19"/>
        <v>30602</v>
      </c>
      <c r="AA46" s="142">
        <f t="shared" si="19"/>
        <v>30602</v>
      </c>
      <c r="AB46" s="142">
        <f t="shared" si="19"/>
        <v>30602</v>
      </c>
      <c r="AC46" s="142">
        <f t="shared" si="19"/>
        <v>356609.2</v>
      </c>
      <c r="AD46" s="117">
        <f t="shared" si="17"/>
        <v>35816.780000000028</v>
      </c>
      <c r="AE46" s="132">
        <f t="shared" si="18"/>
        <v>0.10043706107413949</v>
      </c>
      <c r="AF46" s="129">
        <v>379031.46</v>
      </c>
      <c r="AG46" s="129">
        <f t="shared" si="2"/>
        <v>58239.040000000037</v>
      </c>
      <c r="AH46" s="129"/>
    </row>
    <row r="47" spans="1:34">
      <c r="C47" s="105" t="s">
        <v>154</v>
      </c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129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7"/>
      <c r="AD47" s="116"/>
      <c r="AE47" s="192"/>
      <c r="AF47" s="129"/>
      <c r="AG47" s="129">
        <f t="shared" si="2"/>
        <v>0</v>
      </c>
      <c r="AH47" s="129"/>
    </row>
    <row r="48" spans="1:34">
      <c r="A48" s="105" t="s">
        <v>131</v>
      </c>
      <c r="B48" s="105" t="s">
        <v>1035</v>
      </c>
      <c r="C48" s="105" t="s">
        <v>276</v>
      </c>
      <c r="D48" s="293">
        <v>0</v>
      </c>
      <c r="E48" s="293">
        <v>0</v>
      </c>
      <c r="F48" s="293">
        <v>0</v>
      </c>
      <c r="G48" s="293">
        <v>0</v>
      </c>
      <c r="H48" s="293">
        <v>0</v>
      </c>
      <c r="I48" s="293">
        <v>0</v>
      </c>
      <c r="J48" s="293">
        <v>0</v>
      </c>
      <c r="K48" s="293">
        <v>0</v>
      </c>
      <c r="L48" s="293">
        <v>0</v>
      </c>
      <c r="M48" s="293">
        <v>0</v>
      </c>
      <c r="N48" s="293">
        <v>0</v>
      </c>
      <c r="O48" s="293">
        <v>0</v>
      </c>
      <c r="P48" s="129">
        <f t="shared" ref="P48:P55" si="20">SUM(D48:O48)</f>
        <v>0</v>
      </c>
      <c r="Q48" s="141">
        <v>0</v>
      </c>
      <c r="R48" s="141">
        <v>0</v>
      </c>
      <c r="S48" s="141">
        <v>0</v>
      </c>
      <c r="T48" s="141">
        <v>0</v>
      </c>
      <c r="U48" s="141">
        <v>0</v>
      </c>
      <c r="V48" s="141">
        <v>0</v>
      </c>
      <c r="W48" s="231">
        <v>0</v>
      </c>
      <c r="X48" s="231">
        <v>0</v>
      </c>
      <c r="Y48" s="231">
        <v>0</v>
      </c>
      <c r="Z48" s="231">
        <v>0</v>
      </c>
      <c r="AA48" s="231">
        <v>0</v>
      </c>
      <c r="AB48" s="231">
        <v>0</v>
      </c>
      <c r="AC48" s="117">
        <f t="shared" ref="AC48:AC55" si="21">SUM(Q48:AB48)</f>
        <v>0</v>
      </c>
      <c r="AD48" s="116">
        <f t="shared" ref="AD48:AD57" si="22">AC48-P48</f>
        <v>0</v>
      </c>
      <c r="AE48" s="192" t="e">
        <f t="shared" ref="AE48:AE57" si="23">AD48/AC48</f>
        <v>#DIV/0!</v>
      </c>
      <c r="AF48" s="129">
        <v>0</v>
      </c>
      <c r="AG48" s="129">
        <f t="shared" si="2"/>
        <v>0</v>
      </c>
      <c r="AH48" s="129"/>
    </row>
    <row r="49" spans="1:34">
      <c r="A49" s="105" t="s">
        <v>132</v>
      </c>
      <c r="B49" s="105" t="s">
        <v>1035</v>
      </c>
      <c r="C49" s="105" t="s">
        <v>277</v>
      </c>
      <c r="D49" s="293">
        <v>0</v>
      </c>
      <c r="E49" s="293">
        <v>0</v>
      </c>
      <c r="F49" s="293">
        <v>0</v>
      </c>
      <c r="G49" s="293">
        <v>0</v>
      </c>
      <c r="H49" s="293">
        <v>0</v>
      </c>
      <c r="I49" s="293">
        <v>0</v>
      </c>
      <c r="J49" s="293">
        <v>0</v>
      </c>
      <c r="K49" s="293">
        <v>0</v>
      </c>
      <c r="L49" s="293">
        <v>0</v>
      </c>
      <c r="M49" s="293">
        <v>0</v>
      </c>
      <c r="N49" s="293">
        <v>0</v>
      </c>
      <c r="O49" s="293">
        <v>0</v>
      </c>
      <c r="P49" s="129">
        <f t="shared" si="20"/>
        <v>0</v>
      </c>
      <c r="Q49" s="141">
        <v>0</v>
      </c>
      <c r="R49" s="141">
        <v>0</v>
      </c>
      <c r="S49" s="141">
        <v>0</v>
      </c>
      <c r="T49" s="141">
        <v>0</v>
      </c>
      <c r="U49" s="141">
        <v>0</v>
      </c>
      <c r="V49" s="141">
        <v>0</v>
      </c>
      <c r="W49" s="231">
        <v>0</v>
      </c>
      <c r="X49" s="231">
        <v>0</v>
      </c>
      <c r="Y49" s="231">
        <v>0</v>
      </c>
      <c r="Z49" s="231">
        <v>0</v>
      </c>
      <c r="AA49" s="231">
        <v>0</v>
      </c>
      <c r="AB49" s="231">
        <v>0</v>
      </c>
      <c r="AC49" s="117">
        <f t="shared" si="21"/>
        <v>0</v>
      </c>
      <c r="AD49" s="116">
        <f t="shared" si="22"/>
        <v>0</v>
      </c>
      <c r="AE49" s="192" t="e">
        <f t="shared" si="23"/>
        <v>#DIV/0!</v>
      </c>
      <c r="AF49" s="129">
        <v>0</v>
      </c>
      <c r="AG49" s="129">
        <f t="shared" si="2"/>
        <v>0</v>
      </c>
      <c r="AH49" s="129"/>
    </row>
    <row r="50" spans="1:34">
      <c r="A50" s="105" t="s">
        <v>133</v>
      </c>
      <c r="B50" s="105" t="s">
        <v>1035</v>
      </c>
      <c r="C50" s="105" t="s">
        <v>278</v>
      </c>
      <c r="D50" s="293">
        <v>0</v>
      </c>
      <c r="E50" s="293">
        <v>0</v>
      </c>
      <c r="F50" s="293">
        <v>0</v>
      </c>
      <c r="G50" s="293">
        <v>0</v>
      </c>
      <c r="H50" s="293">
        <v>0</v>
      </c>
      <c r="I50" s="293">
        <v>0</v>
      </c>
      <c r="J50" s="293">
        <v>0</v>
      </c>
      <c r="K50" s="293">
        <v>0</v>
      </c>
      <c r="L50" s="293">
        <v>0</v>
      </c>
      <c r="M50" s="293">
        <v>0</v>
      </c>
      <c r="N50" s="293">
        <v>0</v>
      </c>
      <c r="O50" s="293">
        <v>0</v>
      </c>
      <c r="P50" s="129">
        <f t="shared" si="20"/>
        <v>0</v>
      </c>
      <c r="Q50" s="141">
        <v>0</v>
      </c>
      <c r="R50" s="141">
        <v>0</v>
      </c>
      <c r="S50" s="141">
        <v>0</v>
      </c>
      <c r="T50" s="141">
        <v>0</v>
      </c>
      <c r="U50" s="141">
        <v>0</v>
      </c>
      <c r="V50" s="141">
        <v>0</v>
      </c>
      <c r="W50" s="231">
        <v>0</v>
      </c>
      <c r="X50" s="231">
        <v>0</v>
      </c>
      <c r="Y50" s="231">
        <v>0</v>
      </c>
      <c r="Z50" s="231">
        <v>0</v>
      </c>
      <c r="AA50" s="231">
        <v>0</v>
      </c>
      <c r="AB50" s="231">
        <v>0</v>
      </c>
      <c r="AC50" s="117">
        <f t="shared" si="21"/>
        <v>0</v>
      </c>
      <c r="AD50" s="116">
        <f t="shared" si="22"/>
        <v>0</v>
      </c>
      <c r="AE50" s="192" t="e">
        <f t="shared" si="23"/>
        <v>#DIV/0!</v>
      </c>
      <c r="AF50" s="129">
        <v>0</v>
      </c>
      <c r="AG50" s="129">
        <f t="shared" si="2"/>
        <v>0</v>
      </c>
      <c r="AH50" s="129"/>
    </row>
    <row r="51" spans="1:34">
      <c r="A51" s="105" t="s">
        <v>134</v>
      </c>
      <c r="B51" s="105" t="s">
        <v>1035</v>
      </c>
      <c r="C51" s="105" t="s">
        <v>279</v>
      </c>
      <c r="D51" s="293">
        <v>0</v>
      </c>
      <c r="E51" s="293">
        <v>0</v>
      </c>
      <c r="F51" s="293">
        <v>0</v>
      </c>
      <c r="G51" s="293">
        <v>0</v>
      </c>
      <c r="H51" s="293">
        <v>0</v>
      </c>
      <c r="I51" s="293">
        <v>0</v>
      </c>
      <c r="J51" s="293">
        <v>0</v>
      </c>
      <c r="K51" s="293">
        <v>0</v>
      </c>
      <c r="L51" s="293">
        <v>0</v>
      </c>
      <c r="M51" s="293">
        <v>0</v>
      </c>
      <c r="N51" s="293">
        <v>0</v>
      </c>
      <c r="O51" s="293">
        <v>0</v>
      </c>
      <c r="P51" s="129">
        <f t="shared" si="20"/>
        <v>0</v>
      </c>
      <c r="Q51" s="141">
        <v>0</v>
      </c>
      <c r="R51" s="141">
        <v>0</v>
      </c>
      <c r="S51" s="141">
        <v>0</v>
      </c>
      <c r="T51" s="141">
        <v>0</v>
      </c>
      <c r="U51" s="141">
        <v>0</v>
      </c>
      <c r="V51" s="141">
        <v>0</v>
      </c>
      <c r="W51" s="231">
        <v>0</v>
      </c>
      <c r="X51" s="231">
        <v>0</v>
      </c>
      <c r="Y51" s="231">
        <v>0</v>
      </c>
      <c r="Z51" s="231">
        <v>0</v>
      </c>
      <c r="AA51" s="231">
        <v>0</v>
      </c>
      <c r="AB51" s="231">
        <v>0</v>
      </c>
      <c r="AC51" s="117">
        <f t="shared" si="21"/>
        <v>0</v>
      </c>
      <c r="AD51" s="116">
        <f t="shared" si="22"/>
        <v>0</v>
      </c>
      <c r="AE51" s="192" t="e">
        <f t="shared" si="23"/>
        <v>#DIV/0!</v>
      </c>
      <c r="AF51" s="129">
        <v>0</v>
      </c>
      <c r="AG51" s="129">
        <f t="shared" si="2"/>
        <v>0</v>
      </c>
      <c r="AH51" s="129"/>
    </row>
    <row r="52" spans="1:34">
      <c r="A52" s="105" t="s">
        <v>135</v>
      </c>
      <c r="B52" s="105" t="s">
        <v>1035</v>
      </c>
      <c r="C52" s="105" t="s">
        <v>280</v>
      </c>
      <c r="D52" s="293">
        <v>417.97</v>
      </c>
      <c r="E52" s="293">
        <v>417.97</v>
      </c>
      <c r="F52" s="293">
        <v>417.97</v>
      </c>
      <c r="G52" s="293">
        <v>417.97</v>
      </c>
      <c r="H52" s="293">
        <v>417.97</v>
      </c>
      <c r="I52" s="293">
        <v>417.97</v>
      </c>
      <c r="J52" s="293">
        <v>417.97</v>
      </c>
      <c r="K52" s="293">
        <v>417.97</v>
      </c>
      <c r="L52" s="293">
        <v>417.97</v>
      </c>
      <c r="M52" s="293">
        <v>417.97</v>
      </c>
      <c r="N52" s="293">
        <v>417.97</v>
      </c>
      <c r="O52" s="293">
        <v>417.97</v>
      </c>
      <c r="P52" s="129">
        <f t="shared" si="20"/>
        <v>5015.6400000000021</v>
      </c>
      <c r="Q52" s="141">
        <v>363.89</v>
      </c>
      <c r="R52" s="141">
        <v>366.1</v>
      </c>
      <c r="S52" s="141">
        <v>363.89</v>
      </c>
      <c r="T52" s="141">
        <v>363.88</v>
      </c>
      <c r="U52" s="141">
        <v>375.43</v>
      </c>
      <c r="V52" s="141">
        <v>396.46</v>
      </c>
      <c r="W52" s="231">
        <v>379.68</v>
      </c>
      <c r="X52" s="231">
        <v>374.24</v>
      </c>
      <c r="Y52" s="231">
        <v>405</v>
      </c>
      <c r="Z52" s="231">
        <v>405</v>
      </c>
      <c r="AA52" s="231">
        <v>405</v>
      </c>
      <c r="AB52" s="231">
        <v>405</v>
      </c>
      <c r="AC52" s="117">
        <f t="shared" si="21"/>
        <v>4603.57</v>
      </c>
      <c r="AD52" s="116">
        <f t="shared" si="22"/>
        <v>-412.07000000000244</v>
      </c>
      <c r="AE52" s="192">
        <f t="shared" si="23"/>
        <v>-8.9510966489051422E-2</v>
      </c>
      <c r="AF52" s="129">
        <v>10836.619999999999</v>
      </c>
      <c r="AG52" s="129">
        <f t="shared" si="2"/>
        <v>5820.9799999999968</v>
      </c>
      <c r="AH52" s="129"/>
    </row>
    <row r="53" spans="1:34">
      <c r="A53" s="105" t="s">
        <v>136</v>
      </c>
      <c r="B53" s="105" t="s">
        <v>1035</v>
      </c>
      <c r="C53" s="105" t="s">
        <v>282</v>
      </c>
      <c r="D53" s="293">
        <v>0</v>
      </c>
      <c r="E53" s="293">
        <v>0</v>
      </c>
      <c r="F53" s="293">
        <v>0</v>
      </c>
      <c r="G53" s="293">
        <v>0</v>
      </c>
      <c r="H53" s="293">
        <v>0</v>
      </c>
      <c r="I53" s="293">
        <v>0</v>
      </c>
      <c r="J53" s="293">
        <v>0</v>
      </c>
      <c r="K53" s="293">
        <v>0</v>
      </c>
      <c r="L53" s="293">
        <v>0</v>
      </c>
      <c r="M53" s="293">
        <v>0</v>
      </c>
      <c r="N53" s="293">
        <v>0</v>
      </c>
      <c r="O53" s="293">
        <v>0</v>
      </c>
      <c r="P53" s="129">
        <f t="shared" si="20"/>
        <v>0</v>
      </c>
      <c r="Q53" s="141">
        <v>305.52</v>
      </c>
      <c r="R53" s="141">
        <v>371.53</v>
      </c>
      <c r="S53" s="141">
        <v>332.86</v>
      </c>
      <c r="T53" s="141">
        <v>337.24</v>
      </c>
      <c r="U53" s="141">
        <v>317.32</v>
      </c>
      <c r="V53" s="141">
        <v>628.21</v>
      </c>
      <c r="W53" s="231">
        <v>474.12</v>
      </c>
      <c r="X53" s="231">
        <v>598.79</v>
      </c>
      <c r="Y53" s="231">
        <v>0</v>
      </c>
      <c r="Z53" s="231">
        <v>0</v>
      </c>
      <c r="AA53" s="231">
        <v>0</v>
      </c>
      <c r="AB53" s="231">
        <v>0</v>
      </c>
      <c r="AC53" s="117">
        <f t="shared" si="21"/>
        <v>3365.59</v>
      </c>
      <c r="AD53" s="116">
        <f t="shared" si="22"/>
        <v>3365.59</v>
      </c>
      <c r="AE53" s="192">
        <f t="shared" si="23"/>
        <v>1</v>
      </c>
      <c r="AF53" s="129">
        <v>4910.91</v>
      </c>
      <c r="AG53" s="129">
        <f t="shared" si="2"/>
        <v>4910.91</v>
      </c>
      <c r="AH53" s="129"/>
    </row>
    <row r="54" spans="1:34">
      <c r="A54" s="105" t="s">
        <v>137</v>
      </c>
      <c r="B54" s="105" t="s">
        <v>1035</v>
      </c>
      <c r="C54" s="105" t="s">
        <v>283</v>
      </c>
      <c r="D54" s="293">
        <v>0</v>
      </c>
      <c r="E54" s="293">
        <v>0</v>
      </c>
      <c r="F54" s="293">
        <v>0</v>
      </c>
      <c r="G54" s="293">
        <v>0</v>
      </c>
      <c r="H54" s="293">
        <v>0</v>
      </c>
      <c r="I54" s="293">
        <v>0</v>
      </c>
      <c r="J54" s="293">
        <v>0</v>
      </c>
      <c r="K54" s="293">
        <v>0</v>
      </c>
      <c r="L54" s="293">
        <v>0</v>
      </c>
      <c r="M54" s="293">
        <v>0</v>
      </c>
      <c r="N54" s="293">
        <v>0</v>
      </c>
      <c r="O54" s="293">
        <v>0</v>
      </c>
      <c r="P54" s="129">
        <f t="shared" si="20"/>
        <v>0</v>
      </c>
      <c r="Q54" s="141">
        <v>0</v>
      </c>
      <c r="R54" s="141">
        <v>0</v>
      </c>
      <c r="S54" s="141">
        <v>0</v>
      </c>
      <c r="T54" s="141">
        <v>0</v>
      </c>
      <c r="U54" s="141">
        <v>0</v>
      </c>
      <c r="V54" s="141">
        <v>0</v>
      </c>
      <c r="W54" s="231">
        <v>0</v>
      </c>
      <c r="X54" s="231">
        <v>0</v>
      </c>
      <c r="Y54" s="231">
        <v>0</v>
      </c>
      <c r="Z54" s="231">
        <v>0</v>
      </c>
      <c r="AA54" s="231">
        <v>0</v>
      </c>
      <c r="AB54" s="231">
        <v>0</v>
      </c>
      <c r="AC54" s="117">
        <f t="shared" si="21"/>
        <v>0</v>
      </c>
      <c r="AD54" s="116">
        <f t="shared" si="22"/>
        <v>0</v>
      </c>
      <c r="AE54" s="192" t="e">
        <f t="shared" si="23"/>
        <v>#DIV/0!</v>
      </c>
      <c r="AF54" s="129">
        <v>0</v>
      </c>
      <c r="AG54" s="129">
        <f t="shared" si="2"/>
        <v>0</v>
      </c>
      <c r="AH54" s="129"/>
    </row>
    <row r="55" spans="1:34">
      <c r="A55" s="105" t="s">
        <v>138</v>
      </c>
      <c r="B55" s="105" t="s">
        <v>1035</v>
      </c>
      <c r="C55" s="105" t="s">
        <v>881</v>
      </c>
      <c r="D55" s="293">
        <v>0</v>
      </c>
      <c r="E55" s="293">
        <v>0</v>
      </c>
      <c r="F55" s="293">
        <v>0</v>
      </c>
      <c r="G55" s="293">
        <v>0</v>
      </c>
      <c r="H55" s="293">
        <v>0</v>
      </c>
      <c r="I55" s="293">
        <v>0</v>
      </c>
      <c r="J55" s="293">
        <v>0</v>
      </c>
      <c r="K55" s="293">
        <v>0</v>
      </c>
      <c r="L55" s="293">
        <v>0</v>
      </c>
      <c r="M55" s="293">
        <v>0</v>
      </c>
      <c r="N55" s="293">
        <v>0</v>
      </c>
      <c r="O55" s="293">
        <v>0</v>
      </c>
      <c r="P55" s="129">
        <f t="shared" si="20"/>
        <v>0</v>
      </c>
      <c r="Q55" s="141">
        <v>0</v>
      </c>
      <c r="R55" s="141">
        <v>0</v>
      </c>
      <c r="S55" s="141">
        <v>0</v>
      </c>
      <c r="T55" s="141">
        <v>0</v>
      </c>
      <c r="U55" s="141">
        <v>0</v>
      </c>
      <c r="V55" s="141">
        <v>0</v>
      </c>
      <c r="W55" s="231">
        <v>0</v>
      </c>
      <c r="X55" s="231">
        <v>0</v>
      </c>
      <c r="Y55" s="231">
        <v>0</v>
      </c>
      <c r="Z55" s="231">
        <v>0</v>
      </c>
      <c r="AA55" s="231">
        <v>0</v>
      </c>
      <c r="AB55" s="231">
        <v>0</v>
      </c>
      <c r="AC55" s="117">
        <f t="shared" si="21"/>
        <v>0</v>
      </c>
      <c r="AD55" s="116">
        <f t="shared" si="22"/>
        <v>0</v>
      </c>
      <c r="AE55" s="192" t="e">
        <f t="shared" si="23"/>
        <v>#DIV/0!</v>
      </c>
      <c r="AF55" s="129">
        <v>0</v>
      </c>
      <c r="AG55" s="129">
        <f t="shared" si="2"/>
        <v>0</v>
      </c>
      <c r="AH55" s="129"/>
    </row>
    <row r="56" spans="1:34" s="109" customFormat="1">
      <c r="C56" s="109" t="s">
        <v>523</v>
      </c>
      <c r="D56" s="129">
        <f>SUM(D48:D55)</f>
        <v>417.97</v>
      </c>
      <c r="E56" s="129">
        <f t="shared" ref="E56:AC56" si="24">SUM(E48:E55)</f>
        <v>417.97</v>
      </c>
      <c r="F56" s="129">
        <f t="shared" si="24"/>
        <v>417.97</v>
      </c>
      <c r="G56" s="129">
        <f t="shared" si="24"/>
        <v>417.97</v>
      </c>
      <c r="H56" s="129">
        <f t="shared" si="24"/>
        <v>417.97</v>
      </c>
      <c r="I56" s="129">
        <f t="shared" si="24"/>
        <v>417.97</v>
      </c>
      <c r="J56" s="129">
        <f t="shared" si="24"/>
        <v>417.97</v>
      </c>
      <c r="K56" s="129">
        <f t="shared" si="24"/>
        <v>417.97</v>
      </c>
      <c r="L56" s="129">
        <f t="shared" si="24"/>
        <v>417.97</v>
      </c>
      <c r="M56" s="129">
        <f t="shared" si="24"/>
        <v>417.97</v>
      </c>
      <c r="N56" s="129">
        <f t="shared" si="24"/>
        <v>417.97</v>
      </c>
      <c r="O56" s="129">
        <f t="shared" si="24"/>
        <v>417.97</v>
      </c>
      <c r="P56" s="129">
        <f t="shared" si="24"/>
        <v>5015.6400000000021</v>
      </c>
      <c r="Q56" s="142">
        <f t="shared" si="24"/>
        <v>669.41</v>
      </c>
      <c r="R56" s="142">
        <f t="shared" si="24"/>
        <v>737.63</v>
      </c>
      <c r="S56" s="142">
        <f t="shared" si="24"/>
        <v>696.75</v>
      </c>
      <c r="T56" s="142">
        <f t="shared" si="24"/>
        <v>701.12</v>
      </c>
      <c r="U56" s="142">
        <f t="shared" si="24"/>
        <v>692.75</v>
      </c>
      <c r="V56" s="142">
        <f t="shared" si="24"/>
        <v>1024.67</v>
      </c>
      <c r="W56" s="142">
        <f t="shared" si="24"/>
        <v>853.8</v>
      </c>
      <c r="X56" s="142">
        <f t="shared" si="24"/>
        <v>973.03</v>
      </c>
      <c r="Y56" s="142">
        <f t="shared" si="24"/>
        <v>405</v>
      </c>
      <c r="Z56" s="142">
        <f t="shared" si="24"/>
        <v>405</v>
      </c>
      <c r="AA56" s="142">
        <f t="shared" si="24"/>
        <v>405</v>
      </c>
      <c r="AB56" s="142">
        <f t="shared" si="24"/>
        <v>405</v>
      </c>
      <c r="AC56" s="142">
        <f t="shared" si="24"/>
        <v>7969.16</v>
      </c>
      <c r="AD56" s="117">
        <f t="shared" si="22"/>
        <v>2953.5199999999977</v>
      </c>
      <c r="AE56" s="132">
        <f t="shared" si="23"/>
        <v>0.37061873522428934</v>
      </c>
      <c r="AF56" s="129">
        <v>15747.529999999999</v>
      </c>
      <c r="AG56" s="129">
        <f t="shared" si="2"/>
        <v>10731.889999999996</v>
      </c>
      <c r="AH56" s="129"/>
    </row>
    <row r="57" spans="1:34" s="109" customFormat="1">
      <c r="C57" s="109" t="s">
        <v>524</v>
      </c>
      <c r="D57" s="129">
        <f t="shared" ref="D57:AC57" si="25">D29+D36+D46+D56</f>
        <v>119474.04000000001</v>
      </c>
      <c r="E57" s="129">
        <f t="shared" si="25"/>
        <v>107318.80000000002</v>
      </c>
      <c r="F57" s="129">
        <f t="shared" si="25"/>
        <v>109253.1</v>
      </c>
      <c r="G57" s="129">
        <f t="shared" si="25"/>
        <v>112489.51000000001</v>
      </c>
      <c r="H57" s="129">
        <f t="shared" si="25"/>
        <v>118370.05000000002</v>
      </c>
      <c r="I57" s="129">
        <f t="shared" si="25"/>
        <v>109253.1</v>
      </c>
      <c r="J57" s="345">
        <f t="shared" si="25"/>
        <v>109745.07</v>
      </c>
      <c r="K57" s="345">
        <f t="shared" si="25"/>
        <v>109655.51000000001</v>
      </c>
      <c r="L57" s="345">
        <f t="shared" si="25"/>
        <v>109655.51000000001</v>
      </c>
      <c r="M57" s="345">
        <f t="shared" si="25"/>
        <v>122404.13</v>
      </c>
      <c r="N57" s="345">
        <f t="shared" si="25"/>
        <v>109745.07</v>
      </c>
      <c r="O57" s="345">
        <f t="shared" si="25"/>
        <v>109655.51000000001</v>
      </c>
      <c r="P57" s="129">
        <f t="shared" si="25"/>
        <v>1347019.4</v>
      </c>
      <c r="Q57" s="142">
        <f t="shared" si="25"/>
        <v>117718.62</v>
      </c>
      <c r="R57" s="142">
        <f t="shared" si="25"/>
        <v>125384.68</v>
      </c>
      <c r="S57" s="142">
        <f t="shared" si="25"/>
        <v>116692.34</v>
      </c>
      <c r="T57" s="142">
        <f t="shared" si="25"/>
        <v>115596.79999999999</v>
      </c>
      <c r="U57" s="142">
        <f t="shared" si="25"/>
        <v>114842.02</v>
      </c>
      <c r="V57" s="142">
        <f t="shared" si="25"/>
        <v>116405.11</v>
      </c>
      <c r="W57" s="142">
        <f t="shared" si="25"/>
        <v>110303.44</v>
      </c>
      <c r="X57" s="142">
        <f t="shared" si="25"/>
        <v>110386.60999999999</v>
      </c>
      <c r="Y57" s="142">
        <f t="shared" si="25"/>
        <v>111485.67</v>
      </c>
      <c r="Z57" s="142">
        <f t="shared" si="25"/>
        <v>118054.67</v>
      </c>
      <c r="AA57" s="142">
        <f t="shared" si="25"/>
        <v>108200.67</v>
      </c>
      <c r="AB57" s="142">
        <f t="shared" si="25"/>
        <v>108200.67</v>
      </c>
      <c r="AC57" s="142">
        <f t="shared" si="25"/>
        <v>1373271.2999999998</v>
      </c>
      <c r="AD57" s="117">
        <f t="shared" si="22"/>
        <v>26251.899999999907</v>
      </c>
      <c r="AE57" s="132">
        <f t="shared" si="23"/>
        <v>1.9116324647576857E-2</v>
      </c>
      <c r="AF57" s="129">
        <v>1523163.6900000002</v>
      </c>
      <c r="AG57" s="129">
        <f t="shared" si="2"/>
        <v>176144.29000000027</v>
      </c>
      <c r="AH57" s="129"/>
    </row>
    <row r="58" spans="1:34">
      <c r="C58" s="105" t="s">
        <v>154</v>
      </c>
      <c r="P58" s="142"/>
      <c r="AE58" s="192"/>
      <c r="AF58" s="129"/>
      <c r="AG58" s="129">
        <f t="shared" si="2"/>
        <v>0</v>
      </c>
      <c r="AH58" s="129"/>
    </row>
    <row r="59" spans="1:34" s="109" customFormat="1">
      <c r="A59" s="109" t="s">
        <v>141</v>
      </c>
      <c r="B59" s="109" t="s">
        <v>1035</v>
      </c>
      <c r="C59" s="109" t="s">
        <v>142</v>
      </c>
      <c r="D59" s="215">
        <v>13</v>
      </c>
      <c r="E59" s="215">
        <v>13</v>
      </c>
      <c r="F59" s="215">
        <v>13</v>
      </c>
      <c r="G59" s="215">
        <v>13</v>
      </c>
      <c r="H59" s="215">
        <v>13</v>
      </c>
      <c r="I59" s="215">
        <v>13</v>
      </c>
      <c r="J59" s="215">
        <v>13</v>
      </c>
      <c r="K59" s="215">
        <v>13</v>
      </c>
      <c r="L59" s="215">
        <v>13</v>
      </c>
      <c r="M59" s="215">
        <v>13</v>
      </c>
      <c r="N59" s="215">
        <v>13</v>
      </c>
      <c r="O59" s="215">
        <v>13</v>
      </c>
      <c r="P59" s="352">
        <f>SUM(D59:O59)/12</f>
        <v>13</v>
      </c>
      <c r="Q59" s="352">
        <v>14</v>
      </c>
      <c r="R59" s="352">
        <v>14</v>
      </c>
      <c r="S59" s="352">
        <v>14</v>
      </c>
      <c r="T59" s="352">
        <v>14</v>
      </c>
      <c r="U59" s="352">
        <v>14</v>
      </c>
      <c r="V59" s="352">
        <v>15</v>
      </c>
      <c r="W59" s="145">
        <v>14</v>
      </c>
      <c r="X59" s="145">
        <v>14</v>
      </c>
      <c r="Y59" s="145">
        <v>15</v>
      </c>
      <c r="Z59" s="145">
        <v>15</v>
      </c>
      <c r="AA59" s="145">
        <v>15</v>
      </c>
      <c r="AB59" s="145">
        <v>15</v>
      </c>
      <c r="AC59" s="353">
        <f>SUM(Q59:AB59)/12</f>
        <v>14.416666666666666</v>
      </c>
      <c r="AD59" s="142">
        <f>AC59-P59</f>
        <v>1.4166666666666661</v>
      </c>
      <c r="AE59" s="354">
        <f>AD59/AC59</f>
        <v>9.826589595375719E-2</v>
      </c>
      <c r="AF59" s="142">
        <v>22</v>
      </c>
      <c r="AG59" s="142">
        <f t="shared" si="2"/>
        <v>9</v>
      </c>
      <c r="AH59" s="129"/>
    </row>
    <row r="62" spans="1:34">
      <c r="C62" s="151" t="s">
        <v>292</v>
      </c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9">
        <f t="shared" ref="P62:P64" si="26">SUM(D62:O62)</f>
        <v>0</v>
      </c>
    </row>
    <row r="63" spans="1:34">
      <c r="C63" s="152" t="s">
        <v>366</v>
      </c>
      <c r="D63" s="124">
        <v>6897.619999999999</v>
      </c>
      <c r="E63" s="124">
        <v>2801.0699999999997</v>
      </c>
      <c r="F63" s="124">
        <v>3296.0699999999997</v>
      </c>
      <c r="G63" s="124">
        <v>4289.18</v>
      </c>
      <c r="H63" s="124">
        <v>5682.2799999999988</v>
      </c>
      <c r="I63" s="124">
        <v>3296.0699999999997</v>
      </c>
      <c r="J63" s="124">
        <v>3615.2000000000007</v>
      </c>
      <c r="K63" s="124">
        <v>3344.9399999999987</v>
      </c>
      <c r="L63" s="124">
        <v>3344.9399999999987</v>
      </c>
      <c r="M63" s="124">
        <v>6420.7999999999993</v>
      </c>
      <c r="N63" s="124">
        <v>3615.2000000000007</v>
      </c>
      <c r="O63" s="124">
        <v>3344.9399999999987</v>
      </c>
      <c r="P63" s="129">
        <f t="shared" si="26"/>
        <v>49948.31</v>
      </c>
    </row>
    <row r="64" spans="1:34">
      <c r="C64" s="151" t="s">
        <v>367</v>
      </c>
      <c r="D64" s="136">
        <v>0</v>
      </c>
      <c r="E64" s="136">
        <v>0</v>
      </c>
      <c r="F64" s="136">
        <v>0</v>
      </c>
      <c r="G64" s="136">
        <v>0</v>
      </c>
      <c r="H64" s="136">
        <v>0</v>
      </c>
      <c r="I64" s="136">
        <v>0</v>
      </c>
      <c r="J64" s="136">
        <v>0</v>
      </c>
      <c r="K64" s="136">
        <v>0</v>
      </c>
      <c r="L64" s="136">
        <v>0</v>
      </c>
      <c r="M64" s="136">
        <v>0</v>
      </c>
      <c r="N64" s="136">
        <v>0</v>
      </c>
      <c r="O64" s="136">
        <v>0</v>
      </c>
      <c r="P64" s="129">
        <f t="shared" si="26"/>
        <v>0</v>
      </c>
    </row>
    <row r="65" spans="3:30">
      <c r="C65" s="109" t="s">
        <v>476</v>
      </c>
      <c r="D65" s="117">
        <f>SUM(D62:D64)</f>
        <v>6897.619999999999</v>
      </c>
      <c r="E65" s="117">
        <f t="shared" ref="E65:P65" si="27">SUM(E62:E64)</f>
        <v>2801.0699999999997</v>
      </c>
      <c r="F65" s="117">
        <f t="shared" si="27"/>
        <v>3296.0699999999997</v>
      </c>
      <c r="G65" s="117">
        <f t="shared" si="27"/>
        <v>4289.18</v>
      </c>
      <c r="H65" s="117">
        <f t="shared" si="27"/>
        <v>5682.2799999999988</v>
      </c>
      <c r="I65" s="117">
        <f t="shared" si="27"/>
        <v>3296.0699999999997</v>
      </c>
      <c r="J65" s="117">
        <f t="shared" si="27"/>
        <v>3615.2000000000007</v>
      </c>
      <c r="K65" s="117">
        <f t="shared" si="27"/>
        <v>3344.9399999999987</v>
      </c>
      <c r="L65" s="117">
        <f t="shared" si="27"/>
        <v>3344.9399999999987</v>
      </c>
      <c r="M65" s="117">
        <f t="shared" si="27"/>
        <v>6420.7999999999993</v>
      </c>
      <c r="N65" s="117">
        <f t="shared" si="27"/>
        <v>3615.2000000000007</v>
      </c>
      <c r="O65" s="117">
        <f t="shared" si="27"/>
        <v>3344.9399999999987</v>
      </c>
      <c r="P65" s="117">
        <f t="shared" si="27"/>
        <v>49948.31</v>
      </c>
    </row>
    <row r="69" spans="3:30">
      <c r="C69" s="106" t="s">
        <v>1037</v>
      </c>
      <c r="D69" s="106"/>
      <c r="L69" s="106"/>
      <c r="M69" s="106"/>
      <c r="P69" s="106" t="s">
        <v>1038</v>
      </c>
      <c r="Q69" s="106" t="s">
        <v>1039</v>
      </c>
      <c r="R69" s="106" t="s">
        <v>1040</v>
      </c>
      <c r="S69" s="106" t="s">
        <v>1041</v>
      </c>
    </row>
    <row r="70" spans="3:30">
      <c r="C70" s="105" t="s">
        <v>1042</v>
      </c>
      <c r="D70" s="124">
        <v>26</v>
      </c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355">
        <f>D70</f>
        <v>26</v>
      </c>
      <c r="Q70" s="304">
        <f>P70/$P$117</f>
        <v>8.9965397923875437E-2</v>
      </c>
      <c r="R70" s="124"/>
      <c r="S70" s="304">
        <f>R70/P70</f>
        <v>0</v>
      </c>
      <c r="AC70" s="129">
        <v>53</v>
      </c>
      <c r="AD70" s="124">
        <f>+AC70-P70</f>
        <v>27</v>
      </c>
    </row>
    <row r="71" spans="3:30">
      <c r="C71" s="105" t="s">
        <v>1043</v>
      </c>
      <c r="D71" s="124">
        <v>30</v>
      </c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355">
        <f t="shared" ref="P71:P114" si="28">D71</f>
        <v>30</v>
      </c>
      <c r="Q71" s="304">
        <f t="shared" ref="Q71:Q114" si="29">P71/$P$117</f>
        <v>0.10380622837370242</v>
      </c>
      <c r="R71" s="124"/>
      <c r="S71" s="304">
        <f t="shared" ref="S71:S114" si="30">R71/P71</f>
        <v>0</v>
      </c>
      <c r="AC71" s="129">
        <v>49</v>
      </c>
      <c r="AD71" s="124">
        <f t="shared" ref="AD71:AD114" si="31">+AC71-P71</f>
        <v>19</v>
      </c>
    </row>
    <row r="72" spans="3:30">
      <c r="C72" s="105" t="s">
        <v>1044</v>
      </c>
      <c r="D72" s="124">
        <v>8</v>
      </c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355">
        <f t="shared" si="28"/>
        <v>8</v>
      </c>
      <c r="Q72" s="304">
        <f t="shared" si="29"/>
        <v>2.768166089965398E-2</v>
      </c>
      <c r="R72" s="124"/>
      <c r="S72" s="304">
        <f t="shared" si="30"/>
        <v>0</v>
      </c>
      <c r="AC72" s="129">
        <v>7</v>
      </c>
      <c r="AD72" s="124">
        <f t="shared" si="31"/>
        <v>-1</v>
      </c>
    </row>
    <row r="73" spans="3:30">
      <c r="C73" s="105" t="s">
        <v>1045</v>
      </c>
      <c r="D73" s="124">
        <v>0</v>
      </c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355">
        <f t="shared" si="28"/>
        <v>0</v>
      </c>
      <c r="Q73" s="304">
        <f t="shared" si="29"/>
        <v>0</v>
      </c>
      <c r="R73" s="124"/>
      <c r="S73" s="304"/>
      <c r="AC73" s="129">
        <v>0</v>
      </c>
      <c r="AD73" s="124">
        <f t="shared" si="31"/>
        <v>0</v>
      </c>
    </row>
    <row r="74" spans="3:30">
      <c r="C74" s="105" t="s">
        <v>1046</v>
      </c>
      <c r="D74" s="124">
        <v>6</v>
      </c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355">
        <f t="shared" si="28"/>
        <v>6</v>
      </c>
      <c r="Q74" s="304">
        <f t="shared" si="29"/>
        <v>2.0761245674740483E-2</v>
      </c>
      <c r="R74" s="124"/>
      <c r="S74" s="304">
        <f t="shared" si="30"/>
        <v>0</v>
      </c>
      <c r="AC74" s="129">
        <v>32</v>
      </c>
      <c r="AD74" s="124">
        <f t="shared" si="31"/>
        <v>26</v>
      </c>
    </row>
    <row r="75" spans="3:30">
      <c r="C75" s="105" t="s">
        <v>1047</v>
      </c>
      <c r="D75" s="124">
        <v>13</v>
      </c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355">
        <f t="shared" si="28"/>
        <v>13</v>
      </c>
      <c r="Q75" s="304">
        <f t="shared" si="29"/>
        <v>4.4982698961937718E-2</v>
      </c>
      <c r="R75" s="124"/>
      <c r="S75" s="304">
        <f t="shared" si="30"/>
        <v>0</v>
      </c>
      <c r="AC75" s="129">
        <v>37</v>
      </c>
      <c r="AD75" s="124">
        <f t="shared" si="31"/>
        <v>24</v>
      </c>
    </row>
    <row r="76" spans="3:30">
      <c r="C76" s="105" t="s">
        <v>1048</v>
      </c>
      <c r="D76" s="124">
        <v>1</v>
      </c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355">
        <f t="shared" si="28"/>
        <v>1</v>
      </c>
      <c r="Q76" s="304">
        <f t="shared" si="29"/>
        <v>3.4602076124567475E-3</v>
      </c>
      <c r="R76" s="124"/>
      <c r="S76" s="304">
        <f t="shared" si="30"/>
        <v>0</v>
      </c>
      <c r="AC76" s="129">
        <v>3</v>
      </c>
      <c r="AD76" s="124">
        <f t="shared" si="31"/>
        <v>2</v>
      </c>
    </row>
    <row r="77" spans="3:30">
      <c r="C77" s="105" t="s">
        <v>1049</v>
      </c>
      <c r="D77" s="124">
        <v>0</v>
      </c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355">
        <f t="shared" si="28"/>
        <v>0</v>
      </c>
      <c r="Q77" s="304">
        <f t="shared" si="29"/>
        <v>0</v>
      </c>
      <c r="R77" s="124"/>
      <c r="S77" s="304"/>
      <c r="AC77" s="129">
        <v>0</v>
      </c>
      <c r="AD77" s="124">
        <f t="shared" si="31"/>
        <v>0</v>
      </c>
    </row>
    <row r="78" spans="3:30">
      <c r="C78" s="105" t="s">
        <v>1050</v>
      </c>
      <c r="D78" s="124">
        <v>5</v>
      </c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355">
        <f t="shared" si="28"/>
        <v>5</v>
      </c>
      <c r="Q78" s="304">
        <f t="shared" si="29"/>
        <v>1.7301038062283738E-2</v>
      </c>
      <c r="R78" s="124"/>
      <c r="S78" s="304">
        <f t="shared" si="30"/>
        <v>0</v>
      </c>
      <c r="AC78" s="129">
        <v>24</v>
      </c>
      <c r="AD78" s="124">
        <f t="shared" si="31"/>
        <v>19</v>
      </c>
    </row>
    <row r="79" spans="3:30">
      <c r="C79" s="105" t="s">
        <v>1051</v>
      </c>
      <c r="D79" s="124">
        <v>9</v>
      </c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355">
        <f t="shared" si="28"/>
        <v>9</v>
      </c>
      <c r="Q79" s="304">
        <f t="shared" si="29"/>
        <v>3.1141868512110725E-2</v>
      </c>
      <c r="R79" s="124"/>
      <c r="S79" s="304">
        <f t="shared" si="30"/>
        <v>0</v>
      </c>
      <c r="AC79" s="129">
        <v>23</v>
      </c>
      <c r="AD79" s="124">
        <f t="shared" si="31"/>
        <v>14</v>
      </c>
    </row>
    <row r="80" spans="3:30">
      <c r="C80" s="105" t="s">
        <v>1052</v>
      </c>
      <c r="D80" s="124">
        <v>4</v>
      </c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355">
        <f t="shared" si="28"/>
        <v>4</v>
      </c>
      <c r="Q80" s="304">
        <f t="shared" si="29"/>
        <v>1.384083044982699E-2</v>
      </c>
      <c r="R80" s="124"/>
      <c r="S80" s="304">
        <f t="shared" si="30"/>
        <v>0</v>
      </c>
      <c r="AC80" s="129">
        <v>9</v>
      </c>
      <c r="AD80" s="124">
        <f t="shared" si="31"/>
        <v>5</v>
      </c>
    </row>
    <row r="81" spans="3:30">
      <c r="C81" s="105" t="s">
        <v>1053</v>
      </c>
      <c r="D81" s="124">
        <v>8</v>
      </c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355">
        <f t="shared" si="28"/>
        <v>8</v>
      </c>
      <c r="Q81" s="304">
        <f t="shared" si="29"/>
        <v>2.768166089965398E-2</v>
      </c>
      <c r="R81" s="124"/>
      <c r="S81" s="304">
        <f t="shared" si="30"/>
        <v>0</v>
      </c>
      <c r="AC81" s="129">
        <v>14</v>
      </c>
      <c r="AD81" s="124">
        <f t="shared" si="31"/>
        <v>6</v>
      </c>
    </row>
    <row r="82" spans="3:30">
      <c r="C82" s="105" t="s">
        <v>1054</v>
      </c>
      <c r="D82" s="124">
        <v>5</v>
      </c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355">
        <f t="shared" si="28"/>
        <v>5</v>
      </c>
      <c r="Q82" s="304">
        <f t="shared" si="29"/>
        <v>1.7301038062283738E-2</v>
      </c>
      <c r="R82" s="124"/>
      <c r="S82" s="304">
        <f t="shared" si="30"/>
        <v>0</v>
      </c>
      <c r="AC82" s="129">
        <v>14</v>
      </c>
      <c r="AD82" s="124">
        <f t="shared" si="31"/>
        <v>9</v>
      </c>
    </row>
    <row r="83" spans="3:30">
      <c r="C83" s="105" t="s">
        <v>1055</v>
      </c>
      <c r="D83" s="124">
        <v>6</v>
      </c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355">
        <f t="shared" si="28"/>
        <v>6</v>
      </c>
      <c r="Q83" s="304">
        <f t="shared" si="29"/>
        <v>2.0761245674740483E-2</v>
      </c>
      <c r="R83" s="124"/>
      <c r="S83" s="304">
        <f t="shared" si="30"/>
        <v>0</v>
      </c>
      <c r="AC83" s="129">
        <v>14</v>
      </c>
      <c r="AD83" s="124">
        <f t="shared" si="31"/>
        <v>8</v>
      </c>
    </row>
    <row r="84" spans="3:30">
      <c r="C84" s="105" t="s">
        <v>1056</v>
      </c>
      <c r="D84" s="124">
        <v>3</v>
      </c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355">
        <f t="shared" si="28"/>
        <v>3</v>
      </c>
      <c r="Q84" s="304">
        <f t="shared" si="29"/>
        <v>1.0380622837370242E-2</v>
      </c>
      <c r="R84" s="124"/>
      <c r="S84" s="304">
        <f t="shared" si="30"/>
        <v>0</v>
      </c>
      <c r="AC84" s="129">
        <v>8</v>
      </c>
      <c r="AD84" s="124">
        <f t="shared" si="31"/>
        <v>5</v>
      </c>
    </row>
    <row r="85" spans="3:30">
      <c r="C85" s="105" t="s">
        <v>1057</v>
      </c>
      <c r="D85" s="124">
        <v>5</v>
      </c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355">
        <f t="shared" si="28"/>
        <v>5</v>
      </c>
      <c r="Q85" s="304">
        <f t="shared" si="29"/>
        <v>1.7301038062283738E-2</v>
      </c>
      <c r="R85" s="124"/>
      <c r="S85" s="304">
        <f t="shared" si="30"/>
        <v>0</v>
      </c>
      <c r="AC85" s="129">
        <v>20</v>
      </c>
      <c r="AD85" s="124">
        <f t="shared" si="31"/>
        <v>15</v>
      </c>
    </row>
    <row r="86" spans="3:30">
      <c r="C86" s="105" t="s">
        <v>1058</v>
      </c>
      <c r="D86" s="124">
        <v>3</v>
      </c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355">
        <f t="shared" si="28"/>
        <v>3</v>
      </c>
      <c r="Q86" s="304">
        <f t="shared" si="29"/>
        <v>1.0380622837370242E-2</v>
      </c>
      <c r="R86" s="124"/>
      <c r="S86" s="304">
        <f t="shared" si="30"/>
        <v>0</v>
      </c>
      <c r="AC86" s="129">
        <v>12</v>
      </c>
      <c r="AD86" s="124">
        <f t="shared" si="31"/>
        <v>9</v>
      </c>
    </row>
    <row r="87" spans="3:30">
      <c r="C87" s="105" t="s">
        <v>1059</v>
      </c>
      <c r="D87" s="124">
        <v>6</v>
      </c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355">
        <f t="shared" si="28"/>
        <v>6</v>
      </c>
      <c r="Q87" s="304">
        <f t="shared" si="29"/>
        <v>2.0761245674740483E-2</v>
      </c>
      <c r="R87" s="124"/>
      <c r="S87" s="304">
        <f t="shared" si="30"/>
        <v>0</v>
      </c>
      <c r="AC87" s="129">
        <v>10</v>
      </c>
      <c r="AD87" s="124">
        <f t="shared" si="31"/>
        <v>4</v>
      </c>
    </row>
    <row r="88" spans="3:30">
      <c r="C88" s="105" t="s">
        <v>1060</v>
      </c>
      <c r="D88" s="124">
        <v>2</v>
      </c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355">
        <f t="shared" si="28"/>
        <v>2</v>
      </c>
      <c r="Q88" s="304">
        <f t="shared" si="29"/>
        <v>6.920415224913495E-3</v>
      </c>
      <c r="R88" s="124"/>
      <c r="S88" s="304">
        <f t="shared" si="30"/>
        <v>0</v>
      </c>
      <c r="AC88" s="129">
        <v>4</v>
      </c>
      <c r="AD88" s="124">
        <f t="shared" si="31"/>
        <v>2</v>
      </c>
    </row>
    <row r="89" spans="3:30">
      <c r="C89" s="105" t="s">
        <v>1061</v>
      </c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355">
        <f t="shared" si="28"/>
        <v>0</v>
      </c>
      <c r="Q89" s="304">
        <f t="shared" si="29"/>
        <v>0</v>
      </c>
      <c r="R89" s="124"/>
      <c r="S89" s="304"/>
      <c r="AC89" s="129">
        <v>0</v>
      </c>
      <c r="AD89" s="124">
        <f t="shared" si="31"/>
        <v>0</v>
      </c>
    </row>
    <row r="90" spans="3:30">
      <c r="C90" s="105" t="s">
        <v>1062</v>
      </c>
      <c r="D90" s="124">
        <v>0</v>
      </c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355">
        <f t="shared" si="28"/>
        <v>0</v>
      </c>
      <c r="Q90" s="304">
        <f t="shared" si="29"/>
        <v>0</v>
      </c>
      <c r="R90" s="124"/>
      <c r="S90" s="304"/>
      <c r="AC90" s="129">
        <v>0</v>
      </c>
      <c r="AD90" s="124">
        <f t="shared" si="31"/>
        <v>0</v>
      </c>
    </row>
    <row r="91" spans="3:30">
      <c r="C91" s="105" t="s">
        <v>1063</v>
      </c>
      <c r="D91" s="124">
        <v>0</v>
      </c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355">
        <f t="shared" si="28"/>
        <v>0</v>
      </c>
      <c r="Q91" s="304">
        <f t="shared" si="29"/>
        <v>0</v>
      </c>
      <c r="R91" s="124"/>
      <c r="S91" s="304"/>
      <c r="AC91" s="129">
        <v>3</v>
      </c>
      <c r="AD91" s="124">
        <f t="shared" si="31"/>
        <v>3</v>
      </c>
    </row>
    <row r="92" spans="3:30">
      <c r="C92" s="105" t="s">
        <v>1064</v>
      </c>
      <c r="D92" s="124">
        <v>4</v>
      </c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355">
        <f t="shared" si="28"/>
        <v>4</v>
      </c>
      <c r="Q92" s="304">
        <f t="shared" si="29"/>
        <v>1.384083044982699E-2</v>
      </c>
      <c r="R92" s="124"/>
      <c r="S92" s="304">
        <f t="shared" si="30"/>
        <v>0</v>
      </c>
      <c r="AC92" s="129">
        <v>8</v>
      </c>
      <c r="AD92" s="124">
        <f t="shared" si="31"/>
        <v>4</v>
      </c>
    </row>
    <row r="93" spans="3:30">
      <c r="C93" s="105" t="s">
        <v>1065</v>
      </c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355">
        <f t="shared" si="28"/>
        <v>0</v>
      </c>
      <c r="Q93" s="304">
        <f t="shared" si="29"/>
        <v>0</v>
      </c>
      <c r="R93" s="124"/>
      <c r="S93" s="304"/>
      <c r="AC93" s="129">
        <v>0</v>
      </c>
      <c r="AD93" s="124">
        <f t="shared" si="31"/>
        <v>0</v>
      </c>
    </row>
    <row r="94" spans="3:30">
      <c r="C94" s="105" t="s">
        <v>1066</v>
      </c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355">
        <f t="shared" si="28"/>
        <v>0</v>
      </c>
      <c r="Q94" s="304">
        <f t="shared" si="29"/>
        <v>0</v>
      </c>
      <c r="R94" s="124"/>
      <c r="S94" s="304"/>
      <c r="AC94" s="129">
        <v>0</v>
      </c>
      <c r="AD94" s="124">
        <f t="shared" si="31"/>
        <v>0</v>
      </c>
    </row>
    <row r="95" spans="3:30">
      <c r="C95" s="105" t="s">
        <v>1067</v>
      </c>
      <c r="D95" s="124">
        <v>2</v>
      </c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355">
        <f t="shared" si="28"/>
        <v>2</v>
      </c>
      <c r="Q95" s="304">
        <f t="shared" si="29"/>
        <v>6.920415224913495E-3</v>
      </c>
      <c r="R95" s="124"/>
      <c r="S95" s="304">
        <f t="shared" si="30"/>
        <v>0</v>
      </c>
      <c r="AC95" s="129">
        <v>6</v>
      </c>
      <c r="AD95" s="124">
        <f t="shared" si="31"/>
        <v>4</v>
      </c>
    </row>
    <row r="96" spans="3:30">
      <c r="C96" s="105" t="s">
        <v>1068</v>
      </c>
      <c r="D96" s="124">
        <v>11</v>
      </c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355">
        <f t="shared" si="28"/>
        <v>11</v>
      </c>
      <c r="Q96" s="304">
        <f t="shared" si="29"/>
        <v>3.8062283737024222E-2</v>
      </c>
      <c r="R96" s="124"/>
      <c r="S96" s="304">
        <f t="shared" si="30"/>
        <v>0</v>
      </c>
      <c r="AC96" s="129">
        <v>23</v>
      </c>
      <c r="AD96" s="124">
        <f t="shared" si="31"/>
        <v>12</v>
      </c>
    </row>
    <row r="97" spans="3:30">
      <c r="C97" s="105" t="s">
        <v>1069</v>
      </c>
      <c r="D97" s="124">
        <v>1</v>
      </c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355">
        <f t="shared" si="28"/>
        <v>1</v>
      </c>
      <c r="Q97" s="304">
        <f t="shared" si="29"/>
        <v>3.4602076124567475E-3</v>
      </c>
      <c r="R97" s="124"/>
      <c r="S97" s="304">
        <f t="shared" si="30"/>
        <v>0</v>
      </c>
      <c r="AC97" s="129">
        <v>4</v>
      </c>
      <c r="AD97" s="124">
        <f t="shared" si="31"/>
        <v>3</v>
      </c>
    </row>
    <row r="98" spans="3:30">
      <c r="C98" s="105" t="s">
        <v>1070</v>
      </c>
      <c r="D98" s="124">
        <v>0</v>
      </c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355">
        <f t="shared" si="28"/>
        <v>0</v>
      </c>
      <c r="Q98" s="304">
        <f t="shared" si="29"/>
        <v>0</v>
      </c>
      <c r="R98" s="124"/>
      <c r="S98" s="304"/>
      <c r="AC98" s="129">
        <v>7</v>
      </c>
      <c r="AD98" s="124">
        <f t="shared" si="31"/>
        <v>7</v>
      </c>
    </row>
    <row r="99" spans="3:30">
      <c r="C99" s="105" t="s">
        <v>1071</v>
      </c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355">
        <f t="shared" si="28"/>
        <v>0</v>
      </c>
      <c r="Q99" s="304">
        <f t="shared" si="29"/>
        <v>0</v>
      </c>
      <c r="R99" s="124"/>
      <c r="S99" s="304"/>
      <c r="AC99" s="129">
        <v>0</v>
      </c>
      <c r="AD99" s="124">
        <f t="shared" si="31"/>
        <v>0</v>
      </c>
    </row>
    <row r="100" spans="3:30">
      <c r="C100" s="105" t="s">
        <v>1072</v>
      </c>
      <c r="D100" s="124">
        <v>28</v>
      </c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355">
        <f t="shared" si="28"/>
        <v>28</v>
      </c>
      <c r="Q100" s="304">
        <f t="shared" si="29"/>
        <v>9.6885813148788927E-2</v>
      </c>
      <c r="R100" s="124"/>
      <c r="S100" s="304">
        <f t="shared" si="30"/>
        <v>0</v>
      </c>
      <c r="AC100" s="129">
        <v>47</v>
      </c>
      <c r="AD100" s="124">
        <f t="shared" si="31"/>
        <v>19</v>
      </c>
    </row>
    <row r="101" spans="3:30">
      <c r="C101" s="105" t="s">
        <v>1073</v>
      </c>
      <c r="D101" s="124">
        <v>3</v>
      </c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355">
        <f t="shared" si="28"/>
        <v>3</v>
      </c>
      <c r="Q101" s="304">
        <f t="shared" si="29"/>
        <v>1.0380622837370242E-2</v>
      </c>
      <c r="R101" s="124"/>
      <c r="S101" s="304">
        <f t="shared" si="30"/>
        <v>0</v>
      </c>
      <c r="AC101" s="129">
        <v>28</v>
      </c>
      <c r="AD101" s="124">
        <f t="shared" si="31"/>
        <v>25</v>
      </c>
    </row>
    <row r="102" spans="3:30">
      <c r="C102" s="105" t="s">
        <v>1074</v>
      </c>
      <c r="D102" s="124">
        <v>1</v>
      </c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355">
        <f t="shared" si="28"/>
        <v>1</v>
      </c>
      <c r="Q102" s="304">
        <f t="shared" si="29"/>
        <v>3.4602076124567475E-3</v>
      </c>
      <c r="R102" s="124"/>
      <c r="S102" s="304">
        <f t="shared" si="30"/>
        <v>0</v>
      </c>
      <c r="AC102" s="129">
        <v>2</v>
      </c>
      <c r="AD102" s="124">
        <f t="shared" si="31"/>
        <v>1</v>
      </c>
    </row>
    <row r="103" spans="3:30">
      <c r="C103" s="105" t="s">
        <v>1075</v>
      </c>
      <c r="D103" s="124">
        <v>0</v>
      </c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355">
        <f t="shared" si="28"/>
        <v>0</v>
      </c>
      <c r="Q103" s="304">
        <f t="shared" si="29"/>
        <v>0</v>
      </c>
      <c r="R103" s="124"/>
      <c r="S103" s="304"/>
      <c r="AC103" s="129">
        <v>0</v>
      </c>
      <c r="AD103" s="124">
        <f t="shared" si="31"/>
        <v>0</v>
      </c>
    </row>
    <row r="104" spans="3:30">
      <c r="C104" s="105" t="s">
        <v>1076</v>
      </c>
      <c r="D104" s="124">
        <v>0</v>
      </c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355">
        <f t="shared" si="28"/>
        <v>0</v>
      </c>
      <c r="Q104" s="304">
        <f t="shared" si="29"/>
        <v>0</v>
      </c>
      <c r="R104" s="124"/>
      <c r="S104" s="304"/>
      <c r="AC104" s="129">
        <v>0</v>
      </c>
      <c r="AD104" s="124">
        <f t="shared" si="31"/>
        <v>0</v>
      </c>
    </row>
    <row r="105" spans="3:30">
      <c r="C105" s="105" t="s">
        <v>1077</v>
      </c>
      <c r="D105" s="124">
        <v>5</v>
      </c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355">
        <f t="shared" si="28"/>
        <v>5</v>
      </c>
      <c r="Q105" s="304">
        <f t="shared" si="29"/>
        <v>1.7301038062283738E-2</v>
      </c>
      <c r="R105" s="124"/>
      <c r="S105" s="304">
        <f t="shared" si="30"/>
        <v>0</v>
      </c>
      <c r="AC105" s="129">
        <v>6</v>
      </c>
      <c r="AD105" s="124">
        <f t="shared" si="31"/>
        <v>1</v>
      </c>
    </row>
    <row r="106" spans="3:30">
      <c r="C106" s="105" t="s">
        <v>1078</v>
      </c>
      <c r="D106" s="124">
        <v>2</v>
      </c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355">
        <f t="shared" si="28"/>
        <v>2</v>
      </c>
      <c r="Q106" s="304">
        <f t="shared" si="29"/>
        <v>6.920415224913495E-3</v>
      </c>
      <c r="R106" s="124"/>
      <c r="S106" s="304">
        <f t="shared" si="30"/>
        <v>0</v>
      </c>
      <c r="AC106" s="129">
        <v>3</v>
      </c>
      <c r="AD106" s="124">
        <f t="shared" si="31"/>
        <v>1</v>
      </c>
    </row>
    <row r="107" spans="3:30">
      <c r="C107" s="105" t="s">
        <v>1079</v>
      </c>
      <c r="D107" s="124">
        <v>23</v>
      </c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355">
        <f t="shared" si="28"/>
        <v>23</v>
      </c>
      <c r="Q107" s="304">
        <f t="shared" si="29"/>
        <v>7.9584775086505188E-2</v>
      </c>
      <c r="R107" s="124"/>
      <c r="S107" s="304">
        <f t="shared" si="30"/>
        <v>0</v>
      </c>
      <c r="AC107" s="129">
        <v>17</v>
      </c>
      <c r="AD107" s="124">
        <f t="shared" si="31"/>
        <v>-6</v>
      </c>
    </row>
    <row r="108" spans="3:30">
      <c r="C108" s="105" t="s">
        <v>1080</v>
      </c>
      <c r="D108" s="124">
        <v>7</v>
      </c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355">
        <f t="shared" si="28"/>
        <v>7</v>
      </c>
      <c r="Q108" s="304">
        <f t="shared" si="29"/>
        <v>2.4221453287197232E-2</v>
      </c>
      <c r="R108" s="124"/>
      <c r="S108" s="304">
        <f t="shared" si="30"/>
        <v>0</v>
      </c>
      <c r="AC108" s="129">
        <v>11</v>
      </c>
      <c r="AD108" s="124">
        <f t="shared" si="31"/>
        <v>4</v>
      </c>
    </row>
    <row r="109" spans="3:30">
      <c r="C109" s="105" t="s">
        <v>1081</v>
      </c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355">
        <f t="shared" si="28"/>
        <v>0</v>
      </c>
      <c r="Q109" s="304">
        <f t="shared" si="29"/>
        <v>0</v>
      </c>
      <c r="R109" s="124"/>
      <c r="S109" s="304"/>
      <c r="AC109" s="129">
        <v>0</v>
      </c>
      <c r="AD109" s="124">
        <f t="shared" si="31"/>
        <v>0</v>
      </c>
    </row>
    <row r="110" spans="3:30">
      <c r="C110" s="105" t="s">
        <v>1082</v>
      </c>
      <c r="D110" s="124">
        <v>1</v>
      </c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355">
        <f t="shared" si="28"/>
        <v>1</v>
      </c>
      <c r="Q110" s="304">
        <f t="shared" si="29"/>
        <v>3.4602076124567475E-3</v>
      </c>
      <c r="R110" s="124"/>
      <c r="S110" s="304">
        <f t="shared" si="30"/>
        <v>0</v>
      </c>
      <c r="AC110" s="129">
        <v>3</v>
      </c>
      <c r="AD110" s="124">
        <f t="shared" si="31"/>
        <v>2</v>
      </c>
    </row>
    <row r="111" spans="3:30">
      <c r="C111" s="105" t="s">
        <v>1083</v>
      </c>
      <c r="D111" s="124">
        <v>15</v>
      </c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355">
        <f t="shared" si="28"/>
        <v>15</v>
      </c>
      <c r="Q111" s="304">
        <f t="shared" si="29"/>
        <v>5.1903114186851208E-2</v>
      </c>
      <c r="R111" s="124"/>
      <c r="S111" s="304">
        <f t="shared" si="30"/>
        <v>0</v>
      </c>
      <c r="AC111" s="129">
        <v>25</v>
      </c>
      <c r="AD111" s="124">
        <f t="shared" si="31"/>
        <v>10</v>
      </c>
    </row>
    <row r="112" spans="3:30">
      <c r="C112" s="105" t="s">
        <v>1084</v>
      </c>
      <c r="D112" s="124">
        <v>3</v>
      </c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355">
        <f t="shared" si="28"/>
        <v>3</v>
      </c>
      <c r="Q112" s="304">
        <f t="shared" si="29"/>
        <v>1.0380622837370242E-2</v>
      </c>
      <c r="R112" s="124"/>
      <c r="S112" s="304">
        <f t="shared" si="30"/>
        <v>0</v>
      </c>
      <c r="AC112" s="129">
        <v>2</v>
      </c>
      <c r="AD112" s="124">
        <f t="shared" si="31"/>
        <v>-1</v>
      </c>
    </row>
    <row r="113" spans="3:30">
      <c r="C113" s="105" t="s">
        <v>1085</v>
      </c>
      <c r="D113" s="124">
        <v>15</v>
      </c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355">
        <f t="shared" si="28"/>
        <v>15</v>
      </c>
      <c r="Q113" s="304">
        <f t="shared" si="29"/>
        <v>5.1903114186851208E-2</v>
      </c>
      <c r="R113" s="124"/>
      <c r="S113" s="304">
        <f t="shared" si="30"/>
        <v>0</v>
      </c>
      <c r="AC113" s="129">
        <v>11</v>
      </c>
      <c r="AD113" s="124">
        <f t="shared" si="31"/>
        <v>-4</v>
      </c>
    </row>
    <row r="114" spans="3:30">
      <c r="C114" s="105" t="s">
        <v>1086</v>
      </c>
      <c r="D114" s="124">
        <v>28</v>
      </c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355">
        <f t="shared" si="28"/>
        <v>28</v>
      </c>
      <c r="Q114" s="304">
        <f t="shared" si="29"/>
        <v>9.6885813148788927E-2</v>
      </c>
      <c r="R114" s="124"/>
      <c r="S114" s="304">
        <f t="shared" si="30"/>
        <v>0</v>
      </c>
      <c r="AC114" s="129">
        <v>30</v>
      </c>
      <c r="AD114" s="124">
        <f t="shared" si="31"/>
        <v>2</v>
      </c>
    </row>
    <row r="115" spans="3:30">
      <c r="L115" s="355"/>
      <c r="M115" s="304"/>
      <c r="P115" s="355"/>
      <c r="Q115" s="304"/>
      <c r="S115" s="304"/>
    </row>
    <row r="116" spans="3:30">
      <c r="M116" s="304"/>
      <c r="P116" s="105"/>
      <c r="Q116" s="304"/>
      <c r="S116" s="304"/>
    </row>
    <row r="117" spans="3:30">
      <c r="D117" s="184">
        <f>SUM(D70:D116)</f>
        <v>289</v>
      </c>
      <c r="E117" s="184">
        <f t="shared" ref="E117:P117" si="32">SUM(E70:E116)</f>
        <v>0</v>
      </c>
      <c r="F117" s="184">
        <f t="shared" si="32"/>
        <v>0</v>
      </c>
      <c r="G117" s="184">
        <f t="shared" si="32"/>
        <v>0</v>
      </c>
      <c r="H117" s="184">
        <f t="shared" si="32"/>
        <v>0</v>
      </c>
      <c r="I117" s="184">
        <f t="shared" si="32"/>
        <v>0</v>
      </c>
      <c r="J117" s="184">
        <f t="shared" si="32"/>
        <v>0</v>
      </c>
      <c r="K117" s="184">
        <f t="shared" si="32"/>
        <v>0</v>
      </c>
      <c r="L117" s="184">
        <f t="shared" si="32"/>
        <v>0</v>
      </c>
      <c r="M117" s="184">
        <f t="shared" si="32"/>
        <v>0</v>
      </c>
      <c r="N117" s="184">
        <f t="shared" si="32"/>
        <v>0</v>
      </c>
      <c r="O117" s="184">
        <f t="shared" si="32"/>
        <v>0</v>
      </c>
      <c r="P117" s="184">
        <f t="shared" si="32"/>
        <v>289</v>
      </c>
      <c r="Q117" s="351">
        <f>P117/$P$117</f>
        <v>1</v>
      </c>
      <c r="R117" s="124">
        <f>SUM(R70:R116)</f>
        <v>0</v>
      </c>
      <c r="S117" s="279">
        <f>R117/P117</f>
        <v>0</v>
      </c>
    </row>
    <row r="118" spans="3:30">
      <c r="C118" s="356" t="s">
        <v>1087</v>
      </c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357"/>
      <c r="Q118" s="235"/>
      <c r="R118" s="235"/>
      <c r="S118" s="235"/>
      <c r="T118" s="235"/>
      <c r="U118" s="235"/>
      <c r="V118" s="235"/>
      <c r="W118" s="235"/>
    </row>
    <row r="119" spans="3:30">
      <c r="C119" s="235" t="s">
        <v>1042</v>
      </c>
      <c r="D119" s="358">
        <f>+D169-D218</f>
        <v>16704</v>
      </c>
      <c r="E119" s="358">
        <f t="shared" ref="E119:O119" si="33">+E169-E218</f>
        <v>15227</v>
      </c>
      <c r="F119" s="358">
        <f t="shared" si="33"/>
        <v>15456</v>
      </c>
      <c r="G119" s="358">
        <f t="shared" si="33"/>
        <v>17631</v>
      </c>
      <c r="H119" s="358">
        <f t="shared" si="33"/>
        <v>18290</v>
      </c>
      <c r="I119" s="358">
        <f t="shared" si="33"/>
        <v>17257</v>
      </c>
      <c r="J119" s="358">
        <f t="shared" si="33"/>
        <v>17349</v>
      </c>
      <c r="K119" s="358">
        <f t="shared" si="33"/>
        <v>17748</v>
      </c>
      <c r="L119" s="358">
        <f t="shared" si="33"/>
        <v>17751</v>
      </c>
      <c r="M119" s="358">
        <f t="shared" si="33"/>
        <v>17839</v>
      </c>
      <c r="N119" s="358">
        <f t="shared" si="33"/>
        <v>16444</v>
      </c>
      <c r="O119" s="358">
        <f t="shared" si="33"/>
        <v>16402</v>
      </c>
      <c r="P119" s="359">
        <f>SUM(D119:O119)</f>
        <v>204098</v>
      </c>
      <c r="Q119" s="358"/>
      <c r="R119" s="358"/>
      <c r="S119" s="358"/>
      <c r="T119" s="358"/>
      <c r="U119" s="358"/>
      <c r="V119" s="358"/>
      <c r="W119" s="358"/>
    </row>
    <row r="120" spans="3:30">
      <c r="C120" s="235" t="s">
        <v>1043</v>
      </c>
      <c r="D120" s="358">
        <f t="shared" ref="D120:O126" si="34">+D170-D219</f>
        <v>19274</v>
      </c>
      <c r="E120" s="358">
        <f t="shared" si="34"/>
        <v>17569</v>
      </c>
      <c r="F120" s="358">
        <f t="shared" si="34"/>
        <v>17834</v>
      </c>
      <c r="G120" s="358">
        <f t="shared" si="34"/>
        <v>20344</v>
      </c>
      <c r="H120" s="358">
        <f t="shared" si="34"/>
        <v>21104</v>
      </c>
      <c r="I120" s="358">
        <f t="shared" si="34"/>
        <v>19912</v>
      </c>
      <c r="J120" s="358">
        <f t="shared" si="34"/>
        <v>20019</v>
      </c>
      <c r="K120" s="358">
        <f t="shared" si="34"/>
        <v>20478</v>
      </c>
      <c r="L120" s="358">
        <f t="shared" si="34"/>
        <v>20482</v>
      </c>
      <c r="M120" s="358">
        <f t="shared" si="34"/>
        <v>20583</v>
      </c>
      <c r="N120" s="358">
        <f t="shared" si="34"/>
        <v>18974</v>
      </c>
      <c r="O120" s="358">
        <f t="shared" si="34"/>
        <v>18925</v>
      </c>
      <c r="P120" s="359">
        <f t="shared" ref="P120:P164" si="35">SUM(D120:O120)</f>
        <v>235498</v>
      </c>
      <c r="Q120" s="358"/>
      <c r="R120" s="358"/>
      <c r="S120" s="358"/>
      <c r="T120" s="358"/>
      <c r="U120" s="358"/>
      <c r="V120" s="358"/>
      <c r="W120" s="358"/>
    </row>
    <row r="121" spans="3:30">
      <c r="C121" s="235" t="s">
        <v>1044</v>
      </c>
      <c r="D121" s="358">
        <f t="shared" si="34"/>
        <v>5140</v>
      </c>
      <c r="E121" s="358">
        <f t="shared" si="34"/>
        <v>4685</v>
      </c>
      <c r="F121" s="358">
        <f t="shared" si="34"/>
        <v>4756</v>
      </c>
      <c r="G121" s="358">
        <f t="shared" si="34"/>
        <v>5425</v>
      </c>
      <c r="H121" s="358">
        <f t="shared" si="34"/>
        <v>5628</v>
      </c>
      <c r="I121" s="358">
        <f t="shared" si="34"/>
        <v>5310</v>
      </c>
      <c r="J121" s="358">
        <f t="shared" si="34"/>
        <v>5338</v>
      </c>
      <c r="K121" s="358">
        <f t="shared" si="34"/>
        <v>5461</v>
      </c>
      <c r="L121" s="358">
        <f t="shared" si="34"/>
        <v>5462</v>
      </c>
      <c r="M121" s="358">
        <f t="shared" si="34"/>
        <v>5489</v>
      </c>
      <c r="N121" s="358">
        <f t="shared" si="34"/>
        <v>5060</v>
      </c>
      <c r="O121" s="358">
        <f t="shared" si="34"/>
        <v>5047</v>
      </c>
      <c r="P121" s="359">
        <f t="shared" si="35"/>
        <v>62801</v>
      </c>
      <c r="Q121" s="358"/>
      <c r="R121" s="358"/>
      <c r="S121" s="358"/>
      <c r="T121" s="358"/>
      <c r="U121" s="358"/>
      <c r="V121" s="358"/>
      <c r="W121" s="358"/>
    </row>
    <row r="122" spans="3:30">
      <c r="C122" s="235" t="s">
        <v>1045</v>
      </c>
      <c r="D122" s="358">
        <f t="shared" si="34"/>
        <v>0</v>
      </c>
      <c r="E122" s="358">
        <f t="shared" si="34"/>
        <v>0</v>
      </c>
      <c r="F122" s="358">
        <f t="shared" si="34"/>
        <v>0</v>
      </c>
      <c r="G122" s="358">
        <f t="shared" si="34"/>
        <v>0</v>
      </c>
      <c r="H122" s="358">
        <f t="shared" si="34"/>
        <v>0</v>
      </c>
      <c r="I122" s="358">
        <f t="shared" si="34"/>
        <v>0</v>
      </c>
      <c r="J122" s="358">
        <f t="shared" si="34"/>
        <v>0</v>
      </c>
      <c r="K122" s="358">
        <f t="shared" si="34"/>
        <v>0</v>
      </c>
      <c r="L122" s="358">
        <f t="shared" si="34"/>
        <v>0</v>
      </c>
      <c r="M122" s="358">
        <f t="shared" si="34"/>
        <v>0</v>
      </c>
      <c r="N122" s="358">
        <f t="shared" si="34"/>
        <v>0</v>
      </c>
      <c r="O122" s="358">
        <f t="shared" si="34"/>
        <v>0</v>
      </c>
      <c r="P122" s="359">
        <f t="shared" si="35"/>
        <v>0</v>
      </c>
      <c r="Q122" s="358"/>
      <c r="R122" s="358"/>
      <c r="S122" s="358"/>
      <c r="T122" s="358"/>
      <c r="U122" s="358"/>
      <c r="V122" s="358"/>
      <c r="W122" s="358"/>
    </row>
    <row r="123" spans="3:30">
      <c r="C123" s="235" t="s">
        <v>1046</v>
      </c>
      <c r="D123" s="358">
        <f t="shared" si="34"/>
        <v>3855</v>
      </c>
      <c r="E123" s="358">
        <f t="shared" si="34"/>
        <v>3514</v>
      </c>
      <c r="F123" s="358">
        <f t="shared" si="34"/>
        <v>3567</v>
      </c>
      <c r="G123" s="358">
        <f t="shared" si="34"/>
        <v>4069</v>
      </c>
      <c r="H123" s="358">
        <f t="shared" si="34"/>
        <v>4221</v>
      </c>
      <c r="I123" s="358">
        <f t="shared" si="34"/>
        <v>3982</v>
      </c>
      <c r="J123" s="358">
        <f t="shared" si="34"/>
        <v>4004</v>
      </c>
      <c r="K123" s="358">
        <f t="shared" si="34"/>
        <v>4096</v>
      </c>
      <c r="L123" s="358">
        <f t="shared" si="34"/>
        <v>4096</v>
      </c>
      <c r="M123" s="358">
        <f t="shared" si="34"/>
        <v>4117</v>
      </c>
      <c r="N123" s="358">
        <f t="shared" si="34"/>
        <v>3795</v>
      </c>
      <c r="O123" s="358">
        <f t="shared" si="34"/>
        <v>3785</v>
      </c>
      <c r="P123" s="359">
        <f t="shared" si="35"/>
        <v>47101</v>
      </c>
      <c r="Q123" s="358"/>
      <c r="R123" s="358"/>
      <c r="S123" s="358"/>
      <c r="T123" s="358"/>
      <c r="U123" s="358"/>
      <c r="V123" s="358"/>
      <c r="W123" s="358"/>
    </row>
    <row r="124" spans="3:30">
      <c r="C124" s="235" t="s">
        <v>1047</v>
      </c>
      <c r="D124" s="358">
        <f t="shared" si="34"/>
        <v>8352</v>
      </c>
      <c r="E124" s="358">
        <f t="shared" si="34"/>
        <v>7613</v>
      </c>
      <c r="F124" s="358">
        <f t="shared" si="34"/>
        <v>7728</v>
      </c>
      <c r="G124" s="358">
        <f t="shared" si="34"/>
        <v>8816</v>
      </c>
      <c r="H124" s="358">
        <f t="shared" si="34"/>
        <v>9145</v>
      </c>
      <c r="I124" s="358">
        <f t="shared" si="34"/>
        <v>8628</v>
      </c>
      <c r="J124" s="358">
        <f t="shared" si="34"/>
        <v>8675</v>
      </c>
      <c r="K124" s="358">
        <f t="shared" si="34"/>
        <v>8874</v>
      </c>
      <c r="L124" s="358">
        <f t="shared" si="34"/>
        <v>8876</v>
      </c>
      <c r="M124" s="358">
        <f t="shared" si="34"/>
        <v>8919</v>
      </c>
      <c r="N124" s="358">
        <f t="shared" si="34"/>
        <v>8222</v>
      </c>
      <c r="O124" s="358">
        <f t="shared" si="34"/>
        <v>8201</v>
      </c>
      <c r="P124" s="359">
        <f t="shared" si="35"/>
        <v>102049</v>
      </c>
      <c r="Q124" s="358"/>
      <c r="R124" s="358"/>
      <c r="S124" s="358"/>
      <c r="T124" s="358"/>
      <c r="U124" s="358"/>
      <c r="V124" s="358"/>
      <c r="W124" s="358"/>
    </row>
    <row r="125" spans="3:30">
      <c r="C125" s="235" t="s">
        <v>1048</v>
      </c>
      <c r="D125" s="358">
        <f t="shared" si="34"/>
        <v>642</v>
      </c>
      <c r="E125" s="358">
        <f t="shared" si="34"/>
        <v>586</v>
      </c>
      <c r="F125" s="358">
        <f t="shared" si="34"/>
        <v>594</v>
      </c>
      <c r="G125" s="358">
        <f t="shared" si="34"/>
        <v>678</v>
      </c>
      <c r="H125" s="358">
        <f t="shared" si="34"/>
        <v>703</v>
      </c>
      <c r="I125" s="358">
        <f t="shared" si="34"/>
        <v>664</v>
      </c>
      <c r="J125" s="358">
        <f t="shared" si="34"/>
        <v>667</v>
      </c>
      <c r="K125" s="358">
        <f t="shared" si="34"/>
        <v>683</v>
      </c>
      <c r="L125" s="358">
        <f t="shared" si="34"/>
        <v>683</v>
      </c>
      <c r="M125" s="358">
        <f t="shared" si="34"/>
        <v>686</v>
      </c>
      <c r="N125" s="358">
        <f t="shared" si="34"/>
        <v>632</v>
      </c>
      <c r="O125" s="358">
        <f t="shared" si="34"/>
        <v>631</v>
      </c>
      <c r="P125" s="359">
        <f t="shared" si="35"/>
        <v>7849</v>
      </c>
      <c r="Q125" s="358"/>
      <c r="R125" s="358"/>
      <c r="S125" s="358"/>
      <c r="T125" s="358"/>
      <c r="U125" s="358"/>
      <c r="V125" s="358"/>
      <c r="W125" s="358"/>
    </row>
    <row r="126" spans="3:30">
      <c r="C126" s="235" t="s">
        <v>1049</v>
      </c>
      <c r="D126" s="358">
        <f t="shared" si="34"/>
        <v>0</v>
      </c>
      <c r="E126" s="358">
        <f t="shared" si="34"/>
        <v>0</v>
      </c>
      <c r="F126" s="358">
        <f t="shared" si="34"/>
        <v>0</v>
      </c>
      <c r="G126" s="358">
        <f t="shared" si="34"/>
        <v>0</v>
      </c>
      <c r="H126" s="358">
        <f t="shared" si="34"/>
        <v>0</v>
      </c>
      <c r="I126" s="358">
        <v>0</v>
      </c>
      <c r="J126" s="358">
        <v>0</v>
      </c>
      <c r="K126" s="358">
        <v>0</v>
      </c>
      <c r="L126" s="358">
        <v>0</v>
      </c>
      <c r="M126" s="358">
        <v>0</v>
      </c>
      <c r="N126" s="358">
        <v>0</v>
      </c>
      <c r="O126" s="358">
        <v>0</v>
      </c>
      <c r="P126" s="359">
        <f t="shared" si="35"/>
        <v>0</v>
      </c>
      <c r="Q126" s="358"/>
      <c r="R126" s="358"/>
      <c r="S126" s="358"/>
      <c r="T126" s="358"/>
      <c r="U126" s="358"/>
      <c r="V126" s="358"/>
      <c r="W126" s="358"/>
    </row>
    <row r="127" spans="3:30">
      <c r="C127" s="235" t="s">
        <v>1050</v>
      </c>
      <c r="D127" s="358">
        <v>0</v>
      </c>
      <c r="E127" s="358">
        <v>0</v>
      </c>
      <c r="F127" s="358">
        <v>0</v>
      </c>
      <c r="G127" s="358">
        <v>0</v>
      </c>
      <c r="H127" s="358">
        <v>0</v>
      </c>
      <c r="I127" s="358">
        <v>0</v>
      </c>
      <c r="J127" s="358">
        <v>0</v>
      </c>
      <c r="K127" s="358">
        <v>0</v>
      </c>
      <c r="L127" s="358">
        <v>0</v>
      </c>
      <c r="M127" s="358">
        <v>0</v>
      </c>
      <c r="N127" s="358">
        <v>0</v>
      </c>
      <c r="O127" s="358">
        <v>0</v>
      </c>
      <c r="P127" s="359">
        <f t="shared" si="35"/>
        <v>0</v>
      </c>
      <c r="Q127" s="358"/>
      <c r="R127" s="358"/>
      <c r="S127" s="358"/>
      <c r="T127" s="358"/>
      <c r="U127" s="358"/>
      <c r="V127" s="358"/>
      <c r="W127" s="358"/>
    </row>
    <row r="128" spans="3:30">
      <c r="C128" s="235" t="s">
        <v>1051</v>
      </c>
      <c r="D128" s="358">
        <v>136.26999999999998</v>
      </c>
      <c r="E128" s="358">
        <v>136.26999999999998</v>
      </c>
      <c r="F128" s="358">
        <v>136.26999999999998</v>
      </c>
      <c r="G128" s="358">
        <v>136.26999999999998</v>
      </c>
      <c r="H128" s="358">
        <v>136.26999999999998</v>
      </c>
      <c r="I128" s="358">
        <v>136.26999999999998</v>
      </c>
      <c r="J128" s="358">
        <v>136.26999999999998</v>
      </c>
      <c r="K128" s="358">
        <v>136.26999999999998</v>
      </c>
      <c r="L128" s="358">
        <v>136.26999999999998</v>
      </c>
      <c r="M128" s="358">
        <v>136.26999999999998</v>
      </c>
      <c r="N128" s="358">
        <v>136.26999999999998</v>
      </c>
      <c r="O128" s="358">
        <v>136.26999999999998</v>
      </c>
      <c r="P128" s="359">
        <f t="shared" si="35"/>
        <v>1635.2399999999998</v>
      </c>
      <c r="Q128" s="358"/>
      <c r="R128" s="358"/>
      <c r="S128" s="358"/>
      <c r="T128" s="358"/>
      <c r="U128" s="358"/>
      <c r="V128" s="358"/>
      <c r="W128" s="358"/>
    </row>
    <row r="129" spans="3:23">
      <c r="C129" s="235" t="s">
        <v>1052</v>
      </c>
      <c r="D129" s="358">
        <v>1363</v>
      </c>
      <c r="E129" s="358">
        <v>1253</v>
      </c>
      <c r="F129" s="358">
        <v>1270</v>
      </c>
      <c r="G129" s="358">
        <v>1432</v>
      </c>
      <c r="H129" s="358">
        <v>1481</v>
      </c>
      <c r="I129" s="358">
        <v>1404</v>
      </c>
      <c r="J129" s="358">
        <v>1411</v>
      </c>
      <c r="K129" s="358">
        <v>1440</v>
      </c>
      <c r="L129" s="358">
        <v>1441</v>
      </c>
      <c r="M129" s="358">
        <v>1447</v>
      </c>
      <c r="N129" s="358">
        <v>1343</v>
      </c>
      <c r="O129" s="358">
        <v>1341</v>
      </c>
      <c r="P129" s="359">
        <f t="shared" si="35"/>
        <v>16626</v>
      </c>
      <c r="Q129" s="358"/>
      <c r="R129" s="358"/>
      <c r="S129" s="358"/>
      <c r="T129" s="358"/>
      <c r="U129" s="358"/>
      <c r="V129" s="358"/>
      <c r="W129" s="358"/>
    </row>
    <row r="130" spans="3:23">
      <c r="C130" s="235" t="s">
        <v>1053</v>
      </c>
      <c r="D130" s="358">
        <v>5418.18</v>
      </c>
      <c r="E130" s="358">
        <v>4570.18</v>
      </c>
      <c r="F130" s="358">
        <v>4577.37</v>
      </c>
      <c r="G130" s="358">
        <v>4645.37</v>
      </c>
      <c r="H130" s="358">
        <v>4997.18</v>
      </c>
      <c r="I130" s="358">
        <v>4650.88</v>
      </c>
      <c r="J130" s="358">
        <v>4620.88</v>
      </c>
      <c r="K130" s="358">
        <v>4617.88</v>
      </c>
      <c r="L130" s="358">
        <v>4647.88</v>
      </c>
      <c r="M130" s="358">
        <v>5390.4</v>
      </c>
      <c r="N130" s="358">
        <v>4630.37</v>
      </c>
      <c r="O130" s="358">
        <v>4626.37</v>
      </c>
      <c r="P130" s="359">
        <f t="shared" si="35"/>
        <v>57392.94</v>
      </c>
      <c r="Q130" s="358"/>
      <c r="R130" s="358"/>
      <c r="S130" s="358"/>
      <c r="T130" s="358"/>
      <c r="U130" s="358"/>
      <c r="V130" s="358"/>
      <c r="W130" s="358"/>
    </row>
    <row r="131" spans="3:23">
      <c r="C131" s="235" t="s">
        <v>1054</v>
      </c>
      <c r="D131" s="358">
        <v>0</v>
      </c>
      <c r="E131" s="358">
        <v>0</v>
      </c>
      <c r="F131" s="358">
        <v>0</v>
      </c>
      <c r="G131" s="358">
        <v>0</v>
      </c>
      <c r="H131" s="358">
        <v>0</v>
      </c>
      <c r="I131" s="358">
        <v>0</v>
      </c>
      <c r="J131" s="358">
        <v>0</v>
      </c>
      <c r="K131" s="358">
        <v>0</v>
      </c>
      <c r="L131" s="358">
        <v>0</v>
      </c>
      <c r="M131" s="358">
        <v>0</v>
      </c>
      <c r="N131" s="358">
        <v>0</v>
      </c>
      <c r="O131" s="358">
        <v>0</v>
      </c>
      <c r="P131" s="359">
        <f t="shared" si="35"/>
        <v>0</v>
      </c>
      <c r="Q131" s="358"/>
      <c r="R131" s="358"/>
      <c r="S131" s="358"/>
      <c r="T131" s="358"/>
      <c r="U131" s="358"/>
      <c r="V131" s="358"/>
      <c r="W131" s="358"/>
    </row>
    <row r="132" spans="3:23">
      <c r="C132" s="235" t="s">
        <v>1055</v>
      </c>
      <c r="D132" s="358">
        <v>0</v>
      </c>
      <c r="E132" s="358">
        <v>0</v>
      </c>
      <c r="F132" s="358">
        <v>0</v>
      </c>
      <c r="G132" s="358">
        <v>0</v>
      </c>
      <c r="H132" s="358">
        <v>0</v>
      </c>
      <c r="I132" s="358">
        <v>0</v>
      </c>
      <c r="J132" s="358">
        <v>0</v>
      </c>
      <c r="K132" s="358">
        <v>0</v>
      </c>
      <c r="L132" s="358">
        <v>0</v>
      </c>
      <c r="M132" s="358">
        <v>0</v>
      </c>
      <c r="N132" s="358">
        <v>0</v>
      </c>
      <c r="O132" s="358">
        <v>0</v>
      </c>
      <c r="P132" s="359">
        <f t="shared" si="35"/>
        <v>0</v>
      </c>
      <c r="Q132" s="358"/>
      <c r="R132" s="358"/>
      <c r="S132" s="358"/>
      <c r="T132" s="358"/>
      <c r="U132" s="358"/>
      <c r="V132" s="358"/>
      <c r="W132" s="358"/>
    </row>
    <row r="133" spans="3:23">
      <c r="C133" s="235" t="s">
        <v>1056</v>
      </c>
      <c r="D133" s="358">
        <f t="shared" ref="D133:O135" si="36">+D183-D232</f>
        <v>1927</v>
      </c>
      <c r="E133" s="358">
        <f t="shared" si="36"/>
        <v>1757</v>
      </c>
      <c r="F133" s="358">
        <f t="shared" si="36"/>
        <v>1783</v>
      </c>
      <c r="G133" s="358">
        <f t="shared" si="36"/>
        <v>2034</v>
      </c>
      <c r="H133" s="358">
        <f t="shared" si="36"/>
        <v>2110</v>
      </c>
      <c r="I133" s="358">
        <f t="shared" si="36"/>
        <v>1991</v>
      </c>
      <c r="J133" s="358">
        <f t="shared" si="36"/>
        <v>2002</v>
      </c>
      <c r="K133" s="358">
        <f t="shared" si="36"/>
        <v>2048</v>
      </c>
      <c r="L133" s="358">
        <f t="shared" si="36"/>
        <v>2048</v>
      </c>
      <c r="M133" s="358">
        <f t="shared" si="36"/>
        <v>2058</v>
      </c>
      <c r="N133" s="358">
        <f t="shared" si="36"/>
        <v>1897</v>
      </c>
      <c r="O133" s="358">
        <f t="shared" si="36"/>
        <v>1892</v>
      </c>
      <c r="P133" s="359">
        <f t="shared" si="35"/>
        <v>23547</v>
      </c>
      <c r="Q133" s="358"/>
      <c r="R133" s="358"/>
      <c r="S133" s="358"/>
      <c r="T133" s="358"/>
      <c r="U133" s="358"/>
      <c r="V133" s="358"/>
      <c r="W133" s="358"/>
    </row>
    <row r="134" spans="3:23">
      <c r="C134" s="235" t="s">
        <v>1057</v>
      </c>
      <c r="D134" s="358">
        <f t="shared" si="36"/>
        <v>3212</v>
      </c>
      <c r="E134" s="358">
        <f t="shared" si="36"/>
        <v>2928</v>
      </c>
      <c r="F134" s="358">
        <f t="shared" si="36"/>
        <v>2972</v>
      </c>
      <c r="G134" s="358">
        <f t="shared" si="36"/>
        <v>3391</v>
      </c>
      <c r="H134" s="358">
        <f t="shared" si="36"/>
        <v>3517</v>
      </c>
      <c r="I134" s="358">
        <f t="shared" si="36"/>
        <v>3319</v>
      </c>
      <c r="J134" s="358">
        <f t="shared" si="36"/>
        <v>3336</v>
      </c>
      <c r="K134" s="358">
        <f t="shared" si="36"/>
        <v>3413</v>
      </c>
      <c r="L134" s="358">
        <f t="shared" si="36"/>
        <v>3414</v>
      </c>
      <c r="M134" s="358">
        <f t="shared" si="36"/>
        <v>3431</v>
      </c>
      <c r="N134" s="358">
        <f t="shared" si="36"/>
        <v>3162</v>
      </c>
      <c r="O134" s="358">
        <f t="shared" si="36"/>
        <v>3154</v>
      </c>
      <c r="P134" s="359">
        <f t="shared" si="35"/>
        <v>39249</v>
      </c>
      <c r="Q134" s="358"/>
      <c r="R134" s="358"/>
      <c r="S134" s="358"/>
      <c r="T134" s="358"/>
      <c r="U134" s="358"/>
      <c r="V134" s="358"/>
      <c r="W134" s="358"/>
    </row>
    <row r="135" spans="3:23">
      <c r="C135" s="235" t="s">
        <v>1058</v>
      </c>
      <c r="D135" s="358">
        <f t="shared" si="36"/>
        <v>1927</v>
      </c>
      <c r="E135" s="358">
        <f t="shared" si="36"/>
        <v>1757</v>
      </c>
      <c r="F135" s="358">
        <f t="shared" si="36"/>
        <v>1783</v>
      </c>
      <c r="G135" s="358">
        <f t="shared" si="36"/>
        <v>2034</v>
      </c>
      <c r="H135" s="358">
        <f t="shared" si="36"/>
        <v>2110</v>
      </c>
      <c r="I135" s="358">
        <f t="shared" si="36"/>
        <v>1991</v>
      </c>
      <c r="J135" s="358">
        <f t="shared" si="36"/>
        <v>2002</v>
      </c>
      <c r="K135" s="358">
        <f t="shared" si="36"/>
        <v>2048</v>
      </c>
      <c r="L135" s="358">
        <f t="shared" si="36"/>
        <v>2048</v>
      </c>
      <c r="M135" s="358">
        <f t="shared" si="36"/>
        <v>2058</v>
      </c>
      <c r="N135" s="358">
        <f t="shared" si="36"/>
        <v>1897</v>
      </c>
      <c r="O135" s="358">
        <f t="shared" si="36"/>
        <v>1892</v>
      </c>
      <c r="P135" s="359">
        <f t="shared" si="35"/>
        <v>23547</v>
      </c>
      <c r="Q135" s="358"/>
      <c r="R135" s="358"/>
      <c r="S135" s="358"/>
      <c r="T135" s="358"/>
      <c r="U135" s="358"/>
      <c r="V135" s="358"/>
      <c r="W135" s="358"/>
    </row>
    <row r="136" spans="3:23">
      <c r="C136" s="235" t="s">
        <v>1059</v>
      </c>
      <c r="D136" s="358">
        <v>6</v>
      </c>
      <c r="E136" s="358">
        <v>6</v>
      </c>
      <c r="F136" s="358">
        <v>6</v>
      </c>
      <c r="G136" s="358">
        <v>6</v>
      </c>
      <c r="H136" s="358">
        <v>6</v>
      </c>
      <c r="I136" s="358">
        <v>6</v>
      </c>
      <c r="J136" s="358">
        <v>6</v>
      </c>
      <c r="K136" s="358">
        <v>6</v>
      </c>
      <c r="L136" s="358">
        <v>6</v>
      </c>
      <c r="M136" s="358">
        <v>6</v>
      </c>
      <c r="N136" s="358">
        <v>6</v>
      </c>
      <c r="O136" s="358">
        <v>6</v>
      </c>
      <c r="P136" s="359">
        <f t="shared" si="35"/>
        <v>72</v>
      </c>
      <c r="Q136" s="358"/>
      <c r="R136" s="358"/>
      <c r="S136" s="358"/>
      <c r="T136" s="358"/>
      <c r="U136" s="358"/>
      <c r="V136" s="358"/>
      <c r="W136" s="358"/>
    </row>
    <row r="137" spans="3:23">
      <c r="C137" s="235" t="s">
        <v>1060</v>
      </c>
      <c r="D137" s="358">
        <f t="shared" ref="D137:O152" si="37">+D187-D236</f>
        <v>1285</v>
      </c>
      <c r="E137" s="358">
        <f t="shared" si="37"/>
        <v>1171</v>
      </c>
      <c r="F137" s="358">
        <f t="shared" si="37"/>
        <v>1189</v>
      </c>
      <c r="G137" s="358">
        <f t="shared" si="37"/>
        <v>1356</v>
      </c>
      <c r="H137" s="358">
        <f t="shared" si="37"/>
        <v>1407</v>
      </c>
      <c r="I137" s="358">
        <f t="shared" si="37"/>
        <v>1327</v>
      </c>
      <c r="J137" s="358">
        <f t="shared" si="37"/>
        <v>1335</v>
      </c>
      <c r="K137" s="358">
        <f t="shared" si="37"/>
        <v>1365</v>
      </c>
      <c r="L137" s="358">
        <f t="shared" si="37"/>
        <v>1365</v>
      </c>
      <c r="M137" s="358">
        <f t="shared" si="37"/>
        <v>1372</v>
      </c>
      <c r="N137" s="358">
        <f t="shared" si="37"/>
        <v>1265</v>
      </c>
      <c r="O137" s="358">
        <f t="shared" si="37"/>
        <v>1262</v>
      </c>
      <c r="P137" s="359">
        <f t="shared" si="35"/>
        <v>15699</v>
      </c>
      <c r="Q137" s="358"/>
      <c r="R137" s="358"/>
      <c r="S137" s="358"/>
      <c r="T137" s="358"/>
      <c r="U137" s="358"/>
      <c r="V137" s="358"/>
      <c r="W137" s="358"/>
    </row>
    <row r="138" spans="3:23">
      <c r="C138" s="235" t="s">
        <v>1061</v>
      </c>
      <c r="D138" s="358">
        <f t="shared" si="37"/>
        <v>0</v>
      </c>
      <c r="E138" s="358">
        <f t="shared" si="37"/>
        <v>0</v>
      </c>
      <c r="F138" s="358">
        <f t="shared" si="37"/>
        <v>0</v>
      </c>
      <c r="G138" s="358">
        <f t="shared" si="37"/>
        <v>0</v>
      </c>
      <c r="H138" s="358">
        <f t="shared" si="37"/>
        <v>0</v>
      </c>
      <c r="I138" s="358">
        <f t="shared" si="37"/>
        <v>0</v>
      </c>
      <c r="J138" s="358">
        <f t="shared" si="37"/>
        <v>0</v>
      </c>
      <c r="K138" s="358">
        <f t="shared" si="37"/>
        <v>0</v>
      </c>
      <c r="L138" s="358">
        <f t="shared" si="37"/>
        <v>0</v>
      </c>
      <c r="M138" s="358">
        <f t="shared" si="37"/>
        <v>0</v>
      </c>
      <c r="N138" s="358">
        <f t="shared" si="37"/>
        <v>0</v>
      </c>
      <c r="O138" s="358">
        <f t="shared" si="37"/>
        <v>0</v>
      </c>
      <c r="P138" s="359">
        <f t="shared" si="35"/>
        <v>0</v>
      </c>
      <c r="Q138" s="358"/>
      <c r="R138" s="358"/>
      <c r="S138" s="358"/>
      <c r="T138" s="358"/>
      <c r="U138" s="358"/>
      <c r="V138" s="358"/>
      <c r="W138" s="358"/>
    </row>
    <row r="139" spans="3:23">
      <c r="C139" s="235" t="s">
        <v>1062</v>
      </c>
      <c r="D139" s="358">
        <f t="shared" si="37"/>
        <v>0</v>
      </c>
      <c r="E139" s="358">
        <f t="shared" si="37"/>
        <v>0</v>
      </c>
      <c r="F139" s="358">
        <f t="shared" si="37"/>
        <v>0</v>
      </c>
      <c r="G139" s="358">
        <f t="shared" si="37"/>
        <v>0</v>
      </c>
      <c r="H139" s="358">
        <f t="shared" si="37"/>
        <v>0</v>
      </c>
      <c r="I139" s="358">
        <f t="shared" si="37"/>
        <v>0</v>
      </c>
      <c r="J139" s="358">
        <f t="shared" si="37"/>
        <v>0</v>
      </c>
      <c r="K139" s="358">
        <f t="shared" si="37"/>
        <v>0</v>
      </c>
      <c r="L139" s="358">
        <f t="shared" si="37"/>
        <v>0</v>
      </c>
      <c r="M139" s="358">
        <f t="shared" si="37"/>
        <v>0</v>
      </c>
      <c r="N139" s="358">
        <f t="shared" si="37"/>
        <v>0</v>
      </c>
      <c r="O139" s="358">
        <f t="shared" si="37"/>
        <v>0</v>
      </c>
      <c r="P139" s="359">
        <f t="shared" si="35"/>
        <v>0</v>
      </c>
      <c r="Q139" s="358"/>
      <c r="R139" s="358"/>
      <c r="S139" s="358"/>
      <c r="T139" s="358"/>
      <c r="U139" s="358"/>
      <c r="V139" s="358"/>
      <c r="W139" s="358"/>
    </row>
    <row r="140" spans="3:23">
      <c r="C140" s="235" t="s">
        <v>1063</v>
      </c>
      <c r="D140" s="358">
        <f t="shared" si="37"/>
        <v>0</v>
      </c>
      <c r="E140" s="358">
        <f t="shared" si="37"/>
        <v>0</v>
      </c>
      <c r="F140" s="358">
        <f t="shared" si="37"/>
        <v>0</v>
      </c>
      <c r="G140" s="358">
        <f t="shared" si="37"/>
        <v>0</v>
      </c>
      <c r="H140" s="358">
        <f t="shared" si="37"/>
        <v>0</v>
      </c>
      <c r="I140" s="358">
        <f t="shared" si="37"/>
        <v>0</v>
      </c>
      <c r="J140" s="358">
        <f t="shared" si="37"/>
        <v>0</v>
      </c>
      <c r="K140" s="358">
        <f t="shared" si="37"/>
        <v>0</v>
      </c>
      <c r="L140" s="358">
        <f t="shared" si="37"/>
        <v>0</v>
      </c>
      <c r="M140" s="358">
        <f t="shared" si="37"/>
        <v>0</v>
      </c>
      <c r="N140" s="358">
        <f t="shared" si="37"/>
        <v>0</v>
      </c>
      <c r="O140" s="358">
        <f t="shared" si="37"/>
        <v>0</v>
      </c>
      <c r="P140" s="359">
        <f t="shared" si="35"/>
        <v>0</v>
      </c>
      <c r="Q140" s="358"/>
      <c r="R140" s="358"/>
      <c r="S140" s="358"/>
      <c r="T140" s="358"/>
      <c r="U140" s="358"/>
      <c r="V140" s="358"/>
      <c r="W140" s="358"/>
    </row>
    <row r="141" spans="3:23">
      <c r="C141" s="235" t="s">
        <v>1064</v>
      </c>
      <c r="D141" s="358">
        <f t="shared" si="37"/>
        <v>2570</v>
      </c>
      <c r="E141" s="358">
        <f t="shared" si="37"/>
        <v>2343</v>
      </c>
      <c r="F141" s="358">
        <f t="shared" si="37"/>
        <v>2378</v>
      </c>
      <c r="G141" s="358">
        <f t="shared" si="37"/>
        <v>2712</v>
      </c>
      <c r="H141" s="358">
        <f t="shared" si="37"/>
        <v>2814</v>
      </c>
      <c r="I141" s="358">
        <f t="shared" si="37"/>
        <v>2655</v>
      </c>
      <c r="J141" s="358">
        <f t="shared" si="37"/>
        <v>2669</v>
      </c>
      <c r="K141" s="358">
        <f t="shared" si="37"/>
        <v>2730</v>
      </c>
      <c r="L141" s="358">
        <f t="shared" si="37"/>
        <v>2731</v>
      </c>
      <c r="M141" s="358">
        <f t="shared" si="37"/>
        <v>2744</v>
      </c>
      <c r="N141" s="358">
        <f t="shared" si="37"/>
        <v>2530</v>
      </c>
      <c r="O141" s="358">
        <f t="shared" si="37"/>
        <v>2523</v>
      </c>
      <c r="P141" s="359">
        <f t="shared" si="35"/>
        <v>31399</v>
      </c>
      <c r="Q141" s="358"/>
      <c r="R141" s="358"/>
      <c r="S141" s="358"/>
      <c r="T141" s="358"/>
      <c r="U141" s="358"/>
      <c r="V141" s="358"/>
      <c r="W141" s="358"/>
    </row>
    <row r="142" spans="3:23">
      <c r="C142" s="235" t="s">
        <v>1065</v>
      </c>
      <c r="D142" s="358">
        <f t="shared" si="37"/>
        <v>0</v>
      </c>
      <c r="E142" s="358">
        <f t="shared" si="37"/>
        <v>0</v>
      </c>
      <c r="F142" s="358">
        <f t="shared" si="37"/>
        <v>0</v>
      </c>
      <c r="G142" s="358">
        <f t="shared" si="37"/>
        <v>0</v>
      </c>
      <c r="H142" s="358">
        <f t="shared" si="37"/>
        <v>0</v>
      </c>
      <c r="I142" s="358">
        <f t="shared" si="37"/>
        <v>0</v>
      </c>
      <c r="J142" s="358">
        <f t="shared" si="37"/>
        <v>0</v>
      </c>
      <c r="K142" s="358">
        <f t="shared" si="37"/>
        <v>0</v>
      </c>
      <c r="L142" s="358">
        <f t="shared" si="37"/>
        <v>0</v>
      </c>
      <c r="M142" s="358">
        <f t="shared" si="37"/>
        <v>0</v>
      </c>
      <c r="N142" s="358">
        <f t="shared" si="37"/>
        <v>0</v>
      </c>
      <c r="O142" s="358">
        <f t="shared" si="37"/>
        <v>0</v>
      </c>
      <c r="P142" s="359">
        <f t="shared" si="35"/>
        <v>0</v>
      </c>
      <c r="Q142" s="358"/>
      <c r="R142" s="358"/>
      <c r="S142" s="358"/>
      <c r="T142" s="358"/>
      <c r="U142" s="358"/>
      <c r="V142" s="358"/>
      <c r="W142" s="358"/>
    </row>
    <row r="143" spans="3:23">
      <c r="C143" s="235" t="s">
        <v>1066</v>
      </c>
      <c r="D143" s="358">
        <f t="shared" si="37"/>
        <v>0</v>
      </c>
      <c r="E143" s="358">
        <f t="shared" si="37"/>
        <v>0</v>
      </c>
      <c r="F143" s="358">
        <f t="shared" si="37"/>
        <v>0</v>
      </c>
      <c r="G143" s="358">
        <f t="shared" si="37"/>
        <v>0</v>
      </c>
      <c r="H143" s="358">
        <f t="shared" si="37"/>
        <v>0</v>
      </c>
      <c r="I143" s="358">
        <f t="shared" si="37"/>
        <v>0</v>
      </c>
      <c r="J143" s="358">
        <f t="shared" si="37"/>
        <v>0</v>
      </c>
      <c r="K143" s="358">
        <f t="shared" si="37"/>
        <v>0</v>
      </c>
      <c r="L143" s="358">
        <f t="shared" si="37"/>
        <v>0</v>
      </c>
      <c r="M143" s="358">
        <f t="shared" si="37"/>
        <v>0</v>
      </c>
      <c r="N143" s="358">
        <f t="shared" si="37"/>
        <v>0</v>
      </c>
      <c r="O143" s="358">
        <f t="shared" si="37"/>
        <v>0</v>
      </c>
      <c r="P143" s="359">
        <f t="shared" si="35"/>
        <v>0</v>
      </c>
      <c r="Q143" s="358"/>
      <c r="R143" s="358"/>
      <c r="S143" s="358"/>
      <c r="T143" s="358"/>
      <c r="U143" s="358"/>
      <c r="V143" s="358"/>
      <c r="W143" s="358"/>
    </row>
    <row r="144" spans="3:23">
      <c r="C144" s="235" t="s">
        <v>1067</v>
      </c>
      <c r="D144" s="358">
        <f t="shared" si="37"/>
        <v>1285</v>
      </c>
      <c r="E144" s="358">
        <f t="shared" si="37"/>
        <v>1171</v>
      </c>
      <c r="F144" s="358">
        <f t="shared" si="37"/>
        <v>1189</v>
      </c>
      <c r="G144" s="358">
        <f t="shared" si="37"/>
        <v>1356</v>
      </c>
      <c r="H144" s="358">
        <f t="shared" si="37"/>
        <v>1407</v>
      </c>
      <c r="I144" s="358">
        <f t="shared" si="37"/>
        <v>1327</v>
      </c>
      <c r="J144" s="358">
        <f t="shared" si="37"/>
        <v>1335</v>
      </c>
      <c r="K144" s="358">
        <f t="shared" si="37"/>
        <v>1365</v>
      </c>
      <c r="L144" s="358">
        <f t="shared" si="37"/>
        <v>1365</v>
      </c>
      <c r="M144" s="358">
        <f t="shared" si="37"/>
        <v>1372</v>
      </c>
      <c r="N144" s="358">
        <f t="shared" si="37"/>
        <v>1265</v>
      </c>
      <c r="O144" s="358">
        <f t="shared" si="37"/>
        <v>1262</v>
      </c>
      <c r="P144" s="359">
        <f t="shared" si="35"/>
        <v>15699</v>
      </c>
      <c r="Q144" s="358"/>
      <c r="R144" s="358"/>
      <c r="S144" s="358"/>
      <c r="T144" s="358"/>
      <c r="U144" s="358"/>
      <c r="V144" s="358"/>
      <c r="W144" s="358"/>
    </row>
    <row r="145" spans="3:23">
      <c r="C145" s="235" t="s">
        <v>1068</v>
      </c>
      <c r="D145" s="358">
        <f t="shared" si="37"/>
        <v>7067</v>
      </c>
      <c r="E145" s="358">
        <f t="shared" si="37"/>
        <v>6442</v>
      </c>
      <c r="F145" s="358">
        <f t="shared" si="37"/>
        <v>6539</v>
      </c>
      <c r="G145" s="358">
        <f t="shared" si="37"/>
        <v>7459</v>
      </c>
      <c r="H145" s="358">
        <f t="shared" si="37"/>
        <v>7738</v>
      </c>
      <c r="I145" s="358">
        <f t="shared" si="37"/>
        <v>7301</v>
      </c>
      <c r="J145" s="358">
        <f t="shared" si="37"/>
        <v>7340</v>
      </c>
      <c r="K145" s="358">
        <f t="shared" si="37"/>
        <v>7509</v>
      </c>
      <c r="L145" s="358">
        <f t="shared" si="37"/>
        <v>7510</v>
      </c>
      <c r="M145" s="358">
        <f t="shared" si="37"/>
        <v>7547</v>
      </c>
      <c r="N145" s="358">
        <f t="shared" si="37"/>
        <v>6957</v>
      </c>
      <c r="O145" s="358">
        <f t="shared" si="37"/>
        <v>6939</v>
      </c>
      <c r="P145" s="359">
        <f t="shared" si="35"/>
        <v>86348</v>
      </c>
      <c r="Q145" s="358"/>
      <c r="R145" s="358"/>
      <c r="S145" s="358"/>
      <c r="T145" s="358"/>
      <c r="U145" s="358"/>
      <c r="V145" s="358"/>
      <c r="W145" s="358"/>
    </row>
    <row r="146" spans="3:23">
      <c r="C146" s="235" t="s">
        <v>1069</v>
      </c>
      <c r="D146" s="358">
        <f t="shared" si="37"/>
        <v>642</v>
      </c>
      <c r="E146" s="358">
        <f t="shared" si="37"/>
        <v>586</v>
      </c>
      <c r="F146" s="358">
        <f t="shared" si="37"/>
        <v>594</v>
      </c>
      <c r="G146" s="358">
        <f t="shared" si="37"/>
        <v>678</v>
      </c>
      <c r="H146" s="358">
        <f t="shared" si="37"/>
        <v>703</v>
      </c>
      <c r="I146" s="358">
        <f t="shared" si="37"/>
        <v>664</v>
      </c>
      <c r="J146" s="358">
        <f t="shared" si="37"/>
        <v>667</v>
      </c>
      <c r="K146" s="358">
        <f t="shared" si="37"/>
        <v>683</v>
      </c>
      <c r="L146" s="358">
        <f t="shared" si="37"/>
        <v>683</v>
      </c>
      <c r="M146" s="358">
        <f t="shared" si="37"/>
        <v>686</v>
      </c>
      <c r="N146" s="358">
        <f t="shared" si="37"/>
        <v>632</v>
      </c>
      <c r="O146" s="358">
        <f t="shared" si="37"/>
        <v>631</v>
      </c>
      <c r="P146" s="359">
        <f t="shared" si="35"/>
        <v>7849</v>
      </c>
      <c r="Q146" s="358"/>
      <c r="R146" s="358"/>
      <c r="S146" s="358"/>
      <c r="T146" s="358"/>
      <c r="U146" s="358"/>
      <c r="V146" s="358"/>
      <c r="W146" s="358"/>
    </row>
    <row r="147" spans="3:23">
      <c r="C147" s="235" t="s">
        <v>1070</v>
      </c>
      <c r="D147" s="358">
        <f t="shared" si="37"/>
        <v>0</v>
      </c>
      <c r="E147" s="358">
        <f t="shared" si="37"/>
        <v>0</v>
      </c>
      <c r="F147" s="358">
        <f t="shared" si="37"/>
        <v>0</v>
      </c>
      <c r="G147" s="358">
        <f t="shared" si="37"/>
        <v>0</v>
      </c>
      <c r="H147" s="358">
        <f t="shared" si="37"/>
        <v>0</v>
      </c>
      <c r="I147" s="358">
        <f t="shared" si="37"/>
        <v>0</v>
      </c>
      <c r="J147" s="358">
        <f t="shared" si="37"/>
        <v>0</v>
      </c>
      <c r="K147" s="358">
        <f t="shared" si="37"/>
        <v>0</v>
      </c>
      <c r="L147" s="358">
        <f t="shared" si="37"/>
        <v>0</v>
      </c>
      <c r="M147" s="358">
        <f t="shared" si="37"/>
        <v>0</v>
      </c>
      <c r="N147" s="358">
        <f t="shared" si="37"/>
        <v>0</v>
      </c>
      <c r="O147" s="358">
        <f t="shared" si="37"/>
        <v>0</v>
      </c>
      <c r="P147" s="359">
        <f t="shared" si="35"/>
        <v>0</v>
      </c>
      <c r="Q147" s="358"/>
      <c r="R147" s="358"/>
      <c r="S147" s="358"/>
      <c r="T147" s="358"/>
      <c r="U147" s="358"/>
      <c r="V147" s="358"/>
      <c r="W147" s="358"/>
    </row>
    <row r="148" spans="3:23">
      <c r="C148" s="235" t="s">
        <v>1071</v>
      </c>
      <c r="D148" s="358">
        <f t="shared" si="37"/>
        <v>0</v>
      </c>
      <c r="E148" s="358">
        <f t="shared" si="37"/>
        <v>0</v>
      </c>
      <c r="F148" s="358">
        <f t="shared" si="37"/>
        <v>0</v>
      </c>
      <c r="G148" s="358">
        <f t="shared" si="37"/>
        <v>0</v>
      </c>
      <c r="H148" s="358">
        <f t="shared" si="37"/>
        <v>0</v>
      </c>
      <c r="I148" s="358">
        <f t="shared" si="37"/>
        <v>0</v>
      </c>
      <c r="J148" s="358">
        <f t="shared" si="37"/>
        <v>0</v>
      </c>
      <c r="K148" s="358">
        <f t="shared" si="37"/>
        <v>0</v>
      </c>
      <c r="L148" s="358">
        <f t="shared" si="37"/>
        <v>0</v>
      </c>
      <c r="M148" s="358">
        <f t="shared" si="37"/>
        <v>0</v>
      </c>
      <c r="N148" s="358">
        <f t="shared" si="37"/>
        <v>0</v>
      </c>
      <c r="O148" s="358">
        <f t="shared" si="37"/>
        <v>0</v>
      </c>
      <c r="P148" s="359">
        <f t="shared" si="35"/>
        <v>0</v>
      </c>
      <c r="Q148" s="358"/>
      <c r="R148" s="358"/>
      <c r="S148" s="358"/>
      <c r="T148" s="358"/>
      <c r="U148" s="358"/>
      <c r="V148" s="358"/>
      <c r="W148" s="358"/>
    </row>
    <row r="149" spans="3:23">
      <c r="C149" s="235" t="s">
        <v>1072</v>
      </c>
      <c r="D149" s="358">
        <f t="shared" si="37"/>
        <v>17989</v>
      </c>
      <c r="E149" s="358">
        <f t="shared" si="37"/>
        <v>16398</v>
      </c>
      <c r="F149" s="358">
        <f t="shared" si="37"/>
        <v>16645</v>
      </c>
      <c r="G149" s="358">
        <f t="shared" si="37"/>
        <v>18987</v>
      </c>
      <c r="H149" s="358">
        <f t="shared" si="37"/>
        <v>19697</v>
      </c>
      <c r="I149" s="358">
        <f t="shared" si="37"/>
        <v>18584</v>
      </c>
      <c r="J149" s="358">
        <f t="shared" si="37"/>
        <v>18684</v>
      </c>
      <c r="K149" s="358">
        <f t="shared" si="37"/>
        <v>19113</v>
      </c>
      <c r="L149" s="358">
        <f t="shared" si="37"/>
        <v>19117</v>
      </c>
      <c r="M149" s="358">
        <f t="shared" si="37"/>
        <v>19211</v>
      </c>
      <c r="N149" s="358">
        <f t="shared" si="37"/>
        <v>17709</v>
      </c>
      <c r="O149" s="358">
        <f t="shared" si="37"/>
        <v>17663</v>
      </c>
      <c r="P149" s="359">
        <f t="shared" si="35"/>
        <v>219797</v>
      </c>
      <c r="Q149" s="358"/>
      <c r="R149" s="358"/>
      <c r="S149" s="358"/>
      <c r="T149" s="358"/>
      <c r="U149" s="358"/>
      <c r="V149" s="358"/>
      <c r="W149" s="358"/>
    </row>
    <row r="150" spans="3:23">
      <c r="C150" s="235" t="s">
        <v>1073</v>
      </c>
      <c r="D150" s="358">
        <f t="shared" si="37"/>
        <v>1927</v>
      </c>
      <c r="E150" s="358">
        <f t="shared" si="37"/>
        <v>1757</v>
      </c>
      <c r="F150" s="358">
        <f t="shared" si="37"/>
        <v>1783</v>
      </c>
      <c r="G150" s="358">
        <f t="shared" si="37"/>
        <v>2034</v>
      </c>
      <c r="H150" s="358">
        <f t="shared" si="37"/>
        <v>2110</v>
      </c>
      <c r="I150" s="358">
        <f t="shared" si="37"/>
        <v>1991</v>
      </c>
      <c r="J150" s="358">
        <f t="shared" si="37"/>
        <v>2002</v>
      </c>
      <c r="K150" s="358">
        <f t="shared" si="37"/>
        <v>2048</v>
      </c>
      <c r="L150" s="358">
        <f t="shared" si="37"/>
        <v>2048</v>
      </c>
      <c r="M150" s="358">
        <f t="shared" si="37"/>
        <v>2058</v>
      </c>
      <c r="N150" s="358">
        <f t="shared" si="37"/>
        <v>1897</v>
      </c>
      <c r="O150" s="358">
        <f t="shared" si="37"/>
        <v>1892</v>
      </c>
      <c r="P150" s="359">
        <f t="shared" si="35"/>
        <v>23547</v>
      </c>
      <c r="Q150" s="358"/>
      <c r="R150" s="358"/>
      <c r="S150" s="358"/>
      <c r="T150" s="358"/>
      <c r="U150" s="358"/>
      <c r="V150" s="358"/>
      <c r="W150" s="358"/>
    </row>
    <row r="151" spans="3:23">
      <c r="C151" s="235" t="s">
        <v>1074</v>
      </c>
      <c r="D151" s="358">
        <f t="shared" si="37"/>
        <v>642</v>
      </c>
      <c r="E151" s="358">
        <f t="shared" si="37"/>
        <v>586</v>
      </c>
      <c r="F151" s="358">
        <f t="shared" si="37"/>
        <v>594</v>
      </c>
      <c r="G151" s="358">
        <f t="shared" si="37"/>
        <v>678</v>
      </c>
      <c r="H151" s="358">
        <f t="shared" si="37"/>
        <v>703</v>
      </c>
      <c r="I151" s="358">
        <f t="shared" si="37"/>
        <v>664</v>
      </c>
      <c r="J151" s="358">
        <f t="shared" si="37"/>
        <v>667</v>
      </c>
      <c r="K151" s="358">
        <f t="shared" si="37"/>
        <v>683</v>
      </c>
      <c r="L151" s="358">
        <f t="shared" si="37"/>
        <v>683</v>
      </c>
      <c r="M151" s="358">
        <f t="shared" si="37"/>
        <v>686</v>
      </c>
      <c r="N151" s="358">
        <f t="shared" si="37"/>
        <v>632</v>
      </c>
      <c r="O151" s="358">
        <f t="shared" si="37"/>
        <v>631</v>
      </c>
      <c r="P151" s="359">
        <f t="shared" si="35"/>
        <v>7849</v>
      </c>
      <c r="Q151" s="358"/>
      <c r="R151" s="358"/>
      <c r="S151" s="358"/>
      <c r="T151" s="358"/>
      <c r="U151" s="358"/>
      <c r="V151" s="358"/>
      <c r="W151" s="358"/>
    </row>
    <row r="152" spans="3:23">
      <c r="C152" s="235" t="s">
        <v>1075</v>
      </c>
      <c r="D152" s="358">
        <f t="shared" si="37"/>
        <v>0</v>
      </c>
      <c r="E152" s="358">
        <f t="shared" si="37"/>
        <v>0</v>
      </c>
      <c r="F152" s="358">
        <f t="shared" si="37"/>
        <v>0</v>
      </c>
      <c r="G152" s="358">
        <f t="shared" si="37"/>
        <v>0</v>
      </c>
      <c r="H152" s="358">
        <f t="shared" si="37"/>
        <v>0</v>
      </c>
      <c r="I152" s="358">
        <f t="shared" si="37"/>
        <v>0</v>
      </c>
      <c r="J152" s="358">
        <f t="shared" si="37"/>
        <v>0</v>
      </c>
      <c r="K152" s="358">
        <f t="shared" si="37"/>
        <v>0</v>
      </c>
      <c r="L152" s="358">
        <f t="shared" si="37"/>
        <v>0</v>
      </c>
      <c r="M152" s="358">
        <f t="shared" si="37"/>
        <v>0</v>
      </c>
      <c r="N152" s="358">
        <f t="shared" si="37"/>
        <v>0</v>
      </c>
      <c r="O152" s="358">
        <f t="shared" si="37"/>
        <v>0</v>
      </c>
      <c r="P152" s="359">
        <f t="shared" si="35"/>
        <v>0</v>
      </c>
      <c r="Q152" s="358"/>
      <c r="R152" s="358"/>
      <c r="S152" s="358"/>
      <c r="T152" s="358"/>
      <c r="U152" s="358"/>
      <c r="V152" s="358"/>
      <c r="W152" s="358"/>
    </row>
    <row r="153" spans="3:23">
      <c r="C153" s="235" t="s">
        <v>1076</v>
      </c>
      <c r="D153" s="358">
        <f t="shared" ref="D153:O163" si="38">+D203-D252</f>
        <v>0</v>
      </c>
      <c r="E153" s="358">
        <f t="shared" si="38"/>
        <v>0</v>
      </c>
      <c r="F153" s="358">
        <f t="shared" si="38"/>
        <v>0</v>
      </c>
      <c r="G153" s="358">
        <f t="shared" si="38"/>
        <v>0</v>
      </c>
      <c r="H153" s="358">
        <f t="shared" si="38"/>
        <v>0</v>
      </c>
      <c r="I153" s="358">
        <f t="shared" si="38"/>
        <v>0</v>
      </c>
      <c r="J153" s="358">
        <f t="shared" si="38"/>
        <v>0</v>
      </c>
      <c r="K153" s="358">
        <f t="shared" si="38"/>
        <v>0</v>
      </c>
      <c r="L153" s="358">
        <f t="shared" si="38"/>
        <v>0</v>
      </c>
      <c r="M153" s="358">
        <f t="shared" si="38"/>
        <v>0</v>
      </c>
      <c r="N153" s="358">
        <f t="shared" si="38"/>
        <v>0</v>
      </c>
      <c r="O153" s="358">
        <f t="shared" si="38"/>
        <v>0</v>
      </c>
      <c r="P153" s="359">
        <f t="shared" si="35"/>
        <v>0</v>
      </c>
      <c r="Q153" s="358"/>
      <c r="R153" s="358"/>
      <c r="S153" s="358"/>
      <c r="T153" s="358"/>
      <c r="U153" s="358"/>
      <c r="V153" s="358"/>
      <c r="W153" s="358"/>
    </row>
    <row r="154" spans="3:23">
      <c r="C154" s="235" t="s">
        <v>1077</v>
      </c>
      <c r="D154" s="358">
        <f t="shared" si="38"/>
        <v>3212</v>
      </c>
      <c r="E154" s="358">
        <f t="shared" si="38"/>
        <v>2928</v>
      </c>
      <c r="F154" s="358">
        <f t="shared" si="38"/>
        <v>2972</v>
      </c>
      <c r="G154" s="358">
        <f t="shared" si="38"/>
        <v>3391</v>
      </c>
      <c r="H154" s="358">
        <f t="shared" si="38"/>
        <v>3517</v>
      </c>
      <c r="I154" s="358">
        <f t="shared" si="38"/>
        <v>3319</v>
      </c>
      <c r="J154" s="358">
        <f t="shared" si="38"/>
        <v>3336</v>
      </c>
      <c r="K154" s="358">
        <f t="shared" si="38"/>
        <v>3413</v>
      </c>
      <c r="L154" s="358">
        <f t="shared" si="38"/>
        <v>3414</v>
      </c>
      <c r="M154" s="358">
        <f t="shared" si="38"/>
        <v>3431</v>
      </c>
      <c r="N154" s="358">
        <f t="shared" si="38"/>
        <v>3162</v>
      </c>
      <c r="O154" s="358">
        <f t="shared" si="38"/>
        <v>3154</v>
      </c>
      <c r="P154" s="359">
        <f t="shared" si="35"/>
        <v>39249</v>
      </c>
      <c r="Q154" s="358"/>
      <c r="R154" s="358"/>
      <c r="S154" s="358"/>
      <c r="T154" s="358"/>
      <c r="U154" s="358"/>
      <c r="V154" s="358"/>
      <c r="W154" s="358"/>
    </row>
    <row r="155" spans="3:23">
      <c r="C155" s="235" t="s">
        <v>1078</v>
      </c>
      <c r="D155" s="358">
        <f t="shared" si="38"/>
        <v>1285</v>
      </c>
      <c r="E155" s="358">
        <f t="shared" si="38"/>
        <v>1171</v>
      </c>
      <c r="F155" s="358">
        <f t="shared" si="38"/>
        <v>1189</v>
      </c>
      <c r="G155" s="358">
        <f t="shared" si="38"/>
        <v>1356</v>
      </c>
      <c r="H155" s="358">
        <f t="shared" si="38"/>
        <v>1407</v>
      </c>
      <c r="I155" s="358">
        <f t="shared" si="38"/>
        <v>1327</v>
      </c>
      <c r="J155" s="358">
        <f t="shared" si="38"/>
        <v>1335</v>
      </c>
      <c r="K155" s="358">
        <f t="shared" si="38"/>
        <v>1365</v>
      </c>
      <c r="L155" s="358">
        <f t="shared" si="38"/>
        <v>1365</v>
      </c>
      <c r="M155" s="358">
        <f t="shared" si="38"/>
        <v>1372</v>
      </c>
      <c r="N155" s="358">
        <f t="shared" si="38"/>
        <v>1265</v>
      </c>
      <c r="O155" s="358">
        <f t="shared" si="38"/>
        <v>1262</v>
      </c>
      <c r="P155" s="359">
        <f t="shared" si="35"/>
        <v>15699</v>
      </c>
      <c r="Q155" s="358"/>
      <c r="R155" s="358"/>
      <c r="S155" s="358"/>
      <c r="T155" s="358"/>
      <c r="U155" s="358"/>
      <c r="V155" s="358"/>
      <c r="W155" s="358"/>
    </row>
    <row r="156" spans="3:23">
      <c r="C156" s="235" t="s">
        <v>1079</v>
      </c>
      <c r="D156" s="358">
        <f t="shared" si="38"/>
        <v>14777</v>
      </c>
      <c r="E156" s="358">
        <f t="shared" si="38"/>
        <v>13470</v>
      </c>
      <c r="F156" s="358">
        <f t="shared" si="38"/>
        <v>13673</v>
      </c>
      <c r="G156" s="358">
        <f t="shared" si="38"/>
        <v>15597</v>
      </c>
      <c r="H156" s="358">
        <f t="shared" si="38"/>
        <v>16180</v>
      </c>
      <c r="I156" s="358">
        <f t="shared" si="38"/>
        <v>15266</v>
      </c>
      <c r="J156" s="358">
        <f t="shared" si="38"/>
        <v>15348</v>
      </c>
      <c r="K156" s="358">
        <f t="shared" si="38"/>
        <v>15700</v>
      </c>
      <c r="L156" s="358">
        <f t="shared" si="38"/>
        <v>15703</v>
      </c>
      <c r="M156" s="358">
        <f t="shared" si="38"/>
        <v>15780</v>
      </c>
      <c r="N156" s="358">
        <f t="shared" si="38"/>
        <v>14546</v>
      </c>
      <c r="O156" s="358">
        <f t="shared" si="38"/>
        <v>14509</v>
      </c>
      <c r="P156" s="359">
        <f t="shared" si="35"/>
        <v>180549</v>
      </c>
      <c r="Q156" s="358"/>
      <c r="R156" s="358"/>
      <c r="S156" s="358"/>
      <c r="T156" s="358"/>
      <c r="U156" s="358"/>
      <c r="V156" s="358"/>
      <c r="W156" s="358"/>
    </row>
    <row r="157" spans="3:23">
      <c r="C157" s="235" t="s">
        <v>1080</v>
      </c>
      <c r="D157" s="358">
        <f t="shared" si="38"/>
        <v>4497</v>
      </c>
      <c r="E157" s="358">
        <f t="shared" si="38"/>
        <v>4100</v>
      </c>
      <c r="F157" s="358">
        <f t="shared" si="38"/>
        <v>4161</v>
      </c>
      <c r="G157" s="358">
        <f t="shared" si="38"/>
        <v>4747</v>
      </c>
      <c r="H157" s="358">
        <f t="shared" si="38"/>
        <v>4924</v>
      </c>
      <c r="I157" s="358">
        <f t="shared" si="38"/>
        <v>4646</v>
      </c>
      <c r="J157" s="358">
        <f t="shared" si="38"/>
        <v>4671</v>
      </c>
      <c r="K157" s="358">
        <f t="shared" si="38"/>
        <v>4778</v>
      </c>
      <c r="L157" s="358">
        <f t="shared" si="38"/>
        <v>4779</v>
      </c>
      <c r="M157" s="358">
        <f t="shared" si="38"/>
        <v>4803</v>
      </c>
      <c r="N157" s="358">
        <f t="shared" si="38"/>
        <v>4427</v>
      </c>
      <c r="O157" s="358">
        <f t="shared" si="38"/>
        <v>4416</v>
      </c>
      <c r="P157" s="359">
        <f t="shared" si="35"/>
        <v>54949</v>
      </c>
      <c r="Q157" s="358"/>
      <c r="R157" s="358"/>
      <c r="S157" s="358"/>
      <c r="T157" s="358"/>
      <c r="U157" s="358"/>
      <c r="V157" s="358"/>
      <c r="W157" s="358"/>
    </row>
    <row r="158" spans="3:23">
      <c r="C158" s="235" t="s">
        <v>1081</v>
      </c>
      <c r="D158" s="358">
        <f t="shared" si="38"/>
        <v>0</v>
      </c>
      <c r="E158" s="358">
        <f t="shared" si="38"/>
        <v>0</v>
      </c>
      <c r="F158" s="358">
        <f t="shared" si="38"/>
        <v>0</v>
      </c>
      <c r="G158" s="358">
        <f t="shared" si="38"/>
        <v>0</v>
      </c>
      <c r="H158" s="358">
        <f t="shared" si="38"/>
        <v>0</v>
      </c>
      <c r="I158" s="358">
        <f t="shared" si="38"/>
        <v>0</v>
      </c>
      <c r="J158" s="358">
        <f t="shared" si="38"/>
        <v>0</v>
      </c>
      <c r="K158" s="358">
        <f t="shared" si="38"/>
        <v>0</v>
      </c>
      <c r="L158" s="358">
        <f t="shared" si="38"/>
        <v>0</v>
      </c>
      <c r="M158" s="358">
        <f t="shared" si="38"/>
        <v>0</v>
      </c>
      <c r="N158" s="358">
        <f t="shared" si="38"/>
        <v>0</v>
      </c>
      <c r="O158" s="358">
        <f t="shared" si="38"/>
        <v>0</v>
      </c>
      <c r="P158" s="359">
        <f t="shared" si="35"/>
        <v>0</v>
      </c>
      <c r="Q158" s="358"/>
      <c r="R158" s="358"/>
      <c r="S158" s="358"/>
      <c r="T158" s="358"/>
      <c r="U158" s="358"/>
      <c r="V158" s="358"/>
      <c r="W158" s="358"/>
    </row>
    <row r="159" spans="3:23">
      <c r="C159" s="235" t="s">
        <v>1082</v>
      </c>
      <c r="D159" s="358">
        <f t="shared" si="38"/>
        <v>642</v>
      </c>
      <c r="E159" s="358">
        <f t="shared" si="38"/>
        <v>586</v>
      </c>
      <c r="F159" s="358">
        <f t="shared" si="38"/>
        <v>594</v>
      </c>
      <c r="G159" s="358">
        <f t="shared" si="38"/>
        <v>678</v>
      </c>
      <c r="H159" s="358">
        <f t="shared" si="38"/>
        <v>703</v>
      </c>
      <c r="I159" s="358">
        <f t="shared" si="38"/>
        <v>664</v>
      </c>
      <c r="J159" s="358">
        <f t="shared" si="38"/>
        <v>667</v>
      </c>
      <c r="K159" s="358">
        <f t="shared" si="38"/>
        <v>683</v>
      </c>
      <c r="L159" s="358">
        <f t="shared" si="38"/>
        <v>683</v>
      </c>
      <c r="M159" s="358">
        <f t="shared" si="38"/>
        <v>686</v>
      </c>
      <c r="N159" s="358">
        <f t="shared" si="38"/>
        <v>632</v>
      </c>
      <c r="O159" s="358">
        <f t="shared" si="38"/>
        <v>631</v>
      </c>
      <c r="P159" s="359">
        <f t="shared" si="35"/>
        <v>7849</v>
      </c>
      <c r="Q159" s="358"/>
      <c r="R159" s="358"/>
      <c r="S159" s="358"/>
      <c r="T159" s="358"/>
      <c r="U159" s="358"/>
      <c r="V159" s="358"/>
      <c r="W159" s="358"/>
    </row>
    <row r="160" spans="3:23">
      <c r="C160" s="235" t="s">
        <v>1083</v>
      </c>
      <c r="D160" s="358">
        <f t="shared" si="38"/>
        <v>9637</v>
      </c>
      <c r="E160" s="358">
        <f t="shared" si="38"/>
        <v>8785</v>
      </c>
      <c r="F160" s="358">
        <f t="shared" si="38"/>
        <v>8917</v>
      </c>
      <c r="G160" s="358">
        <f t="shared" si="38"/>
        <v>10172</v>
      </c>
      <c r="H160" s="358">
        <f t="shared" si="38"/>
        <v>10552</v>
      </c>
      <c r="I160" s="358">
        <f t="shared" si="38"/>
        <v>9956</v>
      </c>
      <c r="J160" s="358">
        <f t="shared" si="38"/>
        <v>10009</v>
      </c>
      <c r="K160" s="358">
        <f t="shared" si="38"/>
        <v>10239</v>
      </c>
      <c r="L160" s="358">
        <f t="shared" si="38"/>
        <v>10241</v>
      </c>
      <c r="M160" s="358">
        <f t="shared" si="38"/>
        <v>10292</v>
      </c>
      <c r="N160" s="358">
        <f t="shared" si="38"/>
        <v>9487</v>
      </c>
      <c r="O160" s="358">
        <f t="shared" si="38"/>
        <v>9462</v>
      </c>
      <c r="P160" s="359">
        <f t="shared" si="35"/>
        <v>117749</v>
      </c>
      <c r="Q160" s="358"/>
      <c r="R160" s="358"/>
      <c r="S160" s="358"/>
      <c r="T160" s="358"/>
      <c r="U160" s="358"/>
      <c r="V160" s="358"/>
      <c r="W160" s="358"/>
    </row>
    <row r="161" spans="3:32">
      <c r="C161" s="235" t="s">
        <v>1084</v>
      </c>
      <c r="D161" s="358">
        <f t="shared" si="38"/>
        <v>1927</v>
      </c>
      <c r="E161" s="358">
        <f t="shared" si="38"/>
        <v>1757</v>
      </c>
      <c r="F161" s="358">
        <f t="shared" si="38"/>
        <v>1783</v>
      </c>
      <c r="G161" s="358">
        <f t="shared" si="38"/>
        <v>2034</v>
      </c>
      <c r="H161" s="358">
        <f t="shared" si="38"/>
        <v>2110</v>
      </c>
      <c r="I161" s="358">
        <f t="shared" si="38"/>
        <v>1991</v>
      </c>
      <c r="J161" s="358">
        <f t="shared" si="38"/>
        <v>2002</v>
      </c>
      <c r="K161" s="358">
        <f t="shared" si="38"/>
        <v>2048</v>
      </c>
      <c r="L161" s="358">
        <f t="shared" si="38"/>
        <v>2048</v>
      </c>
      <c r="M161" s="358">
        <f t="shared" si="38"/>
        <v>2058</v>
      </c>
      <c r="N161" s="358">
        <f t="shared" si="38"/>
        <v>1897</v>
      </c>
      <c r="O161" s="358">
        <f t="shared" si="38"/>
        <v>1892</v>
      </c>
      <c r="P161" s="359">
        <f t="shared" si="35"/>
        <v>23547</v>
      </c>
      <c r="Q161" s="358"/>
      <c r="R161" s="358"/>
      <c r="S161" s="358"/>
      <c r="T161" s="358"/>
      <c r="U161" s="358"/>
      <c r="V161" s="358"/>
      <c r="W161" s="358"/>
    </row>
    <row r="162" spans="3:32">
      <c r="C162" s="235" t="s">
        <v>1085</v>
      </c>
      <c r="D162" s="358">
        <f t="shared" si="38"/>
        <v>9637</v>
      </c>
      <c r="E162" s="358">
        <f t="shared" si="38"/>
        <v>8785</v>
      </c>
      <c r="F162" s="358">
        <f t="shared" si="38"/>
        <v>8917</v>
      </c>
      <c r="G162" s="358">
        <f t="shared" si="38"/>
        <v>10172</v>
      </c>
      <c r="H162" s="358">
        <f t="shared" si="38"/>
        <v>10552</v>
      </c>
      <c r="I162" s="358">
        <f t="shared" si="38"/>
        <v>9956</v>
      </c>
      <c r="J162" s="358">
        <f t="shared" si="38"/>
        <v>10009</v>
      </c>
      <c r="K162" s="358">
        <f t="shared" si="38"/>
        <v>10239</v>
      </c>
      <c r="L162" s="358">
        <f t="shared" si="38"/>
        <v>10241</v>
      </c>
      <c r="M162" s="358">
        <f t="shared" si="38"/>
        <v>10292</v>
      </c>
      <c r="N162" s="358">
        <f t="shared" si="38"/>
        <v>9487</v>
      </c>
      <c r="O162" s="358">
        <f t="shared" si="38"/>
        <v>9462</v>
      </c>
      <c r="P162" s="359">
        <f t="shared" si="35"/>
        <v>117749</v>
      </c>
      <c r="Q162" s="358"/>
      <c r="R162" s="358"/>
      <c r="S162" s="358"/>
      <c r="T162" s="358"/>
      <c r="U162" s="358"/>
      <c r="V162" s="358"/>
      <c r="W162" s="358"/>
    </row>
    <row r="163" spans="3:32">
      <c r="C163" s="235" t="s">
        <v>1086</v>
      </c>
      <c r="D163" s="358">
        <f>+D213-D262</f>
        <v>17989</v>
      </c>
      <c r="E163" s="358">
        <f t="shared" si="38"/>
        <v>16398</v>
      </c>
      <c r="F163" s="358">
        <f t="shared" si="38"/>
        <v>16645</v>
      </c>
      <c r="G163" s="358">
        <f t="shared" si="38"/>
        <v>18987</v>
      </c>
      <c r="H163" s="358">
        <f t="shared" si="38"/>
        <v>19697</v>
      </c>
      <c r="I163" s="358">
        <f t="shared" si="38"/>
        <v>18584</v>
      </c>
      <c r="J163" s="358">
        <f t="shared" si="38"/>
        <v>18684</v>
      </c>
      <c r="K163" s="358">
        <f t="shared" si="38"/>
        <v>19113</v>
      </c>
      <c r="L163" s="358">
        <f t="shared" si="38"/>
        <v>19117</v>
      </c>
      <c r="M163" s="358">
        <f t="shared" si="38"/>
        <v>19211</v>
      </c>
      <c r="N163" s="358">
        <f t="shared" si="38"/>
        <v>17709</v>
      </c>
      <c r="O163" s="358">
        <f t="shared" si="38"/>
        <v>17663</v>
      </c>
      <c r="P163" s="359">
        <f t="shared" si="35"/>
        <v>219797</v>
      </c>
      <c r="Q163" s="358"/>
      <c r="R163" s="358"/>
      <c r="S163" s="358"/>
      <c r="T163" s="358"/>
      <c r="U163" s="358"/>
      <c r="V163" s="358"/>
      <c r="W163" s="358"/>
    </row>
    <row r="164" spans="3:32">
      <c r="C164" s="235"/>
      <c r="D164" s="358">
        <f>SUM(D119:D163)</f>
        <v>164966.45000000001</v>
      </c>
      <c r="E164" s="358">
        <f t="shared" ref="E164:O164" si="39">SUM(E119:E163)</f>
        <v>150035.45000000001</v>
      </c>
      <c r="F164" s="358">
        <f t="shared" si="39"/>
        <v>152224.64000000001</v>
      </c>
      <c r="G164" s="358">
        <f t="shared" si="39"/>
        <v>173035.64</v>
      </c>
      <c r="H164" s="358">
        <f t="shared" si="39"/>
        <v>179669.45</v>
      </c>
      <c r="I164" s="358">
        <f t="shared" si="39"/>
        <v>169473.15</v>
      </c>
      <c r="J164" s="358">
        <f t="shared" si="39"/>
        <v>170326.15</v>
      </c>
      <c r="K164" s="358">
        <f t="shared" si="39"/>
        <v>174123.15</v>
      </c>
      <c r="L164" s="358">
        <f t="shared" si="39"/>
        <v>174184.15</v>
      </c>
      <c r="M164" s="358">
        <f t="shared" si="39"/>
        <v>175760.66999999998</v>
      </c>
      <c r="N164" s="358">
        <f t="shared" si="39"/>
        <v>161697.64000000001</v>
      </c>
      <c r="O164" s="358">
        <f t="shared" si="39"/>
        <v>161292.64000000001</v>
      </c>
      <c r="P164" s="359">
        <f t="shared" si="35"/>
        <v>2006789.1800000002</v>
      </c>
      <c r="Q164" s="358"/>
      <c r="R164" s="358"/>
      <c r="S164" s="358"/>
      <c r="T164" s="358"/>
      <c r="U164" s="358"/>
      <c r="V164" s="358"/>
      <c r="W164" s="358"/>
    </row>
    <row r="166" spans="3:32">
      <c r="D166" s="290">
        <f>D164-D22</f>
        <v>-20704.209999999992</v>
      </c>
      <c r="E166" s="290">
        <f t="shared" ref="E166:P166" si="40">E164-E22</f>
        <v>-19215.420000000013</v>
      </c>
      <c r="F166" s="290">
        <f t="shared" si="40"/>
        <v>-19575.53</v>
      </c>
      <c r="G166" s="290">
        <f t="shared" si="40"/>
        <v>-22942.049999999988</v>
      </c>
      <c r="H166" s="290">
        <f t="shared" si="40"/>
        <v>-23632.880000000005</v>
      </c>
      <c r="I166" s="290">
        <f t="shared" si="40"/>
        <v>-22343.020000000019</v>
      </c>
      <c r="J166" s="290">
        <f t="shared" si="40"/>
        <v>-22519.120000000024</v>
      </c>
      <c r="K166" s="290">
        <f t="shared" si="40"/>
        <v>-23152.300000000017</v>
      </c>
      <c r="L166" s="290">
        <f t="shared" si="40"/>
        <v>-23126.300000000017</v>
      </c>
      <c r="M166" s="290">
        <f t="shared" si="40"/>
        <v>-22524.260000000009</v>
      </c>
      <c r="N166" s="290">
        <f t="shared" si="40"/>
        <v>-21081.630000000005</v>
      </c>
      <c r="O166" s="290">
        <f t="shared" si="40"/>
        <v>-21017.809999999998</v>
      </c>
      <c r="P166" s="360">
        <f t="shared" si="40"/>
        <v>-261834.5299999998</v>
      </c>
      <c r="Q166" s="290"/>
      <c r="R166" s="290"/>
      <c r="S166" s="290"/>
      <c r="T166" s="290"/>
      <c r="U166" s="290"/>
      <c r="V166" s="290"/>
      <c r="W166" s="290"/>
    </row>
    <row r="167" spans="3:32" s="361" customFormat="1">
      <c r="D167" s="362" t="e">
        <f>+D164-#REF!</f>
        <v>#REF!</v>
      </c>
      <c r="E167" s="362" t="e">
        <f>+E164-#REF!</f>
        <v>#REF!</v>
      </c>
      <c r="F167" s="362" t="e">
        <f>+F164-#REF!</f>
        <v>#REF!</v>
      </c>
      <c r="G167" s="362" t="e">
        <f>+G164-#REF!</f>
        <v>#REF!</v>
      </c>
      <c r="H167" s="362" t="e">
        <f>+H164-#REF!</f>
        <v>#REF!</v>
      </c>
      <c r="I167" s="362" t="e">
        <f>+I164-#REF!</f>
        <v>#REF!</v>
      </c>
      <c r="J167" s="362" t="e">
        <f>+J164-#REF!</f>
        <v>#REF!</v>
      </c>
      <c r="K167" s="362" t="e">
        <f>+K164-#REF!</f>
        <v>#REF!</v>
      </c>
      <c r="L167" s="362" t="e">
        <f>+L164-#REF!</f>
        <v>#REF!</v>
      </c>
      <c r="M167" s="362" t="e">
        <f>+M164-#REF!</f>
        <v>#REF!</v>
      </c>
      <c r="N167" s="362" t="e">
        <f>+N164-#REF!</f>
        <v>#REF!</v>
      </c>
      <c r="O167" s="362" t="e">
        <f>+O164-#REF!</f>
        <v>#REF!</v>
      </c>
      <c r="P167" s="363" t="e">
        <f>+P164-#REF!</f>
        <v>#REF!</v>
      </c>
      <c r="Q167" s="362"/>
      <c r="R167" s="362"/>
      <c r="S167" s="362"/>
      <c r="T167" s="362"/>
      <c r="U167" s="362"/>
      <c r="V167" s="362"/>
      <c r="W167" s="362"/>
      <c r="AC167" s="364"/>
      <c r="AF167" s="364"/>
    </row>
    <row r="168" spans="3:32">
      <c r="C168" s="356" t="s">
        <v>1088</v>
      </c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357"/>
    </row>
    <row r="169" spans="3:32">
      <c r="C169" s="235" t="s">
        <v>1042</v>
      </c>
      <c r="D169" s="358">
        <f>ROUND($Q70*D$22,0)</f>
        <v>16704</v>
      </c>
      <c r="E169" s="358">
        <f t="shared" ref="E169:O169" si="41">ROUND($Q70*E$22,0)</f>
        <v>15227</v>
      </c>
      <c r="F169" s="358">
        <f t="shared" si="41"/>
        <v>15456</v>
      </c>
      <c r="G169" s="358">
        <f t="shared" si="41"/>
        <v>17631</v>
      </c>
      <c r="H169" s="358">
        <f t="shared" si="41"/>
        <v>18290</v>
      </c>
      <c r="I169" s="358">
        <f t="shared" si="41"/>
        <v>17257</v>
      </c>
      <c r="J169" s="358">
        <f t="shared" si="41"/>
        <v>17349</v>
      </c>
      <c r="K169" s="358">
        <f t="shared" si="41"/>
        <v>17748</v>
      </c>
      <c r="L169" s="358">
        <f t="shared" si="41"/>
        <v>17751</v>
      </c>
      <c r="M169" s="358">
        <f t="shared" si="41"/>
        <v>17839</v>
      </c>
      <c r="N169" s="358">
        <f t="shared" si="41"/>
        <v>16444</v>
      </c>
      <c r="O169" s="358">
        <f t="shared" si="41"/>
        <v>16402</v>
      </c>
      <c r="P169" s="359">
        <f>SUM(D169:O169)</f>
        <v>204098</v>
      </c>
    </row>
    <row r="170" spans="3:32">
      <c r="C170" s="235" t="s">
        <v>1043</v>
      </c>
      <c r="D170" s="358">
        <f t="shared" ref="D170:O185" si="42">ROUND($Q71*D$22,0)</f>
        <v>19274</v>
      </c>
      <c r="E170" s="358">
        <f t="shared" si="42"/>
        <v>17569</v>
      </c>
      <c r="F170" s="358">
        <f t="shared" si="42"/>
        <v>17834</v>
      </c>
      <c r="G170" s="358">
        <f t="shared" si="42"/>
        <v>20344</v>
      </c>
      <c r="H170" s="358">
        <f t="shared" si="42"/>
        <v>21104</v>
      </c>
      <c r="I170" s="358">
        <f t="shared" si="42"/>
        <v>19912</v>
      </c>
      <c r="J170" s="358">
        <f t="shared" si="42"/>
        <v>20019</v>
      </c>
      <c r="K170" s="358">
        <f t="shared" si="42"/>
        <v>20478</v>
      </c>
      <c r="L170" s="358">
        <f t="shared" si="42"/>
        <v>20482</v>
      </c>
      <c r="M170" s="358">
        <f t="shared" si="42"/>
        <v>20583</v>
      </c>
      <c r="N170" s="358">
        <f t="shared" si="42"/>
        <v>18974</v>
      </c>
      <c r="O170" s="358">
        <f t="shared" si="42"/>
        <v>18925</v>
      </c>
      <c r="P170" s="359">
        <f t="shared" ref="P170:P214" si="43">SUM(D170:O170)</f>
        <v>235498</v>
      </c>
    </row>
    <row r="171" spans="3:32">
      <c r="C171" s="235" t="s">
        <v>1044</v>
      </c>
      <c r="D171" s="358">
        <f t="shared" si="42"/>
        <v>5140</v>
      </c>
      <c r="E171" s="358">
        <f t="shared" si="42"/>
        <v>4685</v>
      </c>
      <c r="F171" s="358">
        <f t="shared" si="42"/>
        <v>4756</v>
      </c>
      <c r="G171" s="358">
        <f t="shared" si="42"/>
        <v>5425</v>
      </c>
      <c r="H171" s="358">
        <f t="shared" si="42"/>
        <v>5628</v>
      </c>
      <c r="I171" s="358">
        <f t="shared" si="42"/>
        <v>5310</v>
      </c>
      <c r="J171" s="358">
        <f t="shared" si="42"/>
        <v>5338</v>
      </c>
      <c r="K171" s="358">
        <f t="shared" si="42"/>
        <v>5461</v>
      </c>
      <c r="L171" s="358">
        <f t="shared" si="42"/>
        <v>5462</v>
      </c>
      <c r="M171" s="358">
        <f t="shared" si="42"/>
        <v>5489</v>
      </c>
      <c r="N171" s="358">
        <f t="shared" si="42"/>
        <v>5060</v>
      </c>
      <c r="O171" s="358">
        <f t="shared" si="42"/>
        <v>5047</v>
      </c>
      <c r="P171" s="359">
        <f t="shared" si="43"/>
        <v>62801</v>
      </c>
    </row>
    <row r="172" spans="3:32">
      <c r="C172" s="235" t="s">
        <v>1045</v>
      </c>
      <c r="D172" s="358">
        <f t="shared" si="42"/>
        <v>0</v>
      </c>
      <c r="E172" s="358">
        <f t="shared" si="42"/>
        <v>0</v>
      </c>
      <c r="F172" s="358">
        <f t="shared" si="42"/>
        <v>0</v>
      </c>
      <c r="G172" s="358">
        <f t="shared" si="42"/>
        <v>0</v>
      </c>
      <c r="H172" s="358">
        <f t="shared" si="42"/>
        <v>0</v>
      </c>
      <c r="I172" s="358">
        <f t="shared" si="42"/>
        <v>0</v>
      </c>
      <c r="J172" s="358">
        <f t="shared" si="42"/>
        <v>0</v>
      </c>
      <c r="K172" s="358">
        <f t="shared" si="42"/>
        <v>0</v>
      </c>
      <c r="L172" s="358">
        <f t="shared" si="42"/>
        <v>0</v>
      </c>
      <c r="M172" s="358">
        <f t="shared" si="42"/>
        <v>0</v>
      </c>
      <c r="N172" s="358">
        <f t="shared" si="42"/>
        <v>0</v>
      </c>
      <c r="O172" s="358">
        <f t="shared" si="42"/>
        <v>0</v>
      </c>
      <c r="P172" s="359">
        <f t="shared" si="43"/>
        <v>0</v>
      </c>
    </row>
    <row r="173" spans="3:32">
      <c r="C173" s="235" t="s">
        <v>1046</v>
      </c>
      <c r="D173" s="358">
        <f t="shared" si="42"/>
        <v>3855</v>
      </c>
      <c r="E173" s="358">
        <f t="shared" si="42"/>
        <v>3514</v>
      </c>
      <c r="F173" s="358">
        <f t="shared" si="42"/>
        <v>3567</v>
      </c>
      <c r="G173" s="358">
        <f t="shared" si="42"/>
        <v>4069</v>
      </c>
      <c r="H173" s="358">
        <f t="shared" si="42"/>
        <v>4221</v>
      </c>
      <c r="I173" s="358">
        <f t="shared" si="42"/>
        <v>3982</v>
      </c>
      <c r="J173" s="358">
        <f t="shared" si="42"/>
        <v>4004</v>
      </c>
      <c r="K173" s="358">
        <f t="shared" si="42"/>
        <v>4096</v>
      </c>
      <c r="L173" s="358">
        <f t="shared" si="42"/>
        <v>4096</v>
      </c>
      <c r="M173" s="358">
        <f t="shared" si="42"/>
        <v>4117</v>
      </c>
      <c r="N173" s="358">
        <f t="shared" si="42"/>
        <v>3795</v>
      </c>
      <c r="O173" s="358">
        <f t="shared" si="42"/>
        <v>3785</v>
      </c>
      <c r="P173" s="359">
        <f t="shared" si="43"/>
        <v>47101</v>
      </c>
    </row>
    <row r="174" spans="3:32">
      <c r="C174" s="235" t="s">
        <v>1047</v>
      </c>
      <c r="D174" s="358">
        <f t="shared" si="42"/>
        <v>8352</v>
      </c>
      <c r="E174" s="358">
        <f t="shared" si="42"/>
        <v>7613</v>
      </c>
      <c r="F174" s="358">
        <f t="shared" si="42"/>
        <v>7728</v>
      </c>
      <c r="G174" s="358">
        <f t="shared" si="42"/>
        <v>8816</v>
      </c>
      <c r="H174" s="358">
        <f t="shared" si="42"/>
        <v>9145</v>
      </c>
      <c r="I174" s="358">
        <f t="shared" si="42"/>
        <v>8628</v>
      </c>
      <c r="J174" s="358">
        <f t="shared" si="42"/>
        <v>8675</v>
      </c>
      <c r="K174" s="358">
        <f t="shared" si="42"/>
        <v>8874</v>
      </c>
      <c r="L174" s="358">
        <f t="shared" si="42"/>
        <v>8876</v>
      </c>
      <c r="M174" s="358">
        <f t="shared" si="42"/>
        <v>8919</v>
      </c>
      <c r="N174" s="358">
        <f t="shared" si="42"/>
        <v>8222</v>
      </c>
      <c r="O174" s="358">
        <f t="shared" si="42"/>
        <v>8201</v>
      </c>
      <c r="P174" s="359">
        <f t="shared" si="43"/>
        <v>102049</v>
      </c>
    </row>
    <row r="175" spans="3:32">
      <c r="C175" s="235" t="s">
        <v>1048</v>
      </c>
      <c r="D175" s="358">
        <f t="shared" si="42"/>
        <v>642</v>
      </c>
      <c r="E175" s="358">
        <f t="shared" si="42"/>
        <v>586</v>
      </c>
      <c r="F175" s="358">
        <f t="shared" si="42"/>
        <v>594</v>
      </c>
      <c r="G175" s="358">
        <f t="shared" si="42"/>
        <v>678</v>
      </c>
      <c r="H175" s="358">
        <f t="shared" si="42"/>
        <v>703</v>
      </c>
      <c r="I175" s="358">
        <f t="shared" si="42"/>
        <v>664</v>
      </c>
      <c r="J175" s="358">
        <f t="shared" si="42"/>
        <v>667</v>
      </c>
      <c r="K175" s="358">
        <f t="shared" si="42"/>
        <v>683</v>
      </c>
      <c r="L175" s="358">
        <f t="shared" si="42"/>
        <v>683</v>
      </c>
      <c r="M175" s="358">
        <f t="shared" si="42"/>
        <v>686</v>
      </c>
      <c r="N175" s="358">
        <f t="shared" si="42"/>
        <v>632</v>
      </c>
      <c r="O175" s="358">
        <f t="shared" si="42"/>
        <v>631</v>
      </c>
      <c r="P175" s="359">
        <f t="shared" si="43"/>
        <v>7849</v>
      </c>
    </row>
    <row r="176" spans="3:32">
      <c r="C176" s="235" t="s">
        <v>1049</v>
      </c>
      <c r="D176" s="358">
        <f t="shared" si="42"/>
        <v>0</v>
      </c>
      <c r="E176" s="358">
        <f t="shared" si="42"/>
        <v>0</v>
      </c>
      <c r="F176" s="358">
        <f t="shared" si="42"/>
        <v>0</v>
      </c>
      <c r="G176" s="358">
        <f t="shared" si="42"/>
        <v>0</v>
      </c>
      <c r="H176" s="358">
        <f t="shared" si="42"/>
        <v>0</v>
      </c>
      <c r="I176" s="358">
        <f t="shared" si="42"/>
        <v>0</v>
      </c>
      <c r="J176" s="358">
        <f t="shared" si="42"/>
        <v>0</v>
      </c>
      <c r="K176" s="358">
        <f t="shared" si="42"/>
        <v>0</v>
      </c>
      <c r="L176" s="358">
        <f t="shared" si="42"/>
        <v>0</v>
      </c>
      <c r="M176" s="358">
        <f t="shared" si="42"/>
        <v>0</v>
      </c>
      <c r="N176" s="358">
        <f t="shared" si="42"/>
        <v>0</v>
      </c>
      <c r="O176" s="358">
        <f t="shared" si="42"/>
        <v>0</v>
      </c>
      <c r="P176" s="359">
        <f t="shared" si="43"/>
        <v>0</v>
      </c>
    </row>
    <row r="177" spans="3:16">
      <c r="C177" s="235" t="s">
        <v>1050</v>
      </c>
      <c r="D177" s="358">
        <f t="shared" si="42"/>
        <v>3212</v>
      </c>
      <c r="E177" s="358">
        <f t="shared" si="42"/>
        <v>2928</v>
      </c>
      <c r="F177" s="358">
        <f t="shared" si="42"/>
        <v>2972</v>
      </c>
      <c r="G177" s="358">
        <f t="shared" si="42"/>
        <v>3391</v>
      </c>
      <c r="H177" s="358">
        <f t="shared" si="42"/>
        <v>3517</v>
      </c>
      <c r="I177" s="358">
        <f t="shared" si="42"/>
        <v>3319</v>
      </c>
      <c r="J177" s="358">
        <f t="shared" si="42"/>
        <v>3336</v>
      </c>
      <c r="K177" s="358">
        <f t="shared" si="42"/>
        <v>3413</v>
      </c>
      <c r="L177" s="358">
        <f t="shared" si="42"/>
        <v>3414</v>
      </c>
      <c r="M177" s="358">
        <f t="shared" si="42"/>
        <v>3431</v>
      </c>
      <c r="N177" s="358">
        <f t="shared" si="42"/>
        <v>3162</v>
      </c>
      <c r="O177" s="358">
        <f t="shared" si="42"/>
        <v>3154</v>
      </c>
      <c r="P177" s="359">
        <f t="shared" si="43"/>
        <v>39249</v>
      </c>
    </row>
    <row r="178" spans="3:16">
      <c r="C178" s="235" t="s">
        <v>1051</v>
      </c>
      <c r="D178" s="358">
        <f t="shared" si="42"/>
        <v>5782</v>
      </c>
      <c r="E178" s="358">
        <f t="shared" si="42"/>
        <v>5271</v>
      </c>
      <c r="F178" s="358">
        <f t="shared" si="42"/>
        <v>5350</v>
      </c>
      <c r="G178" s="358">
        <f t="shared" si="42"/>
        <v>6103</v>
      </c>
      <c r="H178" s="358">
        <f t="shared" si="42"/>
        <v>6331</v>
      </c>
      <c r="I178" s="358">
        <f t="shared" si="42"/>
        <v>5974</v>
      </c>
      <c r="J178" s="358">
        <f t="shared" si="42"/>
        <v>6006</v>
      </c>
      <c r="K178" s="358">
        <f t="shared" si="42"/>
        <v>6144</v>
      </c>
      <c r="L178" s="358">
        <f t="shared" si="42"/>
        <v>6145</v>
      </c>
      <c r="M178" s="358">
        <f t="shared" si="42"/>
        <v>6175</v>
      </c>
      <c r="N178" s="358">
        <f t="shared" si="42"/>
        <v>5692</v>
      </c>
      <c r="O178" s="358">
        <f t="shared" si="42"/>
        <v>5677</v>
      </c>
      <c r="P178" s="359">
        <f t="shared" si="43"/>
        <v>70650</v>
      </c>
    </row>
    <row r="179" spans="3:16">
      <c r="C179" s="235" t="s">
        <v>1052</v>
      </c>
      <c r="D179" s="358">
        <f t="shared" si="42"/>
        <v>2570</v>
      </c>
      <c r="E179" s="358">
        <f t="shared" si="42"/>
        <v>2343</v>
      </c>
      <c r="F179" s="358">
        <f t="shared" si="42"/>
        <v>2378</v>
      </c>
      <c r="G179" s="358">
        <f t="shared" si="42"/>
        <v>2712</v>
      </c>
      <c r="H179" s="358">
        <f t="shared" si="42"/>
        <v>2814</v>
      </c>
      <c r="I179" s="358">
        <f t="shared" si="42"/>
        <v>2655</v>
      </c>
      <c r="J179" s="358">
        <f t="shared" si="42"/>
        <v>2669</v>
      </c>
      <c r="K179" s="358">
        <f t="shared" si="42"/>
        <v>2730</v>
      </c>
      <c r="L179" s="358">
        <f t="shared" si="42"/>
        <v>2731</v>
      </c>
      <c r="M179" s="358">
        <f t="shared" si="42"/>
        <v>2744</v>
      </c>
      <c r="N179" s="358">
        <f t="shared" si="42"/>
        <v>2530</v>
      </c>
      <c r="O179" s="358">
        <f t="shared" si="42"/>
        <v>2523</v>
      </c>
      <c r="P179" s="359">
        <f t="shared" si="43"/>
        <v>31399</v>
      </c>
    </row>
    <row r="180" spans="3:16">
      <c r="C180" s="235" t="s">
        <v>1053</v>
      </c>
      <c r="D180" s="358">
        <f t="shared" si="42"/>
        <v>5140</v>
      </c>
      <c r="E180" s="358">
        <f t="shared" si="42"/>
        <v>4685</v>
      </c>
      <c r="F180" s="358">
        <f t="shared" si="42"/>
        <v>4756</v>
      </c>
      <c r="G180" s="358">
        <f t="shared" si="42"/>
        <v>5425</v>
      </c>
      <c r="H180" s="358">
        <f t="shared" si="42"/>
        <v>5628</v>
      </c>
      <c r="I180" s="358">
        <f t="shared" si="42"/>
        <v>5310</v>
      </c>
      <c r="J180" s="358">
        <f t="shared" si="42"/>
        <v>5338</v>
      </c>
      <c r="K180" s="358">
        <f t="shared" si="42"/>
        <v>5461</v>
      </c>
      <c r="L180" s="358">
        <f t="shared" si="42"/>
        <v>5462</v>
      </c>
      <c r="M180" s="358">
        <f t="shared" si="42"/>
        <v>5489</v>
      </c>
      <c r="N180" s="358">
        <f t="shared" si="42"/>
        <v>5060</v>
      </c>
      <c r="O180" s="358">
        <f t="shared" si="42"/>
        <v>5047</v>
      </c>
      <c r="P180" s="359">
        <f t="shared" si="43"/>
        <v>62801</v>
      </c>
    </row>
    <row r="181" spans="3:16">
      <c r="C181" s="235" t="s">
        <v>1054</v>
      </c>
      <c r="D181" s="358">
        <f t="shared" si="42"/>
        <v>3212</v>
      </c>
      <c r="E181" s="358">
        <f t="shared" si="42"/>
        <v>2928</v>
      </c>
      <c r="F181" s="358">
        <f t="shared" si="42"/>
        <v>2972</v>
      </c>
      <c r="G181" s="358">
        <f t="shared" si="42"/>
        <v>3391</v>
      </c>
      <c r="H181" s="358">
        <f t="shared" si="42"/>
        <v>3517</v>
      </c>
      <c r="I181" s="358">
        <f t="shared" si="42"/>
        <v>3319</v>
      </c>
      <c r="J181" s="358">
        <f t="shared" si="42"/>
        <v>3336</v>
      </c>
      <c r="K181" s="358">
        <f t="shared" si="42"/>
        <v>3413</v>
      </c>
      <c r="L181" s="358">
        <f t="shared" si="42"/>
        <v>3414</v>
      </c>
      <c r="M181" s="358">
        <f t="shared" si="42"/>
        <v>3431</v>
      </c>
      <c r="N181" s="358">
        <f t="shared" si="42"/>
        <v>3162</v>
      </c>
      <c r="O181" s="358">
        <f t="shared" si="42"/>
        <v>3154</v>
      </c>
      <c r="P181" s="359">
        <f t="shared" si="43"/>
        <v>39249</v>
      </c>
    </row>
    <row r="182" spans="3:16">
      <c r="C182" s="235" t="s">
        <v>1055</v>
      </c>
      <c r="D182" s="358">
        <f t="shared" si="42"/>
        <v>3855</v>
      </c>
      <c r="E182" s="358">
        <f t="shared" si="42"/>
        <v>3514</v>
      </c>
      <c r="F182" s="358">
        <f t="shared" si="42"/>
        <v>3567</v>
      </c>
      <c r="G182" s="358">
        <f t="shared" si="42"/>
        <v>4069</v>
      </c>
      <c r="H182" s="358">
        <f t="shared" si="42"/>
        <v>4221</v>
      </c>
      <c r="I182" s="358">
        <f t="shared" si="42"/>
        <v>3982</v>
      </c>
      <c r="J182" s="358">
        <f t="shared" si="42"/>
        <v>4004</v>
      </c>
      <c r="K182" s="358">
        <f t="shared" si="42"/>
        <v>4096</v>
      </c>
      <c r="L182" s="358">
        <f t="shared" si="42"/>
        <v>4096</v>
      </c>
      <c r="M182" s="358">
        <f t="shared" si="42"/>
        <v>4117</v>
      </c>
      <c r="N182" s="358">
        <f t="shared" si="42"/>
        <v>3795</v>
      </c>
      <c r="O182" s="358">
        <f t="shared" si="42"/>
        <v>3785</v>
      </c>
      <c r="P182" s="359">
        <f t="shared" si="43"/>
        <v>47101</v>
      </c>
    </row>
    <row r="183" spans="3:16">
      <c r="C183" s="235" t="s">
        <v>1056</v>
      </c>
      <c r="D183" s="358">
        <f t="shared" si="42"/>
        <v>1927</v>
      </c>
      <c r="E183" s="358">
        <f t="shared" si="42"/>
        <v>1757</v>
      </c>
      <c r="F183" s="358">
        <f t="shared" si="42"/>
        <v>1783</v>
      </c>
      <c r="G183" s="358">
        <f t="shared" si="42"/>
        <v>2034</v>
      </c>
      <c r="H183" s="358">
        <f t="shared" si="42"/>
        <v>2110</v>
      </c>
      <c r="I183" s="358">
        <f t="shared" si="42"/>
        <v>1991</v>
      </c>
      <c r="J183" s="358">
        <f t="shared" si="42"/>
        <v>2002</v>
      </c>
      <c r="K183" s="358">
        <f t="shared" si="42"/>
        <v>2048</v>
      </c>
      <c r="L183" s="358">
        <f t="shared" si="42"/>
        <v>2048</v>
      </c>
      <c r="M183" s="358">
        <f t="shared" si="42"/>
        <v>2058</v>
      </c>
      <c r="N183" s="358">
        <f t="shared" si="42"/>
        <v>1897</v>
      </c>
      <c r="O183" s="358">
        <f t="shared" si="42"/>
        <v>1892</v>
      </c>
      <c r="P183" s="359">
        <f t="shared" si="43"/>
        <v>23547</v>
      </c>
    </row>
    <row r="184" spans="3:16">
      <c r="C184" s="235" t="s">
        <v>1057</v>
      </c>
      <c r="D184" s="358">
        <f t="shared" si="42"/>
        <v>3212</v>
      </c>
      <c r="E184" s="358">
        <f t="shared" si="42"/>
        <v>2928</v>
      </c>
      <c r="F184" s="358">
        <f t="shared" si="42"/>
        <v>2972</v>
      </c>
      <c r="G184" s="358">
        <f t="shared" si="42"/>
        <v>3391</v>
      </c>
      <c r="H184" s="358">
        <f t="shared" si="42"/>
        <v>3517</v>
      </c>
      <c r="I184" s="358">
        <f t="shared" si="42"/>
        <v>3319</v>
      </c>
      <c r="J184" s="358">
        <f t="shared" si="42"/>
        <v>3336</v>
      </c>
      <c r="K184" s="358">
        <f t="shared" si="42"/>
        <v>3413</v>
      </c>
      <c r="L184" s="358">
        <f t="shared" si="42"/>
        <v>3414</v>
      </c>
      <c r="M184" s="358">
        <f t="shared" si="42"/>
        <v>3431</v>
      </c>
      <c r="N184" s="358">
        <f t="shared" si="42"/>
        <v>3162</v>
      </c>
      <c r="O184" s="358">
        <f t="shared" si="42"/>
        <v>3154</v>
      </c>
      <c r="P184" s="359">
        <f t="shared" si="43"/>
        <v>39249</v>
      </c>
    </row>
    <row r="185" spans="3:16">
      <c r="C185" s="235" t="s">
        <v>1058</v>
      </c>
      <c r="D185" s="358">
        <f t="shared" si="42"/>
        <v>1927</v>
      </c>
      <c r="E185" s="358">
        <f t="shared" si="42"/>
        <v>1757</v>
      </c>
      <c r="F185" s="358">
        <f t="shared" si="42"/>
        <v>1783</v>
      </c>
      <c r="G185" s="358">
        <f t="shared" si="42"/>
        <v>2034</v>
      </c>
      <c r="H185" s="358">
        <f t="shared" si="42"/>
        <v>2110</v>
      </c>
      <c r="I185" s="358">
        <f t="shared" si="42"/>
        <v>1991</v>
      </c>
      <c r="J185" s="358">
        <f t="shared" si="42"/>
        <v>2002</v>
      </c>
      <c r="K185" s="358">
        <f t="shared" si="42"/>
        <v>2048</v>
      </c>
      <c r="L185" s="358">
        <f t="shared" si="42"/>
        <v>2048</v>
      </c>
      <c r="M185" s="358">
        <f t="shared" si="42"/>
        <v>2058</v>
      </c>
      <c r="N185" s="358">
        <f t="shared" si="42"/>
        <v>1897</v>
      </c>
      <c r="O185" s="358">
        <f t="shared" si="42"/>
        <v>1892</v>
      </c>
      <c r="P185" s="359">
        <f t="shared" si="43"/>
        <v>23547</v>
      </c>
    </row>
    <row r="186" spans="3:16">
      <c r="C186" s="235" t="s">
        <v>1059</v>
      </c>
      <c r="D186" s="358">
        <f t="shared" ref="D186:O193" si="44">ROUND($Q87*D$22,0)</f>
        <v>3855</v>
      </c>
      <c r="E186" s="358">
        <f t="shared" si="44"/>
        <v>3514</v>
      </c>
      <c r="F186" s="358">
        <f t="shared" si="44"/>
        <v>3567</v>
      </c>
      <c r="G186" s="358">
        <f t="shared" si="44"/>
        <v>4069</v>
      </c>
      <c r="H186" s="358">
        <f t="shared" si="44"/>
        <v>4221</v>
      </c>
      <c r="I186" s="358">
        <f t="shared" si="44"/>
        <v>3982</v>
      </c>
      <c r="J186" s="358">
        <f t="shared" si="44"/>
        <v>4004</v>
      </c>
      <c r="K186" s="358">
        <f t="shared" si="44"/>
        <v>4096</v>
      </c>
      <c r="L186" s="358">
        <f t="shared" si="44"/>
        <v>4096</v>
      </c>
      <c r="M186" s="358">
        <f t="shared" si="44"/>
        <v>4117</v>
      </c>
      <c r="N186" s="358">
        <f t="shared" si="44"/>
        <v>3795</v>
      </c>
      <c r="O186" s="358">
        <f t="shared" si="44"/>
        <v>3785</v>
      </c>
      <c r="P186" s="359">
        <f t="shared" si="43"/>
        <v>47101</v>
      </c>
    </row>
    <row r="187" spans="3:16">
      <c r="C187" s="235" t="s">
        <v>1060</v>
      </c>
      <c r="D187" s="358">
        <f t="shared" si="44"/>
        <v>1285</v>
      </c>
      <c r="E187" s="358">
        <f t="shared" si="44"/>
        <v>1171</v>
      </c>
      <c r="F187" s="358">
        <f t="shared" si="44"/>
        <v>1189</v>
      </c>
      <c r="G187" s="358">
        <f t="shared" si="44"/>
        <v>1356</v>
      </c>
      <c r="H187" s="358">
        <f t="shared" si="44"/>
        <v>1407</v>
      </c>
      <c r="I187" s="358">
        <f t="shared" si="44"/>
        <v>1327</v>
      </c>
      <c r="J187" s="358">
        <f t="shared" si="44"/>
        <v>1335</v>
      </c>
      <c r="K187" s="358">
        <f t="shared" si="44"/>
        <v>1365</v>
      </c>
      <c r="L187" s="358">
        <f t="shared" si="44"/>
        <v>1365</v>
      </c>
      <c r="M187" s="358">
        <f t="shared" si="44"/>
        <v>1372</v>
      </c>
      <c r="N187" s="358">
        <f t="shared" si="44"/>
        <v>1265</v>
      </c>
      <c r="O187" s="358">
        <f t="shared" si="44"/>
        <v>1262</v>
      </c>
      <c r="P187" s="359">
        <f t="shared" si="43"/>
        <v>15699</v>
      </c>
    </row>
    <row r="188" spans="3:16">
      <c r="C188" s="235" t="s">
        <v>1061</v>
      </c>
      <c r="D188" s="358">
        <f t="shared" si="44"/>
        <v>0</v>
      </c>
      <c r="E188" s="358">
        <f t="shared" si="44"/>
        <v>0</v>
      </c>
      <c r="F188" s="358">
        <f t="shared" si="44"/>
        <v>0</v>
      </c>
      <c r="G188" s="358">
        <f t="shared" si="44"/>
        <v>0</v>
      </c>
      <c r="H188" s="358">
        <f t="shared" si="44"/>
        <v>0</v>
      </c>
      <c r="I188" s="358">
        <f t="shared" si="44"/>
        <v>0</v>
      </c>
      <c r="J188" s="358">
        <f t="shared" si="44"/>
        <v>0</v>
      </c>
      <c r="K188" s="358">
        <f t="shared" si="44"/>
        <v>0</v>
      </c>
      <c r="L188" s="358">
        <f t="shared" si="44"/>
        <v>0</v>
      </c>
      <c r="M188" s="358">
        <f t="shared" si="44"/>
        <v>0</v>
      </c>
      <c r="N188" s="358">
        <f t="shared" si="44"/>
        <v>0</v>
      </c>
      <c r="O188" s="358">
        <f t="shared" si="44"/>
        <v>0</v>
      </c>
      <c r="P188" s="359">
        <f t="shared" si="43"/>
        <v>0</v>
      </c>
    </row>
    <row r="189" spans="3:16">
      <c r="C189" s="235" t="s">
        <v>1062</v>
      </c>
      <c r="D189" s="358">
        <f t="shared" si="44"/>
        <v>0</v>
      </c>
      <c r="E189" s="358">
        <f t="shared" si="44"/>
        <v>0</v>
      </c>
      <c r="F189" s="358">
        <f t="shared" si="44"/>
        <v>0</v>
      </c>
      <c r="G189" s="358">
        <f t="shared" si="44"/>
        <v>0</v>
      </c>
      <c r="H189" s="358">
        <f t="shared" si="44"/>
        <v>0</v>
      </c>
      <c r="I189" s="358">
        <f t="shared" si="44"/>
        <v>0</v>
      </c>
      <c r="J189" s="358">
        <f t="shared" si="44"/>
        <v>0</v>
      </c>
      <c r="K189" s="358">
        <f t="shared" si="44"/>
        <v>0</v>
      </c>
      <c r="L189" s="358">
        <f t="shared" si="44"/>
        <v>0</v>
      </c>
      <c r="M189" s="358">
        <f t="shared" si="44"/>
        <v>0</v>
      </c>
      <c r="N189" s="358">
        <f t="shared" si="44"/>
        <v>0</v>
      </c>
      <c r="O189" s="358">
        <f t="shared" si="44"/>
        <v>0</v>
      </c>
      <c r="P189" s="359">
        <f t="shared" si="43"/>
        <v>0</v>
      </c>
    </row>
    <row r="190" spans="3:16">
      <c r="C190" s="235" t="s">
        <v>1063</v>
      </c>
      <c r="D190" s="358">
        <f t="shared" si="44"/>
        <v>0</v>
      </c>
      <c r="E190" s="358">
        <f t="shared" si="44"/>
        <v>0</v>
      </c>
      <c r="F190" s="358">
        <f t="shared" si="44"/>
        <v>0</v>
      </c>
      <c r="G190" s="358">
        <f t="shared" si="44"/>
        <v>0</v>
      </c>
      <c r="H190" s="358">
        <f t="shared" si="44"/>
        <v>0</v>
      </c>
      <c r="I190" s="358">
        <f t="shared" si="44"/>
        <v>0</v>
      </c>
      <c r="J190" s="358">
        <f t="shared" si="44"/>
        <v>0</v>
      </c>
      <c r="K190" s="358">
        <f t="shared" si="44"/>
        <v>0</v>
      </c>
      <c r="L190" s="358">
        <f t="shared" si="44"/>
        <v>0</v>
      </c>
      <c r="M190" s="358">
        <f t="shared" si="44"/>
        <v>0</v>
      </c>
      <c r="N190" s="358">
        <f t="shared" si="44"/>
        <v>0</v>
      </c>
      <c r="O190" s="358">
        <f t="shared" si="44"/>
        <v>0</v>
      </c>
      <c r="P190" s="359">
        <f t="shared" si="43"/>
        <v>0</v>
      </c>
    </row>
    <row r="191" spans="3:16">
      <c r="C191" s="235" t="s">
        <v>1064</v>
      </c>
      <c r="D191" s="358">
        <f t="shared" si="44"/>
        <v>2570</v>
      </c>
      <c r="E191" s="358">
        <f t="shared" si="44"/>
        <v>2343</v>
      </c>
      <c r="F191" s="358">
        <f t="shared" si="44"/>
        <v>2378</v>
      </c>
      <c r="G191" s="358">
        <f t="shared" si="44"/>
        <v>2712</v>
      </c>
      <c r="H191" s="358">
        <f t="shared" si="44"/>
        <v>2814</v>
      </c>
      <c r="I191" s="358">
        <f t="shared" si="44"/>
        <v>2655</v>
      </c>
      <c r="J191" s="358">
        <f t="shared" si="44"/>
        <v>2669</v>
      </c>
      <c r="K191" s="358">
        <f t="shared" si="44"/>
        <v>2730</v>
      </c>
      <c r="L191" s="358">
        <f t="shared" si="44"/>
        <v>2731</v>
      </c>
      <c r="M191" s="358">
        <f t="shared" si="44"/>
        <v>2744</v>
      </c>
      <c r="N191" s="358">
        <f t="shared" si="44"/>
        <v>2530</v>
      </c>
      <c r="O191" s="358">
        <f t="shared" si="44"/>
        <v>2523</v>
      </c>
      <c r="P191" s="359">
        <f t="shared" si="43"/>
        <v>31399</v>
      </c>
    </row>
    <row r="192" spans="3:16">
      <c r="C192" s="235" t="s">
        <v>1065</v>
      </c>
      <c r="D192" s="358">
        <f t="shared" si="44"/>
        <v>0</v>
      </c>
      <c r="E192" s="358">
        <f t="shared" si="44"/>
        <v>0</v>
      </c>
      <c r="F192" s="358">
        <f t="shared" si="44"/>
        <v>0</v>
      </c>
      <c r="G192" s="358">
        <f t="shared" si="44"/>
        <v>0</v>
      </c>
      <c r="H192" s="358">
        <f t="shared" si="44"/>
        <v>0</v>
      </c>
      <c r="I192" s="358">
        <f t="shared" si="44"/>
        <v>0</v>
      </c>
      <c r="J192" s="358">
        <f t="shared" si="44"/>
        <v>0</v>
      </c>
      <c r="K192" s="358">
        <f t="shared" si="44"/>
        <v>0</v>
      </c>
      <c r="L192" s="358">
        <f t="shared" si="44"/>
        <v>0</v>
      </c>
      <c r="M192" s="358">
        <f t="shared" si="44"/>
        <v>0</v>
      </c>
      <c r="N192" s="358">
        <f t="shared" si="44"/>
        <v>0</v>
      </c>
      <c r="O192" s="358">
        <f t="shared" si="44"/>
        <v>0</v>
      </c>
      <c r="P192" s="359">
        <f t="shared" si="43"/>
        <v>0</v>
      </c>
    </row>
    <row r="193" spans="3:16">
      <c r="C193" s="235" t="s">
        <v>1066</v>
      </c>
      <c r="D193" s="358">
        <f>ROUND($Q94*D$22,0)</f>
        <v>0</v>
      </c>
      <c r="E193" s="358">
        <f t="shared" si="44"/>
        <v>0</v>
      </c>
      <c r="F193" s="358">
        <f t="shared" si="44"/>
        <v>0</v>
      </c>
      <c r="G193" s="358">
        <f t="shared" si="44"/>
        <v>0</v>
      </c>
      <c r="H193" s="358">
        <f t="shared" si="44"/>
        <v>0</v>
      </c>
      <c r="I193" s="358">
        <f t="shared" si="44"/>
        <v>0</v>
      </c>
      <c r="J193" s="358">
        <f t="shared" si="44"/>
        <v>0</v>
      </c>
      <c r="K193" s="358">
        <f t="shared" si="44"/>
        <v>0</v>
      </c>
      <c r="L193" s="358">
        <f t="shared" si="44"/>
        <v>0</v>
      </c>
      <c r="M193" s="358">
        <f t="shared" si="44"/>
        <v>0</v>
      </c>
      <c r="N193" s="358">
        <f t="shared" si="44"/>
        <v>0</v>
      </c>
      <c r="O193" s="358">
        <f t="shared" si="44"/>
        <v>0</v>
      </c>
      <c r="P193" s="359">
        <f t="shared" si="43"/>
        <v>0</v>
      </c>
    </row>
    <row r="194" spans="3:16">
      <c r="C194" s="235" t="s">
        <v>1067</v>
      </c>
      <c r="D194" s="358">
        <f t="shared" ref="D194:O204" si="45">ROUND($Q95*D$22,0)</f>
        <v>1285</v>
      </c>
      <c r="E194" s="358">
        <f t="shared" si="45"/>
        <v>1171</v>
      </c>
      <c r="F194" s="358">
        <f t="shared" si="45"/>
        <v>1189</v>
      </c>
      <c r="G194" s="358">
        <f t="shared" si="45"/>
        <v>1356</v>
      </c>
      <c r="H194" s="358">
        <f t="shared" si="45"/>
        <v>1407</v>
      </c>
      <c r="I194" s="358">
        <f t="shared" si="45"/>
        <v>1327</v>
      </c>
      <c r="J194" s="358">
        <f t="shared" si="45"/>
        <v>1335</v>
      </c>
      <c r="K194" s="358">
        <f t="shared" si="45"/>
        <v>1365</v>
      </c>
      <c r="L194" s="358">
        <f t="shared" si="45"/>
        <v>1365</v>
      </c>
      <c r="M194" s="358">
        <f t="shared" si="45"/>
        <v>1372</v>
      </c>
      <c r="N194" s="358">
        <f t="shared" si="45"/>
        <v>1265</v>
      </c>
      <c r="O194" s="358">
        <f t="shared" si="45"/>
        <v>1262</v>
      </c>
      <c r="P194" s="359">
        <f t="shared" si="43"/>
        <v>15699</v>
      </c>
    </row>
    <row r="195" spans="3:16">
      <c r="C195" s="235" t="s">
        <v>1068</v>
      </c>
      <c r="D195" s="358">
        <f t="shared" si="45"/>
        <v>7067</v>
      </c>
      <c r="E195" s="358">
        <f t="shared" si="45"/>
        <v>6442</v>
      </c>
      <c r="F195" s="358">
        <f t="shared" si="45"/>
        <v>6539</v>
      </c>
      <c r="G195" s="358">
        <f t="shared" si="45"/>
        <v>7459</v>
      </c>
      <c r="H195" s="358">
        <f t="shared" si="45"/>
        <v>7738</v>
      </c>
      <c r="I195" s="358">
        <f t="shared" si="45"/>
        <v>7301</v>
      </c>
      <c r="J195" s="358">
        <f t="shared" si="45"/>
        <v>7340</v>
      </c>
      <c r="K195" s="358">
        <f t="shared" si="45"/>
        <v>7509</v>
      </c>
      <c r="L195" s="358">
        <f t="shared" si="45"/>
        <v>7510</v>
      </c>
      <c r="M195" s="358">
        <f t="shared" si="45"/>
        <v>7547</v>
      </c>
      <c r="N195" s="358">
        <f t="shared" si="45"/>
        <v>6957</v>
      </c>
      <c r="O195" s="358">
        <f t="shared" si="45"/>
        <v>6939</v>
      </c>
      <c r="P195" s="359">
        <f t="shared" si="43"/>
        <v>86348</v>
      </c>
    </row>
    <row r="196" spans="3:16">
      <c r="C196" s="235" t="s">
        <v>1069</v>
      </c>
      <c r="D196" s="358">
        <f t="shared" si="45"/>
        <v>642</v>
      </c>
      <c r="E196" s="358">
        <f t="shared" si="45"/>
        <v>586</v>
      </c>
      <c r="F196" s="358">
        <f t="shared" si="45"/>
        <v>594</v>
      </c>
      <c r="G196" s="358">
        <f t="shared" si="45"/>
        <v>678</v>
      </c>
      <c r="H196" s="358">
        <f t="shared" si="45"/>
        <v>703</v>
      </c>
      <c r="I196" s="358">
        <f t="shared" si="45"/>
        <v>664</v>
      </c>
      <c r="J196" s="358">
        <f t="shared" si="45"/>
        <v>667</v>
      </c>
      <c r="K196" s="358">
        <f t="shared" si="45"/>
        <v>683</v>
      </c>
      <c r="L196" s="358">
        <f t="shared" si="45"/>
        <v>683</v>
      </c>
      <c r="M196" s="358">
        <f t="shared" si="45"/>
        <v>686</v>
      </c>
      <c r="N196" s="358">
        <f t="shared" si="45"/>
        <v>632</v>
      </c>
      <c r="O196" s="358">
        <f t="shared" si="45"/>
        <v>631</v>
      </c>
      <c r="P196" s="359">
        <f t="shared" si="43"/>
        <v>7849</v>
      </c>
    </row>
    <row r="197" spans="3:16">
      <c r="C197" s="235" t="s">
        <v>1070</v>
      </c>
      <c r="D197" s="358">
        <f t="shared" si="45"/>
        <v>0</v>
      </c>
      <c r="E197" s="358">
        <f t="shared" si="45"/>
        <v>0</v>
      </c>
      <c r="F197" s="358">
        <f t="shared" si="45"/>
        <v>0</v>
      </c>
      <c r="G197" s="358">
        <f t="shared" si="45"/>
        <v>0</v>
      </c>
      <c r="H197" s="358">
        <f t="shared" si="45"/>
        <v>0</v>
      </c>
      <c r="I197" s="358">
        <f t="shared" si="45"/>
        <v>0</v>
      </c>
      <c r="J197" s="358">
        <f t="shared" si="45"/>
        <v>0</v>
      </c>
      <c r="K197" s="358">
        <f t="shared" si="45"/>
        <v>0</v>
      </c>
      <c r="L197" s="358">
        <f t="shared" si="45"/>
        <v>0</v>
      </c>
      <c r="M197" s="358">
        <f t="shared" si="45"/>
        <v>0</v>
      </c>
      <c r="N197" s="358">
        <f t="shared" si="45"/>
        <v>0</v>
      </c>
      <c r="O197" s="358">
        <f t="shared" si="45"/>
        <v>0</v>
      </c>
      <c r="P197" s="359">
        <f t="shared" si="43"/>
        <v>0</v>
      </c>
    </row>
    <row r="198" spans="3:16">
      <c r="C198" s="235" t="s">
        <v>1071</v>
      </c>
      <c r="D198" s="358">
        <f t="shared" si="45"/>
        <v>0</v>
      </c>
      <c r="E198" s="358">
        <f t="shared" si="45"/>
        <v>0</v>
      </c>
      <c r="F198" s="358">
        <f t="shared" si="45"/>
        <v>0</v>
      </c>
      <c r="G198" s="358">
        <f t="shared" si="45"/>
        <v>0</v>
      </c>
      <c r="H198" s="358">
        <f t="shared" si="45"/>
        <v>0</v>
      </c>
      <c r="I198" s="358">
        <f t="shared" si="45"/>
        <v>0</v>
      </c>
      <c r="J198" s="358">
        <f t="shared" si="45"/>
        <v>0</v>
      </c>
      <c r="K198" s="358">
        <f t="shared" si="45"/>
        <v>0</v>
      </c>
      <c r="L198" s="358">
        <f t="shared" si="45"/>
        <v>0</v>
      </c>
      <c r="M198" s="358">
        <f t="shared" si="45"/>
        <v>0</v>
      </c>
      <c r="N198" s="358">
        <f t="shared" si="45"/>
        <v>0</v>
      </c>
      <c r="O198" s="358">
        <f t="shared" si="45"/>
        <v>0</v>
      </c>
      <c r="P198" s="359">
        <f t="shared" si="43"/>
        <v>0</v>
      </c>
    </row>
    <row r="199" spans="3:16">
      <c r="C199" s="235" t="s">
        <v>1072</v>
      </c>
      <c r="D199" s="358">
        <f t="shared" si="45"/>
        <v>17989</v>
      </c>
      <c r="E199" s="358">
        <f t="shared" si="45"/>
        <v>16398</v>
      </c>
      <c r="F199" s="358">
        <f t="shared" si="45"/>
        <v>16645</v>
      </c>
      <c r="G199" s="358">
        <f t="shared" si="45"/>
        <v>18987</v>
      </c>
      <c r="H199" s="358">
        <f t="shared" si="45"/>
        <v>19697</v>
      </c>
      <c r="I199" s="358">
        <f t="shared" si="45"/>
        <v>18584</v>
      </c>
      <c r="J199" s="358">
        <f t="shared" si="45"/>
        <v>18684</v>
      </c>
      <c r="K199" s="358">
        <f t="shared" si="45"/>
        <v>19113</v>
      </c>
      <c r="L199" s="358">
        <f t="shared" si="45"/>
        <v>19117</v>
      </c>
      <c r="M199" s="358">
        <f t="shared" si="45"/>
        <v>19211</v>
      </c>
      <c r="N199" s="358">
        <f t="shared" si="45"/>
        <v>17709</v>
      </c>
      <c r="O199" s="358">
        <f t="shared" si="45"/>
        <v>17663</v>
      </c>
      <c r="P199" s="359">
        <f t="shared" si="43"/>
        <v>219797</v>
      </c>
    </row>
    <row r="200" spans="3:16">
      <c r="C200" s="235" t="s">
        <v>1073</v>
      </c>
      <c r="D200" s="358">
        <f t="shared" si="45"/>
        <v>1927</v>
      </c>
      <c r="E200" s="358">
        <f t="shared" si="45"/>
        <v>1757</v>
      </c>
      <c r="F200" s="358">
        <f t="shared" si="45"/>
        <v>1783</v>
      </c>
      <c r="G200" s="358">
        <f t="shared" si="45"/>
        <v>2034</v>
      </c>
      <c r="H200" s="358">
        <f t="shared" si="45"/>
        <v>2110</v>
      </c>
      <c r="I200" s="358">
        <f t="shared" si="45"/>
        <v>1991</v>
      </c>
      <c r="J200" s="358">
        <f t="shared" si="45"/>
        <v>2002</v>
      </c>
      <c r="K200" s="358">
        <f t="shared" si="45"/>
        <v>2048</v>
      </c>
      <c r="L200" s="358">
        <f t="shared" si="45"/>
        <v>2048</v>
      </c>
      <c r="M200" s="358">
        <f t="shared" si="45"/>
        <v>2058</v>
      </c>
      <c r="N200" s="358">
        <f t="shared" si="45"/>
        <v>1897</v>
      </c>
      <c r="O200" s="358">
        <f t="shared" si="45"/>
        <v>1892</v>
      </c>
      <c r="P200" s="359">
        <f t="shared" si="43"/>
        <v>23547</v>
      </c>
    </row>
    <row r="201" spans="3:16">
      <c r="C201" s="235" t="s">
        <v>1074</v>
      </c>
      <c r="D201" s="358">
        <f t="shared" si="45"/>
        <v>642</v>
      </c>
      <c r="E201" s="358">
        <f t="shared" si="45"/>
        <v>586</v>
      </c>
      <c r="F201" s="358">
        <f t="shared" si="45"/>
        <v>594</v>
      </c>
      <c r="G201" s="358">
        <f t="shared" si="45"/>
        <v>678</v>
      </c>
      <c r="H201" s="358">
        <f t="shared" si="45"/>
        <v>703</v>
      </c>
      <c r="I201" s="358">
        <f t="shared" si="45"/>
        <v>664</v>
      </c>
      <c r="J201" s="358">
        <f t="shared" si="45"/>
        <v>667</v>
      </c>
      <c r="K201" s="358">
        <f t="shared" si="45"/>
        <v>683</v>
      </c>
      <c r="L201" s="358">
        <f t="shared" si="45"/>
        <v>683</v>
      </c>
      <c r="M201" s="358">
        <f t="shared" si="45"/>
        <v>686</v>
      </c>
      <c r="N201" s="358">
        <f t="shared" si="45"/>
        <v>632</v>
      </c>
      <c r="O201" s="358">
        <f t="shared" si="45"/>
        <v>631</v>
      </c>
      <c r="P201" s="359">
        <f t="shared" si="43"/>
        <v>7849</v>
      </c>
    </row>
    <row r="202" spans="3:16">
      <c r="C202" s="235" t="s">
        <v>1075</v>
      </c>
      <c r="D202" s="358">
        <f t="shared" si="45"/>
        <v>0</v>
      </c>
      <c r="E202" s="358">
        <f t="shared" si="45"/>
        <v>0</v>
      </c>
      <c r="F202" s="358">
        <f t="shared" si="45"/>
        <v>0</v>
      </c>
      <c r="G202" s="358">
        <f t="shared" si="45"/>
        <v>0</v>
      </c>
      <c r="H202" s="358">
        <f t="shared" si="45"/>
        <v>0</v>
      </c>
      <c r="I202" s="358">
        <f t="shared" si="45"/>
        <v>0</v>
      </c>
      <c r="J202" s="358">
        <f t="shared" si="45"/>
        <v>0</v>
      </c>
      <c r="K202" s="358">
        <f t="shared" si="45"/>
        <v>0</v>
      </c>
      <c r="L202" s="358">
        <f t="shared" si="45"/>
        <v>0</v>
      </c>
      <c r="M202" s="358">
        <f t="shared" si="45"/>
        <v>0</v>
      </c>
      <c r="N202" s="358">
        <f t="shared" si="45"/>
        <v>0</v>
      </c>
      <c r="O202" s="358">
        <f t="shared" si="45"/>
        <v>0</v>
      </c>
      <c r="P202" s="359">
        <f t="shared" si="43"/>
        <v>0</v>
      </c>
    </row>
    <row r="203" spans="3:16">
      <c r="C203" s="235" t="s">
        <v>1076</v>
      </c>
      <c r="D203" s="358">
        <f t="shared" si="45"/>
        <v>0</v>
      </c>
      <c r="E203" s="358">
        <f t="shared" si="45"/>
        <v>0</v>
      </c>
      <c r="F203" s="358">
        <f t="shared" si="45"/>
        <v>0</v>
      </c>
      <c r="G203" s="358">
        <f t="shared" si="45"/>
        <v>0</v>
      </c>
      <c r="H203" s="358">
        <f t="shared" si="45"/>
        <v>0</v>
      </c>
      <c r="I203" s="358">
        <f t="shared" si="45"/>
        <v>0</v>
      </c>
      <c r="J203" s="358">
        <f t="shared" si="45"/>
        <v>0</v>
      </c>
      <c r="K203" s="358">
        <f t="shared" si="45"/>
        <v>0</v>
      </c>
      <c r="L203" s="358">
        <f t="shared" si="45"/>
        <v>0</v>
      </c>
      <c r="M203" s="358">
        <f t="shared" si="45"/>
        <v>0</v>
      </c>
      <c r="N203" s="358">
        <f t="shared" si="45"/>
        <v>0</v>
      </c>
      <c r="O203" s="358">
        <f t="shared" si="45"/>
        <v>0</v>
      </c>
      <c r="P203" s="359">
        <f t="shared" si="43"/>
        <v>0</v>
      </c>
    </row>
    <row r="204" spans="3:16">
      <c r="C204" s="235" t="s">
        <v>1077</v>
      </c>
      <c r="D204" s="358">
        <f>ROUND($Q105*D$22,0)</f>
        <v>3212</v>
      </c>
      <c r="E204" s="358">
        <f t="shared" si="45"/>
        <v>2928</v>
      </c>
      <c r="F204" s="358">
        <f t="shared" si="45"/>
        <v>2972</v>
      </c>
      <c r="G204" s="358">
        <f t="shared" si="45"/>
        <v>3391</v>
      </c>
      <c r="H204" s="358">
        <f t="shared" si="45"/>
        <v>3517</v>
      </c>
      <c r="I204" s="358">
        <f t="shared" si="45"/>
        <v>3319</v>
      </c>
      <c r="J204" s="358">
        <f t="shared" si="45"/>
        <v>3336</v>
      </c>
      <c r="K204" s="358">
        <f t="shared" si="45"/>
        <v>3413</v>
      </c>
      <c r="L204" s="358">
        <f t="shared" si="45"/>
        <v>3414</v>
      </c>
      <c r="M204" s="358">
        <f t="shared" si="45"/>
        <v>3431</v>
      </c>
      <c r="N204" s="358">
        <f t="shared" si="45"/>
        <v>3162</v>
      </c>
      <c r="O204" s="358">
        <f t="shared" si="45"/>
        <v>3154</v>
      </c>
      <c r="P204" s="359">
        <f t="shared" si="43"/>
        <v>39249</v>
      </c>
    </row>
    <row r="205" spans="3:16">
      <c r="C205" s="235" t="s">
        <v>1078</v>
      </c>
      <c r="D205" s="358">
        <f t="shared" ref="D205:O213" si="46">ROUND($Q106*D$22,0)</f>
        <v>1285</v>
      </c>
      <c r="E205" s="358">
        <f t="shared" si="46"/>
        <v>1171</v>
      </c>
      <c r="F205" s="358">
        <f t="shared" si="46"/>
        <v>1189</v>
      </c>
      <c r="G205" s="358">
        <f t="shared" si="46"/>
        <v>1356</v>
      </c>
      <c r="H205" s="358">
        <f t="shared" si="46"/>
        <v>1407</v>
      </c>
      <c r="I205" s="358">
        <f t="shared" si="46"/>
        <v>1327</v>
      </c>
      <c r="J205" s="358">
        <f t="shared" si="46"/>
        <v>1335</v>
      </c>
      <c r="K205" s="358">
        <f t="shared" si="46"/>
        <v>1365</v>
      </c>
      <c r="L205" s="358">
        <f t="shared" si="46"/>
        <v>1365</v>
      </c>
      <c r="M205" s="358">
        <f t="shared" si="46"/>
        <v>1372</v>
      </c>
      <c r="N205" s="358">
        <f t="shared" si="46"/>
        <v>1265</v>
      </c>
      <c r="O205" s="358">
        <f t="shared" si="46"/>
        <v>1262</v>
      </c>
      <c r="P205" s="359">
        <f t="shared" si="43"/>
        <v>15699</v>
      </c>
    </row>
    <row r="206" spans="3:16">
      <c r="C206" s="235" t="s">
        <v>1079</v>
      </c>
      <c r="D206" s="358">
        <f t="shared" si="46"/>
        <v>14777</v>
      </c>
      <c r="E206" s="358">
        <f t="shared" si="46"/>
        <v>13470</v>
      </c>
      <c r="F206" s="358">
        <f t="shared" si="46"/>
        <v>13673</v>
      </c>
      <c r="G206" s="358">
        <f t="shared" si="46"/>
        <v>15597</v>
      </c>
      <c r="H206" s="358">
        <f t="shared" si="46"/>
        <v>16180</v>
      </c>
      <c r="I206" s="358">
        <f t="shared" si="46"/>
        <v>15266</v>
      </c>
      <c r="J206" s="358">
        <f t="shared" si="46"/>
        <v>15348</v>
      </c>
      <c r="K206" s="358">
        <f t="shared" si="46"/>
        <v>15700</v>
      </c>
      <c r="L206" s="358">
        <f t="shared" si="46"/>
        <v>15703</v>
      </c>
      <c r="M206" s="358">
        <f t="shared" si="46"/>
        <v>15780</v>
      </c>
      <c r="N206" s="358">
        <f t="shared" si="46"/>
        <v>14546</v>
      </c>
      <c r="O206" s="358">
        <f t="shared" si="46"/>
        <v>14509</v>
      </c>
      <c r="P206" s="359">
        <f t="shared" si="43"/>
        <v>180549</v>
      </c>
    </row>
    <row r="207" spans="3:16">
      <c r="C207" s="235" t="s">
        <v>1080</v>
      </c>
      <c r="D207" s="358">
        <f t="shared" si="46"/>
        <v>4497</v>
      </c>
      <c r="E207" s="358">
        <f t="shared" si="46"/>
        <v>4100</v>
      </c>
      <c r="F207" s="358">
        <f t="shared" si="46"/>
        <v>4161</v>
      </c>
      <c r="G207" s="358">
        <f t="shared" si="46"/>
        <v>4747</v>
      </c>
      <c r="H207" s="358">
        <f t="shared" si="46"/>
        <v>4924</v>
      </c>
      <c r="I207" s="358">
        <f t="shared" si="46"/>
        <v>4646</v>
      </c>
      <c r="J207" s="358">
        <f t="shared" si="46"/>
        <v>4671</v>
      </c>
      <c r="K207" s="358">
        <f t="shared" si="46"/>
        <v>4778</v>
      </c>
      <c r="L207" s="358">
        <f t="shared" si="46"/>
        <v>4779</v>
      </c>
      <c r="M207" s="358">
        <f t="shared" si="46"/>
        <v>4803</v>
      </c>
      <c r="N207" s="358">
        <f t="shared" si="46"/>
        <v>4427</v>
      </c>
      <c r="O207" s="358">
        <f t="shared" si="46"/>
        <v>4416</v>
      </c>
      <c r="P207" s="359">
        <f t="shared" si="43"/>
        <v>54949</v>
      </c>
    </row>
    <row r="208" spans="3:16">
      <c r="C208" s="235" t="s">
        <v>1081</v>
      </c>
      <c r="D208" s="358">
        <f t="shared" si="46"/>
        <v>0</v>
      </c>
      <c r="E208" s="358">
        <f t="shared" si="46"/>
        <v>0</v>
      </c>
      <c r="F208" s="358">
        <f t="shared" si="46"/>
        <v>0</v>
      </c>
      <c r="G208" s="358">
        <f t="shared" si="46"/>
        <v>0</v>
      </c>
      <c r="H208" s="358">
        <f t="shared" si="46"/>
        <v>0</v>
      </c>
      <c r="I208" s="358">
        <f t="shared" si="46"/>
        <v>0</v>
      </c>
      <c r="J208" s="358">
        <f t="shared" si="46"/>
        <v>0</v>
      </c>
      <c r="K208" s="358">
        <f t="shared" si="46"/>
        <v>0</v>
      </c>
      <c r="L208" s="358">
        <f t="shared" si="46"/>
        <v>0</v>
      </c>
      <c r="M208" s="358">
        <f t="shared" si="46"/>
        <v>0</v>
      </c>
      <c r="N208" s="358">
        <f t="shared" si="46"/>
        <v>0</v>
      </c>
      <c r="O208" s="358">
        <f t="shared" si="46"/>
        <v>0</v>
      </c>
      <c r="P208" s="359">
        <f t="shared" si="43"/>
        <v>0</v>
      </c>
    </row>
    <row r="209" spans="3:16">
      <c r="C209" s="235" t="s">
        <v>1082</v>
      </c>
      <c r="D209" s="358">
        <f t="shared" si="46"/>
        <v>642</v>
      </c>
      <c r="E209" s="358">
        <f t="shared" si="46"/>
        <v>586</v>
      </c>
      <c r="F209" s="358">
        <f t="shared" si="46"/>
        <v>594</v>
      </c>
      <c r="G209" s="358">
        <f t="shared" si="46"/>
        <v>678</v>
      </c>
      <c r="H209" s="358">
        <f t="shared" si="46"/>
        <v>703</v>
      </c>
      <c r="I209" s="358">
        <f t="shared" si="46"/>
        <v>664</v>
      </c>
      <c r="J209" s="358">
        <f t="shared" si="46"/>
        <v>667</v>
      </c>
      <c r="K209" s="358">
        <f t="shared" si="46"/>
        <v>683</v>
      </c>
      <c r="L209" s="358">
        <f t="shared" si="46"/>
        <v>683</v>
      </c>
      <c r="M209" s="358">
        <f t="shared" si="46"/>
        <v>686</v>
      </c>
      <c r="N209" s="358">
        <f t="shared" si="46"/>
        <v>632</v>
      </c>
      <c r="O209" s="358">
        <f t="shared" si="46"/>
        <v>631</v>
      </c>
      <c r="P209" s="359">
        <f t="shared" si="43"/>
        <v>7849</v>
      </c>
    </row>
    <row r="210" spans="3:16">
      <c r="C210" s="235" t="s">
        <v>1083</v>
      </c>
      <c r="D210" s="358">
        <f t="shared" si="46"/>
        <v>9637</v>
      </c>
      <c r="E210" s="358">
        <f t="shared" si="46"/>
        <v>8785</v>
      </c>
      <c r="F210" s="358">
        <f t="shared" si="46"/>
        <v>8917</v>
      </c>
      <c r="G210" s="358">
        <f t="shared" si="46"/>
        <v>10172</v>
      </c>
      <c r="H210" s="358">
        <f t="shared" si="46"/>
        <v>10552</v>
      </c>
      <c r="I210" s="358">
        <f t="shared" si="46"/>
        <v>9956</v>
      </c>
      <c r="J210" s="358">
        <f t="shared" si="46"/>
        <v>10009</v>
      </c>
      <c r="K210" s="358">
        <f t="shared" si="46"/>
        <v>10239</v>
      </c>
      <c r="L210" s="358">
        <f t="shared" si="46"/>
        <v>10241</v>
      </c>
      <c r="M210" s="358">
        <f t="shared" si="46"/>
        <v>10292</v>
      </c>
      <c r="N210" s="358">
        <f t="shared" si="46"/>
        <v>9487</v>
      </c>
      <c r="O210" s="358">
        <f t="shared" si="46"/>
        <v>9462</v>
      </c>
      <c r="P210" s="359">
        <f t="shared" si="43"/>
        <v>117749</v>
      </c>
    </row>
    <row r="211" spans="3:16">
      <c r="C211" s="235" t="s">
        <v>1084</v>
      </c>
      <c r="D211" s="358">
        <f t="shared" si="46"/>
        <v>1927</v>
      </c>
      <c r="E211" s="358">
        <f t="shared" si="46"/>
        <v>1757</v>
      </c>
      <c r="F211" s="358">
        <f t="shared" si="46"/>
        <v>1783</v>
      </c>
      <c r="G211" s="358">
        <f t="shared" si="46"/>
        <v>2034</v>
      </c>
      <c r="H211" s="358">
        <f t="shared" si="46"/>
        <v>2110</v>
      </c>
      <c r="I211" s="358">
        <f t="shared" si="46"/>
        <v>1991</v>
      </c>
      <c r="J211" s="358">
        <f t="shared" si="46"/>
        <v>2002</v>
      </c>
      <c r="K211" s="358">
        <f t="shared" si="46"/>
        <v>2048</v>
      </c>
      <c r="L211" s="358">
        <f t="shared" si="46"/>
        <v>2048</v>
      </c>
      <c r="M211" s="358">
        <f t="shared" si="46"/>
        <v>2058</v>
      </c>
      <c r="N211" s="358">
        <f t="shared" si="46"/>
        <v>1897</v>
      </c>
      <c r="O211" s="358">
        <f t="shared" si="46"/>
        <v>1892</v>
      </c>
      <c r="P211" s="359">
        <f t="shared" si="43"/>
        <v>23547</v>
      </c>
    </row>
    <row r="212" spans="3:16">
      <c r="C212" s="235" t="s">
        <v>1085</v>
      </c>
      <c r="D212" s="358">
        <f t="shared" si="46"/>
        <v>9637</v>
      </c>
      <c r="E212" s="358">
        <f t="shared" si="46"/>
        <v>8785</v>
      </c>
      <c r="F212" s="358">
        <f t="shared" si="46"/>
        <v>8917</v>
      </c>
      <c r="G212" s="358">
        <f t="shared" si="46"/>
        <v>10172</v>
      </c>
      <c r="H212" s="358">
        <f t="shared" si="46"/>
        <v>10552</v>
      </c>
      <c r="I212" s="358">
        <f t="shared" si="46"/>
        <v>9956</v>
      </c>
      <c r="J212" s="358">
        <f t="shared" si="46"/>
        <v>10009</v>
      </c>
      <c r="K212" s="358">
        <f t="shared" si="46"/>
        <v>10239</v>
      </c>
      <c r="L212" s="358">
        <f t="shared" si="46"/>
        <v>10241</v>
      </c>
      <c r="M212" s="358">
        <f t="shared" si="46"/>
        <v>10292</v>
      </c>
      <c r="N212" s="358">
        <f t="shared" si="46"/>
        <v>9487</v>
      </c>
      <c r="O212" s="358">
        <f t="shared" si="46"/>
        <v>9462</v>
      </c>
      <c r="P212" s="359">
        <f t="shared" si="43"/>
        <v>117749</v>
      </c>
    </row>
    <row r="213" spans="3:16">
      <c r="C213" s="235" t="s">
        <v>1086</v>
      </c>
      <c r="D213" s="358">
        <f t="shared" si="46"/>
        <v>17989</v>
      </c>
      <c r="E213" s="358">
        <f t="shared" si="46"/>
        <v>16398</v>
      </c>
      <c r="F213" s="358">
        <f t="shared" si="46"/>
        <v>16645</v>
      </c>
      <c r="G213" s="358">
        <f t="shared" si="46"/>
        <v>18987</v>
      </c>
      <c r="H213" s="358">
        <f t="shared" si="46"/>
        <v>19697</v>
      </c>
      <c r="I213" s="358">
        <f t="shared" si="46"/>
        <v>18584</v>
      </c>
      <c r="J213" s="358">
        <f t="shared" si="46"/>
        <v>18684</v>
      </c>
      <c r="K213" s="358">
        <f t="shared" si="46"/>
        <v>19113</v>
      </c>
      <c r="L213" s="358">
        <f t="shared" si="46"/>
        <v>19117</v>
      </c>
      <c r="M213" s="358">
        <f t="shared" si="46"/>
        <v>19211</v>
      </c>
      <c r="N213" s="358">
        <f t="shared" si="46"/>
        <v>17709</v>
      </c>
      <c r="O213" s="358">
        <f t="shared" si="46"/>
        <v>17663</v>
      </c>
      <c r="P213" s="359">
        <f t="shared" si="43"/>
        <v>219797</v>
      </c>
    </row>
    <row r="214" spans="3:16">
      <c r="C214" s="235"/>
      <c r="D214" s="358">
        <f>SUM(D169:D213)</f>
        <v>185669</v>
      </c>
      <c r="E214" s="358">
        <f t="shared" ref="E214:O214" si="47">SUM(E169:E213)</f>
        <v>169253</v>
      </c>
      <c r="F214" s="358">
        <f t="shared" si="47"/>
        <v>171797</v>
      </c>
      <c r="G214" s="358">
        <f t="shared" si="47"/>
        <v>195976</v>
      </c>
      <c r="H214" s="358">
        <f t="shared" si="47"/>
        <v>203298</v>
      </c>
      <c r="I214" s="358">
        <f t="shared" si="47"/>
        <v>191817</v>
      </c>
      <c r="J214" s="358">
        <f t="shared" si="47"/>
        <v>192845</v>
      </c>
      <c r="K214" s="358">
        <f t="shared" si="47"/>
        <v>197276</v>
      </c>
      <c r="L214" s="358">
        <f t="shared" si="47"/>
        <v>197311</v>
      </c>
      <c r="M214" s="358">
        <f t="shared" si="47"/>
        <v>198285</v>
      </c>
      <c r="N214" s="358">
        <f t="shared" si="47"/>
        <v>182778</v>
      </c>
      <c r="O214" s="358">
        <f t="shared" si="47"/>
        <v>182308</v>
      </c>
      <c r="P214" s="359">
        <f t="shared" si="43"/>
        <v>2268613</v>
      </c>
    </row>
    <row r="217" spans="3:16">
      <c r="C217" s="356" t="s">
        <v>1089</v>
      </c>
      <c r="D217" s="235"/>
      <c r="E217" s="235"/>
      <c r="F217" s="235"/>
      <c r="G217" s="235"/>
      <c r="H217" s="235"/>
      <c r="I217" s="235"/>
      <c r="J217" s="235"/>
      <c r="K217" s="235"/>
      <c r="L217" s="235"/>
      <c r="M217" s="235"/>
      <c r="N217" s="235"/>
      <c r="O217" s="235"/>
      <c r="P217" s="357"/>
    </row>
    <row r="218" spans="3:16">
      <c r="C218" s="235" t="s">
        <v>1042</v>
      </c>
      <c r="D218" s="358">
        <f>ROUND(D169*$S70,0)</f>
        <v>0</v>
      </c>
      <c r="E218" s="358">
        <f t="shared" ref="E218:O218" si="48">ROUND(E169*$S70,0)</f>
        <v>0</v>
      </c>
      <c r="F218" s="358">
        <f t="shared" si="48"/>
        <v>0</v>
      </c>
      <c r="G218" s="358">
        <f t="shared" si="48"/>
        <v>0</v>
      </c>
      <c r="H218" s="358">
        <f t="shared" si="48"/>
        <v>0</v>
      </c>
      <c r="I218" s="358">
        <f t="shared" si="48"/>
        <v>0</v>
      </c>
      <c r="J218" s="358">
        <f t="shared" si="48"/>
        <v>0</v>
      </c>
      <c r="K218" s="358">
        <f t="shared" si="48"/>
        <v>0</v>
      </c>
      <c r="L218" s="358">
        <f t="shared" si="48"/>
        <v>0</v>
      </c>
      <c r="M218" s="358">
        <f t="shared" si="48"/>
        <v>0</v>
      </c>
      <c r="N218" s="358">
        <f t="shared" si="48"/>
        <v>0</v>
      </c>
      <c r="O218" s="358">
        <f t="shared" si="48"/>
        <v>0</v>
      </c>
      <c r="P218" s="359">
        <f>SUM(D218:O218)</f>
        <v>0</v>
      </c>
    </row>
    <row r="219" spans="3:16">
      <c r="C219" s="235" t="s">
        <v>1043</v>
      </c>
      <c r="D219" s="358">
        <f t="shared" ref="D219:O234" si="49">ROUND(D170*$S71,0)</f>
        <v>0</v>
      </c>
      <c r="E219" s="358">
        <f t="shared" si="49"/>
        <v>0</v>
      </c>
      <c r="F219" s="358">
        <f t="shared" si="49"/>
        <v>0</v>
      </c>
      <c r="G219" s="358">
        <f t="shared" si="49"/>
        <v>0</v>
      </c>
      <c r="H219" s="358">
        <f t="shared" si="49"/>
        <v>0</v>
      </c>
      <c r="I219" s="358">
        <f t="shared" si="49"/>
        <v>0</v>
      </c>
      <c r="J219" s="358">
        <f t="shared" si="49"/>
        <v>0</v>
      </c>
      <c r="K219" s="358">
        <f t="shared" si="49"/>
        <v>0</v>
      </c>
      <c r="L219" s="358">
        <f t="shared" si="49"/>
        <v>0</v>
      </c>
      <c r="M219" s="358">
        <f t="shared" si="49"/>
        <v>0</v>
      </c>
      <c r="N219" s="358">
        <f t="shared" si="49"/>
        <v>0</v>
      </c>
      <c r="O219" s="358">
        <f t="shared" si="49"/>
        <v>0</v>
      </c>
      <c r="P219" s="359">
        <f t="shared" ref="P219:P262" si="50">SUM(D219:O219)</f>
        <v>0</v>
      </c>
    </row>
    <row r="220" spans="3:16">
      <c r="C220" s="235" t="s">
        <v>1044</v>
      </c>
      <c r="D220" s="358">
        <f t="shared" si="49"/>
        <v>0</v>
      </c>
      <c r="E220" s="358">
        <f t="shared" si="49"/>
        <v>0</v>
      </c>
      <c r="F220" s="358">
        <f t="shared" si="49"/>
        <v>0</v>
      </c>
      <c r="G220" s="358">
        <f t="shared" si="49"/>
        <v>0</v>
      </c>
      <c r="H220" s="358">
        <f t="shared" si="49"/>
        <v>0</v>
      </c>
      <c r="I220" s="358">
        <f t="shared" si="49"/>
        <v>0</v>
      </c>
      <c r="J220" s="358">
        <f t="shared" si="49"/>
        <v>0</v>
      </c>
      <c r="K220" s="358">
        <f t="shared" si="49"/>
        <v>0</v>
      </c>
      <c r="L220" s="358">
        <f t="shared" si="49"/>
        <v>0</v>
      </c>
      <c r="M220" s="358">
        <f t="shared" si="49"/>
        <v>0</v>
      </c>
      <c r="N220" s="358">
        <f t="shared" si="49"/>
        <v>0</v>
      </c>
      <c r="O220" s="358">
        <f t="shared" si="49"/>
        <v>0</v>
      </c>
      <c r="P220" s="359">
        <f t="shared" si="50"/>
        <v>0</v>
      </c>
    </row>
    <row r="221" spans="3:16">
      <c r="C221" s="235" t="s">
        <v>1045</v>
      </c>
      <c r="D221" s="358">
        <f t="shared" si="49"/>
        <v>0</v>
      </c>
      <c r="E221" s="358">
        <f t="shared" si="49"/>
        <v>0</v>
      </c>
      <c r="F221" s="358">
        <f t="shared" si="49"/>
        <v>0</v>
      </c>
      <c r="G221" s="358">
        <f t="shared" si="49"/>
        <v>0</v>
      </c>
      <c r="H221" s="358">
        <f t="shared" si="49"/>
        <v>0</v>
      </c>
      <c r="I221" s="358">
        <f t="shared" si="49"/>
        <v>0</v>
      </c>
      <c r="J221" s="358">
        <f t="shared" si="49"/>
        <v>0</v>
      </c>
      <c r="K221" s="358">
        <f t="shared" si="49"/>
        <v>0</v>
      </c>
      <c r="L221" s="358">
        <f t="shared" si="49"/>
        <v>0</v>
      </c>
      <c r="M221" s="358">
        <f t="shared" si="49"/>
        <v>0</v>
      </c>
      <c r="N221" s="358">
        <f t="shared" si="49"/>
        <v>0</v>
      </c>
      <c r="O221" s="358">
        <f t="shared" si="49"/>
        <v>0</v>
      </c>
      <c r="P221" s="359">
        <f t="shared" si="50"/>
        <v>0</v>
      </c>
    </row>
    <row r="222" spans="3:16">
      <c r="C222" s="235" t="s">
        <v>1046</v>
      </c>
      <c r="D222" s="358">
        <f t="shared" si="49"/>
        <v>0</v>
      </c>
      <c r="E222" s="358">
        <f t="shared" si="49"/>
        <v>0</v>
      </c>
      <c r="F222" s="358">
        <f t="shared" si="49"/>
        <v>0</v>
      </c>
      <c r="G222" s="358">
        <f t="shared" si="49"/>
        <v>0</v>
      </c>
      <c r="H222" s="358">
        <f t="shared" si="49"/>
        <v>0</v>
      </c>
      <c r="I222" s="358">
        <f t="shared" si="49"/>
        <v>0</v>
      </c>
      <c r="J222" s="358">
        <f t="shared" si="49"/>
        <v>0</v>
      </c>
      <c r="K222" s="358">
        <f t="shared" si="49"/>
        <v>0</v>
      </c>
      <c r="L222" s="358">
        <f t="shared" si="49"/>
        <v>0</v>
      </c>
      <c r="M222" s="358">
        <f t="shared" si="49"/>
        <v>0</v>
      </c>
      <c r="N222" s="358">
        <f t="shared" si="49"/>
        <v>0</v>
      </c>
      <c r="O222" s="358">
        <f t="shared" si="49"/>
        <v>0</v>
      </c>
      <c r="P222" s="359">
        <f t="shared" si="50"/>
        <v>0</v>
      </c>
    </row>
    <row r="223" spans="3:16">
      <c r="C223" s="235" t="s">
        <v>1047</v>
      </c>
      <c r="D223" s="358">
        <f t="shared" si="49"/>
        <v>0</v>
      </c>
      <c r="E223" s="358">
        <f t="shared" si="49"/>
        <v>0</v>
      </c>
      <c r="F223" s="358">
        <f t="shared" si="49"/>
        <v>0</v>
      </c>
      <c r="G223" s="358">
        <f t="shared" si="49"/>
        <v>0</v>
      </c>
      <c r="H223" s="358">
        <f t="shared" si="49"/>
        <v>0</v>
      </c>
      <c r="I223" s="358">
        <f t="shared" si="49"/>
        <v>0</v>
      </c>
      <c r="J223" s="358">
        <f t="shared" si="49"/>
        <v>0</v>
      </c>
      <c r="K223" s="358">
        <f t="shared" si="49"/>
        <v>0</v>
      </c>
      <c r="L223" s="358">
        <f t="shared" si="49"/>
        <v>0</v>
      </c>
      <c r="M223" s="358">
        <f t="shared" si="49"/>
        <v>0</v>
      </c>
      <c r="N223" s="358">
        <f t="shared" si="49"/>
        <v>0</v>
      </c>
      <c r="O223" s="358">
        <f t="shared" si="49"/>
        <v>0</v>
      </c>
      <c r="P223" s="359">
        <f t="shared" si="50"/>
        <v>0</v>
      </c>
    </row>
    <row r="224" spans="3:16">
      <c r="C224" s="235" t="s">
        <v>1048</v>
      </c>
      <c r="D224" s="358">
        <f t="shared" si="49"/>
        <v>0</v>
      </c>
      <c r="E224" s="358">
        <f t="shared" si="49"/>
        <v>0</v>
      </c>
      <c r="F224" s="358">
        <f t="shared" si="49"/>
        <v>0</v>
      </c>
      <c r="G224" s="358">
        <f t="shared" si="49"/>
        <v>0</v>
      </c>
      <c r="H224" s="358">
        <f t="shared" si="49"/>
        <v>0</v>
      </c>
      <c r="I224" s="358">
        <f t="shared" si="49"/>
        <v>0</v>
      </c>
      <c r="J224" s="358">
        <f t="shared" si="49"/>
        <v>0</v>
      </c>
      <c r="K224" s="358">
        <f t="shared" si="49"/>
        <v>0</v>
      </c>
      <c r="L224" s="358">
        <f t="shared" si="49"/>
        <v>0</v>
      </c>
      <c r="M224" s="358">
        <f t="shared" si="49"/>
        <v>0</v>
      </c>
      <c r="N224" s="358">
        <f t="shared" si="49"/>
        <v>0</v>
      </c>
      <c r="O224" s="358">
        <f t="shared" si="49"/>
        <v>0</v>
      </c>
      <c r="P224" s="359">
        <f t="shared" si="50"/>
        <v>0</v>
      </c>
    </row>
    <row r="225" spans="3:16">
      <c r="C225" s="235" t="s">
        <v>1049</v>
      </c>
      <c r="D225" s="358">
        <f t="shared" si="49"/>
        <v>0</v>
      </c>
      <c r="E225" s="358">
        <f t="shared" si="49"/>
        <v>0</v>
      </c>
      <c r="F225" s="358">
        <f t="shared" si="49"/>
        <v>0</v>
      </c>
      <c r="G225" s="358">
        <f t="shared" si="49"/>
        <v>0</v>
      </c>
      <c r="H225" s="358">
        <f t="shared" si="49"/>
        <v>0</v>
      </c>
      <c r="I225" s="358">
        <f t="shared" si="49"/>
        <v>0</v>
      </c>
      <c r="J225" s="358">
        <f t="shared" si="49"/>
        <v>0</v>
      </c>
      <c r="K225" s="358">
        <f t="shared" si="49"/>
        <v>0</v>
      </c>
      <c r="L225" s="358">
        <f t="shared" si="49"/>
        <v>0</v>
      </c>
      <c r="M225" s="358">
        <f t="shared" si="49"/>
        <v>0</v>
      </c>
      <c r="N225" s="358">
        <f t="shared" si="49"/>
        <v>0</v>
      </c>
      <c r="O225" s="358">
        <f t="shared" si="49"/>
        <v>0</v>
      </c>
      <c r="P225" s="359">
        <f t="shared" si="50"/>
        <v>0</v>
      </c>
    </row>
    <row r="226" spans="3:16">
      <c r="C226" s="235" t="s">
        <v>1050</v>
      </c>
      <c r="D226" s="358">
        <f t="shared" si="49"/>
        <v>0</v>
      </c>
      <c r="E226" s="358">
        <f t="shared" si="49"/>
        <v>0</v>
      </c>
      <c r="F226" s="358">
        <f t="shared" si="49"/>
        <v>0</v>
      </c>
      <c r="G226" s="358">
        <f t="shared" si="49"/>
        <v>0</v>
      </c>
      <c r="H226" s="358">
        <f t="shared" si="49"/>
        <v>0</v>
      </c>
      <c r="I226" s="358">
        <f t="shared" si="49"/>
        <v>0</v>
      </c>
      <c r="J226" s="358">
        <f t="shared" si="49"/>
        <v>0</v>
      </c>
      <c r="K226" s="358">
        <f t="shared" si="49"/>
        <v>0</v>
      </c>
      <c r="L226" s="358">
        <f t="shared" si="49"/>
        <v>0</v>
      </c>
      <c r="M226" s="358">
        <f t="shared" si="49"/>
        <v>0</v>
      </c>
      <c r="N226" s="358">
        <f t="shared" si="49"/>
        <v>0</v>
      </c>
      <c r="O226" s="358">
        <f t="shared" si="49"/>
        <v>0</v>
      </c>
      <c r="P226" s="359">
        <f t="shared" si="50"/>
        <v>0</v>
      </c>
    </row>
    <row r="227" spans="3:16">
      <c r="C227" s="235" t="s">
        <v>1051</v>
      </c>
      <c r="D227" s="358">
        <f t="shared" si="49"/>
        <v>0</v>
      </c>
      <c r="E227" s="358">
        <f t="shared" si="49"/>
        <v>0</v>
      </c>
      <c r="F227" s="358">
        <f t="shared" si="49"/>
        <v>0</v>
      </c>
      <c r="G227" s="358">
        <f t="shared" si="49"/>
        <v>0</v>
      </c>
      <c r="H227" s="358">
        <f t="shared" si="49"/>
        <v>0</v>
      </c>
      <c r="I227" s="358">
        <f t="shared" si="49"/>
        <v>0</v>
      </c>
      <c r="J227" s="358">
        <f t="shared" si="49"/>
        <v>0</v>
      </c>
      <c r="K227" s="358">
        <f t="shared" si="49"/>
        <v>0</v>
      </c>
      <c r="L227" s="358">
        <f t="shared" si="49"/>
        <v>0</v>
      </c>
      <c r="M227" s="358">
        <f t="shared" si="49"/>
        <v>0</v>
      </c>
      <c r="N227" s="358">
        <f t="shared" si="49"/>
        <v>0</v>
      </c>
      <c r="O227" s="358">
        <f t="shared" si="49"/>
        <v>0</v>
      </c>
      <c r="P227" s="359">
        <f t="shared" si="50"/>
        <v>0</v>
      </c>
    </row>
    <row r="228" spans="3:16">
      <c r="C228" s="235" t="s">
        <v>1052</v>
      </c>
      <c r="D228" s="358">
        <f t="shared" si="49"/>
        <v>0</v>
      </c>
      <c r="E228" s="358">
        <f t="shared" si="49"/>
        <v>0</v>
      </c>
      <c r="F228" s="358">
        <f t="shared" si="49"/>
        <v>0</v>
      </c>
      <c r="G228" s="358">
        <f t="shared" si="49"/>
        <v>0</v>
      </c>
      <c r="H228" s="358">
        <f t="shared" si="49"/>
        <v>0</v>
      </c>
      <c r="I228" s="358">
        <f t="shared" si="49"/>
        <v>0</v>
      </c>
      <c r="J228" s="358">
        <f t="shared" si="49"/>
        <v>0</v>
      </c>
      <c r="K228" s="358">
        <f t="shared" si="49"/>
        <v>0</v>
      </c>
      <c r="L228" s="358">
        <f t="shared" si="49"/>
        <v>0</v>
      </c>
      <c r="M228" s="358">
        <f t="shared" si="49"/>
        <v>0</v>
      </c>
      <c r="N228" s="358">
        <f t="shared" si="49"/>
        <v>0</v>
      </c>
      <c r="O228" s="358">
        <f t="shared" si="49"/>
        <v>0</v>
      </c>
      <c r="P228" s="359">
        <f t="shared" si="50"/>
        <v>0</v>
      </c>
    </row>
    <row r="229" spans="3:16">
      <c r="C229" s="235" t="s">
        <v>1053</v>
      </c>
      <c r="D229" s="358">
        <f t="shared" si="49"/>
        <v>0</v>
      </c>
      <c r="E229" s="358">
        <f t="shared" si="49"/>
        <v>0</v>
      </c>
      <c r="F229" s="358">
        <f t="shared" si="49"/>
        <v>0</v>
      </c>
      <c r="G229" s="358">
        <f t="shared" si="49"/>
        <v>0</v>
      </c>
      <c r="H229" s="358">
        <f t="shared" si="49"/>
        <v>0</v>
      </c>
      <c r="I229" s="358">
        <f t="shared" si="49"/>
        <v>0</v>
      </c>
      <c r="J229" s="358">
        <f t="shared" si="49"/>
        <v>0</v>
      </c>
      <c r="K229" s="358">
        <f t="shared" si="49"/>
        <v>0</v>
      </c>
      <c r="L229" s="358">
        <f t="shared" si="49"/>
        <v>0</v>
      </c>
      <c r="M229" s="358">
        <f t="shared" si="49"/>
        <v>0</v>
      </c>
      <c r="N229" s="358">
        <f t="shared" si="49"/>
        <v>0</v>
      </c>
      <c r="O229" s="358">
        <f t="shared" si="49"/>
        <v>0</v>
      </c>
      <c r="P229" s="359">
        <f t="shared" si="50"/>
        <v>0</v>
      </c>
    </row>
    <row r="230" spans="3:16">
      <c r="C230" s="235" t="s">
        <v>1054</v>
      </c>
      <c r="D230" s="358">
        <f t="shared" si="49"/>
        <v>0</v>
      </c>
      <c r="E230" s="358">
        <f t="shared" si="49"/>
        <v>0</v>
      </c>
      <c r="F230" s="358">
        <f t="shared" si="49"/>
        <v>0</v>
      </c>
      <c r="G230" s="358">
        <f t="shared" si="49"/>
        <v>0</v>
      </c>
      <c r="H230" s="358">
        <f t="shared" si="49"/>
        <v>0</v>
      </c>
      <c r="I230" s="358">
        <f t="shared" si="49"/>
        <v>0</v>
      </c>
      <c r="J230" s="358">
        <f t="shared" si="49"/>
        <v>0</v>
      </c>
      <c r="K230" s="358">
        <f t="shared" si="49"/>
        <v>0</v>
      </c>
      <c r="L230" s="358">
        <f t="shared" si="49"/>
        <v>0</v>
      </c>
      <c r="M230" s="358">
        <f t="shared" si="49"/>
        <v>0</v>
      </c>
      <c r="N230" s="358">
        <f t="shared" si="49"/>
        <v>0</v>
      </c>
      <c r="O230" s="358">
        <f t="shared" si="49"/>
        <v>0</v>
      </c>
      <c r="P230" s="359">
        <f t="shared" si="50"/>
        <v>0</v>
      </c>
    </row>
    <row r="231" spans="3:16">
      <c r="C231" s="235" t="s">
        <v>1055</v>
      </c>
      <c r="D231" s="358">
        <f t="shared" si="49"/>
        <v>0</v>
      </c>
      <c r="E231" s="358">
        <f t="shared" si="49"/>
        <v>0</v>
      </c>
      <c r="F231" s="358">
        <f t="shared" si="49"/>
        <v>0</v>
      </c>
      <c r="G231" s="358">
        <f t="shared" si="49"/>
        <v>0</v>
      </c>
      <c r="H231" s="358">
        <f t="shared" si="49"/>
        <v>0</v>
      </c>
      <c r="I231" s="358">
        <f t="shared" si="49"/>
        <v>0</v>
      </c>
      <c r="J231" s="358">
        <f t="shared" si="49"/>
        <v>0</v>
      </c>
      <c r="K231" s="358">
        <f t="shared" si="49"/>
        <v>0</v>
      </c>
      <c r="L231" s="358">
        <f t="shared" si="49"/>
        <v>0</v>
      </c>
      <c r="M231" s="358">
        <f t="shared" si="49"/>
        <v>0</v>
      </c>
      <c r="N231" s="358">
        <f t="shared" si="49"/>
        <v>0</v>
      </c>
      <c r="O231" s="358">
        <f t="shared" si="49"/>
        <v>0</v>
      </c>
      <c r="P231" s="359">
        <f t="shared" si="50"/>
        <v>0</v>
      </c>
    </row>
    <row r="232" spans="3:16">
      <c r="C232" s="235" t="s">
        <v>1056</v>
      </c>
      <c r="D232" s="358">
        <f t="shared" si="49"/>
        <v>0</v>
      </c>
      <c r="E232" s="358">
        <f t="shared" si="49"/>
        <v>0</v>
      </c>
      <c r="F232" s="358">
        <f t="shared" si="49"/>
        <v>0</v>
      </c>
      <c r="G232" s="358">
        <f t="shared" si="49"/>
        <v>0</v>
      </c>
      <c r="H232" s="358">
        <f t="shared" si="49"/>
        <v>0</v>
      </c>
      <c r="I232" s="358">
        <f t="shared" si="49"/>
        <v>0</v>
      </c>
      <c r="J232" s="358">
        <f t="shared" si="49"/>
        <v>0</v>
      </c>
      <c r="K232" s="358">
        <f t="shared" si="49"/>
        <v>0</v>
      </c>
      <c r="L232" s="358">
        <f t="shared" si="49"/>
        <v>0</v>
      </c>
      <c r="M232" s="358">
        <f t="shared" si="49"/>
        <v>0</v>
      </c>
      <c r="N232" s="358">
        <f t="shared" si="49"/>
        <v>0</v>
      </c>
      <c r="O232" s="358">
        <f t="shared" si="49"/>
        <v>0</v>
      </c>
      <c r="P232" s="359">
        <f t="shared" si="50"/>
        <v>0</v>
      </c>
    </row>
    <row r="233" spans="3:16">
      <c r="C233" s="235" t="s">
        <v>1057</v>
      </c>
      <c r="D233" s="358">
        <f t="shared" si="49"/>
        <v>0</v>
      </c>
      <c r="E233" s="358">
        <f t="shared" si="49"/>
        <v>0</v>
      </c>
      <c r="F233" s="358">
        <f t="shared" si="49"/>
        <v>0</v>
      </c>
      <c r="G233" s="358">
        <f t="shared" si="49"/>
        <v>0</v>
      </c>
      <c r="H233" s="358">
        <f t="shared" si="49"/>
        <v>0</v>
      </c>
      <c r="I233" s="358">
        <f t="shared" si="49"/>
        <v>0</v>
      </c>
      <c r="J233" s="358">
        <f t="shared" si="49"/>
        <v>0</v>
      </c>
      <c r="K233" s="358">
        <f t="shared" si="49"/>
        <v>0</v>
      </c>
      <c r="L233" s="358">
        <f t="shared" si="49"/>
        <v>0</v>
      </c>
      <c r="M233" s="358">
        <f t="shared" si="49"/>
        <v>0</v>
      </c>
      <c r="N233" s="358">
        <f t="shared" si="49"/>
        <v>0</v>
      </c>
      <c r="O233" s="358">
        <f t="shared" si="49"/>
        <v>0</v>
      </c>
      <c r="P233" s="359">
        <f t="shared" si="50"/>
        <v>0</v>
      </c>
    </row>
    <row r="234" spans="3:16">
      <c r="C234" s="235" t="s">
        <v>1058</v>
      </c>
      <c r="D234" s="358">
        <f t="shared" si="49"/>
        <v>0</v>
      </c>
      <c r="E234" s="358">
        <f t="shared" si="49"/>
        <v>0</v>
      </c>
      <c r="F234" s="358">
        <f t="shared" si="49"/>
        <v>0</v>
      </c>
      <c r="G234" s="358">
        <f t="shared" si="49"/>
        <v>0</v>
      </c>
      <c r="H234" s="358">
        <f t="shared" si="49"/>
        <v>0</v>
      </c>
      <c r="I234" s="358">
        <f t="shared" si="49"/>
        <v>0</v>
      </c>
      <c r="J234" s="358">
        <f t="shared" si="49"/>
        <v>0</v>
      </c>
      <c r="K234" s="358">
        <f t="shared" si="49"/>
        <v>0</v>
      </c>
      <c r="L234" s="358">
        <f t="shared" si="49"/>
        <v>0</v>
      </c>
      <c r="M234" s="358">
        <f t="shared" si="49"/>
        <v>0</v>
      </c>
      <c r="N234" s="358">
        <f t="shared" si="49"/>
        <v>0</v>
      </c>
      <c r="O234" s="358">
        <f t="shared" si="49"/>
        <v>0</v>
      </c>
      <c r="P234" s="359">
        <f t="shared" si="50"/>
        <v>0</v>
      </c>
    </row>
    <row r="235" spans="3:16">
      <c r="C235" s="235" t="s">
        <v>1059</v>
      </c>
      <c r="D235" s="358">
        <f t="shared" ref="D235:O250" si="51">ROUND(D186*$S87,0)</f>
        <v>0</v>
      </c>
      <c r="E235" s="358">
        <f t="shared" si="51"/>
        <v>0</v>
      </c>
      <c r="F235" s="358">
        <f t="shared" si="51"/>
        <v>0</v>
      </c>
      <c r="G235" s="358">
        <f t="shared" si="51"/>
        <v>0</v>
      </c>
      <c r="H235" s="358">
        <f t="shared" si="51"/>
        <v>0</v>
      </c>
      <c r="I235" s="358">
        <f t="shared" si="51"/>
        <v>0</v>
      </c>
      <c r="J235" s="358">
        <f t="shared" si="51"/>
        <v>0</v>
      </c>
      <c r="K235" s="358">
        <f t="shared" si="51"/>
        <v>0</v>
      </c>
      <c r="L235" s="358">
        <f t="shared" si="51"/>
        <v>0</v>
      </c>
      <c r="M235" s="358">
        <f t="shared" si="51"/>
        <v>0</v>
      </c>
      <c r="N235" s="358">
        <f t="shared" si="51"/>
        <v>0</v>
      </c>
      <c r="O235" s="358">
        <f t="shared" si="51"/>
        <v>0</v>
      </c>
      <c r="P235" s="359">
        <f t="shared" si="50"/>
        <v>0</v>
      </c>
    </row>
    <row r="236" spans="3:16">
      <c r="C236" s="235" t="s">
        <v>1060</v>
      </c>
      <c r="D236" s="358">
        <f t="shared" si="51"/>
        <v>0</v>
      </c>
      <c r="E236" s="358">
        <f t="shared" si="51"/>
        <v>0</v>
      </c>
      <c r="F236" s="358">
        <f t="shared" si="51"/>
        <v>0</v>
      </c>
      <c r="G236" s="358">
        <f t="shared" si="51"/>
        <v>0</v>
      </c>
      <c r="H236" s="358">
        <f t="shared" si="51"/>
        <v>0</v>
      </c>
      <c r="I236" s="358">
        <f t="shared" si="51"/>
        <v>0</v>
      </c>
      <c r="J236" s="358">
        <f t="shared" si="51"/>
        <v>0</v>
      </c>
      <c r="K236" s="358">
        <f t="shared" si="51"/>
        <v>0</v>
      </c>
      <c r="L236" s="358">
        <f t="shared" si="51"/>
        <v>0</v>
      </c>
      <c r="M236" s="358">
        <f t="shared" si="51"/>
        <v>0</v>
      </c>
      <c r="N236" s="358">
        <f t="shared" si="51"/>
        <v>0</v>
      </c>
      <c r="O236" s="358">
        <f t="shared" si="51"/>
        <v>0</v>
      </c>
      <c r="P236" s="359">
        <f t="shared" si="50"/>
        <v>0</v>
      </c>
    </row>
    <row r="237" spans="3:16">
      <c r="C237" s="235" t="s">
        <v>1061</v>
      </c>
      <c r="D237" s="358">
        <f t="shared" si="51"/>
        <v>0</v>
      </c>
      <c r="E237" s="358">
        <f t="shared" si="51"/>
        <v>0</v>
      </c>
      <c r="F237" s="358">
        <f t="shared" si="51"/>
        <v>0</v>
      </c>
      <c r="G237" s="358">
        <f t="shared" si="51"/>
        <v>0</v>
      </c>
      <c r="H237" s="358">
        <f t="shared" si="51"/>
        <v>0</v>
      </c>
      <c r="I237" s="358">
        <f t="shared" si="51"/>
        <v>0</v>
      </c>
      <c r="J237" s="358">
        <f t="shared" si="51"/>
        <v>0</v>
      </c>
      <c r="K237" s="358">
        <f t="shared" si="51"/>
        <v>0</v>
      </c>
      <c r="L237" s="358">
        <f t="shared" si="51"/>
        <v>0</v>
      </c>
      <c r="M237" s="358">
        <f t="shared" si="51"/>
        <v>0</v>
      </c>
      <c r="N237" s="358">
        <f t="shared" si="51"/>
        <v>0</v>
      </c>
      <c r="O237" s="358">
        <f t="shared" si="51"/>
        <v>0</v>
      </c>
      <c r="P237" s="359">
        <f t="shared" si="50"/>
        <v>0</v>
      </c>
    </row>
    <row r="238" spans="3:16">
      <c r="C238" s="235" t="s">
        <v>1062</v>
      </c>
      <c r="D238" s="358">
        <f t="shared" si="51"/>
        <v>0</v>
      </c>
      <c r="E238" s="358">
        <f t="shared" si="51"/>
        <v>0</v>
      </c>
      <c r="F238" s="358">
        <f t="shared" si="51"/>
        <v>0</v>
      </c>
      <c r="G238" s="358">
        <f t="shared" si="51"/>
        <v>0</v>
      </c>
      <c r="H238" s="358">
        <f t="shared" si="51"/>
        <v>0</v>
      </c>
      <c r="I238" s="358">
        <f t="shared" si="51"/>
        <v>0</v>
      </c>
      <c r="J238" s="358">
        <f t="shared" si="51"/>
        <v>0</v>
      </c>
      <c r="K238" s="358">
        <f t="shared" si="51"/>
        <v>0</v>
      </c>
      <c r="L238" s="358">
        <f t="shared" si="51"/>
        <v>0</v>
      </c>
      <c r="M238" s="358">
        <f t="shared" si="51"/>
        <v>0</v>
      </c>
      <c r="N238" s="358">
        <f t="shared" si="51"/>
        <v>0</v>
      </c>
      <c r="O238" s="358">
        <f t="shared" si="51"/>
        <v>0</v>
      </c>
      <c r="P238" s="359">
        <f t="shared" si="50"/>
        <v>0</v>
      </c>
    </row>
    <row r="239" spans="3:16">
      <c r="C239" s="235" t="s">
        <v>1063</v>
      </c>
      <c r="D239" s="358">
        <f t="shared" si="51"/>
        <v>0</v>
      </c>
      <c r="E239" s="358">
        <f t="shared" si="51"/>
        <v>0</v>
      </c>
      <c r="F239" s="358">
        <f t="shared" si="51"/>
        <v>0</v>
      </c>
      <c r="G239" s="358">
        <f t="shared" si="51"/>
        <v>0</v>
      </c>
      <c r="H239" s="358">
        <f t="shared" si="51"/>
        <v>0</v>
      </c>
      <c r="I239" s="358">
        <f t="shared" si="51"/>
        <v>0</v>
      </c>
      <c r="J239" s="358">
        <f t="shared" si="51"/>
        <v>0</v>
      </c>
      <c r="K239" s="358">
        <f t="shared" si="51"/>
        <v>0</v>
      </c>
      <c r="L239" s="358">
        <f t="shared" si="51"/>
        <v>0</v>
      </c>
      <c r="M239" s="358">
        <f t="shared" si="51"/>
        <v>0</v>
      </c>
      <c r="N239" s="358">
        <f t="shared" si="51"/>
        <v>0</v>
      </c>
      <c r="O239" s="358">
        <f t="shared" si="51"/>
        <v>0</v>
      </c>
      <c r="P239" s="359">
        <f t="shared" si="50"/>
        <v>0</v>
      </c>
    </row>
    <row r="240" spans="3:16">
      <c r="C240" s="235" t="s">
        <v>1064</v>
      </c>
      <c r="D240" s="358">
        <f t="shared" si="51"/>
        <v>0</v>
      </c>
      <c r="E240" s="358">
        <f t="shared" si="51"/>
        <v>0</v>
      </c>
      <c r="F240" s="358">
        <f t="shared" si="51"/>
        <v>0</v>
      </c>
      <c r="G240" s="358">
        <f t="shared" si="51"/>
        <v>0</v>
      </c>
      <c r="H240" s="358">
        <f t="shared" si="51"/>
        <v>0</v>
      </c>
      <c r="I240" s="358">
        <f t="shared" si="51"/>
        <v>0</v>
      </c>
      <c r="J240" s="358">
        <f t="shared" si="51"/>
        <v>0</v>
      </c>
      <c r="K240" s="358">
        <f t="shared" si="51"/>
        <v>0</v>
      </c>
      <c r="L240" s="358">
        <f t="shared" si="51"/>
        <v>0</v>
      </c>
      <c r="M240" s="358">
        <f t="shared" si="51"/>
        <v>0</v>
      </c>
      <c r="N240" s="358">
        <f t="shared" si="51"/>
        <v>0</v>
      </c>
      <c r="O240" s="358">
        <f t="shared" si="51"/>
        <v>0</v>
      </c>
      <c r="P240" s="359">
        <f t="shared" si="50"/>
        <v>0</v>
      </c>
    </row>
    <row r="241" spans="3:16">
      <c r="C241" s="235" t="s">
        <v>1065</v>
      </c>
      <c r="D241" s="358">
        <f t="shared" si="51"/>
        <v>0</v>
      </c>
      <c r="E241" s="358">
        <f t="shared" si="51"/>
        <v>0</v>
      </c>
      <c r="F241" s="358">
        <f t="shared" si="51"/>
        <v>0</v>
      </c>
      <c r="G241" s="358">
        <f t="shared" si="51"/>
        <v>0</v>
      </c>
      <c r="H241" s="358">
        <f t="shared" si="51"/>
        <v>0</v>
      </c>
      <c r="I241" s="358">
        <f t="shared" si="51"/>
        <v>0</v>
      </c>
      <c r="J241" s="358">
        <f t="shared" si="51"/>
        <v>0</v>
      </c>
      <c r="K241" s="358">
        <f t="shared" si="51"/>
        <v>0</v>
      </c>
      <c r="L241" s="358">
        <f t="shared" si="51"/>
        <v>0</v>
      </c>
      <c r="M241" s="358">
        <f t="shared" si="51"/>
        <v>0</v>
      </c>
      <c r="N241" s="358">
        <f t="shared" si="51"/>
        <v>0</v>
      </c>
      <c r="O241" s="358">
        <f t="shared" si="51"/>
        <v>0</v>
      </c>
      <c r="P241" s="359">
        <f t="shared" si="50"/>
        <v>0</v>
      </c>
    </row>
    <row r="242" spans="3:16">
      <c r="C242" s="235" t="s">
        <v>1066</v>
      </c>
      <c r="D242" s="358">
        <f t="shared" si="51"/>
        <v>0</v>
      </c>
      <c r="E242" s="358">
        <f t="shared" si="51"/>
        <v>0</v>
      </c>
      <c r="F242" s="358">
        <f t="shared" si="51"/>
        <v>0</v>
      </c>
      <c r="G242" s="358">
        <f t="shared" si="51"/>
        <v>0</v>
      </c>
      <c r="H242" s="358">
        <f t="shared" si="51"/>
        <v>0</v>
      </c>
      <c r="I242" s="358">
        <f t="shared" si="51"/>
        <v>0</v>
      </c>
      <c r="J242" s="358">
        <f t="shared" si="51"/>
        <v>0</v>
      </c>
      <c r="K242" s="358">
        <f t="shared" si="51"/>
        <v>0</v>
      </c>
      <c r="L242" s="358">
        <f t="shared" si="51"/>
        <v>0</v>
      </c>
      <c r="M242" s="358">
        <f t="shared" si="51"/>
        <v>0</v>
      </c>
      <c r="N242" s="358">
        <f t="shared" si="51"/>
        <v>0</v>
      </c>
      <c r="O242" s="358">
        <f t="shared" si="51"/>
        <v>0</v>
      </c>
      <c r="P242" s="359">
        <f t="shared" si="50"/>
        <v>0</v>
      </c>
    </row>
    <row r="243" spans="3:16">
      <c r="C243" s="235" t="s">
        <v>1067</v>
      </c>
      <c r="D243" s="358">
        <f>ROUND(D194*$S95,0)</f>
        <v>0</v>
      </c>
      <c r="E243" s="358">
        <f t="shared" si="51"/>
        <v>0</v>
      </c>
      <c r="F243" s="358">
        <f t="shared" si="51"/>
        <v>0</v>
      </c>
      <c r="G243" s="358">
        <f t="shared" si="51"/>
        <v>0</v>
      </c>
      <c r="H243" s="358">
        <f t="shared" si="51"/>
        <v>0</v>
      </c>
      <c r="I243" s="358">
        <f t="shared" si="51"/>
        <v>0</v>
      </c>
      <c r="J243" s="358">
        <f t="shared" si="51"/>
        <v>0</v>
      </c>
      <c r="K243" s="358">
        <f t="shared" si="51"/>
        <v>0</v>
      </c>
      <c r="L243" s="358">
        <f t="shared" si="51"/>
        <v>0</v>
      </c>
      <c r="M243" s="358">
        <f t="shared" si="51"/>
        <v>0</v>
      </c>
      <c r="N243" s="358">
        <f t="shared" si="51"/>
        <v>0</v>
      </c>
      <c r="O243" s="358">
        <f t="shared" si="51"/>
        <v>0</v>
      </c>
      <c r="P243" s="359">
        <f t="shared" si="50"/>
        <v>0</v>
      </c>
    </row>
    <row r="244" spans="3:16">
      <c r="C244" s="235" t="s">
        <v>1068</v>
      </c>
      <c r="D244" s="358">
        <f t="shared" si="51"/>
        <v>0</v>
      </c>
      <c r="E244" s="358">
        <f t="shared" si="51"/>
        <v>0</v>
      </c>
      <c r="F244" s="358">
        <f t="shared" si="51"/>
        <v>0</v>
      </c>
      <c r="G244" s="358">
        <f t="shared" si="51"/>
        <v>0</v>
      </c>
      <c r="H244" s="358">
        <f t="shared" si="51"/>
        <v>0</v>
      </c>
      <c r="I244" s="358">
        <f t="shared" si="51"/>
        <v>0</v>
      </c>
      <c r="J244" s="358">
        <f t="shared" si="51"/>
        <v>0</v>
      </c>
      <c r="K244" s="358">
        <f t="shared" si="51"/>
        <v>0</v>
      </c>
      <c r="L244" s="358">
        <f t="shared" si="51"/>
        <v>0</v>
      </c>
      <c r="M244" s="358">
        <f t="shared" si="51"/>
        <v>0</v>
      </c>
      <c r="N244" s="358">
        <f t="shared" si="51"/>
        <v>0</v>
      </c>
      <c r="O244" s="358">
        <f t="shared" si="51"/>
        <v>0</v>
      </c>
      <c r="P244" s="359">
        <f t="shared" si="50"/>
        <v>0</v>
      </c>
    </row>
    <row r="245" spans="3:16">
      <c r="C245" s="235" t="s">
        <v>1069</v>
      </c>
      <c r="D245" s="358">
        <f t="shared" si="51"/>
        <v>0</v>
      </c>
      <c r="E245" s="358">
        <f t="shared" si="51"/>
        <v>0</v>
      </c>
      <c r="F245" s="358">
        <f t="shared" si="51"/>
        <v>0</v>
      </c>
      <c r="G245" s="358">
        <f t="shared" si="51"/>
        <v>0</v>
      </c>
      <c r="H245" s="358">
        <f t="shared" si="51"/>
        <v>0</v>
      </c>
      <c r="I245" s="358">
        <f t="shared" si="51"/>
        <v>0</v>
      </c>
      <c r="J245" s="358">
        <f t="shared" si="51"/>
        <v>0</v>
      </c>
      <c r="K245" s="358">
        <f t="shared" si="51"/>
        <v>0</v>
      </c>
      <c r="L245" s="358">
        <f t="shared" si="51"/>
        <v>0</v>
      </c>
      <c r="M245" s="358">
        <f t="shared" si="51"/>
        <v>0</v>
      </c>
      <c r="N245" s="358">
        <f t="shared" si="51"/>
        <v>0</v>
      </c>
      <c r="O245" s="358">
        <f t="shared" si="51"/>
        <v>0</v>
      </c>
      <c r="P245" s="359">
        <f t="shared" si="50"/>
        <v>0</v>
      </c>
    </row>
    <row r="246" spans="3:16">
      <c r="C246" s="235" t="s">
        <v>1070</v>
      </c>
      <c r="D246" s="358">
        <f t="shared" si="51"/>
        <v>0</v>
      </c>
      <c r="E246" s="358">
        <f t="shared" si="51"/>
        <v>0</v>
      </c>
      <c r="F246" s="358">
        <f t="shared" si="51"/>
        <v>0</v>
      </c>
      <c r="G246" s="358">
        <f t="shared" si="51"/>
        <v>0</v>
      </c>
      <c r="H246" s="358">
        <f t="shared" si="51"/>
        <v>0</v>
      </c>
      <c r="I246" s="358">
        <f t="shared" si="51"/>
        <v>0</v>
      </c>
      <c r="J246" s="358">
        <f t="shared" si="51"/>
        <v>0</v>
      </c>
      <c r="K246" s="358">
        <f t="shared" si="51"/>
        <v>0</v>
      </c>
      <c r="L246" s="358">
        <f t="shared" si="51"/>
        <v>0</v>
      </c>
      <c r="M246" s="358">
        <f t="shared" si="51"/>
        <v>0</v>
      </c>
      <c r="N246" s="358">
        <f t="shared" si="51"/>
        <v>0</v>
      </c>
      <c r="O246" s="358">
        <f t="shared" si="51"/>
        <v>0</v>
      </c>
      <c r="P246" s="359">
        <f t="shared" si="50"/>
        <v>0</v>
      </c>
    </row>
    <row r="247" spans="3:16">
      <c r="C247" s="235" t="s">
        <v>1071</v>
      </c>
      <c r="D247" s="358">
        <f t="shared" si="51"/>
        <v>0</v>
      </c>
      <c r="E247" s="358">
        <f t="shared" si="51"/>
        <v>0</v>
      </c>
      <c r="F247" s="358">
        <f t="shared" si="51"/>
        <v>0</v>
      </c>
      <c r="G247" s="358">
        <f t="shared" si="51"/>
        <v>0</v>
      </c>
      <c r="H247" s="358">
        <f t="shared" si="51"/>
        <v>0</v>
      </c>
      <c r="I247" s="358">
        <f t="shared" si="51"/>
        <v>0</v>
      </c>
      <c r="J247" s="358">
        <f t="shared" si="51"/>
        <v>0</v>
      </c>
      <c r="K247" s="358">
        <f t="shared" si="51"/>
        <v>0</v>
      </c>
      <c r="L247" s="358">
        <f t="shared" si="51"/>
        <v>0</v>
      </c>
      <c r="M247" s="358">
        <f t="shared" si="51"/>
        <v>0</v>
      </c>
      <c r="N247" s="358">
        <f t="shared" si="51"/>
        <v>0</v>
      </c>
      <c r="O247" s="358">
        <f t="shared" si="51"/>
        <v>0</v>
      </c>
      <c r="P247" s="359">
        <f t="shared" si="50"/>
        <v>0</v>
      </c>
    </row>
    <row r="248" spans="3:16">
      <c r="C248" s="235" t="s">
        <v>1072</v>
      </c>
      <c r="D248" s="358">
        <f t="shared" si="51"/>
        <v>0</v>
      </c>
      <c r="E248" s="358">
        <f t="shared" si="51"/>
        <v>0</v>
      </c>
      <c r="F248" s="358">
        <f t="shared" si="51"/>
        <v>0</v>
      </c>
      <c r="G248" s="358">
        <f t="shared" si="51"/>
        <v>0</v>
      </c>
      <c r="H248" s="358">
        <f t="shared" si="51"/>
        <v>0</v>
      </c>
      <c r="I248" s="358">
        <f t="shared" si="51"/>
        <v>0</v>
      </c>
      <c r="J248" s="358">
        <f t="shared" si="51"/>
        <v>0</v>
      </c>
      <c r="K248" s="358">
        <f t="shared" si="51"/>
        <v>0</v>
      </c>
      <c r="L248" s="358">
        <f t="shared" si="51"/>
        <v>0</v>
      </c>
      <c r="M248" s="358">
        <f t="shared" si="51"/>
        <v>0</v>
      </c>
      <c r="N248" s="358">
        <f t="shared" si="51"/>
        <v>0</v>
      </c>
      <c r="O248" s="358">
        <f t="shared" si="51"/>
        <v>0</v>
      </c>
      <c r="P248" s="359">
        <f t="shared" si="50"/>
        <v>0</v>
      </c>
    </row>
    <row r="249" spans="3:16">
      <c r="C249" s="235" t="s">
        <v>1073</v>
      </c>
      <c r="D249" s="358">
        <f t="shared" si="51"/>
        <v>0</v>
      </c>
      <c r="E249" s="358">
        <f t="shared" si="51"/>
        <v>0</v>
      </c>
      <c r="F249" s="358">
        <f t="shared" si="51"/>
        <v>0</v>
      </c>
      <c r="G249" s="358">
        <f t="shared" si="51"/>
        <v>0</v>
      </c>
      <c r="H249" s="358">
        <f t="shared" si="51"/>
        <v>0</v>
      </c>
      <c r="I249" s="358">
        <f t="shared" si="51"/>
        <v>0</v>
      </c>
      <c r="J249" s="358">
        <f t="shared" si="51"/>
        <v>0</v>
      </c>
      <c r="K249" s="358">
        <f t="shared" si="51"/>
        <v>0</v>
      </c>
      <c r="L249" s="358">
        <f t="shared" si="51"/>
        <v>0</v>
      </c>
      <c r="M249" s="358">
        <f t="shared" si="51"/>
        <v>0</v>
      </c>
      <c r="N249" s="358">
        <f t="shared" si="51"/>
        <v>0</v>
      </c>
      <c r="O249" s="358">
        <f t="shared" si="51"/>
        <v>0</v>
      </c>
      <c r="P249" s="359">
        <f t="shared" si="50"/>
        <v>0</v>
      </c>
    </row>
    <row r="250" spans="3:16">
      <c r="C250" s="235" t="s">
        <v>1074</v>
      </c>
      <c r="D250" s="358">
        <f t="shared" si="51"/>
        <v>0</v>
      </c>
      <c r="E250" s="358">
        <f t="shared" si="51"/>
        <v>0</v>
      </c>
      <c r="F250" s="358">
        <f t="shared" si="51"/>
        <v>0</v>
      </c>
      <c r="G250" s="358">
        <f t="shared" si="51"/>
        <v>0</v>
      </c>
      <c r="H250" s="358">
        <f t="shared" si="51"/>
        <v>0</v>
      </c>
      <c r="I250" s="358">
        <f t="shared" si="51"/>
        <v>0</v>
      </c>
      <c r="J250" s="358">
        <f t="shared" si="51"/>
        <v>0</v>
      </c>
      <c r="K250" s="358">
        <f t="shared" si="51"/>
        <v>0</v>
      </c>
      <c r="L250" s="358">
        <f t="shared" si="51"/>
        <v>0</v>
      </c>
      <c r="M250" s="358">
        <f t="shared" si="51"/>
        <v>0</v>
      </c>
      <c r="N250" s="358">
        <f t="shared" si="51"/>
        <v>0</v>
      </c>
      <c r="O250" s="358">
        <f t="shared" si="51"/>
        <v>0</v>
      </c>
      <c r="P250" s="359">
        <f t="shared" si="50"/>
        <v>0</v>
      </c>
    </row>
    <row r="251" spans="3:16">
      <c r="C251" s="235" t="s">
        <v>1075</v>
      </c>
      <c r="D251" s="358">
        <f t="shared" ref="D251:O262" si="52">ROUND(D202*$S103,0)</f>
        <v>0</v>
      </c>
      <c r="E251" s="358">
        <f t="shared" si="52"/>
        <v>0</v>
      </c>
      <c r="F251" s="358">
        <f t="shared" si="52"/>
        <v>0</v>
      </c>
      <c r="G251" s="358">
        <f t="shared" si="52"/>
        <v>0</v>
      </c>
      <c r="H251" s="358">
        <f t="shared" si="52"/>
        <v>0</v>
      </c>
      <c r="I251" s="358">
        <f t="shared" si="52"/>
        <v>0</v>
      </c>
      <c r="J251" s="358">
        <f t="shared" si="52"/>
        <v>0</v>
      </c>
      <c r="K251" s="358">
        <f t="shared" si="52"/>
        <v>0</v>
      </c>
      <c r="L251" s="358">
        <f t="shared" si="52"/>
        <v>0</v>
      </c>
      <c r="M251" s="358">
        <f t="shared" si="52"/>
        <v>0</v>
      </c>
      <c r="N251" s="358">
        <f t="shared" si="52"/>
        <v>0</v>
      </c>
      <c r="O251" s="358">
        <f t="shared" si="52"/>
        <v>0</v>
      </c>
      <c r="P251" s="359">
        <f t="shared" si="50"/>
        <v>0</v>
      </c>
    </row>
    <row r="252" spans="3:16">
      <c r="C252" s="235" t="s">
        <v>1076</v>
      </c>
      <c r="D252" s="358">
        <f t="shared" si="52"/>
        <v>0</v>
      </c>
      <c r="E252" s="358">
        <f t="shared" si="52"/>
        <v>0</v>
      </c>
      <c r="F252" s="358">
        <f t="shared" si="52"/>
        <v>0</v>
      </c>
      <c r="G252" s="358">
        <f t="shared" si="52"/>
        <v>0</v>
      </c>
      <c r="H252" s="358">
        <f t="shared" si="52"/>
        <v>0</v>
      </c>
      <c r="I252" s="358">
        <f t="shared" si="52"/>
        <v>0</v>
      </c>
      <c r="J252" s="358">
        <f t="shared" si="52"/>
        <v>0</v>
      </c>
      <c r="K252" s="358">
        <f t="shared" si="52"/>
        <v>0</v>
      </c>
      <c r="L252" s="358">
        <f t="shared" si="52"/>
        <v>0</v>
      </c>
      <c r="M252" s="358">
        <f t="shared" si="52"/>
        <v>0</v>
      </c>
      <c r="N252" s="358">
        <f t="shared" si="52"/>
        <v>0</v>
      </c>
      <c r="O252" s="358">
        <f t="shared" si="52"/>
        <v>0</v>
      </c>
      <c r="P252" s="359">
        <f t="shared" si="50"/>
        <v>0</v>
      </c>
    </row>
    <row r="253" spans="3:16">
      <c r="C253" s="235" t="s">
        <v>1077</v>
      </c>
      <c r="D253" s="358">
        <f t="shared" si="52"/>
        <v>0</v>
      </c>
      <c r="E253" s="358">
        <f t="shared" si="52"/>
        <v>0</v>
      </c>
      <c r="F253" s="358">
        <f t="shared" si="52"/>
        <v>0</v>
      </c>
      <c r="G253" s="358">
        <f t="shared" si="52"/>
        <v>0</v>
      </c>
      <c r="H253" s="358">
        <f t="shared" si="52"/>
        <v>0</v>
      </c>
      <c r="I253" s="358">
        <f t="shared" si="52"/>
        <v>0</v>
      </c>
      <c r="J253" s="358">
        <f t="shared" si="52"/>
        <v>0</v>
      </c>
      <c r="K253" s="358">
        <f t="shared" si="52"/>
        <v>0</v>
      </c>
      <c r="L253" s="358">
        <f t="shared" si="52"/>
        <v>0</v>
      </c>
      <c r="M253" s="358">
        <f t="shared" si="52"/>
        <v>0</v>
      </c>
      <c r="N253" s="358">
        <f t="shared" si="52"/>
        <v>0</v>
      </c>
      <c r="O253" s="358">
        <f t="shared" si="52"/>
        <v>0</v>
      </c>
      <c r="P253" s="359">
        <f t="shared" si="50"/>
        <v>0</v>
      </c>
    </row>
    <row r="254" spans="3:16">
      <c r="C254" s="235" t="s">
        <v>1078</v>
      </c>
      <c r="D254" s="358">
        <f t="shared" si="52"/>
        <v>0</v>
      </c>
      <c r="E254" s="358">
        <f t="shared" si="52"/>
        <v>0</v>
      </c>
      <c r="F254" s="358">
        <f t="shared" si="52"/>
        <v>0</v>
      </c>
      <c r="G254" s="358">
        <f t="shared" si="52"/>
        <v>0</v>
      </c>
      <c r="H254" s="358">
        <f t="shared" si="52"/>
        <v>0</v>
      </c>
      <c r="I254" s="358">
        <f t="shared" si="52"/>
        <v>0</v>
      </c>
      <c r="J254" s="358">
        <f t="shared" si="52"/>
        <v>0</v>
      </c>
      <c r="K254" s="358">
        <f t="shared" si="52"/>
        <v>0</v>
      </c>
      <c r="L254" s="358">
        <f t="shared" si="52"/>
        <v>0</v>
      </c>
      <c r="M254" s="358">
        <f t="shared" si="52"/>
        <v>0</v>
      </c>
      <c r="N254" s="358">
        <f t="shared" si="52"/>
        <v>0</v>
      </c>
      <c r="O254" s="358">
        <f t="shared" si="52"/>
        <v>0</v>
      </c>
      <c r="P254" s="359">
        <f t="shared" si="50"/>
        <v>0</v>
      </c>
    </row>
    <row r="255" spans="3:16">
      <c r="C255" s="235" t="s">
        <v>1079</v>
      </c>
      <c r="D255" s="358">
        <f t="shared" si="52"/>
        <v>0</v>
      </c>
      <c r="E255" s="358">
        <f t="shared" si="52"/>
        <v>0</v>
      </c>
      <c r="F255" s="358">
        <f t="shared" si="52"/>
        <v>0</v>
      </c>
      <c r="G255" s="358">
        <f t="shared" si="52"/>
        <v>0</v>
      </c>
      <c r="H255" s="358">
        <f t="shared" si="52"/>
        <v>0</v>
      </c>
      <c r="I255" s="358">
        <f t="shared" si="52"/>
        <v>0</v>
      </c>
      <c r="J255" s="358">
        <f t="shared" si="52"/>
        <v>0</v>
      </c>
      <c r="K255" s="358">
        <f t="shared" si="52"/>
        <v>0</v>
      </c>
      <c r="L255" s="358">
        <f t="shared" si="52"/>
        <v>0</v>
      </c>
      <c r="M255" s="358">
        <f t="shared" si="52"/>
        <v>0</v>
      </c>
      <c r="N255" s="358">
        <f t="shared" si="52"/>
        <v>0</v>
      </c>
      <c r="O255" s="358">
        <f t="shared" si="52"/>
        <v>0</v>
      </c>
      <c r="P255" s="359">
        <f t="shared" si="50"/>
        <v>0</v>
      </c>
    </row>
    <row r="256" spans="3:16">
      <c r="C256" s="235" t="s">
        <v>1080</v>
      </c>
      <c r="D256" s="358">
        <f t="shared" si="52"/>
        <v>0</v>
      </c>
      <c r="E256" s="358">
        <f t="shared" si="52"/>
        <v>0</v>
      </c>
      <c r="F256" s="358">
        <f t="shared" si="52"/>
        <v>0</v>
      </c>
      <c r="G256" s="358">
        <f t="shared" si="52"/>
        <v>0</v>
      </c>
      <c r="H256" s="358">
        <f t="shared" si="52"/>
        <v>0</v>
      </c>
      <c r="I256" s="358">
        <f t="shared" si="52"/>
        <v>0</v>
      </c>
      <c r="J256" s="358">
        <f t="shared" si="52"/>
        <v>0</v>
      </c>
      <c r="K256" s="358">
        <f t="shared" si="52"/>
        <v>0</v>
      </c>
      <c r="L256" s="358">
        <f t="shared" si="52"/>
        <v>0</v>
      </c>
      <c r="M256" s="358">
        <f t="shared" si="52"/>
        <v>0</v>
      </c>
      <c r="N256" s="358">
        <f t="shared" si="52"/>
        <v>0</v>
      </c>
      <c r="O256" s="358">
        <f t="shared" si="52"/>
        <v>0</v>
      </c>
      <c r="P256" s="359">
        <f t="shared" si="50"/>
        <v>0</v>
      </c>
    </row>
    <row r="257" spans="3:16">
      <c r="C257" s="235" t="s">
        <v>1081</v>
      </c>
      <c r="D257" s="358">
        <f t="shared" si="52"/>
        <v>0</v>
      </c>
      <c r="E257" s="358">
        <f t="shared" si="52"/>
        <v>0</v>
      </c>
      <c r="F257" s="358">
        <f t="shared" si="52"/>
        <v>0</v>
      </c>
      <c r="G257" s="358">
        <f t="shared" si="52"/>
        <v>0</v>
      </c>
      <c r="H257" s="358">
        <f t="shared" si="52"/>
        <v>0</v>
      </c>
      <c r="I257" s="358">
        <f t="shared" si="52"/>
        <v>0</v>
      </c>
      <c r="J257" s="358">
        <f t="shared" si="52"/>
        <v>0</v>
      </c>
      <c r="K257" s="358">
        <f t="shared" si="52"/>
        <v>0</v>
      </c>
      <c r="L257" s="358">
        <f t="shared" si="52"/>
        <v>0</v>
      </c>
      <c r="M257" s="358">
        <f t="shared" si="52"/>
        <v>0</v>
      </c>
      <c r="N257" s="358">
        <f t="shared" si="52"/>
        <v>0</v>
      </c>
      <c r="O257" s="358">
        <f t="shared" si="52"/>
        <v>0</v>
      </c>
      <c r="P257" s="359">
        <f t="shared" si="50"/>
        <v>0</v>
      </c>
    </row>
    <row r="258" spans="3:16">
      <c r="C258" s="235" t="s">
        <v>1082</v>
      </c>
      <c r="D258" s="358">
        <f>ROUND(D209*$S110,0)</f>
        <v>0</v>
      </c>
      <c r="E258" s="358">
        <f t="shared" si="52"/>
        <v>0</v>
      </c>
      <c r="F258" s="358">
        <f t="shared" si="52"/>
        <v>0</v>
      </c>
      <c r="G258" s="358">
        <f t="shared" si="52"/>
        <v>0</v>
      </c>
      <c r="H258" s="358">
        <f t="shared" si="52"/>
        <v>0</v>
      </c>
      <c r="I258" s="358">
        <f t="shared" si="52"/>
        <v>0</v>
      </c>
      <c r="J258" s="358">
        <f t="shared" si="52"/>
        <v>0</v>
      </c>
      <c r="K258" s="358">
        <f t="shared" si="52"/>
        <v>0</v>
      </c>
      <c r="L258" s="358">
        <f t="shared" si="52"/>
        <v>0</v>
      </c>
      <c r="M258" s="358">
        <f t="shared" si="52"/>
        <v>0</v>
      </c>
      <c r="N258" s="358">
        <f t="shared" si="52"/>
        <v>0</v>
      </c>
      <c r="O258" s="358">
        <f t="shared" si="52"/>
        <v>0</v>
      </c>
      <c r="P258" s="359">
        <f t="shared" si="50"/>
        <v>0</v>
      </c>
    </row>
    <row r="259" spans="3:16">
      <c r="C259" s="235" t="s">
        <v>1083</v>
      </c>
      <c r="D259" s="358">
        <f t="shared" si="52"/>
        <v>0</v>
      </c>
      <c r="E259" s="358">
        <f t="shared" si="52"/>
        <v>0</v>
      </c>
      <c r="F259" s="358">
        <f t="shared" si="52"/>
        <v>0</v>
      </c>
      <c r="G259" s="358">
        <f t="shared" si="52"/>
        <v>0</v>
      </c>
      <c r="H259" s="358">
        <f t="shared" si="52"/>
        <v>0</v>
      </c>
      <c r="I259" s="358">
        <f t="shared" si="52"/>
        <v>0</v>
      </c>
      <c r="J259" s="358">
        <f t="shared" si="52"/>
        <v>0</v>
      </c>
      <c r="K259" s="358">
        <f t="shared" si="52"/>
        <v>0</v>
      </c>
      <c r="L259" s="358">
        <f t="shared" si="52"/>
        <v>0</v>
      </c>
      <c r="M259" s="358">
        <f t="shared" si="52"/>
        <v>0</v>
      </c>
      <c r="N259" s="358">
        <f t="shared" si="52"/>
        <v>0</v>
      </c>
      <c r="O259" s="358">
        <f t="shared" si="52"/>
        <v>0</v>
      </c>
      <c r="P259" s="359">
        <f t="shared" si="50"/>
        <v>0</v>
      </c>
    </row>
    <row r="260" spans="3:16">
      <c r="C260" s="235" t="s">
        <v>1084</v>
      </c>
      <c r="D260" s="358">
        <f t="shared" si="52"/>
        <v>0</v>
      </c>
      <c r="E260" s="358">
        <f t="shared" si="52"/>
        <v>0</v>
      </c>
      <c r="F260" s="358">
        <f t="shared" si="52"/>
        <v>0</v>
      </c>
      <c r="G260" s="358">
        <f t="shared" si="52"/>
        <v>0</v>
      </c>
      <c r="H260" s="358">
        <f t="shared" si="52"/>
        <v>0</v>
      </c>
      <c r="I260" s="358">
        <f t="shared" si="52"/>
        <v>0</v>
      </c>
      <c r="J260" s="358">
        <f t="shared" si="52"/>
        <v>0</v>
      </c>
      <c r="K260" s="358">
        <f t="shared" si="52"/>
        <v>0</v>
      </c>
      <c r="L260" s="358">
        <f t="shared" si="52"/>
        <v>0</v>
      </c>
      <c r="M260" s="358">
        <f t="shared" si="52"/>
        <v>0</v>
      </c>
      <c r="N260" s="358">
        <f t="shared" si="52"/>
        <v>0</v>
      </c>
      <c r="O260" s="358">
        <f t="shared" si="52"/>
        <v>0</v>
      </c>
      <c r="P260" s="359">
        <f t="shared" si="50"/>
        <v>0</v>
      </c>
    </row>
    <row r="261" spans="3:16">
      <c r="C261" s="235" t="s">
        <v>1085</v>
      </c>
      <c r="D261" s="358">
        <f t="shared" si="52"/>
        <v>0</v>
      </c>
      <c r="E261" s="358">
        <f t="shared" si="52"/>
        <v>0</v>
      </c>
      <c r="F261" s="358">
        <f t="shared" si="52"/>
        <v>0</v>
      </c>
      <c r="G261" s="358">
        <f t="shared" si="52"/>
        <v>0</v>
      </c>
      <c r="H261" s="358">
        <f t="shared" si="52"/>
        <v>0</v>
      </c>
      <c r="I261" s="358">
        <f t="shared" si="52"/>
        <v>0</v>
      </c>
      <c r="J261" s="358">
        <f t="shared" si="52"/>
        <v>0</v>
      </c>
      <c r="K261" s="358">
        <f t="shared" si="52"/>
        <v>0</v>
      </c>
      <c r="L261" s="358">
        <f t="shared" si="52"/>
        <v>0</v>
      </c>
      <c r="M261" s="358">
        <f t="shared" si="52"/>
        <v>0</v>
      </c>
      <c r="N261" s="358">
        <f t="shared" si="52"/>
        <v>0</v>
      </c>
      <c r="O261" s="358">
        <f t="shared" si="52"/>
        <v>0</v>
      </c>
      <c r="P261" s="359">
        <f t="shared" si="50"/>
        <v>0</v>
      </c>
    </row>
    <row r="262" spans="3:16">
      <c r="C262" s="235" t="s">
        <v>1086</v>
      </c>
      <c r="D262" s="358">
        <f t="shared" si="52"/>
        <v>0</v>
      </c>
      <c r="E262" s="358">
        <f t="shared" si="52"/>
        <v>0</v>
      </c>
      <c r="F262" s="358">
        <f t="shared" si="52"/>
        <v>0</v>
      </c>
      <c r="G262" s="358">
        <f t="shared" si="52"/>
        <v>0</v>
      </c>
      <c r="H262" s="358">
        <f t="shared" si="52"/>
        <v>0</v>
      </c>
      <c r="I262" s="358">
        <f t="shared" si="52"/>
        <v>0</v>
      </c>
      <c r="J262" s="358">
        <f t="shared" si="52"/>
        <v>0</v>
      </c>
      <c r="K262" s="358">
        <f t="shared" si="52"/>
        <v>0</v>
      </c>
      <c r="L262" s="358">
        <f t="shared" si="52"/>
        <v>0</v>
      </c>
      <c r="M262" s="358">
        <f t="shared" si="52"/>
        <v>0</v>
      </c>
      <c r="N262" s="358">
        <f t="shared" si="52"/>
        <v>0</v>
      </c>
      <c r="O262" s="358">
        <f t="shared" si="52"/>
        <v>0</v>
      </c>
      <c r="P262" s="359">
        <f t="shared" si="50"/>
        <v>0</v>
      </c>
    </row>
    <row r="263" spans="3:16">
      <c r="C263" s="235"/>
      <c r="D263" s="358">
        <f>SUM(D218:D262)</f>
        <v>0</v>
      </c>
      <c r="E263" s="358">
        <f t="shared" ref="E263:O263" si="53">SUM(E218:E262)</f>
        <v>0</v>
      </c>
      <c r="F263" s="358">
        <f t="shared" si="53"/>
        <v>0</v>
      </c>
      <c r="G263" s="358">
        <f t="shared" si="53"/>
        <v>0</v>
      </c>
      <c r="H263" s="358">
        <f t="shared" si="53"/>
        <v>0</v>
      </c>
      <c r="I263" s="358">
        <f t="shared" si="53"/>
        <v>0</v>
      </c>
      <c r="J263" s="358">
        <f t="shared" si="53"/>
        <v>0</v>
      </c>
      <c r="K263" s="358">
        <f t="shared" si="53"/>
        <v>0</v>
      </c>
      <c r="L263" s="358">
        <f t="shared" si="53"/>
        <v>0</v>
      </c>
      <c r="M263" s="358">
        <f t="shared" si="53"/>
        <v>0</v>
      </c>
      <c r="N263" s="358">
        <f t="shared" si="53"/>
        <v>0</v>
      </c>
      <c r="O263" s="358">
        <f t="shared" si="53"/>
        <v>0</v>
      </c>
      <c r="P263" s="359">
        <f>SUM(D263:O263)</f>
        <v>0</v>
      </c>
    </row>
    <row r="265" spans="3:16">
      <c r="D265" s="124" t="e">
        <f>'R&amp;M'!D108+'S&amp;M'!D85+'A&amp;G'!D92+#REF!+'F&amp;B+Summary'!D234+'Rooms+Summary'!E152</f>
        <v>#REF!</v>
      </c>
      <c r="E265" s="124" t="e">
        <f>'R&amp;M'!E108+'S&amp;M'!E85+'A&amp;G'!E92+#REF!+'F&amp;B+Summary'!E234+'Rooms+Summary'!F152</f>
        <v>#REF!</v>
      </c>
      <c r="F265" s="124" t="e">
        <f>'R&amp;M'!F108+'S&amp;M'!F85+'A&amp;G'!F92+#REF!+'F&amp;B+Summary'!F234+'Rooms+Summary'!G152</f>
        <v>#REF!</v>
      </c>
      <c r="G265" s="124" t="e">
        <f>'R&amp;M'!G108+'S&amp;M'!G85+'A&amp;G'!G92+#REF!+'F&amp;B+Summary'!G234+'Rooms+Summary'!H152</f>
        <v>#REF!</v>
      </c>
      <c r="H265" s="124" t="e">
        <f>'R&amp;M'!H108+'S&amp;M'!H85+'A&amp;G'!H92+#REF!+'F&amp;B+Summary'!H234+'Rooms+Summary'!I152</f>
        <v>#REF!</v>
      </c>
      <c r="I265" s="124" t="e">
        <f>'R&amp;M'!I108+'S&amp;M'!I85+'A&amp;G'!I92+#REF!+'F&amp;B+Summary'!I234+'Rooms+Summary'!J152</f>
        <v>#REF!</v>
      </c>
      <c r="J265" s="124" t="e">
        <f>'R&amp;M'!J108+'S&amp;M'!J85+'A&amp;G'!J92+#REF!+'F&amp;B+Summary'!J234+'Rooms+Summary'!K152</f>
        <v>#REF!</v>
      </c>
      <c r="K265" s="124" t="e">
        <f>'R&amp;M'!K108+'S&amp;M'!K85+'A&amp;G'!K92+#REF!+'F&amp;B+Summary'!K234+'Rooms+Summary'!L152</f>
        <v>#REF!</v>
      </c>
      <c r="L265" s="124" t="e">
        <f>'R&amp;M'!L108+'S&amp;M'!L85+'A&amp;G'!L92+#REF!+'F&amp;B+Summary'!L234+'Rooms+Summary'!M152</f>
        <v>#REF!</v>
      </c>
      <c r="M265" s="124" t="e">
        <f>'R&amp;M'!M108+'S&amp;M'!M85+'A&amp;G'!M92+#REF!+'F&amp;B+Summary'!M234+'Rooms+Summary'!N152</f>
        <v>#REF!</v>
      </c>
      <c r="N265" s="124" t="e">
        <f>'R&amp;M'!N108+'S&amp;M'!N85+'A&amp;G'!N92+#REF!+'F&amp;B+Summary'!N234+'Rooms+Summary'!O152</f>
        <v>#REF!</v>
      </c>
      <c r="O265" s="124" t="e">
        <f>'R&amp;M'!O108+'S&amp;M'!O85+'A&amp;G'!O92+#REF!+'F&amp;B+Summary'!O234+'Rooms+Summary'!P152</f>
        <v>#REF!</v>
      </c>
      <c r="P265" s="359" t="e">
        <f>SUM(D265:O265)</f>
        <v>#REF!</v>
      </c>
    </row>
    <row r="266" spans="3:16">
      <c r="D266" s="163" t="e">
        <f>D265-D263</f>
        <v>#REF!</v>
      </c>
      <c r="E266" s="163" t="e">
        <f t="shared" ref="E266:P266" si="54">E265-E263</f>
        <v>#REF!</v>
      </c>
      <c r="F266" s="163" t="e">
        <f t="shared" si="54"/>
        <v>#REF!</v>
      </c>
      <c r="G266" s="163" t="e">
        <f t="shared" si="54"/>
        <v>#REF!</v>
      </c>
      <c r="H266" s="163" t="e">
        <f t="shared" si="54"/>
        <v>#REF!</v>
      </c>
      <c r="I266" s="163" t="e">
        <f t="shared" si="54"/>
        <v>#REF!</v>
      </c>
      <c r="J266" s="163" t="e">
        <f t="shared" si="54"/>
        <v>#REF!</v>
      </c>
      <c r="K266" s="163" t="e">
        <f t="shared" si="54"/>
        <v>#REF!</v>
      </c>
      <c r="L266" s="163" t="e">
        <f t="shared" si="54"/>
        <v>#REF!</v>
      </c>
      <c r="M266" s="163" t="e">
        <f t="shared" si="54"/>
        <v>#REF!</v>
      </c>
      <c r="N266" s="163" t="e">
        <f t="shared" si="54"/>
        <v>#REF!</v>
      </c>
      <c r="O266" s="163" t="e">
        <f t="shared" si="54"/>
        <v>#REF!</v>
      </c>
      <c r="P266" s="163" t="e">
        <f t="shared" si="54"/>
        <v>#REF!</v>
      </c>
    </row>
    <row r="267" spans="3:16">
      <c r="D267" s="124">
        <f>D263+D166</f>
        <v>-20704.209999999992</v>
      </c>
      <c r="E267" s="124">
        <f t="shared" ref="E267:P267" si="55">E263+E166</f>
        <v>-19215.420000000013</v>
      </c>
      <c r="F267" s="124">
        <f t="shared" si="55"/>
        <v>-19575.53</v>
      </c>
      <c r="G267" s="124">
        <f t="shared" si="55"/>
        <v>-22942.049999999988</v>
      </c>
      <c r="H267" s="124">
        <f t="shared" si="55"/>
        <v>-23632.880000000005</v>
      </c>
      <c r="I267" s="124">
        <f t="shared" si="55"/>
        <v>-22343.020000000019</v>
      </c>
      <c r="J267" s="124">
        <f t="shared" si="55"/>
        <v>-22519.120000000024</v>
      </c>
      <c r="K267" s="124">
        <f t="shared" si="55"/>
        <v>-23152.300000000017</v>
      </c>
      <c r="L267" s="124">
        <f t="shared" si="55"/>
        <v>-23126.300000000017</v>
      </c>
      <c r="M267" s="124">
        <f t="shared" si="55"/>
        <v>-22524.260000000009</v>
      </c>
      <c r="N267" s="124">
        <f t="shared" si="55"/>
        <v>-21081.630000000005</v>
      </c>
      <c r="O267" s="124">
        <f t="shared" si="55"/>
        <v>-21017.809999999998</v>
      </c>
      <c r="P267" s="124">
        <f t="shared" si="55"/>
        <v>-261834.5299999998</v>
      </c>
    </row>
    <row r="269" spans="3:16"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</row>
  </sheetData>
  <phoneticPr fontId="7" type="noConversion"/>
  <dataValidations count="140">
    <dataValidation type="textLength" errorStyle="information" allowBlank="1" showInputMessage="1" showErrorMessage="1" error="XLBVal:6=4589_x000d__x000a_" sqref="Q43:U43">
      <formula1>0</formula1>
      <formula2>300</formula2>
    </dataValidation>
    <dataValidation type="textLength" errorStyle="information" allowBlank="1" showInputMessage="1" showErrorMessage="1" error="XLBVal:6=1191.36_x000d__x000a_" sqref="T35">
      <formula1>0</formula1>
      <formula2>300</formula2>
    </dataValidation>
    <dataValidation type="textLength" errorStyle="information" allowBlank="1" showInputMessage="1" showErrorMessage="1" error="XLBVal:6=11883.99_x000d__x000a_" sqref="Q32">
      <formula1>0</formula1>
      <formula2>300</formula2>
    </dataValidation>
    <dataValidation type="textLength" errorStyle="information" allowBlank="1" showInputMessage="1" showErrorMessage="1" error="XLBVal:6=2868.99_x000d__x000a_" sqref="V31">
      <formula1>0</formula1>
      <formula2>300</formula2>
    </dataValidation>
    <dataValidation type="textLength" errorStyle="information" allowBlank="1" showInputMessage="1" showErrorMessage="1" error="XLBVal:6=4007_x000d__x000a_" sqref="Q15:S15">
      <formula1>0</formula1>
      <formula2>300</formula2>
    </dataValidation>
    <dataValidation type="textLength" errorStyle="information" allowBlank="1" showInputMessage="1" showErrorMessage="1" error="XLBVal:6=2144.95_x000d__x000a_" sqref="R13">
      <formula1>0</formula1>
      <formula2>300</formula2>
    </dataValidation>
    <dataValidation type="textLength" errorStyle="information" allowBlank="1" showInputMessage="1" showErrorMessage="1" error="XLBVal:6=2152.73_x000d__x000a_" sqref="Q13">
      <formula1>0</formula1>
      <formula2>300</formula2>
    </dataValidation>
    <dataValidation type="textLength" errorStyle="information" allowBlank="1" showInputMessage="1" showErrorMessage="1" error="XLBVal:6=25425.54_x000d__x000a_" sqref="S12">
      <formula1>0</formula1>
      <formula2>300</formula2>
    </dataValidation>
    <dataValidation type="textLength" errorStyle="information" allowBlank="1" showInputMessage="1" showErrorMessage="1" error="XLBVal:6=35719.7_x000d__x000a_" sqref="R12">
      <formula1>0</formula1>
      <formula2>300</formula2>
    </dataValidation>
    <dataValidation type="textLength" errorStyle="information" allowBlank="1" showInputMessage="1" showErrorMessage="1" error="XLBVal:6=26213.54_x000d__x000a_" sqref="Q12">
      <formula1>0</formula1>
      <formula2>300</formula2>
    </dataValidation>
    <dataValidation type="textLength" errorStyle="information" allowBlank="1" showInputMessage="1" showErrorMessage="1" error="XLBVal:6=34143_x000d__x000a_" sqref="D27:D28 D31:O35 D38:O45 D48:O55 D59:O59">
      <formula1>0</formula1>
      <formula2>300</formula2>
    </dataValidation>
    <dataValidation type="textLength" errorStyle="information" allowBlank="1" showInputMessage="1" showErrorMessage="1" error="XLBVal:6=20698.59_x000d__x000a_" sqref="V12">
      <formula1>0</formula1>
      <formula2>300</formula2>
    </dataValidation>
    <dataValidation type="textLength" errorStyle="information" allowBlank="1" showInputMessage="1" showErrorMessage="1" error="XLBVal:6=25604.53_x000d__x000a_" sqref="U12">
      <formula1>0</formula1>
      <formula2>300</formula2>
    </dataValidation>
    <dataValidation type="textLength" errorStyle="information" allowBlank="1" showInputMessage="1" showErrorMessage="1" error="XLBVal:6=26665.08_x000d__x000a_" sqref="T12">
      <formula1>0</formula1>
      <formula2>300</formula2>
    </dataValidation>
    <dataValidation type="textLength" errorStyle="information" allowBlank="1" showInputMessage="1" showErrorMessage="1" error="XLBVal:6=15_x000d__x000a_" sqref="V59">
      <formula1>0</formula1>
      <formula2>300</formula2>
    </dataValidation>
    <dataValidation type="textLength" errorStyle="information" allowBlank="1" showInputMessage="1" showErrorMessage="1" error="XLBVal:6=465.55_x000d__x000a_" sqref="V40">
      <formula1>0</formula1>
      <formula2>300</formula2>
    </dataValidation>
    <dataValidation type="textLength" errorStyle="information" allowBlank="1" showInputMessage="1" showErrorMessage="1" error="XLBVal:6=8407.12_x000d__x000a_" sqref="V32">
      <formula1>0</formula1>
      <formula2>300</formula2>
    </dataValidation>
    <dataValidation type="textLength" errorStyle="information" allowBlank="1" showInputMessage="1" showErrorMessage="1" error="XLBVal:6=7918.69_x000d__x000a_" sqref="U32">
      <formula1>0</formula1>
      <formula2>300</formula2>
    </dataValidation>
    <dataValidation type="textLength" errorStyle="information" allowBlank="1" showInputMessage="1" showErrorMessage="1" error="XLBVal:6=50892.39_x000d__x000a_" sqref="AB20">
      <formula1>0</formula1>
      <formula2>300</formula2>
    </dataValidation>
    <dataValidation type="textLength" errorStyle="information" allowBlank="1" showInputMessage="1" showErrorMessage="1" error="XLBVal:6=115.5_x000d__x000a_" sqref="AB19">
      <formula1>0</formula1>
      <formula2>300</formula2>
    </dataValidation>
    <dataValidation type="textLength" errorStyle="information" allowBlank="1" showInputMessage="1" showErrorMessage="1" error="XLBVal:6=3392.74_x000d__x000a_" sqref="AB18">
      <formula1>0</formula1>
      <formula2>300</formula2>
    </dataValidation>
    <dataValidation type="textLength" errorStyle="information" allowBlank="1" showInputMessage="1" showErrorMessage="1" error="XLBVal:6=1908.07_x000d__x000a_" sqref="AB17">
      <formula1>0</formula1>
      <formula2>300</formula2>
    </dataValidation>
    <dataValidation type="textLength" errorStyle="information" allowBlank="1" showInputMessage="1" showErrorMessage="1" error="XLBVal:6=-71302_x000d__x000a_" sqref="AB16">
      <formula1>0</formula1>
      <formula2>300</formula2>
    </dataValidation>
    <dataValidation type="textLength" errorStyle="information" allowBlank="1" showInputMessage="1" showErrorMessage="1" error="XLBVal:6=2748.14_x000d__x000a_" sqref="AB13">
      <formula1>0</formula1>
      <formula2>300</formula2>
    </dataValidation>
    <dataValidation type="textLength" errorStyle="information" allowBlank="1" showInputMessage="1" showErrorMessage="1" error="XLBVal:6=29014.7_x000d__x000a_" sqref="AA20">
      <formula1>0</formula1>
      <formula2>300</formula2>
    </dataValidation>
    <dataValidation type="textLength" errorStyle="information" allowBlank="1" showInputMessage="1" showErrorMessage="1" error="XLBVal:6=96697.21_x000d__x000a_" sqref="Z20">
      <formula1>0</formula1>
      <formula2>300</formula2>
    </dataValidation>
    <dataValidation type="textLength" errorStyle="information" allowBlank="1" showInputMessage="1" showErrorMessage="1" error="XLBVal:6=258.9_x000d__x000a_" sqref="AA19">
      <formula1>0</formula1>
      <formula2>300</formula2>
    </dataValidation>
    <dataValidation type="textLength" errorStyle="information" allowBlank="1" showInputMessage="1" showErrorMessage="1" error="XLBVal:6=3525.19_x000d__x000a_" sqref="AA18">
      <formula1>0</formula1>
      <formula2>300</formula2>
    </dataValidation>
    <dataValidation type="textLength" errorStyle="information" allowBlank="1" showInputMessage="1" showErrorMessage="1" error="XLBVal:6=3214.3_x000d__x000a_" sqref="Z18">
      <formula1>0</formula1>
      <formula2>300</formula2>
    </dataValidation>
    <dataValidation type="textLength" errorStyle="information" allowBlank="1" showInputMessage="1" showErrorMessage="1" error="XLBVal:6=2273.1_x000d__x000a_" sqref="AA17">
      <formula1>0</formula1>
      <formula2>300</formula2>
    </dataValidation>
    <dataValidation type="textLength" errorStyle="information" allowBlank="1" showInputMessage="1" showErrorMessage="1" error="XLBVal:6=2551.51_x000d__x000a_" sqref="Z17">
      <formula1>0</formula1>
      <formula2>300</formula2>
    </dataValidation>
    <dataValidation type="textLength" errorStyle="information" allowBlank="1" showInputMessage="1" showErrorMessage="1" error="XLBVal:6=28029.9_x000d__x000a_" sqref="AA16">
      <formula1>0</formula1>
      <formula2>300</formula2>
    </dataValidation>
    <dataValidation type="textLength" errorStyle="information" allowBlank="1" showInputMessage="1" showErrorMessage="1" error="XLBVal:6=960_x000d__x000a_" sqref="Z16">
      <formula1>0</formula1>
      <formula2>300</formula2>
    </dataValidation>
    <dataValidation type="textLength" errorStyle="information" allowBlank="1" showInputMessage="1" showErrorMessage="1" error="XLBVal:6=480_x000d__x000a_" sqref="Z13">
      <formula1>0</formula1>
      <formula2>300</formula2>
    </dataValidation>
    <dataValidation type="textLength" errorStyle="information" allowBlank="1" showInputMessage="1" showErrorMessage="1" error="XLBVal:6=81335.5_x000d__x000a_" sqref="Y20">
      <formula1>0</formula1>
      <formula2>300</formula2>
    </dataValidation>
    <dataValidation type="textLength" errorStyle="information" allowBlank="1" showInputMessage="1" showErrorMessage="1" error="XLBVal:6=4102.94_x000d__x000a_" sqref="Y18">
      <formula1>0</formula1>
      <formula2>300</formula2>
    </dataValidation>
    <dataValidation type="textLength" errorStyle="information" allowBlank="1" showInputMessage="1" showErrorMessage="1" error="XLBVal:6=3310.09_x000d__x000a_" sqref="Y17">
      <formula1>0</formula1>
      <formula2>300</formula2>
    </dataValidation>
    <dataValidation type="textLength" errorStyle="information" allowBlank="1" showInputMessage="1" showErrorMessage="1" error="XLBVal:6=74853.52_x000d__x000a_" sqref="X20 X22:AB22">
      <formula1>0</formula1>
      <formula2>300</formula2>
    </dataValidation>
    <dataValidation type="textLength" errorStyle="information" allowBlank="1" showInputMessage="1" showErrorMessage="1" error="XLBVal:6=4072.91_x000d__x000a_" sqref="X18">
      <formula1>0</formula1>
      <formula2>300</formula2>
    </dataValidation>
    <dataValidation type="textLength" errorStyle="information" allowBlank="1" showInputMessage="1" showErrorMessage="1" error="XLBVal:6=1511.53_x000d__x000a_" sqref="X17">
      <formula1>0</formula1>
      <formula2>300</formula2>
    </dataValidation>
    <dataValidation type="textLength" errorStyle="information" allowBlank="1" showInputMessage="1" showErrorMessage="1" error="XLBVal:6=4824.46_x000d__x000a_" sqref="X13">
      <formula1>0</formula1>
      <formula2>300</formula2>
    </dataValidation>
    <dataValidation type="textLength" errorStyle="information" allowBlank="1" showInputMessage="1" showErrorMessage="1" error="XLBVal:6=9980_x000d__x000a_" sqref="W16">
      <formula1>0</formula1>
      <formula2>300</formula2>
    </dataValidation>
    <dataValidation type="textLength" errorStyle="information" allowBlank="1" showInputMessage="1" showErrorMessage="1" error="XLBVal:6=2229_x000d__x000a_" sqref="W12:W13 X12:AB12">
      <formula1>0</formula1>
      <formula2>300</formula2>
    </dataValidation>
    <dataValidation type="textLength" errorStyle="information" allowBlank="1" showInputMessage="1" showErrorMessage="1" error="XLBVal:6=197852.11_x000d__x000a_" sqref="W22">
      <formula1>0</formula1>
      <formula2>300</formula2>
    </dataValidation>
    <dataValidation type="textLength" errorStyle="information" allowBlank="1" showInputMessage="1" showErrorMessage="1" error="XLBVal:6=55595.13_x000d__x000a_" sqref="W20">
      <formula1>0</formula1>
      <formula2>300</formula2>
    </dataValidation>
    <dataValidation type="textLength" errorStyle="information" allowBlank="1" showInputMessage="1" showErrorMessage="1" error="XLBVal:6=1513.36_x000d__x000a_" sqref="W18">
      <formula1>0</formula1>
      <formula2>300</formula2>
    </dataValidation>
    <dataValidation type="textLength" errorStyle="information" allowBlank="1" showInputMessage="1" showErrorMessage="1" error="XLBVal:6=2116.07_x000d__x000a_" sqref="W17">
      <formula1>0</formula1>
      <formula2>300</formula2>
    </dataValidation>
    <dataValidation type="textLength" errorStyle="information" allowBlank="1" showInputMessage="1" showErrorMessage="1" error="XLBVal:6=3869.7_x000d__x000a_" sqref="I18">
      <formula1>0</formula1>
      <formula2>300</formula2>
    </dataValidation>
    <dataValidation type="textLength" errorStyle="information" allowBlank="1" showInputMessage="1" showErrorMessage="1" error="XLBVal:6=6166.38_x000d__x000a_" sqref="H18">
      <formula1>0</formula1>
      <formula2>300</formula2>
    </dataValidation>
    <dataValidation type="textLength" errorStyle="information" allowBlank="1" showInputMessage="1" showErrorMessage="1" error="XLBVal:6=6225.55_x000d__x000a_" sqref="G18">
      <formula1>0</formula1>
      <formula2>300</formula2>
    </dataValidation>
    <dataValidation type="textLength" errorStyle="information" allowBlank="1" showInputMessage="1" showErrorMessage="1" error="XLBVal:6=11915.11_x000d__x000a_" sqref="S32">
      <formula1>0</formula1>
      <formula2>300</formula2>
    </dataValidation>
    <dataValidation type="textLength" errorStyle="information" allowBlank="1" showInputMessage="1" showErrorMessage="1" error="XLBVal:6=11888.54_x000d__x000a_" sqref="R32">
      <formula1>0</formula1>
      <formula2>300</formula2>
    </dataValidation>
    <dataValidation type="textLength" errorStyle="information" allowBlank="1" showInputMessage="1" showErrorMessage="1" error="XLBVal:6=44746.65_x000d__x000a_" sqref="D20:O20">
      <formula1>0</formula1>
      <formula2>300</formula2>
    </dataValidation>
    <dataValidation type="textLength" errorStyle="information" allowBlank="1" showInputMessage="1" showErrorMessage="1" error="XLBVal:6=82.8_x000d__x000a_" sqref="D19:O19">
      <formula1>0</formula1>
      <formula2>300</formula2>
    </dataValidation>
    <dataValidation type="textLength" errorStyle="information" allowBlank="1" showInputMessage="1" showErrorMessage="1" error="XLBVal:6=6188.15_x000d__x000a_" sqref="F18">
      <formula1>0</formula1>
      <formula2>300</formula2>
    </dataValidation>
    <dataValidation type="textLength" errorStyle="information" allowBlank="1" showInputMessage="1" showErrorMessage="1" error="XLBVal:6=6217.41_x000d__x000a_" sqref="E18">
      <formula1>0</formula1>
      <formula2>300</formula2>
    </dataValidation>
    <dataValidation type="textLength" errorStyle="information" allowBlank="1" showInputMessage="1" showErrorMessage="1" error="XLBVal:6=6224.67_x000d__x000a_" sqref="D18">
      <formula1>0</formula1>
      <formula2>300</formula2>
    </dataValidation>
    <dataValidation type="textLength" errorStyle="information" allowBlank="1" showInputMessage="1" showErrorMessage="1" error="XLBVal:6=13237.38_x000d__x000a_" sqref="D16:O16">
      <formula1>0</formula1>
      <formula2>300</formula2>
    </dataValidation>
    <dataValidation type="textLength" errorStyle="information" allowBlank="1" showInputMessage="1" showErrorMessage="1" error="XLBVal:6=598.41_x000d__x000a_" sqref="D13:O13">
      <formula1>0</formula1>
      <formula2>300</formula2>
    </dataValidation>
    <dataValidation type="textLength" errorStyle="information" allowBlank="1" showInputMessage="1" showErrorMessage="1" error="XLBVal:6=111.73_x000d__x000a_" sqref="V41">
      <formula1>0</formula1>
      <formula2>300</formula2>
    </dataValidation>
    <dataValidation type="textLength" errorStyle="information" allowBlank="1" showInputMessage="1" showErrorMessage="1" error="XLBVal:6=461.64_x000d__x000a_" sqref="Q40:U40">
      <formula1>0</formula1>
      <formula2>300</formula2>
    </dataValidation>
    <dataValidation type="textLength" errorStyle="information" allowBlank="1" showInputMessage="1" showErrorMessage="1" error="XLBVal:6=7914.44_x000d__x000a_" sqref="V39">
      <formula1>0</formula1>
      <formula2>300</formula2>
    </dataValidation>
    <dataValidation type="textLength" errorStyle="information" allowBlank="1" showInputMessage="1" showErrorMessage="1" error="XLBVal:6=14897.78_x000d__x000a_" sqref="V38">
      <formula1>0</formula1>
      <formula2>300</formula2>
    </dataValidation>
    <dataValidation type="textLength" errorStyle="information" allowBlank="1" showInputMessage="1" showErrorMessage="1" error="XLBVal:6=7950.87_x000d__x000a_" sqref="T32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628.21_x000d__x000a_" sqref="V53">
      <formula1>0</formula1>
      <formula2>300</formula2>
    </dataValidation>
    <dataValidation type="textLength" errorStyle="information" allowBlank="1" showInputMessage="1" showErrorMessage="1" error="XLBVal:6=317.32_x000d__x000a_" sqref="U53">
      <formula1>0</formula1>
      <formula2>300</formula2>
    </dataValidation>
    <dataValidation type="textLength" errorStyle="information" allowBlank="1" showInputMessage="1" showErrorMessage="1" error="XLBVal:6=337.24_x000d__x000a_" sqref="T53">
      <formula1>0</formula1>
      <formula2>300</formula2>
    </dataValidation>
    <dataValidation type="textLength" errorStyle="information" allowBlank="1" showInputMessage="1" showErrorMessage="1" error="XLBVal:6=332.86_x000d__x000a_" sqref="S53">
      <formula1>0</formula1>
      <formula2>300</formula2>
    </dataValidation>
    <dataValidation type="textLength" errorStyle="information" allowBlank="1" showInputMessage="1" showErrorMessage="1" error="XLBVal:6=371.53_x000d__x000a_" sqref="R53">
      <formula1>0</formula1>
      <formula2>300</formula2>
    </dataValidation>
    <dataValidation type="textLength" errorStyle="information" allowBlank="1" showInputMessage="1" showErrorMessage="1" error="XLBVal:6=305.52_x000d__x000a_" sqref="Q53">
      <formula1>0</formula1>
      <formula2>300</formula2>
    </dataValidation>
    <dataValidation type="textLength" errorStyle="information" allowBlank="1" showInputMessage="1" showErrorMessage="1" error="XLBVal:6=396.46_x000d__x000a_" sqref="V52">
      <formula1>0</formula1>
      <formula2>300</formula2>
    </dataValidation>
    <dataValidation type="textLength" errorStyle="information" allowBlank="1" showInputMessage="1" showErrorMessage="1" error="XLBVal:6=375.43_x000d__x000a_" sqref="U52">
      <formula1>0</formula1>
      <formula2>300</formula2>
    </dataValidation>
    <dataValidation type="textLength" errorStyle="information" allowBlank="1" showInputMessage="1" showErrorMessage="1" error="XLBVal:6=363.88_x000d__x000a_" sqref="T52">
      <formula1>0</formula1>
      <formula2>300</formula2>
    </dataValidation>
    <dataValidation type="textLength" errorStyle="information" allowBlank="1" showInputMessage="1" showErrorMessage="1" error="XLBVal:6=366.1_x000d__x000a_" sqref="R52">
      <formula1>0</formula1>
      <formula2>300</formula2>
    </dataValidation>
    <dataValidation type="textLength" errorStyle="information" allowBlank="1" showInputMessage="1" showErrorMessage="1" error="XLBVal:6=363.89_x000d__x000a_" sqref="Q52 S52">
      <formula1>0</formula1>
      <formula2>300</formula2>
    </dataValidation>
    <dataValidation type="textLength" errorStyle="information" allowBlank="1" showInputMessage="1" showErrorMessage="1" error="XLBVal:6=1549.86_x000d__x000a_" sqref="V44">
      <formula1>0</formula1>
      <formula2>300</formula2>
    </dataValidation>
    <dataValidation type="textLength" errorStyle="information" allowBlank="1" showInputMessage="1" showErrorMessage="1" error="XLBVal:6=1522.52_x000d__x000a_" sqref="U44">
      <formula1>0</formula1>
      <formula2>300</formula2>
    </dataValidation>
    <dataValidation type="textLength" errorStyle="information" allowBlank="1" showInputMessage="1" showErrorMessage="1" error="XLBVal:6=2552.95_x000d__x000a_" sqref="T44">
      <formula1>0</formula1>
      <formula2>300</formula2>
    </dataValidation>
    <dataValidation type="textLength" errorStyle="information" allowBlank="1" showInputMessage="1" showErrorMessage="1" error="XLBVal:6=2878.62_x000d__x000a_" sqref="S44">
      <formula1>0</formula1>
      <formula2>300</formula2>
    </dataValidation>
    <dataValidation type="textLength" errorStyle="information" allowBlank="1" showInputMessage="1" showErrorMessage="1" error="XLBVal:6=1934.54_x000d__x000a_" sqref="R44">
      <formula1>0</formula1>
      <formula2>300</formula2>
    </dataValidation>
    <dataValidation type="textLength" errorStyle="information" allowBlank="1" showInputMessage="1" showErrorMessage="1" error="XLBVal:6=1533.01_x000d__x000a_" sqref="Q44">
      <formula1>0</formula1>
      <formula2>300</formula2>
    </dataValidation>
    <dataValidation type="textLength" errorStyle="information" allowBlank="1" showInputMessage="1" showErrorMessage="1" error="XLBVal:6=4641_x000d__x000a_" sqref="V43">
      <formula1>0</formula1>
      <formula2>300</formula2>
    </dataValidation>
    <dataValidation type="textLength" errorStyle="information" allowBlank="1" showInputMessage="1" showErrorMessage="1" error="XLBVal:6=110.79_x000d__x000a_" sqref="Q41:U41">
      <formula1>0</formula1>
      <formula2>300</formula2>
    </dataValidation>
    <dataValidation type="textLength" errorStyle="information" allowBlank="1" showInputMessage="1" showErrorMessage="1" error="XLBVal:6=7847.9_x000d__x000a_" sqref="Q39:U39">
      <formula1>0</formula1>
      <formula2>300</formula2>
    </dataValidation>
    <dataValidation type="textLength" errorStyle="information" allowBlank="1" showInputMessage="1" showErrorMessage="1" error="XLBVal:6=14772.53_x000d__x000a_" sqref="Q38:U38">
      <formula1>0</formula1>
      <formula2>300</formula2>
    </dataValidation>
    <dataValidation type="textLength" errorStyle="information" allowBlank="1" showInputMessage="1" showErrorMessage="1" error="XLBVal:6=1400_x000d__x000a_" sqref="R35">
      <formula1>0</formula1>
      <formula2>300</formula2>
    </dataValidation>
    <dataValidation type="textLength" errorStyle="information" allowBlank="1" showInputMessage="1" showErrorMessage="1" error="XLBVal:6=1200_x000d__x000a_" sqref="S35 U35:V35">
      <formula1>0</formula1>
      <formula2>300</formula2>
    </dataValidation>
    <dataValidation type="textLength" errorStyle="information" allowBlank="1" showInputMessage="1" showErrorMessage="1" error="XLBVal:6=25127.42_x000d__x000a_" sqref="V33">
      <formula1>0</formula1>
      <formula2>300</formula2>
    </dataValidation>
    <dataValidation type="textLength" errorStyle="information" allowBlank="1" showInputMessage="1" showErrorMessage="1" error="XLBVal:6=25740_x000d__x000a_" sqref="U33">
      <formula1>0</formula1>
      <formula2>300</formula2>
    </dataValidation>
    <dataValidation type="textLength" errorStyle="information" allowBlank="1" showInputMessage="1" showErrorMessage="1" error="XLBVal:6=24660_x000d__x000a_" sqref="T33">
      <formula1>0</formula1>
      <formula2>300</formula2>
    </dataValidation>
    <dataValidation type="textLength" errorStyle="information" allowBlank="1" showInputMessage="1" showErrorMessage="1" error="XLBVal:6=24620_x000d__x000a_" sqref="S33">
      <formula1>0</formula1>
      <formula2>300</formula2>
    </dataValidation>
    <dataValidation type="textLength" errorStyle="information" allowBlank="1" showInputMessage="1" showErrorMessage="1" error="XLBVal:6=24780_x000d__x000a_" sqref="R33">
      <formula1>0</formula1>
      <formula2>300</formula2>
    </dataValidation>
    <dataValidation type="textLength" errorStyle="information" allowBlank="1" showInputMessage="1" showErrorMessage="1" error="XLBVal:6=24740_x000d__x000a_" sqref="Q33">
      <formula1>0</formula1>
      <formula2>300</formula2>
    </dataValidation>
    <dataValidation type="textLength" errorStyle="information" allowBlank="1" showInputMessage="1" showErrorMessage="1" error="XLBVal:6=2386.2_x000d__x000a_" sqref="U31">
      <formula1>0</formula1>
      <formula2>300</formula2>
    </dataValidation>
    <dataValidation type="textLength" errorStyle="information" allowBlank="1" showInputMessage="1" showErrorMessage="1" error="XLBVal:6=3158.64_x000d__x000a_" sqref="T31">
      <formula1>0</formula1>
      <formula2>300</formula2>
    </dataValidation>
    <dataValidation type="textLength" errorStyle="information" allowBlank="1" showInputMessage="1" showErrorMessage="1" error="XLBVal:6=9862.11_x000d__x000a_" sqref="R31">
      <formula1>0</formula1>
      <formula2>300</formula2>
    </dataValidation>
    <dataValidation type="textLength" errorStyle="information" allowBlank="1" showInputMessage="1" showErrorMessage="1" error="XLBVal:6=2110.35_x000d__x000a_" sqref="Q31">
      <formula1>0</formula1>
      <formula2>300</formula2>
    </dataValidation>
    <dataValidation type="textLength" errorStyle="information" allowBlank="1" showInputMessage="1" showErrorMessage="1" error="XLBVal:6=38196.55_x000d__x000a_" sqref="V28">
      <formula1>0</formula1>
      <formula2>300</formula2>
    </dataValidation>
    <dataValidation type="textLength" errorStyle="information" allowBlank="1" showInputMessage="1" showErrorMessage="1" error="XLBVal:6=37600_x000d__x000a_" sqref="S28:U28">
      <formula1>0</formula1>
      <formula2>300</formula2>
    </dataValidation>
    <dataValidation type="textLength" errorStyle="information" allowBlank="1" showInputMessage="1" showErrorMessage="1" error="XLBVal:6=37000_x000d__x000a_" sqref="R28">
      <formula1>0</formula1>
      <formula2>300</formula2>
    </dataValidation>
    <dataValidation type="textLength" errorStyle="information" allowBlank="1" showInputMessage="1" showErrorMessage="1" error="XLBVal:6=38000_x000d__x000a_" sqref="Q28">
      <formula1>0</formula1>
      <formula2>300</formula2>
    </dataValidation>
    <dataValidation type="textLength" errorStyle="information" allowBlank="1" showInputMessage="1" showErrorMessage="1" error="XLBVal:6=10000_x000d__x000a_" sqref="Q27:V27">
      <formula1>0</formula1>
      <formula2>300</formula2>
    </dataValidation>
    <dataValidation type="textLength" errorStyle="information" allowBlank="1" showInputMessage="1" showErrorMessage="1" error="XLBVal:6=204135.68_x000d__x000a_" sqref="V22">
      <formula1>0</formula1>
      <formula2>300</formula2>
    </dataValidation>
    <dataValidation type="textLength" errorStyle="information" allowBlank="1" showInputMessage="1" showErrorMessage="1" error="XLBVal:6=218615.55_x000d__x000a_" sqref="U22">
      <formula1>0</formula1>
      <formula2>300</formula2>
    </dataValidation>
    <dataValidation type="textLength" errorStyle="information" allowBlank="1" showInputMessage="1" showErrorMessage="1" error="XLBVal:6=213113.28_x000d__x000a_" sqref="T22">
      <formula1>0</formula1>
      <formula2>300</formula2>
    </dataValidation>
    <dataValidation type="textLength" errorStyle="information" allowBlank="1" showInputMessage="1" showErrorMessage="1" error="XLBVal:6=190183.8_x000d__x000a_" sqref="S22">
      <formula1>0</formula1>
      <formula2>300</formula2>
    </dataValidation>
    <dataValidation type="textLength" errorStyle="information" allowBlank="1" showInputMessage="1" showErrorMessage="1" error="XLBVal:6=222456.36_x000d__x000a_" sqref="R22">
      <formula1>0</formula1>
      <formula2>300</formula2>
    </dataValidation>
    <dataValidation type="textLength" errorStyle="information" allowBlank="1" showInputMessage="1" showErrorMessage="1" error="XLBVal:6=203328.58_x000d__x000a_" sqref="Q22">
      <formula1>0</formula1>
      <formula2>300</formula2>
    </dataValidation>
    <dataValidation type="textLength" errorStyle="information" allowBlank="1" showInputMessage="1" showErrorMessage="1" error="XLBVal:6=60375.69_x000d__x000a_" sqref="V20">
      <formula1>0</formula1>
      <formula2>300</formula2>
    </dataValidation>
    <dataValidation type="textLength" errorStyle="information" allowBlank="1" showInputMessage="1" showErrorMessage="1" error="XLBVal:6=72309.69_x000d__x000a_" sqref="U20">
      <formula1>0</formula1>
      <formula2>300</formula2>
    </dataValidation>
    <dataValidation type="textLength" errorStyle="information" allowBlank="1" showInputMessage="1" showErrorMessage="1" error="XLBVal:6=64417.18_x000d__x000a_" sqref="T20">
      <formula1>0</formula1>
      <formula2>300</formula2>
    </dataValidation>
    <dataValidation type="textLength" errorStyle="information" allowBlank="1" showInputMessage="1" showErrorMessage="1" error="XLBVal:6=36654.31_x000d__x000a_" sqref="S20">
      <formula1>0</formula1>
      <formula2>300</formula2>
    </dataValidation>
    <dataValidation type="textLength" errorStyle="information" allowBlank="1" showInputMessage="1" showErrorMessage="1" error="XLBVal:6=48876.88_x000d__x000a_" sqref="R20">
      <formula1>0</formula1>
      <formula2>300</formula2>
    </dataValidation>
    <dataValidation type="textLength" errorStyle="information" allowBlank="1" showInputMessage="1" showErrorMessage="1" error="XLBVal:6=48046.72_x000d__x000a_" sqref="Q20">
      <formula1>0</formula1>
      <formula2>300</formula2>
    </dataValidation>
    <dataValidation type="textLength" errorStyle="information" allowBlank="1" showInputMessage="1" showErrorMessage="1" error="XLBVal:6=3217.81_x000d__x000a_" sqref="V18">
      <formula1>0</formula1>
      <formula2>300</formula2>
    </dataValidation>
    <dataValidation type="textLength" errorStyle="information" allowBlank="1" showInputMessage="1" showErrorMessage="1" error="XLBVal:6=3222.87_x000d__x000a_" sqref="U18">
      <formula1>0</formula1>
      <formula2>300</formula2>
    </dataValidation>
    <dataValidation type="textLength" errorStyle="information" allowBlank="1" showInputMessage="1" showErrorMessage="1" error="XLBVal:6=3264.67_x000d__x000a_" sqref="T18">
      <formula1>0</formula1>
      <formula2>300</formula2>
    </dataValidation>
    <dataValidation type="textLength" errorStyle="information" allowBlank="1" showInputMessage="1" showErrorMessage="1" error="XLBVal:6=3275.56_x000d__x000a_" sqref="S18">
      <formula1>0</formula1>
      <formula2>300</formula2>
    </dataValidation>
    <dataValidation type="textLength" errorStyle="information" allowBlank="1" showInputMessage="1" showErrorMessage="1" error="XLBVal:6=3283.37_x000d__x000a_" sqref="R18">
      <formula1>0</formula1>
      <formula2>300</formula2>
    </dataValidation>
    <dataValidation type="textLength" errorStyle="information" allowBlank="1" showInputMessage="1" showErrorMessage="1" error="XLBVal:6=2784.57_x000d__x000a_" sqref="Q18">
      <formula1>0</formula1>
      <formula2>300</formula2>
    </dataValidation>
    <dataValidation type="textLength" errorStyle="information" allowBlank="1" showInputMessage="1" showErrorMessage="1" error="XLBVal:6=2167.48_x000d__x000a_" sqref="V17">
      <formula1>0</formula1>
      <formula2>300</formula2>
    </dataValidation>
    <dataValidation type="textLength" errorStyle="information" allowBlank="1" showInputMessage="1" showErrorMessage="1" error="XLBVal:6=634.88_x000d__x000a_" sqref="U17">
      <formula1>0</formula1>
      <formula2>300</formula2>
    </dataValidation>
    <dataValidation type="textLength" errorStyle="information" allowBlank="1" showInputMessage="1" showErrorMessage="1" error="XLBVal:6=1912.81_x000d__x000a_" sqref="T17">
      <formula1>0</formula1>
      <formula2>300</formula2>
    </dataValidation>
    <dataValidation type="textLength" errorStyle="information" allowBlank="1" showInputMessage="1" showErrorMessage="1" error="XLBVal:6=2102.38_x000d__x000a_" sqref="S17">
      <formula1>0</formula1>
      <formula2>300</formula2>
    </dataValidation>
    <dataValidation type="textLength" errorStyle="information" allowBlank="1" showInputMessage="1" showErrorMessage="1" error="XLBVal:6=2544.78_x000d__x000a_" sqref="R17">
      <formula1>0</formula1>
      <formula2>300</formula2>
    </dataValidation>
    <dataValidation type="textLength" errorStyle="information" allowBlank="1" showInputMessage="1" showErrorMessage="1" error="XLBVal:6=2531.4_x000d__x000a_" sqref="Q17">
      <formula1>0</formula1>
      <formula2>300</formula2>
    </dataValidation>
    <dataValidation type="textLength" errorStyle="information" allowBlank="1" showInputMessage="1" showErrorMessage="1" error="XLBVal:6=-873_x000d__x000a_" sqref="V16">
      <formula1>0</formula1>
      <formula2>300</formula2>
    </dataValidation>
    <dataValidation type="textLength" errorStyle="information" allowBlank="1" showInputMessage="1" showErrorMessage="1" error="XLBVal:6=-142.44_x000d__x000a_" sqref="U16">
      <formula1>0</formula1>
      <formula2>300</formula2>
    </dataValidation>
    <dataValidation type="textLength" errorStyle="information" allowBlank="1" showInputMessage="1" showErrorMessage="1" error="XLBVal:6=-140_x000d__x000a_" sqref="T16">
      <formula1>0</formula1>
      <formula2>300</formula2>
    </dataValidation>
    <dataValidation type="textLength" errorStyle="information" allowBlank="1" showInputMessage="1" showErrorMessage="1" error="XLBVal:6=-117.33_x000d__x000a_" sqref="S16">
      <formula1>0</formula1>
      <formula2>300</formula2>
    </dataValidation>
    <dataValidation type="textLength" errorStyle="information" allowBlank="1" showInputMessage="1" showErrorMessage="1" error="XLBVal:6=495_x000d__x000a_" sqref="R16">
      <formula1>0</formula1>
      <formula2>300</formula2>
    </dataValidation>
    <dataValidation type="textLength" errorStyle="information" allowBlank="1" showInputMessage="1" showErrorMessage="1" error="XLBVal:6=-126_x000d__x000a_" sqref="Q16">
      <formula1>0</formula1>
      <formula2>300</formula2>
    </dataValidation>
    <dataValidation type="textLength" errorStyle="information" allowBlank="1" showInputMessage="1" showErrorMessage="1" error="XLBVal:6=1000_x000d__x000a_" sqref="AA15:AB15 W27:AB28 W31:AB35 W38:AB45 W48:AB55 W59:AB59 W15 Q35">
      <formula1>0</formula1>
      <formula2>300</formula2>
    </dataValidation>
    <dataValidation type="textLength" errorStyle="information" allowBlank="1" showInputMessage="1" showErrorMessage="1" error="XLBVal:6=2144_x000d__x000a_" sqref="S13 U13:V13">
      <formula1>0</formula1>
      <formula2>300</formula2>
    </dataValidation>
    <dataValidation type="textLength" errorStyle="information" allowBlank="1" showInputMessage="1" showErrorMessage="1" error="XLBVal:6=1286.4_x000d__x000a_" sqref="T13">
      <formula1>0</formula1>
      <formula2>300</formula2>
    </dataValidation>
    <dataValidation type="textLength" errorStyle="information" allowBlank="1" showInputMessage="1" showErrorMessage="1" error="XLBVal:6=0_x000d__x000a_" sqref="T15 Q19:Z19">
      <formula1>0</formula1>
      <formula2>300</formula2>
    </dataValidation>
    <dataValidation type="textLength" errorStyle="information" allowBlank="1" showInputMessage="1" showErrorMessage="1" error="XLBVal:6=9600_x000d__x000a_" sqref="E27:O28">
      <formula1>0</formula1>
      <formula2>300</formula2>
    </dataValidation>
    <dataValidation type="textLength" errorStyle="information" allowBlank="1" showInputMessage="1" showErrorMessage="1" error="XLBVal:6=14_x000d__x000a_" sqref="Q59:U59">
      <formula1>0</formula1>
      <formula2>300</formula2>
    </dataValidation>
    <dataValidation type="textLength" errorStyle="information" allowBlank="1" showInputMessage="1" showErrorMessage="1" error="XLBVal:2=0_x000d__x000a_" sqref="X15:Y16 Y13 S31 Q45:V45 Q54:V55 Z15 Q34:V34 D14:I14 Q42:V42 D12:O12 U15:V15 AA13 Q14:AB14 Q48:V51 D15:O15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8"/>
  <dimension ref="A1:AI385"/>
  <sheetViews>
    <sheetView view="pageBreakPreview" zoomScaleNormal="100" zoomScaleSheetLayoutView="100" workbookViewId="0">
      <pane xSplit="4" ySplit="7" topLeftCell="K8" activePane="bottomRight" state="frozen"/>
      <selection activeCell="AP43" sqref="AP43"/>
      <selection pane="topRight" activeCell="AP43" sqref="AP43"/>
      <selection pane="bottomLeft" activeCell="AP43" sqref="AP43"/>
      <selection pane="bottomRight" activeCell="AC54" sqref="AC54"/>
    </sheetView>
  </sheetViews>
  <sheetFormatPr defaultColWidth="9" defaultRowHeight="14.25" outlineLevelRow="1" outlineLevelCol="2"/>
  <cols>
    <col min="1" max="2" width="9" style="105" hidden="1" customWidth="1" outlineLevel="1"/>
    <col min="3" max="3" width="41.75" style="105" customWidth="1" collapsed="1"/>
    <col min="4" max="13" width="15.75" style="105" bestFit="1" customWidth="1"/>
    <col min="14" max="14" width="17" style="105" customWidth="1"/>
    <col min="15" max="15" width="15.75" style="105" bestFit="1" customWidth="1"/>
    <col min="16" max="16" width="19.5" style="109" bestFit="1" customWidth="1"/>
    <col min="17" max="23" width="15.875" style="105" hidden="1" customWidth="1" outlineLevel="1"/>
    <col min="24" max="24" width="15.75" style="105" hidden="1" customWidth="1" outlineLevel="2"/>
    <col min="25" max="25" width="13.25" style="105" hidden="1" customWidth="1" outlineLevel="2"/>
    <col min="26" max="26" width="15.75" style="105" hidden="1" customWidth="1" outlineLevel="2"/>
    <col min="27" max="27" width="13.25" style="105" hidden="1" customWidth="1" outlineLevel="2"/>
    <col min="28" max="28" width="15.75" style="105" hidden="1" customWidth="1" outlineLevel="2"/>
    <col min="29" max="29" width="19.5" style="109" customWidth="1" collapsed="1"/>
    <col min="30" max="30" width="17" style="141" customWidth="1"/>
    <col min="31" max="31" width="9.625" style="105" customWidth="1"/>
    <col min="32" max="32" width="19.5" style="109" hidden="1" customWidth="1"/>
    <col min="33" max="33" width="19.5" style="105" hidden="1" customWidth="1"/>
    <col min="34" max="34" width="9.375" style="105" bestFit="1" customWidth="1"/>
    <col min="35" max="35" width="18.125" style="105" bestFit="1" customWidth="1"/>
    <col min="36" max="16384" width="9" style="105"/>
  </cols>
  <sheetData>
    <row r="1" spans="1:34" s="100" customFormat="1">
      <c r="A1" s="100" t="s">
        <v>118</v>
      </c>
      <c r="C1" s="100" t="s">
        <v>680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3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83"/>
      <c r="AF1" s="103"/>
    </row>
    <row r="2" spans="1:34" s="100" customFormat="1">
      <c r="C2" s="100" t="s">
        <v>681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3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83"/>
      <c r="AF2" s="103"/>
    </row>
    <row r="3" spans="1:34">
      <c r="C3" s="105" t="s">
        <v>1090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151</v>
      </c>
      <c r="K3" s="2" t="s">
        <v>151</v>
      </c>
      <c r="L3" s="2" t="s">
        <v>151</v>
      </c>
      <c r="M3" s="2" t="s">
        <v>151</v>
      </c>
      <c r="N3" s="2" t="s">
        <v>151</v>
      </c>
      <c r="O3" s="2" t="s">
        <v>151</v>
      </c>
      <c r="Q3" s="108" t="s">
        <v>0</v>
      </c>
      <c r="R3" s="108" t="s">
        <v>0</v>
      </c>
      <c r="S3" s="108" t="s">
        <v>0</v>
      </c>
      <c r="T3" s="108" t="s">
        <v>0</v>
      </c>
      <c r="U3" s="108" t="s">
        <v>0</v>
      </c>
      <c r="V3" s="108" t="s">
        <v>0</v>
      </c>
      <c r="W3" s="108" t="s">
        <v>0</v>
      </c>
      <c r="X3" s="108" t="s">
        <v>0</v>
      </c>
      <c r="Y3" s="108" t="s">
        <v>0</v>
      </c>
      <c r="Z3" s="108" t="s">
        <v>0</v>
      </c>
      <c r="AA3" s="108" t="s">
        <v>0</v>
      </c>
      <c r="AB3" s="108" t="s">
        <v>0</v>
      </c>
      <c r="AC3" s="209"/>
      <c r="AD3" s="184"/>
    </row>
    <row r="4" spans="1:34" s="100" customFormat="1" ht="18">
      <c r="C4" s="18">
        <f>+'2025 Summay'!$D$7</f>
        <v>2025</v>
      </c>
      <c r="Q4" s="101"/>
      <c r="R4" s="101"/>
      <c r="S4" s="101"/>
      <c r="T4" s="101"/>
      <c r="U4" s="101"/>
      <c r="V4" s="101"/>
      <c r="W4" s="101"/>
      <c r="X4" s="183"/>
      <c r="Y4" s="101"/>
      <c r="Z4" s="101"/>
      <c r="AA4" s="101"/>
      <c r="AB4" s="101"/>
      <c r="AC4" s="172"/>
      <c r="AD4" s="183"/>
      <c r="AF4" s="103"/>
    </row>
    <row r="5" spans="1:34" s="100" customFormat="1">
      <c r="C5" s="100" t="s">
        <v>154</v>
      </c>
      <c r="P5" s="103"/>
      <c r="Q5" s="101"/>
      <c r="R5" s="101"/>
      <c r="S5" s="101"/>
      <c r="T5" s="101"/>
      <c r="U5" s="101"/>
      <c r="V5" s="101"/>
      <c r="W5" s="101"/>
      <c r="X5" s="183"/>
      <c r="Y5" s="101"/>
      <c r="Z5" s="101"/>
      <c r="AA5" s="101"/>
      <c r="AB5" s="101"/>
      <c r="AC5" s="172"/>
      <c r="AD5" s="183"/>
      <c r="AF5" s="103"/>
    </row>
    <row r="6" spans="1:34" s="100" customFormat="1">
      <c r="C6" s="100" t="s">
        <v>154</v>
      </c>
      <c r="D6" s="100">
        <f>'2025 Summay'!E9</f>
        <v>1</v>
      </c>
      <c r="E6" s="100">
        <f>'2025 Summay'!F9</f>
        <v>2</v>
      </c>
      <c r="F6" s="100">
        <f>'2025 Summay'!G9</f>
        <v>3</v>
      </c>
      <c r="G6" s="100">
        <f>'2025 Summay'!H9</f>
        <v>4</v>
      </c>
      <c r="H6" s="100">
        <f>'2025 Summay'!I9</f>
        <v>5</v>
      </c>
      <c r="I6" s="100">
        <f>'2025 Summay'!J9</f>
        <v>6</v>
      </c>
      <c r="J6" s="100">
        <f>'2025 Summay'!K9</f>
        <v>7</v>
      </c>
      <c r="K6" s="100">
        <f>'2025 Summay'!L9</f>
        <v>8</v>
      </c>
      <c r="L6" s="100">
        <f>'2025 Summay'!M9</f>
        <v>9</v>
      </c>
      <c r="M6" s="100">
        <f>'2025 Summay'!N9</f>
        <v>10</v>
      </c>
      <c r="N6" s="100">
        <f>'2025 Summay'!O9</f>
        <v>11</v>
      </c>
      <c r="O6" s="100">
        <f>'2025 Summay'!P9</f>
        <v>12</v>
      </c>
      <c r="P6" s="280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88" t="s">
        <v>6</v>
      </c>
      <c r="AE6" s="100" t="s">
        <v>156</v>
      </c>
      <c r="AF6" s="157">
        <v>2019</v>
      </c>
    </row>
    <row r="7" spans="1:34">
      <c r="C7" s="105" t="s">
        <v>154</v>
      </c>
      <c r="D7" s="105" t="str">
        <f>'2025 Summay'!E10</f>
        <v>Budget</v>
      </c>
      <c r="E7" s="105" t="str">
        <f>'2025 Summay'!F10</f>
        <v>Budget</v>
      </c>
      <c r="F7" s="105" t="str">
        <f>'2025 Summay'!G10</f>
        <v>Budget</v>
      </c>
      <c r="G7" s="105" t="str">
        <f>'2025 Summay'!H10</f>
        <v>Budget</v>
      </c>
      <c r="H7" s="105" t="str">
        <f>'2025 Summay'!I10</f>
        <v>Budget</v>
      </c>
      <c r="I7" s="105" t="str">
        <f>'2025 Summay'!J10</f>
        <v>Budget</v>
      </c>
      <c r="J7" s="105" t="str">
        <f>'2025 Summay'!K10</f>
        <v>Budget</v>
      </c>
      <c r="K7" s="105" t="str">
        <f>'2025 Summay'!L10</f>
        <v>Budget</v>
      </c>
      <c r="L7" s="105" t="str">
        <f>'2025 Summay'!M10</f>
        <v>Budget</v>
      </c>
      <c r="M7" s="105" t="str">
        <f>'2025 Summay'!N10</f>
        <v>Budget</v>
      </c>
      <c r="N7" s="105" t="str">
        <f>'2025 Summay'!O10</f>
        <v>Budget</v>
      </c>
      <c r="O7" s="105" t="str">
        <f>'2025 Summay'!P10</f>
        <v>Budget</v>
      </c>
      <c r="P7" s="109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365"/>
      <c r="AF7" s="335" t="s">
        <v>12</v>
      </c>
    </row>
    <row r="8" spans="1:34">
      <c r="C8" s="105" t="s">
        <v>154</v>
      </c>
      <c r="AF8" s="129"/>
    </row>
    <row r="9" spans="1:34" s="109" customFormat="1">
      <c r="C9" s="109" t="s">
        <v>289</v>
      </c>
      <c r="D9" s="117">
        <f t="shared" ref="D9:O9" si="0">D59</f>
        <v>174671.58</v>
      </c>
      <c r="E9" s="117">
        <f t="shared" si="0"/>
        <v>149234.63999999998</v>
      </c>
      <c r="F9" s="117">
        <f t="shared" si="0"/>
        <v>152484.38999999998</v>
      </c>
      <c r="G9" s="117">
        <f t="shared" si="0"/>
        <v>158111.62999999998</v>
      </c>
      <c r="H9" s="117">
        <f t="shared" si="0"/>
        <v>163893.60999999999</v>
      </c>
      <c r="I9" s="117">
        <f t="shared" si="0"/>
        <v>152484.38999999998</v>
      </c>
      <c r="J9" s="117">
        <f t="shared" si="0"/>
        <v>153029.88999999998</v>
      </c>
      <c r="K9" s="117">
        <f t="shared" si="0"/>
        <v>152874.84999999998</v>
      </c>
      <c r="L9" s="117">
        <f t="shared" si="0"/>
        <v>152874.84999999998</v>
      </c>
      <c r="M9" s="117">
        <f t="shared" si="0"/>
        <v>183221.59</v>
      </c>
      <c r="N9" s="117">
        <f t="shared" si="0"/>
        <v>153029.88999999998</v>
      </c>
      <c r="O9" s="117">
        <f t="shared" si="0"/>
        <v>152874.44999999998</v>
      </c>
      <c r="P9" s="117">
        <f>SUM(D9:O9)</f>
        <v>1898785.76</v>
      </c>
      <c r="Q9" s="127">
        <f t="shared" ref="Q9:AB9" si="1">Q59</f>
        <v>168211.53</v>
      </c>
      <c r="R9" s="127">
        <f t="shared" si="1"/>
        <v>180109.37999999998</v>
      </c>
      <c r="S9" s="127">
        <f t="shared" si="1"/>
        <v>164130.03999999998</v>
      </c>
      <c r="T9" s="127">
        <f t="shared" si="1"/>
        <v>162268.86000000002</v>
      </c>
      <c r="U9" s="127">
        <f t="shared" si="1"/>
        <v>160765.74</v>
      </c>
      <c r="V9" s="127">
        <f t="shared" si="1"/>
        <v>161303.79999999999</v>
      </c>
      <c r="W9" s="127">
        <f t="shared" si="1"/>
        <v>152863.76</v>
      </c>
      <c r="X9" s="127">
        <f t="shared" si="1"/>
        <v>152909.4</v>
      </c>
      <c r="Y9" s="127">
        <f t="shared" si="1"/>
        <v>164431.83000000002</v>
      </c>
      <c r="Z9" s="127">
        <f t="shared" si="1"/>
        <v>182825.83000000002</v>
      </c>
      <c r="AA9" s="127">
        <f t="shared" si="1"/>
        <v>155234.83000000002</v>
      </c>
      <c r="AB9" s="127">
        <f t="shared" si="1"/>
        <v>155234.83000000002</v>
      </c>
      <c r="AC9" s="127">
        <f>SUM(Q9:AB9)</f>
        <v>1960289.83</v>
      </c>
      <c r="AD9" s="142">
        <f>AC9-P9</f>
        <v>61504.070000000065</v>
      </c>
      <c r="AE9" s="132">
        <f>AD9/AC9</f>
        <v>3.1374988054700084E-2</v>
      </c>
      <c r="AF9" s="129">
        <v>3174338.0299999993</v>
      </c>
      <c r="AG9" s="129">
        <f t="shared" ref="AG9:AG61" si="2">AF9-P9</f>
        <v>1275552.2699999993</v>
      </c>
      <c r="AH9" s="129"/>
    </row>
    <row r="10" spans="1:34">
      <c r="C10" s="105" t="s">
        <v>154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7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7"/>
      <c r="AD10" s="170"/>
      <c r="AF10" s="129"/>
      <c r="AG10" s="129">
        <f t="shared" si="2"/>
        <v>0</v>
      </c>
      <c r="AH10" s="129"/>
    </row>
    <row r="11" spans="1:34">
      <c r="C11" s="105" t="s">
        <v>502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7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7"/>
      <c r="AD11" s="170"/>
      <c r="AF11" s="129"/>
      <c r="AG11" s="129">
        <f t="shared" si="2"/>
        <v>0</v>
      </c>
      <c r="AH11" s="129"/>
    </row>
    <row r="12" spans="1:34" s="287" customFormat="1">
      <c r="A12" s="105" t="s">
        <v>687</v>
      </c>
      <c r="B12" s="287" t="s">
        <v>1091</v>
      </c>
      <c r="C12" s="105" t="s">
        <v>144</v>
      </c>
      <c r="D12" s="339">
        <f>+D64+D65+D66</f>
        <v>80548.090000000011</v>
      </c>
      <c r="E12" s="339">
        <f t="shared" ref="E12:O12" si="3">+E64+E65+E66</f>
        <v>64548.109999999986</v>
      </c>
      <c r="F12" s="339">
        <f t="shared" si="3"/>
        <v>66308.109999999986</v>
      </c>
      <c r="G12" s="339">
        <f t="shared" si="3"/>
        <v>69701.23</v>
      </c>
      <c r="H12" s="339">
        <f t="shared" si="3"/>
        <v>73149.52</v>
      </c>
      <c r="I12" s="339">
        <f t="shared" si="3"/>
        <v>66308.109999999986</v>
      </c>
      <c r="J12" s="339">
        <f t="shared" si="3"/>
        <v>66872.31</v>
      </c>
      <c r="K12" s="339">
        <f t="shared" si="3"/>
        <v>66457.95</v>
      </c>
      <c r="L12" s="339">
        <f t="shared" si="3"/>
        <v>66457.95</v>
      </c>
      <c r="M12" s="339">
        <f t="shared" si="3"/>
        <v>82402.77</v>
      </c>
      <c r="N12" s="339">
        <f t="shared" si="3"/>
        <v>66872.31</v>
      </c>
      <c r="O12" s="339">
        <f t="shared" si="3"/>
        <v>66457.989999999991</v>
      </c>
      <c r="P12" s="366">
        <f>SUM(D12:O12)</f>
        <v>836084.45</v>
      </c>
      <c r="Q12" s="325">
        <v>65783.05</v>
      </c>
      <c r="R12" s="325">
        <v>86669.28</v>
      </c>
      <c r="S12" s="325">
        <v>61784.65</v>
      </c>
      <c r="T12" s="325">
        <v>62666.33</v>
      </c>
      <c r="U12" s="325">
        <v>63008.82</v>
      </c>
      <c r="V12" s="325">
        <v>64361.67</v>
      </c>
      <c r="W12" s="325">
        <v>59966.58</v>
      </c>
      <c r="X12" s="325">
        <v>60476.19</v>
      </c>
      <c r="Y12" s="325">
        <v>70000</v>
      </c>
      <c r="Z12" s="325">
        <v>70000</v>
      </c>
      <c r="AA12" s="325">
        <v>70000</v>
      </c>
      <c r="AB12" s="325">
        <v>70000</v>
      </c>
      <c r="AC12" s="366">
        <f>SUM(Q12:AB12)</f>
        <v>804716.57000000007</v>
      </c>
      <c r="AD12" s="325">
        <f>AC12-P12</f>
        <v>-31367.879999999888</v>
      </c>
      <c r="AE12" s="327">
        <f>AD12/AC12</f>
        <v>-3.898003492086647E-2</v>
      </c>
      <c r="AF12" s="250">
        <v>224818.75</v>
      </c>
      <c r="AG12" s="129">
        <f>AF12-P12</f>
        <v>-611265.69999999995</v>
      </c>
      <c r="AH12" s="129"/>
    </row>
    <row r="13" spans="1:34" s="287" customFormat="1">
      <c r="A13" s="287" t="s">
        <v>835</v>
      </c>
      <c r="B13" s="287" t="s">
        <v>1091</v>
      </c>
      <c r="C13" s="287" t="s">
        <v>305</v>
      </c>
      <c r="D13" s="336">
        <v>17000</v>
      </c>
      <c r="E13" s="336">
        <v>17000</v>
      </c>
      <c r="F13" s="336">
        <v>16000</v>
      </c>
      <c r="G13" s="336">
        <v>16000</v>
      </c>
      <c r="H13" s="336">
        <v>16000</v>
      </c>
      <c r="I13" s="336">
        <v>17000</v>
      </c>
      <c r="J13" s="336">
        <v>17000</v>
      </c>
      <c r="K13" s="336">
        <v>17000</v>
      </c>
      <c r="L13" s="336">
        <v>16000</v>
      </c>
      <c r="M13" s="336">
        <v>17000</v>
      </c>
      <c r="N13" s="336">
        <v>17000</v>
      </c>
      <c r="O13" s="336">
        <v>17000</v>
      </c>
      <c r="P13" s="366">
        <f t="shared" ref="P13:P22" si="4">SUM(D13:O13)</f>
        <v>200000</v>
      </c>
      <c r="Q13" s="325">
        <v>29084.54</v>
      </c>
      <c r="R13" s="325">
        <v>7371.54</v>
      </c>
      <c r="S13" s="325">
        <v>24078.59</v>
      </c>
      <c r="T13" s="325">
        <v>18956.45</v>
      </c>
      <c r="U13" s="325">
        <v>-15156.26</v>
      </c>
      <c r="V13" s="325">
        <v>24099.98</v>
      </c>
      <c r="W13" s="325">
        <v>12491.42</v>
      </c>
      <c r="X13" s="325">
        <v>22349.37</v>
      </c>
      <c r="Y13" s="325">
        <v>17500</v>
      </c>
      <c r="Z13" s="325">
        <v>18000</v>
      </c>
      <c r="AA13" s="325">
        <v>19000</v>
      </c>
      <c r="AB13" s="325">
        <v>19000</v>
      </c>
      <c r="AC13" s="366">
        <f t="shared" ref="AC13:AC24" si="5">SUM(Q13:AB13)</f>
        <v>196775.63</v>
      </c>
      <c r="AD13" s="325">
        <f t="shared" ref="AD13:AD24" si="6">AC13-P13</f>
        <v>-3224.3699999999953</v>
      </c>
      <c r="AE13" s="327">
        <f t="shared" ref="AE13:AE24" si="7">AD13/AC13</f>
        <v>-1.6386023004982861E-2</v>
      </c>
      <c r="AF13" s="250">
        <v>224818.75</v>
      </c>
      <c r="AG13" s="129">
        <f t="shared" si="2"/>
        <v>24818.75</v>
      </c>
      <c r="AH13" s="129"/>
    </row>
    <row r="14" spans="1:34" s="287" customFormat="1">
      <c r="A14" s="287" t="s">
        <v>689</v>
      </c>
      <c r="B14" s="287" t="s">
        <v>1091</v>
      </c>
      <c r="C14" s="287" t="s">
        <v>202</v>
      </c>
      <c r="D14" s="336"/>
      <c r="E14" s="336"/>
      <c r="F14" s="336"/>
      <c r="G14" s="336"/>
      <c r="H14" s="336"/>
      <c r="I14" s="336"/>
      <c r="J14" s="367"/>
      <c r="K14" s="367"/>
      <c r="L14" s="367"/>
      <c r="M14" s="367"/>
      <c r="N14" s="367"/>
      <c r="O14" s="367"/>
      <c r="P14" s="366">
        <f>SUM(D14:O14)</f>
        <v>0</v>
      </c>
      <c r="Q14" s="325">
        <v>0</v>
      </c>
      <c r="R14" s="325">
        <v>0</v>
      </c>
      <c r="S14" s="325">
        <v>0</v>
      </c>
      <c r="T14" s="325">
        <v>0</v>
      </c>
      <c r="U14" s="325">
        <v>0</v>
      </c>
      <c r="V14" s="325">
        <v>0</v>
      </c>
      <c r="W14" s="325">
        <v>0</v>
      </c>
      <c r="X14" s="325">
        <v>0</v>
      </c>
      <c r="Y14" s="325">
        <v>0</v>
      </c>
      <c r="Z14" s="325">
        <v>0</v>
      </c>
      <c r="AA14" s="325">
        <v>0</v>
      </c>
      <c r="AB14" s="325">
        <v>0</v>
      </c>
      <c r="AC14" s="366">
        <f t="shared" si="5"/>
        <v>0</v>
      </c>
      <c r="AD14" s="325">
        <f t="shared" si="6"/>
        <v>0</v>
      </c>
      <c r="AE14" s="327" t="e">
        <f t="shared" si="7"/>
        <v>#DIV/0!</v>
      </c>
      <c r="AF14" s="250">
        <v>0</v>
      </c>
      <c r="AG14" s="129">
        <f t="shared" si="2"/>
        <v>0</v>
      </c>
      <c r="AH14" s="129"/>
    </row>
    <row r="15" spans="1:34" s="287" customFormat="1">
      <c r="A15" s="287" t="s">
        <v>1092</v>
      </c>
      <c r="B15" s="287" t="s">
        <v>1091</v>
      </c>
      <c r="C15" s="287" t="s">
        <v>1093</v>
      </c>
      <c r="D15" s="336">
        <v>0</v>
      </c>
      <c r="E15" s="336">
        <v>0</v>
      </c>
      <c r="F15" s="336">
        <v>0</v>
      </c>
      <c r="G15" s="336">
        <v>0</v>
      </c>
      <c r="H15" s="336">
        <v>8000</v>
      </c>
      <c r="I15" s="336">
        <v>0</v>
      </c>
      <c r="J15" s="367">
        <v>0</v>
      </c>
      <c r="K15" s="367">
        <v>0</v>
      </c>
      <c r="L15" s="367">
        <v>0</v>
      </c>
      <c r="M15" s="367">
        <v>8000</v>
      </c>
      <c r="N15" s="367">
        <v>0</v>
      </c>
      <c r="O15" s="367">
        <v>0</v>
      </c>
      <c r="P15" s="366">
        <f t="shared" si="4"/>
        <v>16000</v>
      </c>
      <c r="Q15" s="325">
        <v>0</v>
      </c>
      <c r="R15" s="325">
        <v>0</v>
      </c>
      <c r="S15" s="325">
        <v>0</v>
      </c>
      <c r="T15" s="325">
        <v>0</v>
      </c>
      <c r="U15" s="325">
        <v>0</v>
      </c>
      <c r="V15" s="325">
        <v>0</v>
      </c>
      <c r="W15" s="325">
        <v>0</v>
      </c>
      <c r="X15" s="325">
        <v>0</v>
      </c>
      <c r="Y15" s="325">
        <v>10000</v>
      </c>
      <c r="Z15" s="325">
        <v>0</v>
      </c>
      <c r="AA15" s="325">
        <v>0</v>
      </c>
      <c r="AB15" s="325">
        <v>0</v>
      </c>
      <c r="AC15" s="366">
        <f t="shared" si="5"/>
        <v>10000</v>
      </c>
      <c r="AD15" s="325">
        <f t="shared" si="6"/>
        <v>-6000</v>
      </c>
      <c r="AE15" s="327">
        <f t="shared" si="7"/>
        <v>-0.6</v>
      </c>
      <c r="AF15" s="250">
        <v>0</v>
      </c>
      <c r="AG15" s="129">
        <f t="shared" si="2"/>
        <v>-16000</v>
      </c>
      <c r="AH15" s="129"/>
    </row>
    <row r="16" spans="1:34" s="287" customFormat="1">
      <c r="A16" s="287" t="s">
        <v>1094</v>
      </c>
      <c r="B16" s="287" t="s">
        <v>1091</v>
      </c>
      <c r="C16" s="287" t="s">
        <v>1095</v>
      </c>
      <c r="D16" s="336"/>
      <c r="E16" s="336"/>
      <c r="F16" s="336"/>
      <c r="G16" s="336"/>
      <c r="H16" s="336"/>
      <c r="I16" s="336"/>
      <c r="J16" s="367"/>
      <c r="K16" s="367"/>
      <c r="L16" s="367"/>
      <c r="M16" s="367"/>
      <c r="N16" s="367"/>
      <c r="O16" s="367"/>
      <c r="P16" s="366">
        <f>SUM(D16:O16)</f>
        <v>0</v>
      </c>
      <c r="Q16" s="325">
        <v>0</v>
      </c>
      <c r="R16" s="325">
        <v>0</v>
      </c>
      <c r="S16" s="325">
        <v>0</v>
      </c>
      <c r="T16" s="325">
        <v>0</v>
      </c>
      <c r="U16" s="325">
        <v>0</v>
      </c>
      <c r="V16" s="325">
        <v>0</v>
      </c>
      <c r="W16" s="325">
        <v>0</v>
      </c>
      <c r="X16" s="325">
        <v>0</v>
      </c>
      <c r="Y16" s="325">
        <v>0</v>
      </c>
      <c r="Z16" s="325">
        <v>15000</v>
      </c>
      <c r="AA16" s="325">
        <v>0</v>
      </c>
      <c r="AB16" s="325">
        <v>0</v>
      </c>
      <c r="AC16" s="366">
        <f t="shared" si="5"/>
        <v>15000</v>
      </c>
      <c r="AD16" s="325">
        <f t="shared" si="6"/>
        <v>15000</v>
      </c>
      <c r="AE16" s="327">
        <f t="shared" si="7"/>
        <v>1</v>
      </c>
      <c r="AF16" s="250">
        <v>2574.5100000000002</v>
      </c>
      <c r="AG16" s="129">
        <f t="shared" si="2"/>
        <v>2574.5100000000002</v>
      </c>
      <c r="AH16" s="129"/>
    </row>
    <row r="17" spans="1:35" s="287" customFormat="1">
      <c r="A17" s="287" t="s">
        <v>692</v>
      </c>
      <c r="B17" s="287" t="s">
        <v>1091</v>
      </c>
      <c r="C17" s="287" t="s">
        <v>204</v>
      </c>
      <c r="D17" s="336">
        <v>1664</v>
      </c>
      <c r="E17" s="336">
        <v>1664</v>
      </c>
      <c r="F17" s="336">
        <v>1664</v>
      </c>
      <c r="G17" s="336">
        <v>1664</v>
      </c>
      <c r="H17" s="336">
        <v>1664</v>
      </c>
      <c r="I17" s="336">
        <v>1664</v>
      </c>
      <c r="J17" s="336">
        <v>1664</v>
      </c>
      <c r="K17" s="336">
        <v>1664</v>
      </c>
      <c r="L17" s="336">
        <v>1664</v>
      </c>
      <c r="M17" s="336">
        <v>1664</v>
      </c>
      <c r="N17" s="336">
        <v>1664</v>
      </c>
      <c r="O17" s="336">
        <v>1664</v>
      </c>
      <c r="P17" s="366">
        <f t="shared" si="4"/>
        <v>19968</v>
      </c>
      <c r="Q17" s="325">
        <v>7207</v>
      </c>
      <c r="R17" s="325">
        <v>7207</v>
      </c>
      <c r="S17" s="325">
        <v>7207</v>
      </c>
      <c r="T17" s="325">
        <v>0</v>
      </c>
      <c r="U17" s="325">
        <v>0</v>
      </c>
      <c r="V17" s="325">
        <v>0</v>
      </c>
      <c r="W17" s="325">
        <v>0</v>
      </c>
      <c r="X17" s="325">
        <v>0</v>
      </c>
      <c r="Y17" s="325">
        <v>0</v>
      </c>
      <c r="Z17" s="325">
        <v>0</v>
      </c>
      <c r="AA17" s="325">
        <v>0</v>
      </c>
      <c r="AB17" s="325">
        <v>0</v>
      </c>
      <c r="AC17" s="366">
        <f t="shared" si="5"/>
        <v>21621</v>
      </c>
      <c r="AD17" s="325">
        <f t="shared" si="6"/>
        <v>1653</v>
      </c>
      <c r="AE17" s="327">
        <f t="shared" si="7"/>
        <v>7.6453448036631053E-2</v>
      </c>
      <c r="AF17" s="250">
        <v>60510.51</v>
      </c>
      <c r="AG17" s="129">
        <f t="shared" si="2"/>
        <v>40542.51</v>
      </c>
      <c r="AH17" s="129"/>
    </row>
    <row r="18" spans="1:35" s="287" customFormat="1">
      <c r="A18" s="287" t="s">
        <v>207</v>
      </c>
      <c r="B18" s="287" t="s">
        <v>1091</v>
      </c>
      <c r="C18" s="287" t="s">
        <v>208</v>
      </c>
      <c r="D18" s="336"/>
      <c r="E18" s="336"/>
      <c r="F18" s="336"/>
      <c r="G18" s="336"/>
      <c r="H18" s="336"/>
      <c r="I18" s="336"/>
      <c r="J18" s="367"/>
      <c r="K18" s="367"/>
      <c r="L18" s="367"/>
      <c r="M18" s="367"/>
      <c r="N18" s="367"/>
      <c r="O18" s="367"/>
      <c r="P18" s="366">
        <f t="shared" si="4"/>
        <v>0</v>
      </c>
      <c r="Q18" s="325">
        <v>0</v>
      </c>
      <c r="R18" s="325">
        <v>0</v>
      </c>
      <c r="S18" s="325">
        <v>0</v>
      </c>
      <c r="T18" s="325">
        <v>0</v>
      </c>
      <c r="U18" s="325">
        <v>0</v>
      </c>
      <c r="V18" s="325">
        <v>0</v>
      </c>
      <c r="W18" s="325">
        <v>0</v>
      </c>
      <c r="X18" s="325">
        <v>0</v>
      </c>
      <c r="Y18" s="325">
        <v>0</v>
      </c>
      <c r="Z18" s="325">
        <v>0</v>
      </c>
      <c r="AA18" s="325">
        <v>0</v>
      </c>
      <c r="AB18" s="325">
        <v>0</v>
      </c>
      <c r="AC18" s="366">
        <f t="shared" si="5"/>
        <v>0</v>
      </c>
      <c r="AD18" s="325">
        <f t="shared" si="6"/>
        <v>0</v>
      </c>
      <c r="AE18" s="327" t="e">
        <f t="shared" si="7"/>
        <v>#DIV/0!</v>
      </c>
      <c r="AF18" s="250">
        <v>0</v>
      </c>
      <c r="AG18" s="129">
        <f t="shared" si="2"/>
        <v>0</v>
      </c>
      <c r="AH18" s="129"/>
    </row>
    <row r="19" spans="1:35" s="287" customFormat="1">
      <c r="A19" s="287" t="s">
        <v>452</v>
      </c>
      <c r="B19" s="287" t="s">
        <v>1091</v>
      </c>
      <c r="C19" s="287" t="s">
        <v>453</v>
      </c>
      <c r="D19" s="336"/>
      <c r="E19" s="336"/>
      <c r="F19" s="336"/>
      <c r="G19" s="336"/>
      <c r="H19" s="336"/>
      <c r="I19" s="336"/>
      <c r="J19" s="367"/>
      <c r="K19" s="367"/>
      <c r="L19" s="367"/>
      <c r="M19" s="367"/>
      <c r="N19" s="367"/>
      <c r="O19" s="367"/>
      <c r="P19" s="366">
        <f t="shared" si="4"/>
        <v>0</v>
      </c>
      <c r="Q19" s="325">
        <v>0</v>
      </c>
      <c r="R19" s="325">
        <v>16465</v>
      </c>
      <c r="S19" s="325">
        <v>0</v>
      </c>
      <c r="T19" s="325">
        <v>0</v>
      </c>
      <c r="U19" s="325">
        <v>0</v>
      </c>
      <c r="V19" s="325">
        <v>0</v>
      </c>
      <c r="W19" s="325">
        <v>0</v>
      </c>
      <c r="X19" s="325">
        <v>0</v>
      </c>
      <c r="Y19" s="325">
        <v>0</v>
      </c>
      <c r="Z19" s="325">
        <v>0</v>
      </c>
      <c r="AA19" s="325">
        <v>0</v>
      </c>
      <c r="AB19" s="325">
        <v>0</v>
      </c>
      <c r="AC19" s="366">
        <f t="shared" si="5"/>
        <v>16465</v>
      </c>
      <c r="AD19" s="325">
        <f t="shared" si="6"/>
        <v>16465</v>
      </c>
      <c r="AE19" s="327">
        <f t="shared" si="7"/>
        <v>1</v>
      </c>
      <c r="AF19" s="250">
        <v>241074.11</v>
      </c>
      <c r="AG19" s="129">
        <f t="shared" si="2"/>
        <v>241074.11</v>
      </c>
      <c r="AH19" s="129"/>
    </row>
    <row r="20" spans="1:35" s="287" customFormat="1">
      <c r="A20" s="287" t="s">
        <v>1096</v>
      </c>
      <c r="B20" s="287" t="s">
        <v>1091</v>
      </c>
      <c r="C20" s="287" t="s">
        <v>1097</v>
      </c>
      <c r="D20" s="336">
        <v>326017.94</v>
      </c>
      <c r="E20" s="336">
        <v>276017.94</v>
      </c>
      <c r="F20" s="336">
        <v>273736.8</v>
      </c>
      <c r="G20" s="336">
        <v>273736.8</v>
      </c>
      <c r="H20" s="336">
        <v>296017.94</v>
      </c>
      <c r="I20" s="336">
        <v>276588.23</v>
      </c>
      <c r="J20" s="336">
        <v>276588.23</v>
      </c>
      <c r="K20" s="336">
        <v>276588.23</v>
      </c>
      <c r="L20" s="336">
        <v>276588.23</v>
      </c>
      <c r="M20" s="336">
        <v>309439.65000000002</v>
      </c>
      <c r="N20" s="336">
        <v>273736.8</v>
      </c>
      <c r="O20" s="336">
        <v>273736.8</v>
      </c>
      <c r="P20" s="366">
        <f t="shared" si="4"/>
        <v>3408793.5899999994</v>
      </c>
      <c r="Q20" s="325">
        <v>342228.86</v>
      </c>
      <c r="R20" s="325">
        <v>317313.96000000002</v>
      </c>
      <c r="S20" s="325">
        <v>482469.44</v>
      </c>
      <c r="T20" s="325">
        <v>208382.55</v>
      </c>
      <c r="U20" s="325">
        <v>198070.64</v>
      </c>
      <c r="V20" s="325">
        <v>221630.19</v>
      </c>
      <c r="W20" s="325">
        <v>236863.97</v>
      </c>
      <c r="X20" s="325">
        <v>250814.99</v>
      </c>
      <c r="Y20" s="325">
        <v>326200</v>
      </c>
      <c r="Z20" s="325">
        <v>359200</v>
      </c>
      <c r="AA20" s="325">
        <v>342011</v>
      </c>
      <c r="AB20" s="325">
        <v>342011</v>
      </c>
      <c r="AC20" s="366">
        <f>SUM(Q20:AB20)</f>
        <v>3627196.6</v>
      </c>
      <c r="AD20" s="325">
        <f t="shared" si="6"/>
        <v>218403.01000000071</v>
      </c>
      <c r="AE20" s="327">
        <f t="shared" si="7"/>
        <v>6.021261985082383E-2</v>
      </c>
      <c r="AF20" s="250">
        <v>7563017.1000000006</v>
      </c>
      <c r="AG20" s="129">
        <f t="shared" si="2"/>
        <v>4154223.5100000012</v>
      </c>
      <c r="AH20" s="129"/>
    </row>
    <row r="21" spans="1:35" s="287" customFormat="1">
      <c r="A21" s="287" t="s">
        <v>696</v>
      </c>
      <c r="B21" s="287" t="s">
        <v>1091</v>
      </c>
      <c r="C21" s="287" t="s">
        <v>216</v>
      </c>
      <c r="D21" s="336">
        <v>83</v>
      </c>
      <c r="E21" s="336">
        <v>83</v>
      </c>
      <c r="F21" s="336">
        <v>83</v>
      </c>
      <c r="G21" s="336">
        <v>83</v>
      </c>
      <c r="H21" s="336">
        <v>83</v>
      </c>
      <c r="I21" s="336">
        <v>83</v>
      </c>
      <c r="J21" s="336">
        <v>83</v>
      </c>
      <c r="K21" s="336">
        <v>83</v>
      </c>
      <c r="L21" s="336">
        <v>83</v>
      </c>
      <c r="M21" s="336">
        <v>83</v>
      </c>
      <c r="N21" s="336">
        <v>83</v>
      </c>
      <c r="O21" s="336">
        <v>83</v>
      </c>
      <c r="P21" s="366">
        <f t="shared" si="4"/>
        <v>996</v>
      </c>
      <c r="Q21" s="325">
        <v>83</v>
      </c>
      <c r="R21" s="325">
        <v>83</v>
      </c>
      <c r="S21" s="325">
        <v>83</v>
      </c>
      <c r="T21" s="325">
        <v>83</v>
      </c>
      <c r="U21" s="325">
        <v>83</v>
      </c>
      <c r="V21" s="325">
        <v>83</v>
      </c>
      <c r="W21" s="325">
        <v>83</v>
      </c>
      <c r="X21" s="325">
        <v>83</v>
      </c>
      <c r="Y21" s="325">
        <v>100</v>
      </c>
      <c r="Z21" s="325">
        <v>100</v>
      </c>
      <c r="AA21" s="325">
        <v>100</v>
      </c>
      <c r="AB21" s="325">
        <v>100</v>
      </c>
      <c r="AC21" s="366">
        <f t="shared" si="5"/>
        <v>1064</v>
      </c>
      <c r="AD21" s="325">
        <f t="shared" si="6"/>
        <v>68</v>
      </c>
      <c r="AE21" s="327">
        <f t="shared" si="7"/>
        <v>6.3909774436090222E-2</v>
      </c>
      <c r="AF21" s="250">
        <v>1014.98</v>
      </c>
      <c r="AG21" s="129">
        <f t="shared" si="2"/>
        <v>18.980000000000018</v>
      </c>
      <c r="AH21" s="129"/>
    </row>
    <row r="22" spans="1:35">
      <c r="A22" s="105" t="s">
        <v>698</v>
      </c>
      <c r="B22" s="105" t="s">
        <v>1091</v>
      </c>
      <c r="C22" s="105" t="s">
        <v>222</v>
      </c>
      <c r="D22" s="126">
        <v>15000</v>
      </c>
      <c r="E22" s="126">
        <v>10000</v>
      </c>
      <c r="F22" s="126">
        <v>10000</v>
      </c>
      <c r="G22" s="126">
        <v>10000</v>
      </c>
      <c r="H22" s="126">
        <v>10000</v>
      </c>
      <c r="I22" s="126">
        <v>15000</v>
      </c>
      <c r="J22" s="126">
        <v>10000</v>
      </c>
      <c r="K22" s="126">
        <v>10000</v>
      </c>
      <c r="L22" s="126">
        <v>15000</v>
      </c>
      <c r="M22" s="126">
        <v>15000</v>
      </c>
      <c r="N22" s="126">
        <v>15000</v>
      </c>
      <c r="O22" s="126">
        <v>15000</v>
      </c>
      <c r="P22" s="117">
        <f t="shared" si="4"/>
        <v>150000</v>
      </c>
      <c r="Q22" s="141">
        <v>4729.4799999999996</v>
      </c>
      <c r="R22" s="141">
        <v>3949.32</v>
      </c>
      <c r="S22" s="141">
        <v>5771.73</v>
      </c>
      <c r="T22" s="141">
        <v>3066.89</v>
      </c>
      <c r="U22" s="141">
        <v>4708.79</v>
      </c>
      <c r="V22" s="141">
        <v>8134.52</v>
      </c>
      <c r="W22" s="141">
        <v>4830.3900000000003</v>
      </c>
      <c r="X22" s="141">
        <v>2873.24</v>
      </c>
      <c r="Y22" s="141">
        <v>20000</v>
      </c>
      <c r="Z22" s="141">
        <v>30000</v>
      </c>
      <c r="AA22" s="141">
        <v>30000</v>
      </c>
      <c r="AB22" s="141">
        <v>30000</v>
      </c>
      <c r="AC22" s="117">
        <f t="shared" si="5"/>
        <v>148064.35999999999</v>
      </c>
      <c r="AD22" s="170">
        <f t="shared" si="6"/>
        <v>-1935.640000000014</v>
      </c>
      <c r="AE22" s="192">
        <f t="shared" si="7"/>
        <v>-1.3072963676066368E-2</v>
      </c>
      <c r="AF22" s="129">
        <v>42189.9</v>
      </c>
      <c r="AG22" s="129">
        <f t="shared" si="2"/>
        <v>-107810.1</v>
      </c>
      <c r="AH22" s="129"/>
      <c r="AI22" s="287"/>
    </row>
    <row r="23" spans="1:35" s="109" customFormat="1">
      <c r="C23" s="109" t="s">
        <v>507</v>
      </c>
      <c r="D23" s="117">
        <f>SUM(D12:D22)</f>
        <v>440313.03</v>
      </c>
      <c r="E23" s="117">
        <f t="shared" ref="E23:AC23" si="8">SUM(E12:E22)</f>
        <v>369313.05</v>
      </c>
      <c r="F23" s="117">
        <f t="shared" si="8"/>
        <v>367791.91</v>
      </c>
      <c r="G23" s="117">
        <f t="shared" si="8"/>
        <v>371185.02999999997</v>
      </c>
      <c r="H23" s="117">
        <f t="shared" si="8"/>
        <v>404914.46</v>
      </c>
      <c r="I23" s="117">
        <f t="shared" si="8"/>
        <v>376643.33999999997</v>
      </c>
      <c r="J23" s="117">
        <f t="shared" si="8"/>
        <v>372207.54</v>
      </c>
      <c r="K23" s="117">
        <f t="shared" si="8"/>
        <v>371793.18</v>
      </c>
      <c r="L23" s="117">
        <f t="shared" si="8"/>
        <v>375793.18</v>
      </c>
      <c r="M23" s="117">
        <f t="shared" si="8"/>
        <v>433589.42000000004</v>
      </c>
      <c r="N23" s="117">
        <f t="shared" si="8"/>
        <v>374356.11</v>
      </c>
      <c r="O23" s="117">
        <f t="shared" si="8"/>
        <v>373941.79</v>
      </c>
      <c r="P23" s="117">
        <f t="shared" si="8"/>
        <v>4631842.0399999991</v>
      </c>
      <c r="Q23" s="127">
        <f t="shared" si="8"/>
        <v>449115.92999999993</v>
      </c>
      <c r="R23" s="127">
        <f t="shared" si="8"/>
        <v>439059.10000000003</v>
      </c>
      <c r="S23" s="127">
        <f t="shared" si="8"/>
        <v>581394.41</v>
      </c>
      <c r="T23" s="127">
        <f t="shared" si="8"/>
        <v>293155.21999999997</v>
      </c>
      <c r="U23" s="127">
        <f t="shared" si="8"/>
        <v>250714.99000000002</v>
      </c>
      <c r="V23" s="127">
        <f t="shared" si="8"/>
        <v>318309.36</v>
      </c>
      <c r="W23" s="127">
        <f t="shared" si="8"/>
        <v>314235.36</v>
      </c>
      <c r="X23" s="127">
        <f t="shared" si="8"/>
        <v>336596.79</v>
      </c>
      <c r="Y23" s="127">
        <f t="shared" si="8"/>
        <v>443800</v>
      </c>
      <c r="Z23" s="127">
        <f t="shared" si="8"/>
        <v>492300</v>
      </c>
      <c r="AA23" s="127">
        <f t="shared" si="8"/>
        <v>461111</v>
      </c>
      <c r="AB23" s="127">
        <f t="shared" si="8"/>
        <v>461111</v>
      </c>
      <c r="AC23" s="129">
        <f t="shared" si="8"/>
        <v>4840903.1600000011</v>
      </c>
      <c r="AD23" s="142">
        <f t="shared" si="6"/>
        <v>209061.12000000197</v>
      </c>
      <c r="AE23" s="132">
        <f t="shared" si="7"/>
        <v>4.3186387558308836E-2</v>
      </c>
      <c r="AF23" s="129">
        <v>8135199.8600000013</v>
      </c>
      <c r="AG23" s="129">
        <f t="shared" si="2"/>
        <v>3503357.8200000022</v>
      </c>
      <c r="AH23" s="129"/>
      <c r="AI23" s="287"/>
    </row>
    <row r="24" spans="1:35" s="109" customFormat="1">
      <c r="A24" s="109" t="s">
        <v>1098</v>
      </c>
      <c r="B24" s="109" t="s">
        <v>1091</v>
      </c>
      <c r="C24" s="109" t="s">
        <v>1034</v>
      </c>
      <c r="D24" s="117">
        <f t="shared" ref="D24:P24" si="9">D23+D9</f>
        <v>614984.61</v>
      </c>
      <c r="E24" s="117">
        <f t="shared" si="9"/>
        <v>518547.68999999994</v>
      </c>
      <c r="F24" s="117">
        <f t="shared" si="9"/>
        <v>520276.29999999993</v>
      </c>
      <c r="G24" s="117">
        <f t="shared" si="9"/>
        <v>529296.65999999992</v>
      </c>
      <c r="H24" s="117">
        <f t="shared" si="9"/>
        <v>568808.07000000007</v>
      </c>
      <c r="I24" s="117">
        <f t="shared" si="9"/>
        <v>529127.73</v>
      </c>
      <c r="J24" s="117">
        <f t="shared" si="9"/>
        <v>525237.42999999993</v>
      </c>
      <c r="K24" s="117">
        <f t="shared" si="9"/>
        <v>524668.03</v>
      </c>
      <c r="L24" s="117">
        <f t="shared" si="9"/>
        <v>528668.03</v>
      </c>
      <c r="M24" s="117">
        <f t="shared" si="9"/>
        <v>616811.01</v>
      </c>
      <c r="N24" s="117">
        <f t="shared" si="9"/>
        <v>527386</v>
      </c>
      <c r="O24" s="117">
        <f t="shared" si="9"/>
        <v>526816.24</v>
      </c>
      <c r="P24" s="117">
        <f t="shared" si="9"/>
        <v>6530627.7999999989</v>
      </c>
      <c r="Q24" s="142">
        <v>617327.46</v>
      </c>
      <c r="R24" s="142">
        <v>619168.48</v>
      </c>
      <c r="S24" s="142">
        <v>745874.45</v>
      </c>
      <c r="T24" s="142">
        <v>455834.08</v>
      </c>
      <c r="U24" s="142">
        <v>411552.73</v>
      </c>
      <c r="V24" s="142">
        <v>479613.16</v>
      </c>
      <c r="W24" s="142">
        <v>604783.81999999995</v>
      </c>
      <c r="X24" s="142">
        <v>784048.8</v>
      </c>
      <c r="Y24" s="142">
        <v>670841.76</v>
      </c>
      <c r="Z24" s="142">
        <v>498472.46</v>
      </c>
      <c r="AA24" s="142">
        <v>409481</v>
      </c>
      <c r="AB24" s="142">
        <v>415339.75</v>
      </c>
      <c r="AC24" s="129">
        <f t="shared" si="5"/>
        <v>6712337.9499999993</v>
      </c>
      <c r="AD24" s="142">
        <f t="shared" si="6"/>
        <v>181710.15000000037</v>
      </c>
      <c r="AE24" s="132">
        <f t="shared" si="7"/>
        <v>2.7071066944714901E-2</v>
      </c>
      <c r="AF24" s="129">
        <v>11309537.890000001</v>
      </c>
      <c r="AG24" s="129">
        <f t="shared" si="2"/>
        <v>4778910.0900000017</v>
      </c>
      <c r="AH24" s="129"/>
      <c r="AI24" s="287"/>
    </row>
    <row r="25" spans="1:35">
      <c r="C25" s="105" t="s">
        <v>154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7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7"/>
      <c r="AD25" s="170"/>
      <c r="AF25" s="129"/>
      <c r="AG25" s="129">
        <f t="shared" si="2"/>
        <v>0</v>
      </c>
      <c r="AH25" s="129"/>
    </row>
    <row r="26" spans="1:35">
      <c r="C26" s="105" t="s">
        <v>154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7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7"/>
      <c r="AD26" s="170"/>
      <c r="AF26" s="129"/>
      <c r="AG26" s="129">
        <f t="shared" si="2"/>
        <v>0</v>
      </c>
      <c r="AH26" s="129"/>
    </row>
    <row r="27" spans="1:35">
      <c r="C27" s="105" t="s">
        <v>516</v>
      </c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7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7"/>
      <c r="AD27" s="170"/>
      <c r="AF27" s="129"/>
      <c r="AG27" s="129">
        <f t="shared" si="2"/>
        <v>0</v>
      </c>
      <c r="AH27" s="129"/>
    </row>
    <row r="28" spans="1:35">
      <c r="C28" s="105" t="s">
        <v>517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7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7"/>
      <c r="AD28" s="170"/>
      <c r="AF28" s="129"/>
      <c r="AG28" s="129">
        <f t="shared" si="2"/>
        <v>0</v>
      </c>
      <c r="AH28" s="129"/>
    </row>
    <row r="29" spans="1:35">
      <c r="A29" s="105" t="s">
        <v>248</v>
      </c>
      <c r="B29" s="105" t="s">
        <v>1091</v>
      </c>
      <c r="C29" s="105" t="s">
        <v>250</v>
      </c>
      <c r="D29" s="265">
        <v>11500</v>
      </c>
      <c r="E29" s="126">
        <v>11500</v>
      </c>
      <c r="F29" s="126">
        <v>11557.5</v>
      </c>
      <c r="G29" s="126">
        <v>11557.5</v>
      </c>
      <c r="H29" s="126">
        <v>11557.5</v>
      </c>
      <c r="I29" s="126">
        <v>11557.5</v>
      </c>
      <c r="J29" s="126">
        <v>11557.5</v>
      </c>
      <c r="K29" s="126">
        <v>11557.5</v>
      </c>
      <c r="L29" s="126">
        <v>11557.5</v>
      </c>
      <c r="M29" s="126">
        <v>11557.5</v>
      </c>
      <c r="N29" s="126">
        <v>11557.5</v>
      </c>
      <c r="O29" s="126">
        <v>11557.5</v>
      </c>
      <c r="P29" s="117">
        <f>SUM(D29:O29)</f>
        <v>138575</v>
      </c>
      <c r="Q29" s="141">
        <v>11500</v>
      </c>
      <c r="R29" s="141">
        <v>11500</v>
      </c>
      <c r="S29" s="141">
        <v>11500</v>
      </c>
      <c r="T29" s="141">
        <v>11500</v>
      </c>
      <c r="U29" s="141">
        <v>11500</v>
      </c>
      <c r="V29" s="141">
        <v>11500</v>
      </c>
      <c r="W29" s="325">
        <v>11500</v>
      </c>
      <c r="X29" s="325">
        <v>11500</v>
      </c>
      <c r="Y29" s="325">
        <v>11500</v>
      </c>
      <c r="Z29" s="325">
        <v>11500</v>
      </c>
      <c r="AA29" s="325">
        <v>11500</v>
      </c>
      <c r="AB29" s="325">
        <v>11500</v>
      </c>
      <c r="AC29" s="117">
        <f>SUM(Q29:AB29)</f>
        <v>138000</v>
      </c>
      <c r="AD29" s="170">
        <f>AC29-P29</f>
        <v>-575</v>
      </c>
      <c r="AE29" s="192">
        <f>AD29/AC29</f>
        <v>-4.1666666666666666E-3</v>
      </c>
      <c r="AF29" s="129">
        <v>130416</v>
      </c>
      <c r="AG29" s="129">
        <f t="shared" si="2"/>
        <v>-8159</v>
      </c>
      <c r="AH29" s="129"/>
    </row>
    <row r="30" spans="1:35">
      <c r="A30" s="105" t="s">
        <v>251</v>
      </c>
      <c r="B30" s="105" t="s">
        <v>1091</v>
      </c>
      <c r="C30" s="105" t="s">
        <v>468</v>
      </c>
      <c r="D30" s="265">
        <v>62565</v>
      </c>
      <c r="E30" s="126">
        <v>62565</v>
      </c>
      <c r="F30" s="126">
        <v>65693.25</v>
      </c>
      <c r="G30" s="126">
        <v>65693.25</v>
      </c>
      <c r="H30" s="126">
        <v>65693.25</v>
      </c>
      <c r="I30" s="126">
        <v>65693.25</v>
      </c>
      <c r="J30" s="126">
        <v>65693.25</v>
      </c>
      <c r="K30" s="126">
        <v>65693.25</v>
      </c>
      <c r="L30" s="126">
        <v>65693.25</v>
      </c>
      <c r="M30" s="126">
        <v>65693.25</v>
      </c>
      <c r="N30" s="126">
        <v>65693.25</v>
      </c>
      <c r="O30" s="126">
        <v>65693.25</v>
      </c>
      <c r="P30" s="117">
        <f>SUM(D30:O30)</f>
        <v>782062.5</v>
      </c>
      <c r="Q30" s="141">
        <v>64500</v>
      </c>
      <c r="R30" s="141">
        <v>64500</v>
      </c>
      <c r="S30" s="141">
        <v>64500</v>
      </c>
      <c r="T30" s="141">
        <v>64500</v>
      </c>
      <c r="U30" s="141">
        <v>64500</v>
      </c>
      <c r="V30" s="141">
        <v>64500</v>
      </c>
      <c r="W30" s="325">
        <v>64500</v>
      </c>
      <c r="X30" s="325">
        <v>64500</v>
      </c>
      <c r="Y30" s="325">
        <v>65623</v>
      </c>
      <c r="Z30" s="325">
        <v>65623</v>
      </c>
      <c r="AA30" s="325">
        <v>65623</v>
      </c>
      <c r="AB30" s="325">
        <v>65623</v>
      </c>
      <c r="AC30" s="117">
        <f>SUM(Q30:AB30)</f>
        <v>778492</v>
      </c>
      <c r="AD30" s="170">
        <f>AC30-P30</f>
        <v>-3570.5</v>
      </c>
      <c r="AE30" s="192">
        <f>AD30/AC30</f>
        <v>-4.5864312028896896E-3</v>
      </c>
      <c r="AF30" s="129">
        <v>1423412.61</v>
      </c>
      <c r="AG30" s="129">
        <f t="shared" si="2"/>
        <v>641350.1100000001</v>
      </c>
      <c r="AH30" s="129"/>
    </row>
    <row r="31" spans="1:35" s="109" customFormat="1">
      <c r="C31" s="109" t="s">
        <v>520</v>
      </c>
      <c r="D31" s="117">
        <f t="shared" ref="D31:O31" si="10">SUM(D29:D30)</f>
        <v>74065</v>
      </c>
      <c r="E31" s="117">
        <f t="shared" si="10"/>
        <v>74065</v>
      </c>
      <c r="F31" s="117">
        <f t="shared" si="10"/>
        <v>77250.75</v>
      </c>
      <c r="G31" s="117">
        <f t="shared" si="10"/>
        <v>77250.75</v>
      </c>
      <c r="H31" s="117">
        <f t="shared" si="10"/>
        <v>77250.75</v>
      </c>
      <c r="I31" s="117">
        <f t="shared" si="10"/>
        <v>77250.75</v>
      </c>
      <c r="J31" s="117">
        <f t="shared" si="10"/>
        <v>77250.75</v>
      </c>
      <c r="K31" s="117">
        <f t="shared" si="10"/>
        <v>77250.75</v>
      </c>
      <c r="L31" s="117">
        <f t="shared" si="10"/>
        <v>77250.75</v>
      </c>
      <c r="M31" s="117">
        <f t="shared" si="10"/>
        <v>77250.75</v>
      </c>
      <c r="N31" s="117">
        <f t="shared" si="10"/>
        <v>77250.75</v>
      </c>
      <c r="O31" s="117">
        <f t="shared" si="10"/>
        <v>77250.75</v>
      </c>
      <c r="P31" s="117">
        <f>SUM(P29:P30)</f>
        <v>920637.5</v>
      </c>
      <c r="Q31" s="127">
        <f t="shared" ref="Q31:AC31" si="11">SUM(Q29:Q30)</f>
        <v>76000</v>
      </c>
      <c r="R31" s="127">
        <f t="shared" si="11"/>
        <v>76000</v>
      </c>
      <c r="S31" s="127">
        <f t="shared" si="11"/>
        <v>76000</v>
      </c>
      <c r="T31" s="127">
        <f t="shared" si="11"/>
        <v>76000</v>
      </c>
      <c r="U31" s="127">
        <f t="shared" si="11"/>
        <v>76000</v>
      </c>
      <c r="V31" s="127">
        <f t="shared" si="11"/>
        <v>76000</v>
      </c>
      <c r="W31" s="127">
        <f t="shared" si="11"/>
        <v>76000</v>
      </c>
      <c r="X31" s="127">
        <f t="shared" si="11"/>
        <v>76000</v>
      </c>
      <c r="Y31" s="127">
        <f t="shared" si="11"/>
        <v>77123</v>
      </c>
      <c r="Z31" s="127">
        <f t="shared" si="11"/>
        <v>77123</v>
      </c>
      <c r="AA31" s="127">
        <f t="shared" si="11"/>
        <v>77123</v>
      </c>
      <c r="AB31" s="127">
        <f t="shared" si="11"/>
        <v>77123</v>
      </c>
      <c r="AC31" s="127">
        <f t="shared" si="11"/>
        <v>916492</v>
      </c>
      <c r="AD31" s="142">
        <f>AC31-P31</f>
        <v>-4145.5</v>
      </c>
      <c r="AE31" s="192">
        <f>AD31/AC31</f>
        <v>-4.5232255164256753E-3</v>
      </c>
      <c r="AF31" s="129">
        <v>1553828.61</v>
      </c>
      <c r="AG31" s="129">
        <f t="shared" si="2"/>
        <v>633191.1100000001</v>
      </c>
      <c r="AH31" s="129"/>
    </row>
    <row r="32" spans="1:35">
      <c r="C32" s="105" t="s">
        <v>154</v>
      </c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7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7"/>
      <c r="AD32" s="170"/>
      <c r="AF32" s="129"/>
      <c r="AG32" s="129">
        <f t="shared" si="2"/>
        <v>0</v>
      </c>
      <c r="AH32" s="129"/>
    </row>
    <row r="33" spans="1:34">
      <c r="A33" s="105" t="s">
        <v>870</v>
      </c>
      <c r="B33" s="105" t="s">
        <v>1091</v>
      </c>
      <c r="C33" s="105" t="s">
        <v>260</v>
      </c>
      <c r="D33" s="265">
        <v>24937.940000000002</v>
      </c>
      <c r="E33" s="265">
        <v>0</v>
      </c>
      <c r="F33" s="265">
        <v>0</v>
      </c>
      <c r="G33" s="265">
        <v>5517.2400000000007</v>
      </c>
      <c r="H33" s="265">
        <v>11186.22</v>
      </c>
      <c r="I33" s="265">
        <v>0</v>
      </c>
      <c r="J33" s="265">
        <v>0</v>
      </c>
      <c r="K33" s="265">
        <v>0</v>
      </c>
      <c r="L33" s="265">
        <v>0</v>
      </c>
      <c r="M33" s="265">
        <v>29751.739999999998</v>
      </c>
      <c r="N33" s="265">
        <v>0</v>
      </c>
      <c r="O33" s="265">
        <v>0</v>
      </c>
      <c r="P33" s="117">
        <f>SUM(D33:O33)</f>
        <v>71393.14</v>
      </c>
      <c r="Q33" s="141">
        <v>6399.99</v>
      </c>
      <c r="R33" s="141">
        <v>18937.95</v>
      </c>
      <c r="S33" s="141">
        <v>0</v>
      </c>
      <c r="T33" s="141">
        <v>5075.8500000000004</v>
      </c>
      <c r="U33" s="141">
        <v>6496.56</v>
      </c>
      <c r="V33" s="141">
        <v>5420.7</v>
      </c>
      <c r="W33" s="325">
        <v>0</v>
      </c>
      <c r="X33" s="325">
        <v>0</v>
      </c>
      <c r="Y33" s="325">
        <v>9197</v>
      </c>
      <c r="Z33" s="325">
        <v>27591</v>
      </c>
      <c r="AA33" s="325">
        <v>0</v>
      </c>
      <c r="AB33" s="325">
        <v>0</v>
      </c>
      <c r="AC33" s="117">
        <f>SUM(Q33:AB33)</f>
        <v>79119.049999999988</v>
      </c>
      <c r="AD33" s="170">
        <f t="shared" ref="AD33:AD38" si="12">AC33-P33</f>
        <v>7725.9099999999889</v>
      </c>
      <c r="AE33" s="192">
        <f t="shared" ref="AE33:AE38" si="13">AD33/AC33</f>
        <v>9.7649175514619935E-2</v>
      </c>
      <c r="AF33" s="129">
        <v>134454.53999999998</v>
      </c>
      <c r="AG33" s="129">
        <f t="shared" si="2"/>
        <v>63061.39999999998</v>
      </c>
      <c r="AH33" s="129"/>
    </row>
    <row r="34" spans="1:34">
      <c r="A34" s="105" t="s">
        <v>120</v>
      </c>
      <c r="B34" s="105" t="s">
        <v>1091</v>
      </c>
      <c r="C34" s="105" t="s">
        <v>261</v>
      </c>
      <c r="D34" s="265">
        <v>12666.65</v>
      </c>
      <c r="E34" s="265">
        <v>12666.65</v>
      </c>
      <c r="F34" s="265">
        <v>12666.65</v>
      </c>
      <c r="G34" s="265">
        <v>12666.65</v>
      </c>
      <c r="H34" s="265">
        <v>12666.65</v>
      </c>
      <c r="I34" s="265">
        <v>12666.65</v>
      </c>
      <c r="J34" s="265">
        <v>12666.65</v>
      </c>
      <c r="K34" s="265">
        <v>12666.65</v>
      </c>
      <c r="L34" s="265">
        <v>12666.65</v>
      </c>
      <c r="M34" s="265">
        <v>12666.65</v>
      </c>
      <c r="N34" s="265">
        <v>12666.65</v>
      </c>
      <c r="O34" s="265">
        <v>12666.65</v>
      </c>
      <c r="P34" s="117">
        <f>SUM(D34:O34)</f>
        <v>151999.79999999996</v>
      </c>
      <c r="Q34" s="141">
        <v>18972.68</v>
      </c>
      <c r="R34" s="141">
        <v>19021.66</v>
      </c>
      <c r="S34" s="141">
        <v>19023.560000000001</v>
      </c>
      <c r="T34" s="141">
        <v>12657.42</v>
      </c>
      <c r="U34" s="141">
        <v>12687.4</v>
      </c>
      <c r="V34" s="141">
        <v>12676.7</v>
      </c>
      <c r="W34" s="325">
        <v>12664.95</v>
      </c>
      <c r="X34" s="325">
        <v>12670.8</v>
      </c>
      <c r="Y34" s="325">
        <v>12853.83</v>
      </c>
      <c r="Z34" s="325">
        <v>12853.83</v>
      </c>
      <c r="AA34" s="325">
        <v>12853.83</v>
      </c>
      <c r="AB34" s="325">
        <v>12853.83</v>
      </c>
      <c r="AC34" s="117">
        <f>SUM(Q34:AB34)</f>
        <v>171790.48999999993</v>
      </c>
      <c r="AD34" s="170">
        <f t="shared" si="12"/>
        <v>19790.689999999973</v>
      </c>
      <c r="AE34" s="192">
        <f t="shared" si="13"/>
        <v>0.11520247715691352</v>
      </c>
      <c r="AF34" s="129">
        <v>332976</v>
      </c>
      <c r="AG34" s="129">
        <f t="shared" si="2"/>
        <v>180976.20000000004</v>
      </c>
      <c r="AH34" s="129"/>
    </row>
    <row r="35" spans="1:34">
      <c r="A35" s="105" t="s">
        <v>871</v>
      </c>
      <c r="B35" s="105" t="s">
        <v>1091</v>
      </c>
      <c r="C35" s="106" t="s">
        <v>1099</v>
      </c>
      <c r="D35" s="265">
        <v>18070</v>
      </c>
      <c r="E35" s="265">
        <v>18070</v>
      </c>
      <c r="F35" s="265">
        <v>18070</v>
      </c>
      <c r="G35" s="265">
        <v>18070</v>
      </c>
      <c r="H35" s="265">
        <v>18070</v>
      </c>
      <c r="I35" s="265">
        <v>18070</v>
      </c>
      <c r="J35" s="265">
        <v>18070</v>
      </c>
      <c r="K35" s="265">
        <v>18070</v>
      </c>
      <c r="L35" s="265">
        <v>18070</v>
      </c>
      <c r="M35" s="265">
        <v>18070</v>
      </c>
      <c r="N35" s="265">
        <v>18070</v>
      </c>
      <c r="O35" s="265">
        <v>18070</v>
      </c>
      <c r="P35" s="117">
        <f>SUM(D35:O35)</f>
        <v>216840</v>
      </c>
      <c r="Q35" s="141">
        <v>19025</v>
      </c>
      <c r="R35" s="141">
        <v>19200</v>
      </c>
      <c r="S35" s="141">
        <v>19075</v>
      </c>
      <c r="T35" s="141">
        <v>19190</v>
      </c>
      <c r="U35" s="141">
        <v>17740</v>
      </c>
      <c r="V35" s="141">
        <v>19010</v>
      </c>
      <c r="W35" s="325">
        <v>19015</v>
      </c>
      <c r="X35" s="325">
        <v>19045</v>
      </c>
      <c r="Y35" s="325">
        <v>20095</v>
      </c>
      <c r="Z35" s="325">
        <v>20095</v>
      </c>
      <c r="AA35" s="325">
        <v>20095</v>
      </c>
      <c r="AB35" s="325">
        <v>20095</v>
      </c>
      <c r="AC35" s="117">
        <f>SUM(Q35:AB35)</f>
        <v>231680</v>
      </c>
      <c r="AD35" s="170">
        <f t="shared" si="12"/>
        <v>14840</v>
      </c>
      <c r="AE35" s="192">
        <f t="shared" si="13"/>
        <v>6.4053867403314924E-2</v>
      </c>
      <c r="AF35" s="129">
        <v>259913</v>
      </c>
      <c r="AG35" s="129">
        <f t="shared" si="2"/>
        <v>43073</v>
      </c>
      <c r="AH35" s="129"/>
    </row>
    <row r="36" spans="1:34">
      <c r="A36" s="105" t="s">
        <v>872</v>
      </c>
      <c r="B36" s="105" t="s">
        <v>1091</v>
      </c>
      <c r="C36" s="106" t="s">
        <v>1100</v>
      </c>
      <c r="D36" s="265">
        <v>0</v>
      </c>
      <c r="E36" s="265">
        <v>0</v>
      </c>
      <c r="F36" s="265">
        <v>0</v>
      </c>
      <c r="G36" s="265">
        <v>0</v>
      </c>
      <c r="H36" s="265">
        <v>0</v>
      </c>
      <c r="I36" s="265">
        <v>0</v>
      </c>
      <c r="J36" s="265">
        <v>0</v>
      </c>
      <c r="K36" s="265">
        <v>0</v>
      </c>
      <c r="L36" s="265">
        <v>0</v>
      </c>
      <c r="M36" s="265">
        <v>0</v>
      </c>
      <c r="N36" s="265">
        <v>0</v>
      </c>
      <c r="O36" s="265">
        <v>0</v>
      </c>
      <c r="P36" s="117">
        <f>SUM(D36:O36)</f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325">
        <v>0</v>
      </c>
      <c r="X36" s="325">
        <v>0</v>
      </c>
      <c r="Y36" s="325">
        <v>0</v>
      </c>
      <c r="Z36" s="325">
        <v>0</v>
      </c>
      <c r="AA36" s="325">
        <v>0</v>
      </c>
      <c r="AB36" s="325">
        <v>0</v>
      </c>
      <c r="AC36" s="117">
        <f>SUM(Q36:AB36)</f>
        <v>0</v>
      </c>
      <c r="AD36" s="170">
        <f t="shared" si="12"/>
        <v>0</v>
      </c>
      <c r="AE36" s="192" t="e">
        <f t="shared" si="13"/>
        <v>#DIV/0!</v>
      </c>
      <c r="AF36" s="129">
        <v>0</v>
      </c>
      <c r="AG36" s="129">
        <f t="shared" si="2"/>
        <v>0</v>
      </c>
      <c r="AH36" s="129"/>
    </row>
    <row r="37" spans="1:34">
      <c r="A37" s="105" t="s">
        <v>873</v>
      </c>
      <c r="B37" s="105" t="s">
        <v>1091</v>
      </c>
      <c r="C37" s="105" t="s">
        <v>264</v>
      </c>
      <c r="D37" s="265">
        <v>6600</v>
      </c>
      <c r="E37" s="265">
        <v>6600</v>
      </c>
      <c r="F37" s="265">
        <v>6600</v>
      </c>
      <c r="G37" s="265">
        <v>6600</v>
      </c>
      <c r="H37" s="265">
        <v>6600</v>
      </c>
      <c r="I37" s="265">
        <v>6600</v>
      </c>
      <c r="J37" s="265">
        <v>6600</v>
      </c>
      <c r="K37" s="265">
        <v>6600</v>
      </c>
      <c r="L37" s="265">
        <v>6600</v>
      </c>
      <c r="M37" s="265">
        <v>6600</v>
      </c>
      <c r="N37" s="265">
        <v>6600</v>
      </c>
      <c r="O37" s="265">
        <v>6600</v>
      </c>
      <c r="P37" s="117">
        <f>SUM(D37:O37)</f>
        <v>79200</v>
      </c>
      <c r="Q37" s="141">
        <v>6600</v>
      </c>
      <c r="R37" s="141">
        <v>6600</v>
      </c>
      <c r="S37" s="141">
        <v>6600</v>
      </c>
      <c r="T37" s="141">
        <v>6574.08</v>
      </c>
      <c r="U37" s="141">
        <v>6600</v>
      </c>
      <c r="V37" s="141">
        <v>6600</v>
      </c>
      <c r="W37" s="325">
        <v>6400</v>
      </c>
      <c r="X37" s="325">
        <v>6250.4</v>
      </c>
      <c r="Y37" s="325">
        <v>3800</v>
      </c>
      <c r="Z37" s="325">
        <v>3800</v>
      </c>
      <c r="AA37" s="325">
        <v>3800</v>
      </c>
      <c r="AB37" s="325">
        <v>3800</v>
      </c>
      <c r="AC37" s="117">
        <f>SUM(Q37:AB37)</f>
        <v>67424.48000000001</v>
      </c>
      <c r="AD37" s="170">
        <f t="shared" si="12"/>
        <v>-11775.51999999999</v>
      </c>
      <c r="AE37" s="192">
        <f t="shared" si="13"/>
        <v>-0.17464754641044303</v>
      </c>
      <c r="AF37" s="129">
        <v>96007.739999999991</v>
      </c>
      <c r="AG37" s="129">
        <f t="shared" si="2"/>
        <v>16807.739999999991</v>
      </c>
      <c r="AH37" s="129"/>
    </row>
    <row r="38" spans="1:34" s="109" customFormat="1">
      <c r="C38" s="109" t="s">
        <v>521</v>
      </c>
      <c r="D38" s="117">
        <f t="shared" ref="D38:O38" si="14">SUM(D33:D37)</f>
        <v>62274.590000000004</v>
      </c>
      <c r="E38" s="117">
        <f t="shared" si="14"/>
        <v>37336.65</v>
      </c>
      <c r="F38" s="117">
        <f t="shared" si="14"/>
        <v>37336.65</v>
      </c>
      <c r="G38" s="117">
        <f t="shared" si="14"/>
        <v>42853.89</v>
      </c>
      <c r="H38" s="117">
        <f t="shared" si="14"/>
        <v>48522.869999999995</v>
      </c>
      <c r="I38" s="117">
        <f t="shared" si="14"/>
        <v>37336.65</v>
      </c>
      <c r="J38" s="117">
        <f t="shared" si="14"/>
        <v>37336.65</v>
      </c>
      <c r="K38" s="117">
        <f t="shared" si="14"/>
        <v>37336.65</v>
      </c>
      <c r="L38" s="117">
        <f t="shared" si="14"/>
        <v>37336.65</v>
      </c>
      <c r="M38" s="117">
        <f t="shared" si="14"/>
        <v>67088.39</v>
      </c>
      <c r="N38" s="117">
        <f t="shared" si="14"/>
        <v>37336.65</v>
      </c>
      <c r="O38" s="117">
        <f t="shared" si="14"/>
        <v>37336.65</v>
      </c>
      <c r="P38" s="117">
        <f>SUM(P33:P37)</f>
        <v>519432.93999999994</v>
      </c>
      <c r="Q38" s="127">
        <f t="shared" ref="Q38:AC38" si="15">SUM(Q33:Q37)</f>
        <v>50997.67</v>
      </c>
      <c r="R38" s="127">
        <f t="shared" si="15"/>
        <v>63759.61</v>
      </c>
      <c r="S38" s="127">
        <f t="shared" si="15"/>
        <v>44698.559999999998</v>
      </c>
      <c r="T38" s="127">
        <f t="shared" si="15"/>
        <v>43497.350000000006</v>
      </c>
      <c r="U38" s="127">
        <f t="shared" si="15"/>
        <v>43523.96</v>
      </c>
      <c r="V38" s="127">
        <f t="shared" si="15"/>
        <v>43707.4</v>
      </c>
      <c r="W38" s="127">
        <f t="shared" si="15"/>
        <v>38079.949999999997</v>
      </c>
      <c r="X38" s="127">
        <f t="shared" si="15"/>
        <v>37966.199999999997</v>
      </c>
      <c r="Y38" s="127">
        <f t="shared" si="15"/>
        <v>45945.83</v>
      </c>
      <c r="Z38" s="127">
        <f t="shared" si="15"/>
        <v>64339.83</v>
      </c>
      <c r="AA38" s="127">
        <f t="shared" si="15"/>
        <v>36748.83</v>
      </c>
      <c r="AB38" s="127">
        <f t="shared" si="15"/>
        <v>36748.83</v>
      </c>
      <c r="AC38" s="127">
        <f t="shared" si="15"/>
        <v>550014.0199999999</v>
      </c>
      <c r="AD38" s="142">
        <f t="shared" si="12"/>
        <v>30581.079999999958</v>
      </c>
      <c r="AE38" s="192">
        <f t="shared" si="13"/>
        <v>5.5600546327891721E-2</v>
      </c>
      <c r="AF38" s="129">
        <v>823351.28</v>
      </c>
      <c r="AG38" s="129">
        <f t="shared" si="2"/>
        <v>303918.34000000008</v>
      </c>
      <c r="AH38" s="129"/>
    </row>
    <row r="39" spans="1:34">
      <c r="C39" s="105" t="s">
        <v>154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7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7"/>
      <c r="AD39" s="170"/>
      <c r="AF39" s="129"/>
      <c r="AG39" s="129">
        <f t="shared" si="2"/>
        <v>0</v>
      </c>
      <c r="AH39" s="129"/>
    </row>
    <row r="40" spans="1:34">
      <c r="A40" s="105" t="s">
        <v>874</v>
      </c>
      <c r="B40" s="105" t="s">
        <v>1091</v>
      </c>
      <c r="C40" s="105" t="s">
        <v>266</v>
      </c>
      <c r="D40" s="265">
        <v>19396.04</v>
      </c>
      <c r="E40" s="265">
        <v>19396.04</v>
      </c>
      <c r="F40" s="265">
        <v>19396.04</v>
      </c>
      <c r="G40" s="265">
        <v>19396.04</v>
      </c>
      <c r="H40" s="265">
        <v>19396.04</v>
      </c>
      <c r="I40" s="265">
        <v>19396.04</v>
      </c>
      <c r="J40" s="265">
        <v>19684.100000000002</v>
      </c>
      <c r="K40" s="265">
        <v>19684.100000000002</v>
      </c>
      <c r="L40" s="265">
        <v>19684.100000000002</v>
      </c>
      <c r="M40" s="265">
        <v>19684.100000000002</v>
      </c>
      <c r="N40" s="265">
        <v>19684.100000000002</v>
      </c>
      <c r="O40" s="265">
        <v>19684.100000000002</v>
      </c>
      <c r="P40" s="117">
        <f>SUM(D40:O40)</f>
        <v>234480.84000000005</v>
      </c>
      <c r="Q40" s="141">
        <v>20416.919999999998</v>
      </c>
      <c r="R40" s="141">
        <v>19644.12</v>
      </c>
      <c r="S40" s="141">
        <v>20416.919999999998</v>
      </c>
      <c r="T40" s="141">
        <v>20416.919999999998</v>
      </c>
      <c r="U40" s="141">
        <v>20416.919999999998</v>
      </c>
      <c r="V40" s="141">
        <v>20416.919999999998</v>
      </c>
      <c r="W40" s="325">
        <v>20416.919999999998</v>
      </c>
      <c r="X40" s="325">
        <v>20416.919999999998</v>
      </c>
      <c r="Y40" s="325">
        <v>20514</v>
      </c>
      <c r="Z40" s="325">
        <v>20514</v>
      </c>
      <c r="AA40" s="325">
        <v>20514</v>
      </c>
      <c r="AB40" s="325">
        <v>20514</v>
      </c>
      <c r="AC40" s="117">
        <f t="shared" ref="AC40:AC47" si="16">SUM(Q40:AB40)</f>
        <v>244618.56</v>
      </c>
      <c r="AD40" s="170">
        <f t="shared" ref="AD40:AD48" si="17">AC40-P40</f>
        <v>10137.719999999943</v>
      </c>
      <c r="AE40" s="192">
        <f t="shared" ref="AE40:AE48" si="18">AD40/AC40</f>
        <v>4.1442971457275941E-2</v>
      </c>
      <c r="AF40" s="129">
        <v>389552.0199999999</v>
      </c>
      <c r="AG40" s="129">
        <f t="shared" si="2"/>
        <v>155071.17999999985</v>
      </c>
      <c r="AH40" s="129"/>
    </row>
    <row r="41" spans="1:34">
      <c r="A41" s="105" t="s">
        <v>875</v>
      </c>
      <c r="B41" s="105" t="s">
        <v>1091</v>
      </c>
      <c r="C41" s="105" t="s">
        <v>267</v>
      </c>
      <c r="D41" s="265">
        <v>7862.5099999999984</v>
      </c>
      <c r="E41" s="265">
        <v>7862.5099999999984</v>
      </c>
      <c r="F41" s="265">
        <v>7862.5099999999984</v>
      </c>
      <c r="G41" s="265">
        <v>7862.5099999999984</v>
      </c>
      <c r="H41" s="265">
        <v>7862.5099999999984</v>
      </c>
      <c r="I41" s="265">
        <v>7862.5099999999984</v>
      </c>
      <c r="J41" s="265">
        <v>7955.9599999999991</v>
      </c>
      <c r="K41" s="265">
        <v>7955.9599999999991</v>
      </c>
      <c r="L41" s="265">
        <v>7955.9599999999991</v>
      </c>
      <c r="M41" s="265">
        <v>7955.9599999999991</v>
      </c>
      <c r="N41" s="265">
        <v>7955.9599999999991</v>
      </c>
      <c r="O41" s="265">
        <v>7955.9599999999991</v>
      </c>
      <c r="P41" s="117">
        <f t="shared" ref="P41:P47" si="19">SUM(D41:O41)</f>
        <v>94910.819999999949</v>
      </c>
      <c r="Q41" s="141">
        <v>10846.49</v>
      </c>
      <c r="R41" s="141">
        <v>10435.94</v>
      </c>
      <c r="S41" s="141">
        <v>10846.49</v>
      </c>
      <c r="T41" s="141">
        <v>10846.49</v>
      </c>
      <c r="U41" s="141">
        <v>10846.49</v>
      </c>
      <c r="V41" s="141">
        <v>10846.49</v>
      </c>
      <c r="W41" s="325">
        <v>8294.3700000000008</v>
      </c>
      <c r="X41" s="325">
        <v>8294.3700000000008</v>
      </c>
      <c r="Y41" s="325">
        <v>10797</v>
      </c>
      <c r="Z41" s="325">
        <v>10797</v>
      </c>
      <c r="AA41" s="325">
        <v>10797</v>
      </c>
      <c r="AB41" s="325">
        <v>10797</v>
      </c>
      <c r="AC41" s="117">
        <f t="shared" si="16"/>
        <v>124445.12999999999</v>
      </c>
      <c r="AD41" s="170">
        <f t="shared" si="17"/>
        <v>29534.310000000041</v>
      </c>
      <c r="AE41" s="192">
        <f t="shared" si="18"/>
        <v>0.23732796936288342</v>
      </c>
      <c r="AF41" s="129">
        <v>189246.56999999998</v>
      </c>
      <c r="AG41" s="129">
        <f t="shared" si="2"/>
        <v>94335.750000000029</v>
      </c>
      <c r="AH41" s="129"/>
    </row>
    <row r="42" spans="1:34">
      <c r="A42" s="105" t="s">
        <v>876</v>
      </c>
      <c r="B42" s="105" t="s">
        <v>1091</v>
      </c>
      <c r="C42" s="105" t="s">
        <v>268</v>
      </c>
      <c r="D42" s="265">
        <v>604.80999999999995</v>
      </c>
      <c r="E42" s="265">
        <v>604.80999999999995</v>
      </c>
      <c r="F42" s="265">
        <v>604.80999999999995</v>
      </c>
      <c r="G42" s="265">
        <v>604.80999999999995</v>
      </c>
      <c r="H42" s="265">
        <v>604.80999999999995</v>
      </c>
      <c r="I42" s="265">
        <v>604.80999999999995</v>
      </c>
      <c r="J42" s="265">
        <v>612.01</v>
      </c>
      <c r="K42" s="265">
        <v>612.01</v>
      </c>
      <c r="L42" s="265">
        <v>612.01</v>
      </c>
      <c r="M42" s="265">
        <v>612.01</v>
      </c>
      <c r="N42" s="265">
        <v>612.01</v>
      </c>
      <c r="O42" s="265">
        <v>612.01</v>
      </c>
      <c r="P42" s="117">
        <f t="shared" si="19"/>
        <v>7300.920000000001</v>
      </c>
      <c r="Q42" s="141">
        <v>638.02</v>
      </c>
      <c r="R42" s="141">
        <v>613.87</v>
      </c>
      <c r="S42" s="141">
        <v>638.02</v>
      </c>
      <c r="T42" s="141">
        <v>638.02</v>
      </c>
      <c r="U42" s="141">
        <v>638.02</v>
      </c>
      <c r="V42" s="141">
        <v>638.02</v>
      </c>
      <c r="W42" s="325">
        <v>638.02</v>
      </c>
      <c r="X42" s="325">
        <v>638.02</v>
      </c>
      <c r="Y42" s="325">
        <v>643</v>
      </c>
      <c r="Z42" s="325">
        <v>643</v>
      </c>
      <c r="AA42" s="325">
        <v>643</v>
      </c>
      <c r="AB42" s="325">
        <v>643</v>
      </c>
      <c r="AC42" s="117">
        <f t="shared" si="16"/>
        <v>7652.01</v>
      </c>
      <c r="AD42" s="170">
        <f t="shared" si="17"/>
        <v>351.08999999999924</v>
      </c>
      <c r="AE42" s="192">
        <f t="shared" si="18"/>
        <v>4.5882062360085678E-2</v>
      </c>
      <c r="AF42" s="129">
        <v>11594.68</v>
      </c>
      <c r="AG42" s="129">
        <f t="shared" si="2"/>
        <v>4293.7599999999993</v>
      </c>
      <c r="AH42" s="129"/>
    </row>
    <row r="43" spans="1:34">
      <c r="A43" s="105" t="s">
        <v>877</v>
      </c>
      <c r="B43" s="105" t="s">
        <v>1091</v>
      </c>
      <c r="C43" s="105" t="s">
        <v>269</v>
      </c>
      <c r="D43" s="265">
        <v>145.13</v>
      </c>
      <c r="E43" s="265">
        <v>145.13</v>
      </c>
      <c r="F43" s="265">
        <v>145.13</v>
      </c>
      <c r="G43" s="265">
        <v>145.13</v>
      </c>
      <c r="H43" s="265">
        <v>145.13</v>
      </c>
      <c r="I43" s="265">
        <v>145.13</v>
      </c>
      <c r="J43" s="265">
        <v>146.88</v>
      </c>
      <c r="K43" s="265">
        <v>146.88</v>
      </c>
      <c r="L43" s="265">
        <v>146.88</v>
      </c>
      <c r="M43" s="265">
        <v>146.88</v>
      </c>
      <c r="N43" s="265">
        <v>146.88</v>
      </c>
      <c r="O43" s="265">
        <v>146.88</v>
      </c>
      <c r="P43" s="117">
        <f t="shared" si="19"/>
        <v>1752.0600000000004</v>
      </c>
      <c r="Q43" s="141">
        <v>153.13999999999999</v>
      </c>
      <c r="R43" s="141">
        <v>147.34</v>
      </c>
      <c r="S43" s="141">
        <v>153.13999999999999</v>
      </c>
      <c r="T43" s="141">
        <v>153.13999999999999</v>
      </c>
      <c r="U43" s="141">
        <v>153.13999999999999</v>
      </c>
      <c r="V43" s="141">
        <v>153.13999999999999</v>
      </c>
      <c r="W43" s="325">
        <v>153.13999999999999</v>
      </c>
      <c r="X43" s="325">
        <v>153.13999999999999</v>
      </c>
      <c r="Y43" s="325">
        <v>172</v>
      </c>
      <c r="Z43" s="325">
        <v>172</v>
      </c>
      <c r="AA43" s="325">
        <v>172</v>
      </c>
      <c r="AB43" s="325">
        <v>172</v>
      </c>
      <c r="AC43" s="117">
        <f t="shared" si="16"/>
        <v>1907.3199999999997</v>
      </c>
      <c r="AD43" s="170">
        <f t="shared" si="17"/>
        <v>155.25999999999931</v>
      </c>
      <c r="AE43" s="192">
        <f t="shared" si="18"/>
        <v>8.1402176876454568E-2</v>
      </c>
      <c r="AF43" s="129">
        <v>3710.2300000000005</v>
      </c>
      <c r="AG43" s="129">
        <f t="shared" si="2"/>
        <v>1958.17</v>
      </c>
      <c r="AH43" s="129"/>
    </row>
    <row r="44" spans="1:34">
      <c r="A44" s="105" t="s">
        <v>878</v>
      </c>
      <c r="B44" s="105" t="s">
        <v>1091</v>
      </c>
      <c r="C44" s="105" t="s">
        <v>270</v>
      </c>
      <c r="D44" s="265">
        <v>0</v>
      </c>
      <c r="E44" s="265">
        <v>0</v>
      </c>
      <c r="F44" s="265">
        <v>0</v>
      </c>
      <c r="G44" s="265">
        <v>0</v>
      </c>
      <c r="H44" s="265">
        <v>0</v>
      </c>
      <c r="I44" s="265">
        <v>0</v>
      </c>
      <c r="J44" s="265">
        <v>0</v>
      </c>
      <c r="K44" s="265">
        <v>0</v>
      </c>
      <c r="L44" s="265">
        <v>0</v>
      </c>
      <c r="M44" s="265">
        <v>0</v>
      </c>
      <c r="N44" s="265">
        <v>0</v>
      </c>
      <c r="O44" s="265">
        <v>0</v>
      </c>
      <c r="P44" s="117">
        <f t="shared" si="19"/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41">
        <v>0</v>
      </c>
      <c r="W44" s="325">
        <v>0</v>
      </c>
      <c r="X44" s="325">
        <v>0</v>
      </c>
      <c r="Y44" s="325">
        <v>0</v>
      </c>
      <c r="Z44" s="325">
        <v>0</v>
      </c>
      <c r="AA44" s="325">
        <v>0</v>
      </c>
      <c r="AB44" s="325">
        <v>0</v>
      </c>
      <c r="AC44" s="117">
        <f t="shared" si="16"/>
        <v>0</v>
      </c>
      <c r="AD44" s="170">
        <f t="shared" si="17"/>
        <v>0</v>
      </c>
      <c r="AE44" s="192" t="e">
        <f t="shared" si="18"/>
        <v>#DIV/0!</v>
      </c>
      <c r="AF44" s="129">
        <v>7859.0500000000011</v>
      </c>
      <c r="AG44" s="129">
        <f t="shared" si="2"/>
        <v>7859.0500000000011</v>
      </c>
      <c r="AH44" s="129"/>
    </row>
    <row r="45" spans="1:34">
      <c r="A45" s="105" t="s">
        <v>879</v>
      </c>
      <c r="B45" s="105" t="s">
        <v>1091</v>
      </c>
      <c r="C45" s="105" t="s">
        <v>271</v>
      </c>
      <c r="D45" s="265">
        <v>5964.98</v>
      </c>
      <c r="E45" s="265">
        <v>5964.98</v>
      </c>
      <c r="F45" s="265">
        <v>5964.98</v>
      </c>
      <c r="G45" s="265">
        <v>5964.98</v>
      </c>
      <c r="H45" s="265">
        <v>5964.98</v>
      </c>
      <c r="I45" s="265">
        <v>5964.98</v>
      </c>
      <c r="J45" s="265">
        <v>6120.02</v>
      </c>
      <c r="K45" s="265">
        <v>5964.98</v>
      </c>
      <c r="L45" s="265">
        <v>5964.98</v>
      </c>
      <c r="M45" s="265">
        <v>5964.98</v>
      </c>
      <c r="N45" s="265">
        <v>6120.02</v>
      </c>
      <c r="O45" s="265">
        <v>5964.98</v>
      </c>
      <c r="P45" s="117">
        <f t="shared" si="19"/>
        <v>71889.839999999982</v>
      </c>
      <c r="Q45" s="141">
        <v>6290</v>
      </c>
      <c r="R45" s="141">
        <v>6290</v>
      </c>
      <c r="S45" s="141">
        <v>6290</v>
      </c>
      <c r="T45" s="141">
        <v>6290</v>
      </c>
      <c r="U45" s="141">
        <v>6290</v>
      </c>
      <c r="V45" s="141">
        <v>6290</v>
      </c>
      <c r="W45" s="325">
        <v>6290</v>
      </c>
      <c r="X45" s="325">
        <v>6290</v>
      </c>
      <c r="Y45" s="325">
        <v>6302</v>
      </c>
      <c r="Z45" s="325">
        <v>6302</v>
      </c>
      <c r="AA45" s="325">
        <v>6302</v>
      </c>
      <c r="AB45" s="325">
        <v>6302</v>
      </c>
      <c r="AC45" s="117">
        <f t="shared" si="16"/>
        <v>75528</v>
      </c>
      <c r="AD45" s="170">
        <f t="shared" si="17"/>
        <v>3638.160000000018</v>
      </c>
      <c r="AE45" s="192">
        <f t="shared" si="18"/>
        <v>4.8169685414680891E-2</v>
      </c>
      <c r="AF45" s="129">
        <v>106499</v>
      </c>
      <c r="AG45" s="129">
        <f t="shared" si="2"/>
        <v>34609.160000000018</v>
      </c>
      <c r="AH45" s="129"/>
    </row>
    <row r="46" spans="1:34">
      <c r="A46" s="105" t="s">
        <v>880</v>
      </c>
      <c r="B46" s="105" t="s">
        <v>1091</v>
      </c>
      <c r="C46" s="105" t="s">
        <v>272</v>
      </c>
      <c r="D46" s="265">
        <v>2727</v>
      </c>
      <c r="E46" s="265">
        <v>2228</v>
      </c>
      <c r="F46" s="265">
        <v>2292</v>
      </c>
      <c r="G46" s="265">
        <v>2402</v>
      </c>
      <c r="H46" s="265">
        <v>2515</v>
      </c>
      <c r="I46" s="265">
        <v>2292</v>
      </c>
      <c r="J46" s="265">
        <v>2292</v>
      </c>
      <c r="K46" s="265">
        <v>2292</v>
      </c>
      <c r="L46" s="265">
        <v>2292</v>
      </c>
      <c r="M46" s="265">
        <v>2887</v>
      </c>
      <c r="N46" s="265">
        <v>2292</v>
      </c>
      <c r="O46" s="265">
        <v>2292</v>
      </c>
      <c r="P46" s="117">
        <f t="shared" si="19"/>
        <v>28803</v>
      </c>
      <c r="Q46" s="141">
        <v>2096.5</v>
      </c>
      <c r="R46" s="141">
        <v>2353.16</v>
      </c>
      <c r="S46" s="141">
        <v>4276.9799999999996</v>
      </c>
      <c r="T46" s="141">
        <v>3611.12</v>
      </c>
      <c r="U46" s="141">
        <v>2092.73</v>
      </c>
      <c r="V46" s="141">
        <v>2080.61</v>
      </c>
      <c r="W46" s="325">
        <v>1968.3</v>
      </c>
      <c r="X46" s="325">
        <v>1965.91</v>
      </c>
      <c r="Y46" s="325">
        <v>2515</v>
      </c>
      <c r="Z46" s="325">
        <v>2515</v>
      </c>
      <c r="AA46" s="325">
        <v>2515</v>
      </c>
      <c r="AB46" s="325">
        <v>2515</v>
      </c>
      <c r="AC46" s="117">
        <f t="shared" si="16"/>
        <v>30505.309999999998</v>
      </c>
      <c r="AD46" s="170">
        <f t="shared" si="17"/>
        <v>1702.3099999999977</v>
      </c>
      <c r="AE46" s="192">
        <f t="shared" si="18"/>
        <v>5.5803727285511862E-2</v>
      </c>
      <c r="AF46" s="129">
        <v>50711.429999999993</v>
      </c>
      <c r="AG46" s="129">
        <f t="shared" si="2"/>
        <v>21908.429999999993</v>
      </c>
      <c r="AH46" s="129"/>
    </row>
    <row r="47" spans="1:34">
      <c r="A47" s="105" t="s">
        <v>670</v>
      </c>
      <c r="C47" s="105" t="s">
        <v>274</v>
      </c>
      <c r="D47" s="265">
        <v>0</v>
      </c>
      <c r="E47" s="265">
        <v>0</v>
      </c>
      <c r="F47" s="265">
        <v>0</v>
      </c>
      <c r="G47" s="265">
        <v>0</v>
      </c>
      <c r="H47" s="265">
        <v>0</v>
      </c>
      <c r="I47" s="265">
        <v>0</v>
      </c>
      <c r="J47" s="265">
        <v>0</v>
      </c>
      <c r="K47" s="265">
        <v>0</v>
      </c>
      <c r="L47" s="265">
        <v>0</v>
      </c>
      <c r="M47" s="265">
        <v>0</v>
      </c>
      <c r="N47" s="265">
        <v>0</v>
      </c>
      <c r="O47" s="265">
        <v>0</v>
      </c>
      <c r="P47" s="117">
        <f t="shared" si="19"/>
        <v>0</v>
      </c>
      <c r="Q47" s="141">
        <v>0</v>
      </c>
      <c r="R47" s="141">
        <v>0</v>
      </c>
      <c r="S47" s="141">
        <v>0</v>
      </c>
      <c r="T47" s="141">
        <v>0</v>
      </c>
      <c r="U47" s="141">
        <v>0</v>
      </c>
      <c r="V47" s="141">
        <v>0</v>
      </c>
      <c r="W47" s="325">
        <v>0</v>
      </c>
      <c r="X47" s="325">
        <v>0</v>
      </c>
      <c r="Y47" s="325">
        <v>0</v>
      </c>
      <c r="Z47" s="325">
        <v>0</v>
      </c>
      <c r="AA47" s="325">
        <v>0</v>
      </c>
      <c r="AB47" s="325">
        <v>0</v>
      </c>
      <c r="AC47" s="117">
        <f t="shared" si="16"/>
        <v>0</v>
      </c>
      <c r="AD47" s="170">
        <f t="shared" si="17"/>
        <v>0</v>
      </c>
      <c r="AE47" s="192" t="e">
        <f t="shared" si="18"/>
        <v>#DIV/0!</v>
      </c>
      <c r="AF47" s="129">
        <v>0</v>
      </c>
      <c r="AG47" s="129">
        <f t="shared" si="2"/>
        <v>0</v>
      </c>
      <c r="AH47" s="129"/>
    </row>
    <row r="48" spans="1:34" s="109" customFormat="1">
      <c r="C48" s="109" t="s">
        <v>522</v>
      </c>
      <c r="D48" s="117">
        <f t="shared" ref="D48:AC48" si="20">SUM(D40:D47)</f>
        <v>36700.47</v>
      </c>
      <c r="E48" s="117">
        <f t="shared" si="20"/>
        <v>36201.47</v>
      </c>
      <c r="F48" s="117">
        <f t="shared" si="20"/>
        <v>36265.47</v>
      </c>
      <c r="G48" s="117">
        <f t="shared" si="20"/>
        <v>36375.47</v>
      </c>
      <c r="H48" s="117">
        <f t="shared" si="20"/>
        <v>36488.47</v>
      </c>
      <c r="I48" s="117">
        <f t="shared" si="20"/>
        <v>36265.47</v>
      </c>
      <c r="J48" s="117">
        <f t="shared" si="20"/>
        <v>36810.97</v>
      </c>
      <c r="K48" s="117">
        <f t="shared" si="20"/>
        <v>36655.93</v>
      </c>
      <c r="L48" s="117">
        <f t="shared" si="20"/>
        <v>36655.93</v>
      </c>
      <c r="M48" s="117">
        <f t="shared" si="20"/>
        <v>37250.93</v>
      </c>
      <c r="N48" s="117">
        <f t="shared" si="20"/>
        <v>36810.97</v>
      </c>
      <c r="O48" s="117">
        <f t="shared" si="20"/>
        <v>36655.93</v>
      </c>
      <c r="P48" s="117">
        <f t="shared" si="20"/>
        <v>439137.48</v>
      </c>
      <c r="Q48" s="127">
        <f t="shared" si="20"/>
        <v>40441.069999999992</v>
      </c>
      <c r="R48" s="127">
        <f t="shared" si="20"/>
        <v>39484.429999999993</v>
      </c>
      <c r="S48" s="127">
        <f t="shared" si="20"/>
        <v>42621.549999999988</v>
      </c>
      <c r="T48" s="127">
        <f t="shared" si="20"/>
        <v>41955.689999999995</v>
      </c>
      <c r="U48" s="127">
        <f t="shared" si="20"/>
        <v>40437.299999999996</v>
      </c>
      <c r="V48" s="127">
        <f t="shared" si="20"/>
        <v>40425.179999999993</v>
      </c>
      <c r="W48" s="127">
        <f t="shared" si="20"/>
        <v>37760.75</v>
      </c>
      <c r="X48" s="127">
        <f t="shared" si="20"/>
        <v>37758.36</v>
      </c>
      <c r="Y48" s="127">
        <f t="shared" si="20"/>
        <v>40943</v>
      </c>
      <c r="Z48" s="127">
        <f t="shared" si="20"/>
        <v>40943</v>
      </c>
      <c r="AA48" s="127">
        <f t="shared" si="20"/>
        <v>40943</v>
      </c>
      <c r="AB48" s="127">
        <f t="shared" si="20"/>
        <v>40943</v>
      </c>
      <c r="AC48" s="127">
        <f t="shared" si="20"/>
        <v>484656.33</v>
      </c>
      <c r="AD48" s="142">
        <f t="shared" si="17"/>
        <v>45518.850000000035</v>
      </c>
      <c r="AE48" s="192">
        <f t="shared" si="18"/>
        <v>9.3919850381403325E-2</v>
      </c>
      <c r="AF48" s="129">
        <v>759172.98</v>
      </c>
      <c r="AG48" s="129">
        <f t="shared" si="2"/>
        <v>320035.5</v>
      </c>
      <c r="AH48" s="129"/>
    </row>
    <row r="49" spans="1:34">
      <c r="C49" s="105" t="s">
        <v>154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7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7"/>
      <c r="AD49" s="170"/>
      <c r="AF49" s="129"/>
      <c r="AG49" s="129">
        <f t="shared" si="2"/>
        <v>0</v>
      </c>
      <c r="AH49" s="129"/>
    </row>
    <row r="50" spans="1:34">
      <c r="A50" s="105" t="s">
        <v>131</v>
      </c>
      <c r="B50" s="105" t="s">
        <v>1091</v>
      </c>
      <c r="C50" s="105" t="s">
        <v>276</v>
      </c>
      <c r="D50" s="265">
        <v>0</v>
      </c>
      <c r="E50" s="265">
        <v>0</v>
      </c>
      <c r="F50" s="265">
        <v>0</v>
      </c>
      <c r="G50" s="265">
        <v>0</v>
      </c>
      <c r="H50" s="265">
        <v>0</v>
      </c>
      <c r="I50" s="265">
        <v>0</v>
      </c>
      <c r="J50" s="265">
        <v>0</v>
      </c>
      <c r="K50" s="265">
        <v>0</v>
      </c>
      <c r="L50" s="265">
        <v>0</v>
      </c>
      <c r="M50" s="265">
        <v>0</v>
      </c>
      <c r="N50" s="265">
        <v>0</v>
      </c>
      <c r="O50" s="265">
        <v>0</v>
      </c>
      <c r="P50" s="117">
        <f t="shared" ref="P50:P57" si="21">SUM(D50:O50)</f>
        <v>0</v>
      </c>
      <c r="Q50" s="141">
        <v>0</v>
      </c>
      <c r="R50" s="141">
        <v>0</v>
      </c>
      <c r="S50" s="141">
        <v>0</v>
      </c>
      <c r="T50" s="141">
        <v>0</v>
      </c>
      <c r="U50" s="141">
        <v>0</v>
      </c>
      <c r="V50" s="141">
        <v>0</v>
      </c>
      <c r="W50" s="325">
        <v>0</v>
      </c>
      <c r="X50" s="325">
        <v>0</v>
      </c>
      <c r="Y50" s="325">
        <v>0</v>
      </c>
      <c r="Z50" s="325">
        <v>0</v>
      </c>
      <c r="AA50" s="325">
        <v>0</v>
      </c>
      <c r="AB50" s="325">
        <v>0</v>
      </c>
      <c r="AC50" s="117">
        <f t="shared" ref="AC50:AC57" si="22">SUM(Q50:AB50)</f>
        <v>0</v>
      </c>
      <c r="AD50" s="170">
        <f t="shared" ref="AD50:AD59" si="23">AC50-P50</f>
        <v>0</v>
      </c>
      <c r="AE50" s="192" t="e">
        <f t="shared" ref="AE50:AE59" si="24">AD50/AC50</f>
        <v>#DIV/0!</v>
      </c>
      <c r="AF50" s="129">
        <v>0</v>
      </c>
      <c r="AG50" s="129">
        <f t="shared" si="2"/>
        <v>0</v>
      </c>
      <c r="AH50" s="129"/>
    </row>
    <row r="51" spans="1:34">
      <c r="A51" s="105" t="s">
        <v>132</v>
      </c>
      <c r="B51" s="105" t="s">
        <v>1091</v>
      </c>
      <c r="C51" s="105" t="s">
        <v>277</v>
      </c>
      <c r="D51" s="265">
        <v>0</v>
      </c>
      <c r="E51" s="265">
        <v>0</v>
      </c>
      <c r="F51" s="265">
        <v>0</v>
      </c>
      <c r="G51" s="265">
        <v>0</v>
      </c>
      <c r="H51" s="265">
        <v>0</v>
      </c>
      <c r="I51" s="265">
        <v>0</v>
      </c>
      <c r="J51" s="265">
        <v>0</v>
      </c>
      <c r="K51" s="265">
        <v>0</v>
      </c>
      <c r="L51" s="265">
        <v>0</v>
      </c>
      <c r="M51" s="265">
        <v>0</v>
      </c>
      <c r="N51" s="265">
        <v>0</v>
      </c>
      <c r="O51" s="265">
        <v>0</v>
      </c>
      <c r="P51" s="117">
        <f t="shared" si="21"/>
        <v>0</v>
      </c>
      <c r="Q51" s="141">
        <v>0</v>
      </c>
      <c r="R51" s="141">
        <v>0</v>
      </c>
      <c r="S51" s="141">
        <v>0</v>
      </c>
      <c r="T51" s="141">
        <v>0</v>
      </c>
      <c r="U51" s="141">
        <v>0</v>
      </c>
      <c r="V51" s="141">
        <v>0</v>
      </c>
      <c r="W51" s="325">
        <v>0</v>
      </c>
      <c r="X51" s="325">
        <v>0</v>
      </c>
      <c r="Y51" s="325">
        <v>0</v>
      </c>
      <c r="Z51" s="325">
        <v>0</v>
      </c>
      <c r="AA51" s="325">
        <v>0</v>
      </c>
      <c r="AB51" s="325">
        <v>0</v>
      </c>
      <c r="AC51" s="117">
        <f t="shared" si="22"/>
        <v>0</v>
      </c>
      <c r="AD51" s="170">
        <f t="shared" si="23"/>
        <v>0</v>
      </c>
      <c r="AE51" s="192" t="e">
        <f t="shared" si="24"/>
        <v>#DIV/0!</v>
      </c>
      <c r="AF51" s="129">
        <v>0</v>
      </c>
      <c r="AG51" s="129">
        <f t="shared" si="2"/>
        <v>0</v>
      </c>
      <c r="AH51" s="129"/>
    </row>
    <row r="52" spans="1:34">
      <c r="A52" s="105" t="s">
        <v>133</v>
      </c>
      <c r="B52" s="105" t="s">
        <v>1091</v>
      </c>
      <c r="C52" s="105" t="s">
        <v>278</v>
      </c>
      <c r="D52" s="265">
        <v>0</v>
      </c>
      <c r="E52" s="265">
        <v>0</v>
      </c>
      <c r="F52" s="265">
        <v>0</v>
      </c>
      <c r="G52" s="265">
        <v>0</v>
      </c>
      <c r="H52" s="265">
        <v>0</v>
      </c>
      <c r="I52" s="265">
        <v>0</v>
      </c>
      <c r="J52" s="265">
        <v>0</v>
      </c>
      <c r="K52" s="265">
        <v>0</v>
      </c>
      <c r="L52" s="265">
        <v>0</v>
      </c>
      <c r="M52" s="265">
        <v>0</v>
      </c>
      <c r="N52" s="265">
        <v>0</v>
      </c>
      <c r="O52" s="265">
        <v>0</v>
      </c>
      <c r="P52" s="117">
        <f t="shared" si="21"/>
        <v>0</v>
      </c>
      <c r="Q52" s="141">
        <v>0</v>
      </c>
      <c r="R52" s="141">
        <v>0</v>
      </c>
      <c r="S52" s="141">
        <v>0</v>
      </c>
      <c r="T52" s="141">
        <v>0</v>
      </c>
      <c r="U52" s="141">
        <v>0</v>
      </c>
      <c r="V52" s="141">
        <v>0</v>
      </c>
      <c r="W52" s="325">
        <v>0</v>
      </c>
      <c r="X52" s="325">
        <v>0</v>
      </c>
      <c r="Y52" s="325">
        <v>0</v>
      </c>
      <c r="Z52" s="325">
        <v>0</v>
      </c>
      <c r="AA52" s="325">
        <v>0</v>
      </c>
      <c r="AB52" s="325">
        <v>0</v>
      </c>
      <c r="AC52" s="117">
        <f t="shared" si="22"/>
        <v>0</v>
      </c>
      <c r="AD52" s="170">
        <f t="shared" si="23"/>
        <v>0</v>
      </c>
      <c r="AE52" s="192" t="e">
        <f t="shared" si="24"/>
        <v>#DIV/0!</v>
      </c>
      <c r="AF52" s="129">
        <v>0</v>
      </c>
      <c r="AG52" s="129">
        <f t="shared" si="2"/>
        <v>0</v>
      </c>
      <c r="AH52" s="129"/>
    </row>
    <row r="53" spans="1:34">
      <c r="A53" s="105" t="s">
        <v>134</v>
      </c>
      <c r="B53" s="105" t="s">
        <v>1091</v>
      </c>
      <c r="C53" s="105" t="s">
        <v>279</v>
      </c>
      <c r="D53" s="265">
        <v>0</v>
      </c>
      <c r="E53" s="265">
        <v>0</v>
      </c>
      <c r="F53" s="265">
        <v>0</v>
      </c>
      <c r="G53" s="265">
        <v>0</v>
      </c>
      <c r="H53" s="265">
        <v>0</v>
      </c>
      <c r="I53" s="265">
        <v>0</v>
      </c>
      <c r="J53" s="265">
        <v>0</v>
      </c>
      <c r="K53" s="265">
        <v>0</v>
      </c>
      <c r="L53" s="265">
        <v>0</v>
      </c>
      <c r="M53" s="265">
        <v>0</v>
      </c>
      <c r="N53" s="265">
        <v>0</v>
      </c>
      <c r="O53" s="265">
        <v>0</v>
      </c>
      <c r="P53" s="117">
        <f t="shared" si="21"/>
        <v>0</v>
      </c>
      <c r="Q53" s="141">
        <v>0</v>
      </c>
      <c r="R53" s="141">
        <v>0</v>
      </c>
      <c r="S53" s="141">
        <v>0</v>
      </c>
      <c r="T53" s="141">
        <v>0</v>
      </c>
      <c r="U53" s="141">
        <v>0</v>
      </c>
      <c r="V53" s="141">
        <v>0</v>
      </c>
      <c r="W53" s="325">
        <v>0</v>
      </c>
      <c r="X53" s="325">
        <v>0</v>
      </c>
      <c r="Y53" s="325">
        <v>0</v>
      </c>
      <c r="Z53" s="325">
        <v>0</v>
      </c>
      <c r="AA53" s="325">
        <v>0</v>
      </c>
      <c r="AB53" s="325">
        <v>0</v>
      </c>
      <c r="AC53" s="117">
        <f t="shared" si="22"/>
        <v>0</v>
      </c>
      <c r="AD53" s="170">
        <f t="shared" si="23"/>
        <v>0</v>
      </c>
      <c r="AE53" s="192" t="e">
        <f t="shared" si="24"/>
        <v>#DIV/0!</v>
      </c>
      <c r="AF53" s="129">
        <v>0</v>
      </c>
      <c r="AG53" s="129">
        <f t="shared" si="2"/>
        <v>0</v>
      </c>
      <c r="AH53" s="129"/>
    </row>
    <row r="54" spans="1:34">
      <c r="A54" s="105" t="s">
        <v>135</v>
      </c>
      <c r="B54" s="105" t="s">
        <v>1091</v>
      </c>
      <c r="C54" s="105" t="s">
        <v>280</v>
      </c>
      <c r="D54" s="265">
        <v>1631.52</v>
      </c>
      <c r="E54" s="265">
        <v>1631.52</v>
      </c>
      <c r="F54" s="265">
        <v>1631.52</v>
      </c>
      <c r="G54" s="265">
        <v>1631.52</v>
      </c>
      <c r="H54" s="265">
        <v>1631.52</v>
      </c>
      <c r="I54" s="265">
        <v>1631.52</v>
      </c>
      <c r="J54" s="265">
        <v>1631.52</v>
      </c>
      <c r="K54" s="265">
        <v>1631.52</v>
      </c>
      <c r="L54" s="265">
        <v>1631.52</v>
      </c>
      <c r="M54" s="265">
        <v>1631.52</v>
      </c>
      <c r="N54" s="265">
        <v>1631.52</v>
      </c>
      <c r="O54" s="265">
        <v>1631.12</v>
      </c>
      <c r="P54" s="117">
        <f t="shared" si="21"/>
        <v>19577.84</v>
      </c>
      <c r="Q54" s="141">
        <v>358.17</v>
      </c>
      <c r="R54" s="141">
        <v>361.19</v>
      </c>
      <c r="S54" s="141">
        <v>358.17</v>
      </c>
      <c r="T54" s="141">
        <v>358.17</v>
      </c>
      <c r="U54" s="141">
        <v>373.81</v>
      </c>
      <c r="V54" s="141">
        <v>375.45</v>
      </c>
      <c r="W54" s="325">
        <v>379.61</v>
      </c>
      <c r="X54" s="325">
        <v>372.18</v>
      </c>
      <c r="Y54" s="325">
        <v>420</v>
      </c>
      <c r="Z54" s="325">
        <v>420</v>
      </c>
      <c r="AA54" s="325">
        <v>420</v>
      </c>
      <c r="AB54" s="325">
        <v>420</v>
      </c>
      <c r="AC54" s="117">
        <f t="shared" si="22"/>
        <v>4616.75</v>
      </c>
      <c r="AD54" s="170">
        <f t="shared" si="23"/>
        <v>-14961.09</v>
      </c>
      <c r="AE54" s="192">
        <f t="shared" si="24"/>
        <v>-3.2406108192992908</v>
      </c>
      <c r="AF54" s="129">
        <v>28265.74</v>
      </c>
      <c r="AG54" s="129">
        <f t="shared" si="2"/>
        <v>8687.9000000000015</v>
      </c>
      <c r="AH54" s="129"/>
    </row>
    <row r="55" spans="1:34">
      <c r="A55" s="105" t="s">
        <v>136</v>
      </c>
      <c r="B55" s="105" t="s">
        <v>1091</v>
      </c>
      <c r="C55" s="105" t="s">
        <v>282</v>
      </c>
      <c r="D55" s="265">
        <v>0</v>
      </c>
      <c r="E55" s="265">
        <v>0</v>
      </c>
      <c r="F55" s="265">
        <v>0</v>
      </c>
      <c r="G55" s="265">
        <v>0</v>
      </c>
      <c r="H55" s="265">
        <v>0</v>
      </c>
      <c r="I55" s="265">
        <v>0</v>
      </c>
      <c r="J55" s="265">
        <v>0</v>
      </c>
      <c r="K55" s="265">
        <v>0</v>
      </c>
      <c r="L55" s="265">
        <v>0</v>
      </c>
      <c r="M55" s="265">
        <v>0</v>
      </c>
      <c r="N55" s="265">
        <v>0</v>
      </c>
      <c r="O55" s="265">
        <v>0</v>
      </c>
      <c r="P55" s="117">
        <f t="shared" si="21"/>
        <v>0</v>
      </c>
      <c r="Q55" s="141">
        <v>414.62</v>
      </c>
      <c r="R55" s="141">
        <v>504.15</v>
      </c>
      <c r="S55" s="141">
        <v>451.76</v>
      </c>
      <c r="T55" s="141">
        <v>457.65</v>
      </c>
      <c r="U55" s="141">
        <v>430.67</v>
      </c>
      <c r="V55" s="141">
        <v>795.77</v>
      </c>
      <c r="W55" s="325">
        <v>643.45000000000005</v>
      </c>
      <c r="X55" s="325">
        <v>812.66</v>
      </c>
      <c r="Y55" s="325">
        <v>0</v>
      </c>
      <c r="Z55" s="325">
        <v>0</v>
      </c>
      <c r="AA55" s="325">
        <v>0</v>
      </c>
      <c r="AB55" s="325">
        <v>0</v>
      </c>
      <c r="AC55" s="117">
        <f t="shared" si="22"/>
        <v>4510.7299999999996</v>
      </c>
      <c r="AD55" s="170">
        <f t="shared" si="23"/>
        <v>4510.7299999999996</v>
      </c>
      <c r="AE55" s="192">
        <f t="shared" si="24"/>
        <v>1</v>
      </c>
      <c r="AF55" s="129">
        <v>9719.42</v>
      </c>
      <c r="AG55" s="129">
        <f t="shared" si="2"/>
        <v>9719.42</v>
      </c>
      <c r="AH55" s="129"/>
    </row>
    <row r="56" spans="1:34">
      <c r="A56" s="105" t="s">
        <v>137</v>
      </c>
      <c r="B56" s="105" t="s">
        <v>1091</v>
      </c>
      <c r="C56" s="105" t="s">
        <v>283</v>
      </c>
      <c r="D56" s="265">
        <v>0</v>
      </c>
      <c r="E56" s="265">
        <v>0</v>
      </c>
      <c r="F56" s="265">
        <v>0</v>
      </c>
      <c r="G56" s="265">
        <v>0</v>
      </c>
      <c r="H56" s="265">
        <v>0</v>
      </c>
      <c r="I56" s="265">
        <v>0</v>
      </c>
      <c r="J56" s="265">
        <v>0</v>
      </c>
      <c r="K56" s="265">
        <v>0</v>
      </c>
      <c r="L56" s="265">
        <v>0</v>
      </c>
      <c r="M56" s="265">
        <v>0</v>
      </c>
      <c r="N56" s="265">
        <v>0</v>
      </c>
      <c r="O56" s="265">
        <v>0</v>
      </c>
      <c r="P56" s="117">
        <f t="shared" si="21"/>
        <v>0</v>
      </c>
      <c r="Q56" s="141">
        <v>0</v>
      </c>
      <c r="R56" s="141">
        <v>0</v>
      </c>
      <c r="S56" s="141">
        <v>0</v>
      </c>
      <c r="T56" s="141">
        <v>0</v>
      </c>
      <c r="U56" s="141">
        <v>0</v>
      </c>
      <c r="V56" s="141">
        <v>0</v>
      </c>
      <c r="W56" s="325">
        <v>0</v>
      </c>
      <c r="X56" s="325">
        <v>0</v>
      </c>
      <c r="Y56" s="325">
        <v>0</v>
      </c>
      <c r="Z56" s="325">
        <v>0</v>
      </c>
      <c r="AA56" s="325">
        <v>0</v>
      </c>
      <c r="AB56" s="325">
        <v>0</v>
      </c>
      <c r="AC56" s="117">
        <f t="shared" si="22"/>
        <v>0</v>
      </c>
      <c r="AD56" s="170">
        <f t="shared" si="23"/>
        <v>0</v>
      </c>
      <c r="AE56" s="192" t="e">
        <f t="shared" si="24"/>
        <v>#DIV/0!</v>
      </c>
      <c r="AF56" s="129">
        <v>0</v>
      </c>
      <c r="AG56" s="129">
        <f t="shared" si="2"/>
        <v>0</v>
      </c>
      <c r="AH56" s="129"/>
    </row>
    <row r="57" spans="1:34">
      <c r="A57" s="105" t="s">
        <v>273</v>
      </c>
      <c r="B57" s="105" t="s">
        <v>1091</v>
      </c>
      <c r="C57" s="235" t="s">
        <v>139</v>
      </c>
      <c r="D57" s="265">
        <v>0</v>
      </c>
      <c r="E57" s="265">
        <v>0</v>
      </c>
      <c r="F57" s="265">
        <v>0</v>
      </c>
      <c r="G57" s="265">
        <v>0</v>
      </c>
      <c r="H57" s="265">
        <v>0</v>
      </c>
      <c r="I57" s="265">
        <v>0</v>
      </c>
      <c r="J57" s="265">
        <v>0</v>
      </c>
      <c r="K57" s="265">
        <v>0</v>
      </c>
      <c r="L57" s="265">
        <v>0</v>
      </c>
      <c r="M57" s="265">
        <v>0</v>
      </c>
      <c r="N57" s="265">
        <v>0</v>
      </c>
      <c r="O57" s="265">
        <v>0</v>
      </c>
      <c r="P57" s="117">
        <f t="shared" si="21"/>
        <v>0</v>
      </c>
      <c r="Q57" s="141">
        <v>0</v>
      </c>
      <c r="R57" s="141">
        <v>0</v>
      </c>
      <c r="S57" s="141">
        <v>0</v>
      </c>
      <c r="T57" s="141">
        <v>0</v>
      </c>
      <c r="U57" s="141">
        <v>0</v>
      </c>
      <c r="V57" s="141">
        <v>0</v>
      </c>
      <c r="W57" s="325">
        <v>0</v>
      </c>
      <c r="X57" s="325">
        <v>0</v>
      </c>
      <c r="Y57" s="325">
        <v>0</v>
      </c>
      <c r="Z57" s="325">
        <v>0</v>
      </c>
      <c r="AA57" s="325">
        <v>0</v>
      </c>
      <c r="AB57" s="325">
        <v>0</v>
      </c>
      <c r="AC57" s="117">
        <f t="shared" si="22"/>
        <v>0</v>
      </c>
      <c r="AD57" s="170">
        <f t="shared" si="23"/>
        <v>0</v>
      </c>
      <c r="AE57" s="192" t="e">
        <f t="shared" si="24"/>
        <v>#DIV/0!</v>
      </c>
      <c r="AF57" s="129">
        <v>0</v>
      </c>
      <c r="AG57" s="129">
        <f t="shared" si="2"/>
        <v>0</v>
      </c>
      <c r="AH57" s="129"/>
    </row>
    <row r="58" spans="1:34" s="109" customFormat="1">
      <c r="C58" s="109" t="s">
        <v>523</v>
      </c>
      <c r="D58" s="117">
        <f>SUM(D50:D57)</f>
        <v>1631.52</v>
      </c>
      <c r="E58" s="117">
        <f t="shared" ref="E58:O58" si="25">SUM(E50:E57)</f>
        <v>1631.52</v>
      </c>
      <c r="F58" s="117">
        <f t="shared" si="25"/>
        <v>1631.52</v>
      </c>
      <c r="G58" s="117">
        <f t="shared" si="25"/>
        <v>1631.52</v>
      </c>
      <c r="H58" s="117">
        <f t="shared" si="25"/>
        <v>1631.52</v>
      </c>
      <c r="I58" s="117">
        <f t="shared" si="25"/>
        <v>1631.52</v>
      </c>
      <c r="J58" s="117">
        <f t="shared" si="25"/>
        <v>1631.52</v>
      </c>
      <c r="K58" s="117">
        <f t="shared" si="25"/>
        <v>1631.52</v>
      </c>
      <c r="L58" s="117">
        <f t="shared" si="25"/>
        <v>1631.52</v>
      </c>
      <c r="M58" s="117">
        <f t="shared" si="25"/>
        <v>1631.52</v>
      </c>
      <c r="N58" s="117">
        <f t="shared" si="25"/>
        <v>1631.52</v>
      </c>
      <c r="O58" s="117">
        <f t="shared" si="25"/>
        <v>1631.12</v>
      </c>
      <c r="P58" s="117">
        <f>SUM(P50:P57)</f>
        <v>19577.84</v>
      </c>
      <c r="Q58" s="127">
        <f t="shared" ref="Q58:AC58" si="26">SUM(Q50:Q57)</f>
        <v>772.79</v>
      </c>
      <c r="R58" s="127">
        <f t="shared" si="26"/>
        <v>865.33999999999992</v>
      </c>
      <c r="S58" s="127">
        <f t="shared" si="26"/>
        <v>809.93000000000006</v>
      </c>
      <c r="T58" s="127">
        <f t="shared" si="26"/>
        <v>815.81999999999994</v>
      </c>
      <c r="U58" s="127">
        <f t="shared" si="26"/>
        <v>804.48</v>
      </c>
      <c r="V58" s="127">
        <f t="shared" si="26"/>
        <v>1171.22</v>
      </c>
      <c r="W58" s="127">
        <f t="shared" si="26"/>
        <v>1023.0600000000001</v>
      </c>
      <c r="X58" s="127">
        <f t="shared" si="26"/>
        <v>1184.8399999999999</v>
      </c>
      <c r="Y58" s="127">
        <f t="shared" si="26"/>
        <v>420</v>
      </c>
      <c r="Z58" s="127">
        <f t="shared" si="26"/>
        <v>420</v>
      </c>
      <c r="AA58" s="127">
        <f t="shared" si="26"/>
        <v>420</v>
      </c>
      <c r="AB58" s="127">
        <f t="shared" si="26"/>
        <v>420</v>
      </c>
      <c r="AC58" s="127">
        <f t="shared" si="26"/>
        <v>9127.48</v>
      </c>
      <c r="AD58" s="142">
        <f t="shared" si="23"/>
        <v>-10450.36</v>
      </c>
      <c r="AE58" s="192">
        <f t="shared" si="24"/>
        <v>-1.1449337604683878</v>
      </c>
      <c r="AF58" s="129">
        <v>37985.160000000003</v>
      </c>
      <c r="AG58" s="129">
        <f t="shared" si="2"/>
        <v>18407.320000000003</v>
      </c>
      <c r="AH58" s="129"/>
    </row>
    <row r="59" spans="1:34" s="109" customFormat="1">
      <c r="C59" s="109" t="s">
        <v>524</v>
      </c>
      <c r="D59" s="117">
        <f>D31+D38+D48+D58</f>
        <v>174671.58</v>
      </c>
      <c r="E59" s="117">
        <f t="shared" ref="E59:AC59" si="27">E31+E38+E48+E58</f>
        <v>149234.63999999998</v>
      </c>
      <c r="F59" s="117">
        <f t="shared" si="27"/>
        <v>152484.38999999998</v>
      </c>
      <c r="G59" s="117">
        <f t="shared" si="27"/>
        <v>158111.62999999998</v>
      </c>
      <c r="H59" s="117">
        <f t="shared" si="27"/>
        <v>163893.60999999999</v>
      </c>
      <c r="I59" s="117">
        <f t="shared" si="27"/>
        <v>152484.38999999998</v>
      </c>
      <c r="J59" s="117">
        <f t="shared" si="27"/>
        <v>153029.88999999998</v>
      </c>
      <c r="K59" s="117">
        <f t="shared" si="27"/>
        <v>152874.84999999998</v>
      </c>
      <c r="L59" s="117">
        <f t="shared" si="27"/>
        <v>152874.84999999998</v>
      </c>
      <c r="M59" s="117">
        <f t="shared" si="27"/>
        <v>183221.59</v>
      </c>
      <c r="N59" s="117">
        <f t="shared" si="27"/>
        <v>153029.88999999998</v>
      </c>
      <c r="O59" s="117">
        <f t="shared" si="27"/>
        <v>152874.44999999998</v>
      </c>
      <c r="P59" s="117">
        <f t="shared" si="27"/>
        <v>1898785.76</v>
      </c>
      <c r="Q59" s="127">
        <f t="shared" si="27"/>
        <v>168211.53</v>
      </c>
      <c r="R59" s="127">
        <f t="shared" si="27"/>
        <v>180109.37999999998</v>
      </c>
      <c r="S59" s="127">
        <f t="shared" si="27"/>
        <v>164130.03999999998</v>
      </c>
      <c r="T59" s="127">
        <f t="shared" si="27"/>
        <v>162268.86000000002</v>
      </c>
      <c r="U59" s="127">
        <f t="shared" si="27"/>
        <v>160765.74</v>
      </c>
      <c r="V59" s="127">
        <f t="shared" si="27"/>
        <v>161303.79999999999</v>
      </c>
      <c r="W59" s="127">
        <f t="shared" si="27"/>
        <v>152863.76</v>
      </c>
      <c r="X59" s="127">
        <f t="shared" si="27"/>
        <v>152909.4</v>
      </c>
      <c r="Y59" s="127">
        <f t="shared" si="27"/>
        <v>164431.83000000002</v>
      </c>
      <c r="Z59" s="127">
        <f t="shared" si="27"/>
        <v>182825.83000000002</v>
      </c>
      <c r="AA59" s="127">
        <f t="shared" si="27"/>
        <v>155234.83000000002</v>
      </c>
      <c r="AB59" s="127">
        <f t="shared" si="27"/>
        <v>155234.83000000002</v>
      </c>
      <c r="AC59" s="127">
        <f t="shared" si="27"/>
        <v>1960289.83</v>
      </c>
      <c r="AD59" s="142">
        <f t="shared" si="23"/>
        <v>61504.070000000065</v>
      </c>
      <c r="AE59" s="192">
        <f t="shared" si="24"/>
        <v>3.1374988054700084E-2</v>
      </c>
      <c r="AF59" s="129">
        <v>3174338.0300000003</v>
      </c>
      <c r="AG59" s="129">
        <f t="shared" si="2"/>
        <v>1275552.2700000003</v>
      </c>
      <c r="AH59" s="129"/>
    </row>
    <row r="60" spans="1:34">
      <c r="C60" s="105" t="s">
        <v>154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7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7"/>
      <c r="AD60" s="170"/>
      <c r="AF60" s="129"/>
      <c r="AG60" s="129">
        <f t="shared" si="2"/>
        <v>0</v>
      </c>
      <c r="AH60" s="129"/>
    </row>
    <row r="61" spans="1:34" s="129" customFormat="1">
      <c r="A61" s="129" t="s">
        <v>141</v>
      </c>
      <c r="B61" s="129" t="s">
        <v>1091</v>
      </c>
      <c r="C61" s="129" t="s">
        <v>142</v>
      </c>
      <c r="D61" s="215">
        <v>19</v>
      </c>
      <c r="E61" s="215">
        <v>19</v>
      </c>
      <c r="F61" s="215">
        <v>19</v>
      </c>
      <c r="G61" s="215">
        <v>19</v>
      </c>
      <c r="H61" s="215">
        <v>19</v>
      </c>
      <c r="I61" s="215">
        <v>19</v>
      </c>
      <c r="J61" s="215">
        <v>19</v>
      </c>
      <c r="K61" s="215">
        <v>19</v>
      </c>
      <c r="L61" s="215">
        <v>19</v>
      </c>
      <c r="M61" s="215">
        <v>19</v>
      </c>
      <c r="N61" s="215">
        <v>19</v>
      </c>
      <c r="O61" s="215">
        <v>19</v>
      </c>
      <c r="P61" s="142">
        <f>SUM(D61:O61)/12</f>
        <v>19</v>
      </c>
      <c r="Q61" s="129">
        <v>19</v>
      </c>
      <c r="R61" s="129">
        <v>19</v>
      </c>
      <c r="S61" s="129">
        <v>19</v>
      </c>
      <c r="T61" s="129">
        <v>19</v>
      </c>
      <c r="U61" s="129">
        <v>19</v>
      </c>
      <c r="V61" s="129">
        <v>19</v>
      </c>
      <c r="W61" s="326">
        <v>19</v>
      </c>
      <c r="X61" s="326">
        <v>19</v>
      </c>
      <c r="Y61" s="326">
        <v>20</v>
      </c>
      <c r="Z61" s="326">
        <v>20</v>
      </c>
      <c r="AA61" s="326">
        <v>20</v>
      </c>
      <c r="AB61" s="326">
        <v>20</v>
      </c>
      <c r="AC61" s="129">
        <f>SUM(Q61:AB61)/12</f>
        <v>19.333333333333332</v>
      </c>
      <c r="AD61" s="129">
        <f>AC61-P61</f>
        <v>0.33333333333333215</v>
      </c>
      <c r="AE61" s="129">
        <f>AD61/AC61</f>
        <v>1.7241379310344768E-2</v>
      </c>
      <c r="AF61" s="129">
        <v>43.166666666666664</v>
      </c>
      <c r="AG61" s="129">
        <f t="shared" si="2"/>
        <v>24.166666666666664</v>
      </c>
    </row>
    <row r="62" spans="1:34">
      <c r="AH62" s="129"/>
    </row>
    <row r="63" spans="1:34">
      <c r="AH63" s="129"/>
    </row>
    <row r="64" spans="1:34">
      <c r="C64" s="151" t="s">
        <v>292</v>
      </c>
      <c r="P64" s="129">
        <f t="shared" ref="P64:P66" si="28">SUM(D64:O64)</f>
        <v>0</v>
      </c>
      <c r="AH64" s="129"/>
    </row>
    <row r="65" spans="3:33">
      <c r="C65" s="152" t="s">
        <v>366</v>
      </c>
      <c r="D65" s="368">
        <v>80548.090000000011</v>
      </c>
      <c r="E65" s="368">
        <v>64548.109999999986</v>
      </c>
      <c r="F65" s="368">
        <v>66308.109999999986</v>
      </c>
      <c r="G65" s="368">
        <v>69701.23</v>
      </c>
      <c r="H65" s="368">
        <v>73149.52</v>
      </c>
      <c r="I65" s="368">
        <v>66308.109999999986</v>
      </c>
      <c r="J65" s="368">
        <v>66872.31</v>
      </c>
      <c r="K65" s="368">
        <v>66457.95</v>
      </c>
      <c r="L65" s="368">
        <v>66457.95</v>
      </c>
      <c r="M65" s="368">
        <v>82402.77</v>
      </c>
      <c r="N65" s="368">
        <v>66872.31</v>
      </c>
      <c r="O65" s="368">
        <v>66457.989999999991</v>
      </c>
      <c r="P65" s="129">
        <f t="shared" si="28"/>
        <v>836084.45</v>
      </c>
    </row>
    <row r="66" spans="3:33">
      <c r="C66" s="151" t="s">
        <v>367</v>
      </c>
      <c r="D66" s="136">
        <v>0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0</v>
      </c>
      <c r="L66" s="136">
        <v>0</v>
      </c>
      <c r="M66" s="136">
        <v>0</v>
      </c>
      <c r="N66" s="136">
        <v>0</v>
      </c>
      <c r="O66" s="136">
        <v>0</v>
      </c>
      <c r="P66" s="129">
        <f t="shared" si="28"/>
        <v>0</v>
      </c>
    </row>
    <row r="67" spans="3:33">
      <c r="C67" s="109" t="s">
        <v>476</v>
      </c>
      <c r="D67" s="117">
        <f>SUM(D64:D66)</f>
        <v>80548.090000000011</v>
      </c>
      <c r="E67" s="117">
        <f t="shared" ref="E67:P67" si="29">SUM(E64:E66)</f>
        <v>64548.109999999986</v>
      </c>
      <c r="F67" s="117">
        <f t="shared" si="29"/>
        <v>66308.109999999986</v>
      </c>
      <c r="G67" s="117">
        <f t="shared" si="29"/>
        <v>69701.23</v>
      </c>
      <c r="H67" s="117">
        <f t="shared" si="29"/>
        <v>73149.52</v>
      </c>
      <c r="I67" s="117">
        <f t="shared" si="29"/>
        <v>66308.109999999986</v>
      </c>
      <c r="J67" s="117">
        <f t="shared" si="29"/>
        <v>66872.31</v>
      </c>
      <c r="K67" s="117">
        <f t="shared" si="29"/>
        <v>66457.95</v>
      </c>
      <c r="L67" s="117">
        <f t="shared" si="29"/>
        <v>66457.95</v>
      </c>
      <c r="M67" s="117">
        <f t="shared" si="29"/>
        <v>82402.77</v>
      </c>
      <c r="N67" s="117">
        <f t="shared" si="29"/>
        <v>66872.31</v>
      </c>
      <c r="O67" s="117">
        <f t="shared" si="29"/>
        <v>66457.989999999991</v>
      </c>
      <c r="P67" s="117">
        <f t="shared" si="29"/>
        <v>836084.45</v>
      </c>
    </row>
    <row r="69" spans="3:33">
      <c r="F69" s="106" t="s">
        <v>1040</v>
      </c>
      <c r="G69" s="106" t="s">
        <v>1041</v>
      </c>
      <c r="H69" s="106" t="s">
        <v>1101</v>
      </c>
      <c r="I69" s="106" t="s">
        <v>1041</v>
      </c>
      <c r="P69" s="105"/>
      <c r="Q69" s="109"/>
      <c r="AC69" s="105"/>
      <c r="AD69" s="109"/>
      <c r="AE69" s="141"/>
      <c r="AF69" s="105"/>
      <c r="AG69" s="109"/>
    </row>
    <row r="70" spans="3:33">
      <c r="C70" s="106" t="s">
        <v>1102</v>
      </c>
      <c r="P70" s="105"/>
      <c r="Q70" s="109"/>
      <c r="AC70" s="105"/>
      <c r="AD70" s="109"/>
      <c r="AE70" s="141"/>
      <c r="AF70" s="105"/>
      <c r="AG70" s="109"/>
    </row>
    <row r="71" spans="3:33" outlineLevel="1">
      <c r="C71" s="105" t="s">
        <v>1103</v>
      </c>
      <c r="D71" s="124">
        <v>35</v>
      </c>
      <c r="E71" s="304">
        <f t="shared" ref="E71:E123" si="30">D71/$D$123</f>
        <v>7.829977628635347E-2</v>
      </c>
      <c r="F71" s="124"/>
      <c r="G71" s="304">
        <f>F71/D71</f>
        <v>0</v>
      </c>
      <c r="H71" s="124">
        <f>D71-F71</f>
        <v>35</v>
      </c>
      <c r="I71" s="105">
        <f>H71/D71</f>
        <v>1</v>
      </c>
      <c r="P71" s="105"/>
      <c r="Q71" s="109"/>
      <c r="AC71" s="105"/>
      <c r="AD71" s="109"/>
      <c r="AE71" s="141"/>
      <c r="AF71" s="105"/>
      <c r="AG71" s="109"/>
    </row>
    <row r="72" spans="3:33" outlineLevel="1">
      <c r="C72" s="105" t="s">
        <v>1104</v>
      </c>
      <c r="D72" s="124">
        <v>38</v>
      </c>
      <c r="E72" s="304">
        <f t="shared" si="30"/>
        <v>8.5011185682326629E-2</v>
      </c>
      <c r="F72" s="124"/>
      <c r="G72" s="304">
        <f t="shared" ref="G72:G123" si="31">F72/D72</f>
        <v>0</v>
      </c>
      <c r="H72" s="124">
        <f t="shared" ref="H72:H123" si="32">D72-F72</f>
        <v>38</v>
      </c>
      <c r="I72" s="105">
        <f t="shared" ref="I72:I123" si="33">H72/D72</f>
        <v>1</v>
      </c>
      <c r="P72" s="105"/>
      <c r="Q72" s="109"/>
      <c r="AC72" s="105"/>
      <c r="AD72" s="109"/>
      <c r="AE72" s="141"/>
      <c r="AF72" s="105"/>
      <c r="AG72" s="109"/>
    </row>
    <row r="73" spans="3:33" outlineLevel="1">
      <c r="C73" s="105" t="s">
        <v>1105</v>
      </c>
      <c r="D73" s="124">
        <v>11</v>
      </c>
      <c r="E73" s="304">
        <f t="shared" si="30"/>
        <v>2.4608501118568233E-2</v>
      </c>
      <c r="F73" s="124"/>
      <c r="G73" s="304">
        <f t="shared" si="31"/>
        <v>0</v>
      </c>
      <c r="H73" s="124">
        <f t="shared" si="32"/>
        <v>11</v>
      </c>
      <c r="I73" s="105">
        <f t="shared" si="33"/>
        <v>1</v>
      </c>
      <c r="P73" s="105"/>
      <c r="Q73" s="109"/>
      <c r="AC73" s="105"/>
      <c r="AD73" s="109"/>
      <c r="AE73" s="141"/>
      <c r="AF73" s="105"/>
      <c r="AG73" s="109"/>
    </row>
    <row r="74" spans="3:33" outlineLevel="1">
      <c r="C74" s="105" t="s">
        <v>1106</v>
      </c>
      <c r="D74" s="124"/>
      <c r="E74" s="304">
        <f t="shared" si="30"/>
        <v>0</v>
      </c>
      <c r="F74" s="124"/>
      <c r="G74" s="304"/>
      <c r="H74" s="124">
        <f t="shared" si="32"/>
        <v>0</v>
      </c>
      <c r="I74" s="105" t="e">
        <f t="shared" si="33"/>
        <v>#DIV/0!</v>
      </c>
      <c r="P74" s="105"/>
      <c r="Q74" s="109"/>
      <c r="AC74" s="105"/>
      <c r="AD74" s="109"/>
      <c r="AE74" s="141"/>
      <c r="AF74" s="105"/>
      <c r="AG74" s="109"/>
    </row>
    <row r="75" spans="3:33" outlineLevel="1">
      <c r="C75" s="105" t="s">
        <v>1107</v>
      </c>
      <c r="D75" s="124">
        <v>2</v>
      </c>
      <c r="E75" s="304">
        <f t="shared" si="30"/>
        <v>4.4742729306487695E-3</v>
      </c>
      <c r="F75" s="124"/>
      <c r="G75" s="304">
        <f t="shared" si="31"/>
        <v>0</v>
      </c>
      <c r="H75" s="124">
        <f t="shared" si="32"/>
        <v>2</v>
      </c>
      <c r="I75" s="105">
        <f t="shared" si="33"/>
        <v>1</v>
      </c>
      <c r="P75" s="105"/>
      <c r="Q75" s="109"/>
      <c r="AC75" s="105"/>
      <c r="AD75" s="109"/>
      <c r="AE75" s="141"/>
      <c r="AF75" s="105"/>
      <c r="AG75" s="109"/>
    </row>
    <row r="76" spans="3:33" outlineLevel="1">
      <c r="C76" s="105" t="s">
        <v>1108</v>
      </c>
      <c r="D76" s="124">
        <v>11</v>
      </c>
      <c r="E76" s="304">
        <f t="shared" si="30"/>
        <v>2.4608501118568233E-2</v>
      </c>
      <c r="F76" s="124"/>
      <c r="G76" s="304">
        <f t="shared" si="31"/>
        <v>0</v>
      </c>
      <c r="H76" s="124">
        <f t="shared" si="32"/>
        <v>11</v>
      </c>
      <c r="I76" s="105">
        <f t="shared" si="33"/>
        <v>1</v>
      </c>
      <c r="P76" s="105"/>
      <c r="Q76" s="109"/>
      <c r="AC76" s="105"/>
      <c r="AD76" s="109"/>
      <c r="AE76" s="141"/>
      <c r="AF76" s="105"/>
      <c r="AG76" s="109"/>
    </row>
    <row r="77" spans="3:33" outlineLevel="1">
      <c r="C77" s="105" t="s">
        <v>1109</v>
      </c>
      <c r="D77" s="124">
        <v>18</v>
      </c>
      <c r="E77" s="304">
        <f t="shared" si="30"/>
        <v>4.0268456375838924E-2</v>
      </c>
      <c r="F77" s="124"/>
      <c r="G77" s="304"/>
      <c r="H77" s="124">
        <f t="shared" si="32"/>
        <v>18</v>
      </c>
      <c r="I77" s="105">
        <f t="shared" si="33"/>
        <v>1</v>
      </c>
      <c r="P77" s="105"/>
      <c r="Q77" s="109"/>
      <c r="AC77" s="105"/>
      <c r="AD77" s="109"/>
      <c r="AE77" s="141"/>
      <c r="AF77" s="105"/>
      <c r="AG77" s="109"/>
    </row>
    <row r="78" spans="3:33" outlineLevel="1">
      <c r="C78" s="105" t="s">
        <v>1110</v>
      </c>
      <c r="D78" s="124">
        <v>9</v>
      </c>
      <c r="E78" s="304">
        <f t="shared" si="30"/>
        <v>2.0134228187919462E-2</v>
      </c>
      <c r="F78" s="124"/>
      <c r="G78" s="304">
        <f t="shared" si="31"/>
        <v>0</v>
      </c>
      <c r="H78" s="124">
        <f t="shared" si="32"/>
        <v>9</v>
      </c>
      <c r="I78" s="105">
        <f t="shared" si="33"/>
        <v>1</v>
      </c>
      <c r="P78" s="105"/>
      <c r="Q78" s="109"/>
      <c r="AC78" s="105"/>
      <c r="AD78" s="109"/>
      <c r="AE78" s="141"/>
      <c r="AF78" s="105"/>
      <c r="AG78" s="109"/>
    </row>
    <row r="79" spans="3:33" outlineLevel="1">
      <c r="C79" s="105" t="s">
        <v>1111</v>
      </c>
      <c r="D79" s="124">
        <v>14</v>
      </c>
      <c r="E79" s="304">
        <f t="shared" si="30"/>
        <v>3.1319910514541388E-2</v>
      </c>
      <c r="F79" s="124"/>
      <c r="G79" s="304"/>
      <c r="H79" s="124">
        <f t="shared" si="32"/>
        <v>14</v>
      </c>
      <c r="I79" s="105">
        <f t="shared" si="33"/>
        <v>1</v>
      </c>
      <c r="P79" s="105"/>
      <c r="Q79" s="109"/>
      <c r="AC79" s="105"/>
      <c r="AD79" s="109"/>
      <c r="AE79" s="141"/>
      <c r="AF79" s="105"/>
      <c r="AG79" s="109"/>
    </row>
    <row r="80" spans="3:33" outlineLevel="1">
      <c r="C80" s="105" t="s">
        <v>1112</v>
      </c>
      <c r="D80" s="124">
        <v>7</v>
      </c>
      <c r="E80" s="304">
        <f t="shared" si="30"/>
        <v>1.5659955257270694E-2</v>
      </c>
      <c r="F80" s="124"/>
      <c r="G80" s="304">
        <f t="shared" si="31"/>
        <v>0</v>
      </c>
      <c r="H80" s="124">
        <f t="shared" si="32"/>
        <v>7</v>
      </c>
      <c r="I80" s="105">
        <f t="shared" si="33"/>
        <v>1</v>
      </c>
      <c r="P80" s="105"/>
      <c r="Q80" s="109"/>
      <c r="AC80" s="105"/>
      <c r="AD80" s="109"/>
      <c r="AE80" s="141"/>
      <c r="AF80" s="105"/>
      <c r="AG80" s="109"/>
    </row>
    <row r="81" spans="3:33" outlineLevel="1">
      <c r="C81" s="105" t="s">
        <v>1113</v>
      </c>
      <c r="D81" s="124">
        <v>12</v>
      </c>
      <c r="E81" s="304">
        <f t="shared" si="30"/>
        <v>2.6845637583892617E-2</v>
      </c>
      <c r="F81" s="124"/>
      <c r="G81" s="304"/>
      <c r="H81" s="124">
        <f t="shared" si="32"/>
        <v>12</v>
      </c>
      <c r="I81" s="105">
        <f t="shared" si="33"/>
        <v>1</v>
      </c>
      <c r="P81" s="105"/>
      <c r="Q81" s="109"/>
      <c r="AC81" s="105"/>
      <c r="AD81" s="109"/>
      <c r="AE81" s="141"/>
      <c r="AF81" s="105"/>
      <c r="AG81" s="109"/>
    </row>
    <row r="82" spans="3:33" outlineLevel="1">
      <c r="C82" s="105" t="s">
        <v>1114</v>
      </c>
      <c r="D82" s="124">
        <v>8</v>
      </c>
      <c r="E82" s="304">
        <f t="shared" si="30"/>
        <v>1.7897091722595078E-2</v>
      </c>
      <c r="F82" s="124"/>
      <c r="G82" s="304">
        <f t="shared" si="31"/>
        <v>0</v>
      </c>
      <c r="H82" s="124">
        <f t="shared" si="32"/>
        <v>8</v>
      </c>
      <c r="I82" s="105">
        <f t="shared" si="33"/>
        <v>1</v>
      </c>
      <c r="P82" s="105"/>
      <c r="Q82" s="109"/>
      <c r="AC82" s="105"/>
      <c r="AD82" s="109"/>
      <c r="AE82" s="141"/>
      <c r="AF82" s="105"/>
      <c r="AG82" s="109"/>
    </row>
    <row r="83" spans="3:33" outlineLevel="1">
      <c r="C83" s="105" t="s">
        <v>1115</v>
      </c>
      <c r="D83" s="124">
        <v>9</v>
      </c>
      <c r="E83" s="304">
        <f t="shared" si="30"/>
        <v>2.0134228187919462E-2</v>
      </c>
      <c r="F83" s="124"/>
      <c r="G83" s="304"/>
      <c r="H83" s="124">
        <f t="shared" si="32"/>
        <v>9</v>
      </c>
      <c r="I83" s="105">
        <f t="shared" si="33"/>
        <v>1</v>
      </c>
      <c r="P83" s="105"/>
      <c r="Q83" s="109"/>
      <c r="AC83" s="105"/>
      <c r="AD83" s="109"/>
      <c r="AE83" s="141"/>
      <c r="AF83" s="105"/>
      <c r="AG83" s="109"/>
    </row>
    <row r="84" spans="3:33" outlineLevel="1">
      <c r="C84" s="105" t="s">
        <v>1116</v>
      </c>
      <c r="D84" s="124">
        <v>5</v>
      </c>
      <c r="E84" s="304">
        <f t="shared" si="30"/>
        <v>1.1185682326621925E-2</v>
      </c>
      <c r="F84" s="124"/>
      <c r="G84" s="304">
        <f t="shared" si="31"/>
        <v>0</v>
      </c>
      <c r="H84" s="124">
        <f t="shared" si="32"/>
        <v>5</v>
      </c>
      <c r="I84" s="105">
        <f t="shared" si="33"/>
        <v>1</v>
      </c>
      <c r="P84" s="105"/>
      <c r="Q84" s="109"/>
      <c r="AC84" s="105"/>
      <c r="AD84" s="109"/>
      <c r="AE84" s="141"/>
      <c r="AF84" s="105"/>
      <c r="AG84" s="109"/>
    </row>
    <row r="85" spans="3:33" outlineLevel="1">
      <c r="C85" s="105" t="s">
        <v>1117</v>
      </c>
      <c r="D85" s="124">
        <v>10</v>
      </c>
      <c r="E85" s="304">
        <f t="shared" si="30"/>
        <v>2.2371364653243849E-2</v>
      </c>
      <c r="F85" s="124"/>
      <c r="G85" s="304"/>
      <c r="H85" s="124">
        <f t="shared" si="32"/>
        <v>10</v>
      </c>
      <c r="I85" s="105">
        <f t="shared" si="33"/>
        <v>1</v>
      </c>
      <c r="P85" s="105"/>
      <c r="Q85" s="109"/>
      <c r="AC85" s="105"/>
      <c r="AD85" s="109"/>
      <c r="AE85" s="141"/>
      <c r="AF85" s="105"/>
      <c r="AG85" s="109"/>
    </row>
    <row r="86" spans="3:33" outlineLevel="1">
      <c r="C86" s="105" t="s">
        <v>1118</v>
      </c>
      <c r="D86" s="124">
        <v>2</v>
      </c>
      <c r="E86" s="304">
        <f t="shared" si="30"/>
        <v>4.4742729306487695E-3</v>
      </c>
      <c r="F86" s="124"/>
      <c r="G86" s="304">
        <f t="shared" si="31"/>
        <v>0</v>
      </c>
      <c r="H86" s="124">
        <f t="shared" si="32"/>
        <v>2</v>
      </c>
      <c r="I86" s="105">
        <f t="shared" si="33"/>
        <v>1</v>
      </c>
      <c r="P86" s="105"/>
      <c r="Q86" s="109"/>
      <c r="AC86" s="105"/>
      <c r="AD86" s="109"/>
      <c r="AE86" s="141"/>
      <c r="AF86" s="105"/>
      <c r="AG86" s="109"/>
    </row>
    <row r="87" spans="3:33" outlineLevel="1">
      <c r="C87" s="105" t="s">
        <v>1119</v>
      </c>
      <c r="D87" s="124"/>
      <c r="E87" s="304">
        <f t="shared" si="30"/>
        <v>0</v>
      </c>
      <c r="F87" s="124"/>
      <c r="G87" s="304"/>
      <c r="H87" s="124">
        <f t="shared" si="32"/>
        <v>0</v>
      </c>
      <c r="I87" s="105" t="e">
        <f t="shared" si="33"/>
        <v>#DIV/0!</v>
      </c>
      <c r="P87" s="105"/>
      <c r="Q87" s="109"/>
      <c r="AC87" s="105"/>
      <c r="AD87" s="109"/>
      <c r="AE87" s="141"/>
      <c r="AF87" s="105"/>
      <c r="AG87" s="109"/>
    </row>
    <row r="88" spans="3:33" outlineLevel="1">
      <c r="C88" s="105" t="s">
        <v>1120</v>
      </c>
      <c r="D88" s="124"/>
      <c r="E88" s="304">
        <f t="shared" si="30"/>
        <v>0</v>
      </c>
      <c r="F88" s="124"/>
      <c r="G88" s="304"/>
      <c r="H88" s="124">
        <f t="shared" si="32"/>
        <v>0</v>
      </c>
      <c r="I88" s="105" t="e">
        <f t="shared" si="33"/>
        <v>#DIV/0!</v>
      </c>
      <c r="P88" s="105"/>
      <c r="Q88" s="109"/>
      <c r="AC88" s="105"/>
      <c r="AD88" s="109"/>
      <c r="AE88" s="141"/>
      <c r="AF88" s="105"/>
      <c r="AG88" s="109"/>
    </row>
    <row r="89" spans="3:33" outlineLevel="1">
      <c r="C89" s="105" t="s">
        <v>1121</v>
      </c>
      <c r="D89" s="124"/>
      <c r="E89" s="304">
        <f t="shared" si="30"/>
        <v>0</v>
      </c>
      <c r="F89" s="124"/>
      <c r="G89" s="304"/>
      <c r="H89" s="124">
        <f t="shared" si="32"/>
        <v>0</v>
      </c>
      <c r="I89" s="105" t="e">
        <f t="shared" si="33"/>
        <v>#DIV/0!</v>
      </c>
      <c r="P89" s="105"/>
      <c r="Q89" s="109"/>
      <c r="AC89" s="105"/>
      <c r="AD89" s="109"/>
      <c r="AE89" s="141"/>
      <c r="AF89" s="105"/>
      <c r="AG89" s="109"/>
    </row>
    <row r="90" spans="3:33" outlineLevel="1">
      <c r="C90" s="105" t="s">
        <v>1122</v>
      </c>
      <c r="D90" s="124"/>
      <c r="E90" s="304">
        <f t="shared" si="30"/>
        <v>0</v>
      </c>
      <c r="F90" s="124"/>
      <c r="G90" s="304"/>
      <c r="H90" s="124">
        <f t="shared" si="32"/>
        <v>0</v>
      </c>
      <c r="I90" s="105" t="e">
        <f t="shared" si="33"/>
        <v>#DIV/0!</v>
      </c>
      <c r="P90" s="105"/>
      <c r="Q90" s="109"/>
      <c r="AC90" s="105"/>
      <c r="AD90" s="109"/>
      <c r="AE90" s="141"/>
      <c r="AF90" s="105"/>
      <c r="AG90" s="109"/>
    </row>
    <row r="91" spans="3:33" outlineLevel="1">
      <c r="C91" s="105" t="s">
        <v>1123</v>
      </c>
      <c r="D91" s="124">
        <v>7</v>
      </c>
      <c r="E91" s="304">
        <f t="shared" si="30"/>
        <v>1.5659955257270694E-2</v>
      </c>
      <c r="F91" s="124"/>
      <c r="G91" s="304">
        <f t="shared" si="31"/>
        <v>0</v>
      </c>
      <c r="H91" s="124">
        <f t="shared" si="32"/>
        <v>7</v>
      </c>
      <c r="I91" s="105">
        <f t="shared" si="33"/>
        <v>1</v>
      </c>
      <c r="P91" s="105"/>
      <c r="Q91" s="109"/>
      <c r="AC91" s="105"/>
      <c r="AD91" s="109"/>
      <c r="AE91" s="141"/>
      <c r="AF91" s="105"/>
      <c r="AG91" s="109"/>
    </row>
    <row r="92" spans="3:33" outlineLevel="1">
      <c r="C92" s="105" t="s">
        <v>1124</v>
      </c>
      <c r="D92" s="124">
        <v>8</v>
      </c>
      <c r="E92" s="304">
        <f t="shared" si="30"/>
        <v>1.7897091722595078E-2</v>
      </c>
      <c r="F92" s="124"/>
      <c r="G92" s="304"/>
      <c r="H92" s="124">
        <f t="shared" si="32"/>
        <v>8</v>
      </c>
      <c r="I92" s="105">
        <f t="shared" si="33"/>
        <v>1</v>
      </c>
      <c r="P92" s="105"/>
      <c r="Q92" s="109"/>
      <c r="AC92" s="105"/>
      <c r="AD92" s="109"/>
      <c r="AE92" s="141"/>
      <c r="AF92" s="105"/>
      <c r="AG92" s="109"/>
    </row>
    <row r="93" spans="3:33" outlineLevel="1">
      <c r="C93" s="105" t="s">
        <v>1125</v>
      </c>
      <c r="D93" s="124"/>
      <c r="E93" s="304">
        <f t="shared" si="30"/>
        <v>0</v>
      </c>
      <c r="F93" s="124"/>
      <c r="G93" s="304"/>
      <c r="H93" s="124">
        <f t="shared" si="32"/>
        <v>0</v>
      </c>
      <c r="I93" s="105" t="e">
        <f t="shared" si="33"/>
        <v>#DIV/0!</v>
      </c>
      <c r="P93" s="105"/>
      <c r="Q93" s="109"/>
      <c r="AC93" s="105"/>
      <c r="AD93" s="109"/>
      <c r="AE93" s="141"/>
      <c r="AF93" s="105"/>
      <c r="AG93" s="109"/>
    </row>
    <row r="94" spans="3:33" outlineLevel="1">
      <c r="C94" s="105" t="s">
        <v>1126</v>
      </c>
      <c r="D94" s="124">
        <v>3</v>
      </c>
      <c r="E94" s="304">
        <f t="shared" si="30"/>
        <v>6.7114093959731542E-3</v>
      </c>
      <c r="F94" s="124"/>
      <c r="G94" s="304">
        <f t="shared" si="31"/>
        <v>0</v>
      </c>
      <c r="H94" s="124">
        <f t="shared" si="32"/>
        <v>3</v>
      </c>
      <c r="I94" s="105">
        <f t="shared" si="33"/>
        <v>1</v>
      </c>
      <c r="P94" s="105"/>
      <c r="Q94" s="109"/>
      <c r="AC94" s="105"/>
      <c r="AD94" s="109"/>
      <c r="AE94" s="141"/>
      <c r="AF94" s="105"/>
      <c r="AG94" s="109"/>
    </row>
    <row r="95" spans="3:33" outlineLevel="1">
      <c r="C95" s="105" t="s">
        <v>1127</v>
      </c>
      <c r="D95" s="124"/>
      <c r="E95" s="304">
        <f t="shared" si="30"/>
        <v>0</v>
      </c>
      <c r="F95" s="124"/>
      <c r="G95" s="304"/>
      <c r="H95" s="124">
        <f t="shared" si="32"/>
        <v>0</v>
      </c>
      <c r="I95" s="105" t="e">
        <f t="shared" si="33"/>
        <v>#DIV/0!</v>
      </c>
      <c r="P95" s="105"/>
      <c r="Q95" s="109"/>
      <c r="AC95" s="105"/>
      <c r="AD95" s="109"/>
      <c r="AE95" s="141"/>
      <c r="AF95" s="105"/>
      <c r="AG95" s="109"/>
    </row>
    <row r="96" spans="3:33" outlineLevel="1">
      <c r="C96" s="105" t="s">
        <v>1128</v>
      </c>
      <c r="D96" s="124"/>
      <c r="E96" s="304">
        <f t="shared" si="30"/>
        <v>0</v>
      </c>
      <c r="F96" s="124"/>
      <c r="G96" s="304"/>
      <c r="H96" s="124">
        <f t="shared" si="32"/>
        <v>0</v>
      </c>
      <c r="I96" s="105" t="e">
        <f t="shared" si="33"/>
        <v>#DIV/0!</v>
      </c>
      <c r="P96" s="105"/>
      <c r="Q96" s="109"/>
      <c r="AC96" s="105"/>
      <c r="AD96" s="109"/>
      <c r="AE96" s="141"/>
      <c r="AF96" s="105"/>
      <c r="AG96" s="109"/>
    </row>
    <row r="97" spans="3:33" outlineLevel="1">
      <c r="C97" s="105" t="s">
        <v>1129</v>
      </c>
      <c r="D97" s="124">
        <v>4</v>
      </c>
      <c r="E97" s="304">
        <f t="shared" si="30"/>
        <v>8.948545861297539E-3</v>
      </c>
      <c r="F97" s="124"/>
      <c r="G97" s="304">
        <f t="shared" si="31"/>
        <v>0</v>
      </c>
      <c r="H97" s="124">
        <f t="shared" si="32"/>
        <v>4</v>
      </c>
      <c r="I97" s="105">
        <f t="shared" si="33"/>
        <v>1</v>
      </c>
      <c r="P97" s="105"/>
      <c r="Q97" s="109"/>
      <c r="AC97" s="105"/>
      <c r="AD97" s="109"/>
      <c r="AE97" s="141"/>
      <c r="AF97" s="105"/>
      <c r="AG97" s="109"/>
    </row>
    <row r="98" spans="3:33" outlineLevel="1">
      <c r="C98" s="105" t="s">
        <v>1130</v>
      </c>
      <c r="D98" s="124">
        <v>6</v>
      </c>
      <c r="E98" s="304">
        <f t="shared" si="30"/>
        <v>1.3422818791946308E-2</v>
      </c>
      <c r="F98" s="124"/>
      <c r="G98" s="304">
        <f t="shared" si="31"/>
        <v>0</v>
      </c>
      <c r="H98" s="124">
        <f t="shared" si="32"/>
        <v>6</v>
      </c>
      <c r="I98" s="105">
        <f t="shared" si="33"/>
        <v>1</v>
      </c>
      <c r="P98" s="105"/>
      <c r="Q98" s="109"/>
      <c r="AC98" s="105"/>
      <c r="AD98" s="109"/>
      <c r="AE98" s="141"/>
      <c r="AF98" s="105"/>
      <c r="AG98" s="109"/>
    </row>
    <row r="99" spans="3:33" outlineLevel="1">
      <c r="C99" s="105" t="s">
        <v>1131</v>
      </c>
      <c r="D99" s="124"/>
      <c r="E99" s="304">
        <f t="shared" si="30"/>
        <v>0</v>
      </c>
      <c r="F99" s="124"/>
      <c r="G99" s="304"/>
      <c r="H99" s="124">
        <f t="shared" si="32"/>
        <v>0</v>
      </c>
      <c r="I99" s="105" t="e">
        <f t="shared" si="33"/>
        <v>#DIV/0!</v>
      </c>
      <c r="P99" s="105"/>
      <c r="Q99" s="109"/>
      <c r="AC99" s="105"/>
      <c r="AD99" s="109"/>
      <c r="AE99" s="141"/>
      <c r="AF99" s="105"/>
      <c r="AG99" s="109"/>
    </row>
    <row r="100" spans="3:33" outlineLevel="1">
      <c r="C100" s="105" t="s">
        <v>1132</v>
      </c>
      <c r="D100" s="124">
        <v>19</v>
      </c>
      <c r="E100" s="304">
        <f t="shared" si="30"/>
        <v>4.2505592841163314E-2</v>
      </c>
      <c r="F100" s="124"/>
      <c r="G100" s="304">
        <f t="shared" si="31"/>
        <v>0</v>
      </c>
      <c r="H100" s="124">
        <f t="shared" si="32"/>
        <v>19</v>
      </c>
      <c r="I100" s="105">
        <f t="shared" si="33"/>
        <v>1</v>
      </c>
      <c r="P100" s="105"/>
      <c r="Q100" s="109"/>
      <c r="AC100" s="105"/>
      <c r="AD100" s="109"/>
      <c r="AE100" s="141"/>
      <c r="AF100" s="105"/>
      <c r="AG100" s="109"/>
    </row>
    <row r="101" spans="3:33" outlineLevel="1">
      <c r="C101" s="105" t="s">
        <v>1133</v>
      </c>
      <c r="D101" s="124">
        <v>6</v>
      </c>
      <c r="E101" s="304">
        <f t="shared" si="30"/>
        <v>1.3422818791946308E-2</v>
      </c>
      <c r="F101" s="124"/>
      <c r="G101" s="304">
        <f t="shared" si="31"/>
        <v>0</v>
      </c>
      <c r="H101" s="124">
        <f t="shared" si="32"/>
        <v>6</v>
      </c>
      <c r="I101" s="105">
        <f t="shared" si="33"/>
        <v>1</v>
      </c>
      <c r="P101" s="105"/>
      <c r="Q101" s="109"/>
      <c r="AC101" s="105"/>
      <c r="AD101" s="109"/>
      <c r="AE101" s="141"/>
      <c r="AF101" s="105"/>
      <c r="AG101" s="109"/>
    </row>
    <row r="102" spans="3:33" outlineLevel="1">
      <c r="C102" s="105" t="s">
        <v>1134</v>
      </c>
      <c r="D102" s="124">
        <v>4</v>
      </c>
      <c r="E102" s="304">
        <f t="shared" si="30"/>
        <v>8.948545861297539E-3</v>
      </c>
      <c r="F102" s="124"/>
      <c r="G102" s="304">
        <f t="shared" si="31"/>
        <v>0</v>
      </c>
      <c r="H102" s="124">
        <f t="shared" si="32"/>
        <v>4</v>
      </c>
      <c r="I102" s="105">
        <f t="shared" si="33"/>
        <v>1</v>
      </c>
      <c r="P102" s="105"/>
      <c r="Q102" s="109"/>
      <c r="AC102" s="105"/>
      <c r="AD102" s="109"/>
      <c r="AE102" s="141"/>
      <c r="AF102" s="105"/>
      <c r="AG102" s="109"/>
    </row>
    <row r="103" spans="3:33" outlineLevel="1">
      <c r="C103" s="105" t="s">
        <v>1135</v>
      </c>
      <c r="D103" s="124"/>
      <c r="E103" s="304">
        <f t="shared" si="30"/>
        <v>0</v>
      </c>
      <c r="F103" s="124"/>
      <c r="G103" s="304"/>
      <c r="H103" s="124">
        <f t="shared" si="32"/>
        <v>0</v>
      </c>
      <c r="I103" s="105" t="e">
        <f t="shared" si="33"/>
        <v>#DIV/0!</v>
      </c>
      <c r="P103" s="105"/>
      <c r="Q103" s="109"/>
      <c r="AC103" s="105"/>
      <c r="AD103" s="109"/>
      <c r="AE103" s="141"/>
      <c r="AF103" s="105"/>
      <c r="AG103" s="109"/>
    </row>
    <row r="104" spans="3:33" outlineLevel="1">
      <c r="C104" s="105" t="s">
        <v>1136</v>
      </c>
      <c r="D104" s="124">
        <v>0</v>
      </c>
      <c r="E104" s="304">
        <f t="shared" si="30"/>
        <v>0</v>
      </c>
      <c r="F104" s="124"/>
      <c r="G104" s="304"/>
      <c r="H104" s="124">
        <f t="shared" si="32"/>
        <v>0</v>
      </c>
      <c r="I104" s="105" t="e">
        <f t="shared" si="33"/>
        <v>#DIV/0!</v>
      </c>
      <c r="P104" s="105"/>
      <c r="Q104" s="109"/>
      <c r="AC104" s="105"/>
      <c r="AD104" s="109"/>
      <c r="AE104" s="141"/>
      <c r="AF104" s="105"/>
      <c r="AG104" s="109"/>
    </row>
    <row r="105" spans="3:33" outlineLevel="1">
      <c r="C105" s="105" t="s">
        <v>1137</v>
      </c>
      <c r="D105" s="124"/>
      <c r="E105" s="304">
        <f t="shared" si="30"/>
        <v>0</v>
      </c>
      <c r="F105" s="124"/>
      <c r="G105" s="304"/>
      <c r="H105" s="124">
        <f t="shared" si="32"/>
        <v>0</v>
      </c>
      <c r="I105" s="105" t="e">
        <f t="shared" si="33"/>
        <v>#DIV/0!</v>
      </c>
      <c r="P105" s="105"/>
      <c r="Q105" s="109"/>
      <c r="AC105" s="105"/>
      <c r="AD105" s="109"/>
      <c r="AE105" s="141"/>
      <c r="AF105" s="105"/>
      <c r="AG105" s="109"/>
    </row>
    <row r="106" spans="3:33" outlineLevel="1">
      <c r="C106" s="105" t="s">
        <v>1138</v>
      </c>
      <c r="D106" s="124"/>
      <c r="E106" s="304">
        <f t="shared" si="30"/>
        <v>0</v>
      </c>
      <c r="F106" s="124"/>
      <c r="G106" s="304"/>
      <c r="H106" s="124">
        <f t="shared" si="32"/>
        <v>0</v>
      </c>
      <c r="I106" s="105" t="e">
        <f t="shared" si="33"/>
        <v>#DIV/0!</v>
      </c>
      <c r="P106" s="105"/>
      <c r="Q106" s="109"/>
      <c r="AC106" s="105"/>
      <c r="AD106" s="109"/>
      <c r="AE106" s="141"/>
      <c r="AF106" s="105"/>
      <c r="AG106" s="109"/>
    </row>
    <row r="107" spans="3:33" outlineLevel="1">
      <c r="C107" s="105" t="s">
        <v>1139</v>
      </c>
      <c r="D107" s="124">
        <v>37</v>
      </c>
      <c r="E107" s="304">
        <f t="shared" si="30"/>
        <v>8.2774049217002238E-2</v>
      </c>
      <c r="F107" s="124"/>
      <c r="G107" s="304">
        <f t="shared" si="31"/>
        <v>0</v>
      </c>
      <c r="H107" s="124">
        <f t="shared" si="32"/>
        <v>37</v>
      </c>
      <c r="I107" s="105">
        <f t="shared" si="33"/>
        <v>1</v>
      </c>
      <c r="P107" s="105"/>
      <c r="Q107" s="109"/>
      <c r="AC107" s="105"/>
      <c r="AD107" s="109"/>
      <c r="AE107" s="141"/>
      <c r="AF107" s="105"/>
      <c r="AG107" s="109"/>
    </row>
    <row r="108" spans="3:33" outlineLevel="1">
      <c r="C108" s="105" t="s">
        <v>1140</v>
      </c>
      <c r="D108" s="124">
        <v>7</v>
      </c>
      <c r="E108" s="304">
        <f t="shared" si="30"/>
        <v>1.5659955257270694E-2</v>
      </c>
      <c r="F108" s="124"/>
      <c r="G108" s="304">
        <f t="shared" si="31"/>
        <v>0</v>
      </c>
      <c r="H108" s="124">
        <f t="shared" si="32"/>
        <v>7</v>
      </c>
      <c r="I108" s="105">
        <f t="shared" si="33"/>
        <v>1</v>
      </c>
      <c r="P108" s="105"/>
      <c r="Q108" s="109"/>
      <c r="AC108" s="105"/>
      <c r="AD108" s="109"/>
      <c r="AE108" s="141"/>
      <c r="AF108" s="105"/>
      <c r="AG108" s="109"/>
    </row>
    <row r="109" spans="3:33" outlineLevel="1">
      <c r="C109" s="105" t="s">
        <v>1141</v>
      </c>
      <c r="D109" s="124">
        <v>6</v>
      </c>
      <c r="E109" s="304">
        <f t="shared" si="30"/>
        <v>1.3422818791946308E-2</v>
      </c>
      <c r="F109" s="124"/>
      <c r="G109" s="304">
        <f t="shared" si="31"/>
        <v>0</v>
      </c>
      <c r="H109" s="124">
        <f t="shared" si="32"/>
        <v>6</v>
      </c>
      <c r="I109" s="105">
        <f t="shared" si="33"/>
        <v>1</v>
      </c>
      <c r="P109" s="105"/>
      <c r="Q109" s="109"/>
      <c r="AC109" s="105"/>
      <c r="AD109" s="109"/>
      <c r="AE109" s="141"/>
      <c r="AF109" s="105"/>
      <c r="AG109" s="109"/>
    </row>
    <row r="110" spans="3:33" outlineLevel="1">
      <c r="C110" s="105" t="s">
        <v>1142</v>
      </c>
      <c r="D110" s="124">
        <v>3</v>
      </c>
      <c r="E110" s="304">
        <f t="shared" si="30"/>
        <v>6.7114093959731542E-3</v>
      </c>
      <c r="F110" s="124"/>
      <c r="G110" s="304">
        <f t="shared" si="31"/>
        <v>0</v>
      </c>
      <c r="H110" s="124">
        <f t="shared" si="32"/>
        <v>3</v>
      </c>
      <c r="I110" s="105">
        <f t="shared" si="33"/>
        <v>1</v>
      </c>
      <c r="P110" s="105"/>
      <c r="Q110" s="109"/>
      <c r="AC110" s="105"/>
      <c r="AD110" s="109"/>
      <c r="AE110" s="141"/>
      <c r="AF110" s="105"/>
      <c r="AG110" s="109"/>
    </row>
    <row r="111" spans="3:33" outlineLevel="1">
      <c r="C111" s="105" t="s">
        <v>1143</v>
      </c>
      <c r="D111" s="124"/>
      <c r="E111" s="304">
        <f t="shared" si="30"/>
        <v>0</v>
      </c>
      <c r="F111" s="124"/>
      <c r="G111" s="304"/>
      <c r="H111" s="124">
        <f t="shared" si="32"/>
        <v>0</v>
      </c>
      <c r="I111" s="105" t="e">
        <f t="shared" si="33"/>
        <v>#DIV/0!</v>
      </c>
      <c r="P111" s="105"/>
      <c r="Q111" s="109"/>
      <c r="AC111" s="105"/>
      <c r="AD111" s="109"/>
      <c r="AE111" s="141"/>
      <c r="AF111" s="105"/>
      <c r="AG111" s="109"/>
    </row>
    <row r="112" spans="3:33" outlineLevel="1">
      <c r="C112" s="105" t="s">
        <v>1144</v>
      </c>
      <c r="D112" s="124"/>
      <c r="E112" s="304">
        <f t="shared" si="30"/>
        <v>0</v>
      </c>
      <c r="F112" s="124"/>
      <c r="G112" s="304"/>
      <c r="H112" s="124">
        <f t="shared" si="32"/>
        <v>0</v>
      </c>
      <c r="I112" s="105" t="e">
        <f t="shared" si="33"/>
        <v>#DIV/0!</v>
      </c>
      <c r="P112" s="105"/>
      <c r="Q112" s="109"/>
      <c r="AC112" s="105"/>
      <c r="AD112" s="109"/>
      <c r="AE112" s="141"/>
      <c r="AF112" s="105"/>
      <c r="AG112" s="109"/>
    </row>
    <row r="113" spans="3:33" outlineLevel="1">
      <c r="C113" s="105" t="s">
        <v>1145</v>
      </c>
      <c r="D113" s="124">
        <v>10</v>
      </c>
      <c r="E113" s="304">
        <f t="shared" si="30"/>
        <v>2.2371364653243849E-2</v>
      </c>
      <c r="F113" s="124"/>
      <c r="G113" s="304">
        <f t="shared" si="31"/>
        <v>0</v>
      </c>
      <c r="H113" s="124">
        <f t="shared" si="32"/>
        <v>10</v>
      </c>
      <c r="I113" s="105">
        <f t="shared" si="33"/>
        <v>1</v>
      </c>
      <c r="P113" s="105"/>
      <c r="Q113" s="109"/>
      <c r="AC113" s="105"/>
      <c r="AD113" s="109"/>
      <c r="AE113" s="141"/>
      <c r="AF113" s="105"/>
      <c r="AG113" s="109"/>
    </row>
    <row r="114" spans="3:33" outlineLevel="1">
      <c r="C114" s="105" t="s">
        <v>1146</v>
      </c>
      <c r="D114" s="124">
        <v>6</v>
      </c>
      <c r="E114" s="304">
        <f t="shared" si="30"/>
        <v>1.3422818791946308E-2</v>
      </c>
      <c r="F114" s="124"/>
      <c r="G114" s="304">
        <f t="shared" si="31"/>
        <v>0</v>
      </c>
      <c r="H114" s="124">
        <f t="shared" si="32"/>
        <v>6</v>
      </c>
      <c r="I114" s="105">
        <f t="shared" si="33"/>
        <v>1</v>
      </c>
      <c r="P114" s="105"/>
      <c r="Q114" s="109"/>
      <c r="AC114" s="105"/>
      <c r="AD114" s="109"/>
      <c r="AE114" s="141"/>
      <c r="AF114" s="105"/>
      <c r="AG114" s="109"/>
    </row>
    <row r="115" spans="3:33" outlineLevel="1">
      <c r="C115" s="105" t="s">
        <v>1147</v>
      </c>
      <c r="D115" s="124">
        <v>35</v>
      </c>
      <c r="E115" s="304">
        <f t="shared" si="30"/>
        <v>7.829977628635347E-2</v>
      </c>
      <c r="F115" s="124"/>
      <c r="G115" s="304">
        <f t="shared" si="31"/>
        <v>0</v>
      </c>
      <c r="H115" s="124">
        <f t="shared" si="32"/>
        <v>35</v>
      </c>
      <c r="I115" s="105">
        <f t="shared" si="33"/>
        <v>1</v>
      </c>
      <c r="P115" s="105"/>
      <c r="Q115" s="109"/>
      <c r="AC115" s="105"/>
      <c r="AD115" s="109"/>
      <c r="AE115" s="141"/>
      <c r="AF115" s="105"/>
      <c r="AG115" s="109"/>
    </row>
    <row r="116" spans="3:33" outlineLevel="1">
      <c r="C116" s="105" t="s">
        <v>1148</v>
      </c>
      <c r="D116" s="124">
        <v>13</v>
      </c>
      <c r="E116" s="304">
        <f t="shared" si="30"/>
        <v>2.9082774049217001E-2</v>
      </c>
      <c r="F116" s="124"/>
      <c r="G116" s="304">
        <f t="shared" si="31"/>
        <v>0</v>
      </c>
      <c r="H116" s="124">
        <f t="shared" si="32"/>
        <v>13</v>
      </c>
      <c r="I116" s="105">
        <f t="shared" si="33"/>
        <v>1</v>
      </c>
      <c r="P116" s="105"/>
      <c r="Q116" s="109"/>
      <c r="AC116" s="105"/>
      <c r="AD116" s="109"/>
      <c r="AE116" s="141"/>
      <c r="AF116" s="105"/>
      <c r="AG116" s="109"/>
    </row>
    <row r="117" spans="3:33" outlineLevel="1">
      <c r="C117" s="105" t="s">
        <v>1149</v>
      </c>
      <c r="D117" s="124">
        <v>2</v>
      </c>
      <c r="E117" s="304">
        <f t="shared" si="30"/>
        <v>4.4742729306487695E-3</v>
      </c>
      <c r="F117" s="124"/>
      <c r="G117" s="304">
        <f t="shared" si="31"/>
        <v>0</v>
      </c>
      <c r="H117" s="124">
        <f t="shared" si="32"/>
        <v>2</v>
      </c>
      <c r="I117" s="105">
        <f t="shared" si="33"/>
        <v>1</v>
      </c>
      <c r="P117" s="105"/>
      <c r="Q117" s="109"/>
      <c r="AC117" s="105"/>
      <c r="AD117" s="109"/>
      <c r="AE117" s="141"/>
      <c r="AF117" s="105"/>
      <c r="AG117" s="109"/>
    </row>
    <row r="118" spans="3:33" outlineLevel="1">
      <c r="C118" s="105" t="s">
        <v>1150</v>
      </c>
      <c r="D118" s="124">
        <v>20</v>
      </c>
      <c r="E118" s="304">
        <f t="shared" si="30"/>
        <v>4.4742729306487698E-2</v>
      </c>
      <c r="F118" s="124"/>
      <c r="G118" s="304">
        <f t="shared" si="31"/>
        <v>0</v>
      </c>
      <c r="H118" s="124">
        <f t="shared" si="32"/>
        <v>20</v>
      </c>
      <c r="I118" s="105">
        <f t="shared" si="33"/>
        <v>1</v>
      </c>
      <c r="P118" s="105"/>
      <c r="Q118" s="109"/>
      <c r="AC118" s="105"/>
      <c r="AD118" s="109"/>
      <c r="AE118" s="141"/>
      <c r="AF118" s="105"/>
      <c r="AG118" s="109"/>
    </row>
    <row r="119" spans="3:33" outlineLevel="1">
      <c r="C119" s="105" t="s">
        <v>1151</v>
      </c>
      <c r="D119" s="124">
        <v>5</v>
      </c>
      <c r="E119" s="304">
        <f t="shared" si="30"/>
        <v>1.1185682326621925E-2</v>
      </c>
      <c r="F119" s="124"/>
      <c r="G119" s="304">
        <f t="shared" si="31"/>
        <v>0</v>
      </c>
      <c r="H119" s="124">
        <f t="shared" si="32"/>
        <v>5</v>
      </c>
      <c r="I119" s="105">
        <f t="shared" si="33"/>
        <v>1</v>
      </c>
      <c r="P119" s="105"/>
      <c r="Q119" s="109"/>
      <c r="AC119" s="105"/>
      <c r="AD119" s="109"/>
      <c r="AE119" s="141"/>
      <c r="AF119" s="105"/>
      <c r="AG119" s="109"/>
    </row>
    <row r="120" spans="3:33" outlineLevel="1">
      <c r="C120" s="105" t="s">
        <v>1152</v>
      </c>
      <c r="D120" s="124"/>
      <c r="E120" s="304">
        <f t="shared" si="30"/>
        <v>0</v>
      </c>
      <c r="F120" s="124"/>
      <c r="G120" s="304"/>
      <c r="H120" s="124">
        <f t="shared" si="32"/>
        <v>0</v>
      </c>
      <c r="I120" s="105" t="e">
        <f t="shared" si="33"/>
        <v>#DIV/0!</v>
      </c>
      <c r="P120" s="105"/>
      <c r="Q120" s="109"/>
      <c r="AC120" s="105"/>
      <c r="AD120" s="109"/>
      <c r="AE120" s="141"/>
      <c r="AF120" s="105"/>
      <c r="AG120" s="109"/>
    </row>
    <row r="121" spans="3:33" outlineLevel="1">
      <c r="C121" s="105" t="s">
        <v>1153</v>
      </c>
      <c r="D121" s="124">
        <v>21</v>
      </c>
      <c r="E121" s="304">
        <f t="shared" si="30"/>
        <v>4.6979865771812082E-2</v>
      </c>
      <c r="F121" s="124"/>
      <c r="G121" s="304">
        <f t="shared" si="31"/>
        <v>0</v>
      </c>
      <c r="H121" s="124">
        <f t="shared" si="32"/>
        <v>21</v>
      </c>
      <c r="I121" s="105">
        <f t="shared" si="33"/>
        <v>1</v>
      </c>
      <c r="P121" s="105"/>
      <c r="Q121" s="109"/>
      <c r="AC121" s="105"/>
      <c r="AD121" s="109"/>
      <c r="AE121" s="141"/>
      <c r="AF121" s="105"/>
      <c r="AG121" s="109"/>
    </row>
    <row r="122" spans="3:33" outlineLevel="1">
      <c r="C122" s="105" t="s">
        <v>1154</v>
      </c>
      <c r="D122" s="124">
        <v>34</v>
      </c>
      <c r="E122" s="304">
        <f t="shared" si="30"/>
        <v>7.6062639821029079E-2</v>
      </c>
      <c r="F122" s="124"/>
      <c r="G122" s="304">
        <f t="shared" si="31"/>
        <v>0</v>
      </c>
      <c r="H122" s="124">
        <f t="shared" si="32"/>
        <v>34</v>
      </c>
      <c r="I122" s="105">
        <f t="shared" si="33"/>
        <v>1</v>
      </c>
      <c r="P122" s="105"/>
      <c r="Q122" s="109"/>
      <c r="AC122" s="105"/>
      <c r="AD122" s="109"/>
      <c r="AE122" s="141"/>
      <c r="AF122" s="105"/>
      <c r="AG122" s="109"/>
    </row>
    <row r="123" spans="3:33" outlineLevel="1">
      <c r="D123" s="124">
        <f>SUM(D71:D122)</f>
        <v>447</v>
      </c>
      <c r="E123" s="304">
        <f t="shared" si="30"/>
        <v>1</v>
      </c>
      <c r="F123" s="124">
        <f>SUM(F71:F122)</f>
        <v>0</v>
      </c>
      <c r="G123" s="304">
        <f t="shared" si="31"/>
        <v>0</v>
      </c>
      <c r="H123" s="124">
        <f t="shared" si="32"/>
        <v>447</v>
      </c>
      <c r="I123" s="105">
        <f t="shared" si="33"/>
        <v>1</v>
      </c>
      <c r="P123" s="105"/>
      <c r="Q123" s="109"/>
      <c r="AC123" s="105"/>
      <c r="AD123" s="109"/>
      <c r="AE123" s="141"/>
      <c r="AF123" s="105"/>
      <c r="AG123" s="109"/>
    </row>
    <row r="124" spans="3:33" outlineLevel="1">
      <c r="D124" s="124"/>
      <c r="F124" s="124"/>
      <c r="G124" s="124"/>
    </row>
    <row r="125" spans="3:33" outlineLevel="1">
      <c r="C125" s="105" t="s">
        <v>1155</v>
      </c>
      <c r="D125" s="124">
        <v>14</v>
      </c>
      <c r="E125" s="369" t="s">
        <v>1156</v>
      </c>
      <c r="F125" s="124"/>
      <c r="G125" s="124"/>
    </row>
    <row r="126" spans="3:33" outlineLevel="1">
      <c r="C126" s="105" t="s">
        <v>1157</v>
      </c>
      <c r="D126" s="124">
        <v>4</v>
      </c>
      <c r="E126" s="370"/>
      <c r="F126" s="124"/>
      <c r="G126" s="124"/>
    </row>
    <row r="127" spans="3:33" outlineLevel="1">
      <c r="C127" s="105" t="s">
        <v>1158</v>
      </c>
      <c r="D127" s="124">
        <v>19</v>
      </c>
      <c r="E127" s="370"/>
      <c r="F127" s="124"/>
      <c r="G127" s="124"/>
    </row>
    <row r="128" spans="3:33" outlineLevel="1"/>
    <row r="129" spans="3:23" outlineLevel="1">
      <c r="C129" s="151" t="s">
        <v>1159</v>
      </c>
    </row>
    <row r="130" spans="3:23" outlineLevel="1">
      <c r="C130" s="235" t="s">
        <v>1103</v>
      </c>
      <c r="D130" s="358">
        <f>ROUND($E71*D$24,0)</f>
        <v>48153</v>
      </c>
      <c r="E130" s="358">
        <f t="shared" ref="E130:O145" si="34">ROUND($E71*E$24,0)</f>
        <v>40602</v>
      </c>
      <c r="F130" s="358">
        <f t="shared" si="34"/>
        <v>40738</v>
      </c>
      <c r="G130" s="358">
        <f t="shared" si="34"/>
        <v>41444</v>
      </c>
      <c r="H130" s="358">
        <f t="shared" si="34"/>
        <v>44538</v>
      </c>
      <c r="I130" s="358">
        <f t="shared" si="34"/>
        <v>41431</v>
      </c>
      <c r="J130" s="358">
        <f t="shared" si="34"/>
        <v>41126</v>
      </c>
      <c r="K130" s="358">
        <f t="shared" si="34"/>
        <v>41081</v>
      </c>
      <c r="L130" s="358">
        <f t="shared" si="34"/>
        <v>41395</v>
      </c>
      <c r="M130" s="358">
        <f t="shared" si="34"/>
        <v>48296</v>
      </c>
      <c r="N130" s="358">
        <f t="shared" si="34"/>
        <v>41294</v>
      </c>
      <c r="O130" s="358">
        <f t="shared" si="34"/>
        <v>41250</v>
      </c>
      <c r="P130" s="359">
        <f>SUM(D130:O130)</f>
        <v>511348</v>
      </c>
      <c r="Q130" s="358"/>
      <c r="R130" s="358"/>
      <c r="S130" s="358"/>
      <c r="T130" s="358"/>
      <c r="U130" s="358"/>
      <c r="V130" s="358"/>
      <c r="W130" s="358"/>
    </row>
    <row r="131" spans="3:23" outlineLevel="1">
      <c r="C131" s="235" t="s">
        <v>1104</v>
      </c>
      <c r="D131" s="358">
        <f t="shared" ref="D131:O146" si="35">ROUND($E72*D$24,0)</f>
        <v>52281</v>
      </c>
      <c r="E131" s="358">
        <f t="shared" si="34"/>
        <v>44082</v>
      </c>
      <c r="F131" s="358">
        <f t="shared" si="34"/>
        <v>44229</v>
      </c>
      <c r="G131" s="358">
        <f t="shared" si="34"/>
        <v>44996</v>
      </c>
      <c r="H131" s="358">
        <f t="shared" si="34"/>
        <v>48355</v>
      </c>
      <c r="I131" s="358">
        <f t="shared" si="34"/>
        <v>44982</v>
      </c>
      <c r="J131" s="358">
        <f t="shared" si="34"/>
        <v>44651</v>
      </c>
      <c r="K131" s="358">
        <f t="shared" si="34"/>
        <v>44603</v>
      </c>
      <c r="L131" s="358">
        <f t="shared" si="34"/>
        <v>44943</v>
      </c>
      <c r="M131" s="358">
        <f t="shared" si="34"/>
        <v>52436</v>
      </c>
      <c r="N131" s="358">
        <f t="shared" si="34"/>
        <v>44834</v>
      </c>
      <c r="O131" s="358">
        <f t="shared" si="34"/>
        <v>44785</v>
      </c>
      <c r="P131" s="359">
        <f t="shared" ref="P131:P181" si="36">SUM(D131:O131)</f>
        <v>555177</v>
      </c>
      <c r="Q131" s="358"/>
      <c r="R131" s="358"/>
      <c r="S131" s="358"/>
      <c r="T131" s="358"/>
      <c r="U131" s="358"/>
      <c r="V131" s="358"/>
      <c r="W131" s="358"/>
    </row>
    <row r="132" spans="3:23" outlineLevel="1">
      <c r="C132" s="235" t="s">
        <v>1105</v>
      </c>
      <c r="D132" s="358">
        <f t="shared" si="35"/>
        <v>15134</v>
      </c>
      <c r="E132" s="358">
        <f t="shared" si="34"/>
        <v>12761</v>
      </c>
      <c r="F132" s="358">
        <f t="shared" si="34"/>
        <v>12803</v>
      </c>
      <c r="G132" s="358">
        <f t="shared" si="34"/>
        <v>13025</v>
      </c>
      <c r="H132" s="358">
        <f t="shared" si="34"/>
        <v>13998</v>
      </c>
      <c r="I132" s="358">
        <f t="shared" si="34"/>
        <v>13021</v>
      </c>
      <c r="J132" s="358">
        <f t="shared" si="34"/>
        <v>12925</v>
      </c>
      <c r="K132" s="358">
        <f t="shared" si="34"/>
        <v>12911</v>
      </c>
      <c r="L132" s="358">
        <f t="shared" si="34"/>
        <v>13010</v>
      </c>
      <c r="M132" s="358">
        <f t="shared" si="34"/>
        <v>15179</v>
      </c>
      <c r="N132" s="358">
        <f t="shared" si="34"/>
        <v>12978</v>
      </c>
      <c r="O132" s="358">
        <f t="shared" si="34"/>
        <v>12964</v>
      </c>
      <c r="P132" s="359">
        <f t="shared" si="36"/>
        <v>160709</v>
      </c>
      <c r="Q132" s="358"/>
      <c r="R132" s="358"/>
      <c r="S132" s="358"/>
      <c r="T132" s="358"/>
      <c r="U132" s="358"/>
      <c r="V132" s="358"/>
      <c r="W132" s="358"/>
    </row>
    <row r="133" spans="3:23" outlineLevel="1">
      <c r="C133" s="235" t="s">
        <v>1106</v>
      </c>
      <c r="D133" s="358">
        <f t="shared" si="35"/>
        <v>0</v>
      </c>
      <c r="E133" s="358">
        <f t="shared" si="34"/>
        <v>0</v>
      </c>
      <c r="F133" s="358">
        <f t="shared" si="34"/>
        <v>0</v>
      </c>
      <c r="G133" s="358">
        <f t="shared" si="34"/>
        <v>0</v>
      </c>
      <c r="H133" s="358">
        <f t="shared" si="34"/>
        <v>0</v>
      </c>
      <c r="I133" s="358">
        <f t="shared" si="34"/>
        <v>0</v>
      </c>
      <c r="J133" s="358">
        <f t="shared" si="34"/>
        <v>0</v>
      </c>
      <c r="K133" s="358">
        <f t="shared" si="34"/>
        <v>0</v>
      </c>
      <c r="L133" s="358">
        <f t="shared" si="34"/>
        <v>0</v>
      </c>
      <c r="M133" s="358">
        <f t="shared" si="34"/>
        <v>0</v>
      </c>
      <c r="N133" s="358">
        <f t="shared" si="34"/>
        <v>0</v>
      </c>
      <c r="O133" s="358">
        <f t="shared" si="34"/>
        <v>0</v>
      </c>
      <c r="P133" s="359">
        <f t="shared" si="36"/>
        <v>0</v>
      </c>
      <c r="Q133" s="358"/>
      <c r="R133" s="358"/>
      <c r="S133" s="358"/>
      <c r="T133" s="358"/>
      <c r="U133" s="358"/>
      <c r="V133" s="358"/>
      <c r="W133" s="358"/>
    </row>
    <row r="134" spans="3:23" outlineLevel="1">
      <c r="C134" s="235" t="s">
        <v>1107</v>
      </c>
      <c r="D134" s="358">
        <f t="shared" si="35"/>
        <v>2752</v>
      </c>
      <c r="E134" s="358">
        <f t="shared" si="34"/>
        <v>2320</v>
      </c>
      <c r="F134" s="358">
        <f t="shared" si="34"/>
        <v>2328</v>
      </c>
      <c r="G134" s="358">
        <f t="shared" si="34"/>
        <v>2368</v>
      </c>
      <c r="H134" s="358">
        <f t="shared" si="34"/>
        <v>2545</v>
      </c>
      <c r="I134" s="358">
        <f t="shared" si="34"/>
        <v>2367</v>
      </c>
      <c r="J134" s="358">
        <f t="shared" si="34"/>
        <v>2350</v>
      </c>
      <c r="K134" s="358">
        <f t="shared" si="34"/>
        <v>2348</v>
      </c>
      <c r="L134" s="358">
        <f t="shared" si="34"/>
        <v>2365</v>
      </c>
      <c r="M134" s="358">
        <f t="shared" si="34"/>
        <v>2760</v>
      </c>
      <c r="N134" s="358">
        <f t="shared" si="34"/>
        <v>2360</v>
      </c>
      <c r="O134" s="358">
        <f t="shared" si="34"/>
        <v>2357</v>
      </c>
      <c r="P134" s="359">
        <f t="shared" si="36"/>
        <v>29220</v>
      </c>
      <c r="Q134" s="358"/>
      <c r="R134" s="358"/>
      <c r="S134" s="358"/>
      <c r="T134" s="358"/>
      <c r="U134" s="358"/>
      <c r="V134" s="358"/>
      <c r="W134" s="358"/>
    </row>
    <row r="135" spans="3:23" outlineLevel="1">
      <c r="C135" s="235" t="s">
        <v>1108</v>
      </c>
      <c r="D135" s="358">
        <f t="shared" si="35"/>
        <v>15134</v>
      </c>
      <c r="E135" s="358">
        <f t="shared" si="34"/>
        <v>12761</v>
      </c>
      <c r="F135" s="358">
        <f t="shared" si="34"/>
        <v>12803</v>
      </c>
      <c r="G135" s="358">
        <f t="shared" si="34"/>
        <v>13025</v>
      </c>
      <c r="H135" s="358">
        <f t="shared" si="34"/>
        <v>13998</v>
      </c>
      <c r="I135" s="358">
        <f t="shared" si="34"/>
        <v>13021</v>
      </c>
      <c r="J135" s="358">
        <f t="shared" si="34"/>
        <v>12925</v>
      </c>
      <c r="K135" s="358">
        <f t="shared" si="34"/>
        <v>12911</v>
      </c>
      <c r="L135" s="358">
        <f t="shared" si="34"/>
        <v>13010</v>
      </c>
      <c r="M135" s="358">
        <f t="shared" si="34"/>
        <v>15179</v>
      </c>
      <c r="N135" s="358">
        <f t="shared" si="34"/>
        <v>12978</v>
      </c>
      <c r="O135" s="358">
        <f t="shared" si="34"/>
        <v>12964</v>
      </c>
      <c r="P135" s="359">
        <f t="shared" si="36"/>
        <v>160709</v>
      </c>
      <c r="Q135" s="358"/>
      <c r="R135" s="358"/>
      <c r="S135" s="358"/>
      <c r="T135" s="358"/>
      <c r="U135" s="358"/>
      <c r="V135" s="358"/>
      <c r="W135" s="358"/>
    </row>
    <row r="136" spans="3:23" outlineLevel="1">
      <c r="C136" s="235" t="s">
        <v>1109</v>
      </c>
      <c r="D136" s="358">
        <f t="shared" si="35"/>
        <v>24764</v>
      </c>
      <c r="E136" s="358">
        <f t="shared" si="34"/>
        <v>20881</v>
      </c>
      <c r="F136" s="358">
        <f t="shared" si="34"/>
        <v>20951</v>
      </c>
      <c r="G136" s="358">
        <f t="shared" si="34"/>
        <v>21314</v>
      </c>
      <c r="H136" s="358">
        <f t="shared" si="34"/>
        <v>22905</v>
      </c>
      <c r="I136" s="358">
        <f t="shared" si="34"/>
        <v>21307</v>
      </c>
      <c r="J136" s="358">
        <f t="shared" si="34"/>
        <v>21151</v>
      </c>
      <c r="K136" s="358">
        <f t="shared" si="34"/>
        <v>21128</v>
      </c>
      <c r="L136" s="358">
        <f t="shared" si="34"/>
        <v>21289</v>
      </c>
      <c r="M136" s="358">
        <f t="shared" si="34"/>
        <v>24838</v>
      </c>
      <c r="N136" s="358">
        <f t="shared" si="34"/>
        <v>21237</v>
      </c>
      <c r="O136" s="358">
        <f t="shared" si="34"/>
        <v>21214</v>
      </c>
      <c r="P136" s="359">
        <f t="shared" si="36"/>
        <v>262979</v>
      </c>
      <c r="Q136" s="358"/>
      <c r="R136" s="358"/>
      <c r="S136" s="358"/>
      <c r="T136" s="358"/>
      <c r="U136" s="358"/>
      <c r="V136" s="358"/>
      <c r="W136" s="358"/>
    </row>
    <row r="137" spans="3:23" outlineLevel="1">
      <c r="C137" s="235" t="s">
        <v>1110</v>
      </c>
      <c r="D137" s="358">
        <f t="shared" si="35"/>
        <v>12382</v>
      </c>
      <c r="E137" s="358">
        <f t="shared" si="34"/>
        <v>10441</v>
      </c>
      <c r="F137" s="358">
        <f t="shared" si="34"/>
        <v>10475</v>
      </c>
      <c r="G137" s="358">
        <f t="shared" si="34"/>
        <v>10657</v>
      </c>
      <c r="H137" s="358">
        <f t="shared" si="34"/>
        <v>11453</v>
      </c>
      <c r="I137" s="358">
        <f t="shared" si="34"/>
        <v>10654</v>
      </c>
      <c r="J137" s="358">
        <f t="shared" si="34"/>
        <v>10575</v>
      </c>
      <c r="K137" s="358">
        <f t="shared" si="34"/>
        <v>10564</v>
      </c>
      <c r="L137" s="358">
        <f t="shared" si="34"/>
        <v>10644</v>
      </c>
      <c r="M137" s="358">
        <f t="shared" si="34"/>
        <v>12419</v>
      </c>
      <c r="N137" s="358">
        <f t="shared" si="34"/>
        <v>10619</v>
      </c>
      <c r="O137" s="358">
        <f t="shared" si="34"/>
        <v>10607</v>
      </c>
      <c r="P137" s="359">
        <f t="shared" si="36"/>
        <v>131490</v>
      </c>
      <c r="Q137" s="358"/>
      <c r="R137" s="358"/>
      <c r="S137" s="358"/>
      <c r="T137" s="358"/>
      <c r="U137" s="358"/>
      <c r="V137" s="358"/>
      <c r="W137" s="358"/>
    </row>
    <row r="138" spans="3:23" outlineLevel="1">
      <c r="C138" s="235" t="s">
        <v>1111</v>
      </c>
      <c r="D138" s="358">
        <f t="shared" si="35"/>
        <v>19261</v>
      </c>
      <c r="E138" s="358">
        <f t="shared" si="34"/>
        <v>16241</v>
      </c>
      <c r="F138" s="358">
        <f t="shared" si="34"/>
        <v>16295</v>
      </c>
      <c r="G138" s="358">
        <f t="shared" si="34"/>
        <v>16578</v>
      </c>
      <c r="H138" s="358">
        <f t="shared" si="34"/>
        <v>17815</v>
      </c>
      <c r="I138" s="358">
        <f t="shared" si="34"/>
        <v>16572</v>
      </c>
      <c r="J138" s="358">
        <f t="shared" si="34"/>
        <v>16450</v>
      </c>
      <c r="K138" s="358">
        <f t="shared" si="34"/>
        <v>16433</v>
      </c>
      <c r="L138" s="358">
        <f t="shared" si="34"/>
        <v>16558</v>
      </c>
      <c r="M138" s="358">
        <f t="shared" si="34"/>
        <v>19318</v>
      </c>
      <c r="N138" s="358">
        <f t="shared" si="34"/>
        <v>16518</v>
      </c>
      <c r="O138" s="358">
        <f t="shared" si="34"/>
        <v>16500</v>
      </c>
      <c r="P138" s="359">
        <f t="shared" si="36"/>
        <v>204539</v>
      </c>
      <c r="Q138" s="358"/>
      <c r="R138" s="358"/>
      <c r="S138" s="358"/>
      <c r="T138" s="358"/>
      <c r="U138" s="358"/>
      <c r="V138" s="358"/>
      <c r="W138" s="358"/>
    </row>
    <row r="139" spans="3:23" outlineLevel="1">
      <c r="C139" s="235" t="s">
        <v>1112</v>
      </c>
      <c r="D139" s="358">
        <f t="shared" si="35"/>
        <v>9631</v>
      </c>
      <c r="E139" s="358">
        <f t="shared" si="34"/>
        <v>8120</v>
      </c>
      <c r="F139" s="358">
        <f t="shared" si="34"/>
        <v>8148</v>
      </c>
      <c r="G139" s="358">
        <f t="shared" si="34"/>
        <v>8289</v>
      </c>
      <c r="H139" s="358">
        <f t="shared" si="34"/>
        <v>8908</v>
      </c>
      <c r="I139" s="358">
        <f t="shared" si="34"/>
        <v>8286</v>
      </c>
      <c r="J139" s="358">
        <f t="shared" si="34"/>
        <v>8225</v>
      </c>
      <c r="K139" s="358">
        <f t="shared" si="34"/>
        <v>8216</v>
      </c>
      <c r="L139" s="358">
        <f t="shared" si="34"/>
        <v>8279</v>
      </c>
      <c r="M139" s="358">
        <f t="shared" si="34"/>
        <v>9659</v>
      </c>
      <c r="N139" s="358">
        <f t="shared" si="34"/>
        <v>8259</v>
      </c>
      <c r="O139" s="358">
        <f t="shared" si="34"/>
        <v>8250</v>
      </c>
      <c r="P139" s="359">
        <f t="shared" si="36"/>
        <v>102270</v>
      </c>
      <c r="Q139" s="358"/>
      <c r="R139" s="358"/>
      <c r="S139" s="358"/>
      <c r="T139" s="358"/>
      <c r="U139" s="358"/>
      <c r="V139" s="358"/>
      <c r="W139" s="358"/>
    </row>
    <row r="140" spans="3:23" outlineLevel="1">
      <c r="C140" s="235" t="s">
        <v>1113</v>
      </c>
      <c r="D140" s="358">
        <f t="shared" si="35"/>
        <v>16510</v>
      </c>
      <c r="E140" s="358">
        <f t="shared" si="34"/>
        <v>13921</v>
      </c>
      <c r="F140" s="358">
        <f t="shared" si="34"/>
        <v>13967</v>
      </c>
      <c r="G140" s="358">
        <f t="shared" si="34"/>
        <v>14209</v>
      </c>
      <c r="H140" s="358">
        <f t="shared" si="34"/>
        <v>15270</v>
      </c>
      <c r="I140" s="358">
        <f t="shared" si="34"/>
        <v>14205</v>
      </c>
      <c r="J140" s="358">
        <f t="shared" si="34"/>
        <v>14100</v>
      </c>
      <c r="K140" s="358">
        <f t="shared" si="34"/>
        <v>14085</v>
      </c>
      <c r="L140" s="358">
        <f t="shared" si="34"/>
        <v>14192</v>
      </c>
      <c r="M140" s="358">
        <f t="shared" si="34"/>
        <v>16559</v>
      </c>
      <c r="N140" s="358">
        <f t="shared" si="34"/>
        <v>14158</v>
      </c>
      <c r="O140" s="358">
        <f t="shared" si="34"/>
        <v>14143</v>
      </c>
      <c r="P140" s="359">
        <f t="shared" si="36"/>
        <v>175319</v>
      </c>
      <c r="Q140" s="358"/>
      <c r="R140" s="358"/>
      <c r="S140" s="358"/>
      <c r="T140" s="358"/>
      <c r="U140" s="358"/>
      <c r="V140" s="358"/>
      <c r="W140" s="358"/>
    </row>
    <row r="141" spans="3:23" outlineLevel="1">
      <c r="C141" s="235" t="s">
        <v>1114</v>
      </c>
      <c r="D141" s="358">
        <f t="shared" si="35"/>
        <v>11006</v>
      </c>
      <c r="E141" s="358">
        <f t="shared" si="34"/>
        <v>9280</v>
      </c>
      <c r="F141" s="358">
        <f t="shared" si="34"/>
        <v>9311</v>
      </c>
      <c r="G141" s="358">
        <f t="shared" si="34"/>
        <v>9473</v>
      </c>
      <c r="H141" s="358">
        <f t="shared" si="34"/>
        <v>10180</v>
      </c>
      <c r="I141" s="358">
        <f t="shared" si="34"/>
        <v>9470</v>
      </c>
      <c r="J141" s="358">
        <f t="shared" si="34"/>
        <v>9400</v>
      </c>
      <c r="K141" s="358">
        <f t="shared" si="34"/>
        <v>9390</v>
      </c>
      <c r="L141" s="358">
        <f t="shared" si="34"/>
        <v>9462</v>
      </c>
      <c r="M141" s="358">
        <f t="shared" si="34"/>
        <v>11039</v>
      </c>
      <c r="N141" s="358">
        <f t="shared" si="34"/>
        <v>9439</v>
      </c>
      <c r="O141" s="358">
        <f t="shared" si="34"/>
        <v>9428</v>
      </c>
      <c r="P141" s="359">
        <f t="shared" si="36"/>
        <v>116878</v>
      </c>
      <c r="Q141" s="358"/>
      <c r="R141" s="358"/>
      <c r="S141" s="358"/>
      <c r="T141" s="358"/>
      <c r="U141" s="358"/>
      <c r="V141" s="358"/>
      <c r="W141" s="358"/>
    </row>
    <row r="142" spans="3:23" outlineLevel="1">
      <c r="C142" s="235" t="s">
        <v>1115</v>
      </c>
      <c r="D142" s="358">
        <f t="shared" si="35"/>
        <v>12382</v>
      </c>
      <c r="E142" s="358">
        <f t="shared" si="34"/>
        <v>10441</v>
      </c>
      <c r="F142" s="358">
        <f t="shared" si="34"/>
        <v>10475</v>
      </c>
      <c r="G142" s="358">
        <f t="shared" si="34"/>
        <v>10657</v>
      </c>
      <c r="H142" s="358">
        <f t="shared" si="34"/>
        <v>11453</v>
      </c>
      <c r="I142" s="358">
        <f t="shared" si="34"/>
        <v>10654</v>
      </c>
      <c r="J142" s="358">
        <f t="shared" si="34"/>
        <v>10575</v>
      </c>
      <c r="K142" s="358">
        <f t="shared" si="34"/>
        <v>10564</v>
      </c>
      <c r="L142" s="358">
        <f t="shared" si="34"/>
        <v>10644</v>
      </c>
      <c r="M142" s="358">
        <f t="shared" si="34"/>
        <v>12419</v>
      </c>
      <c r="N142" s="358">
        <f t="shared" si="34"/>
        <v>10619</v>
      </c>
      <c r="O142" s="358">
        <f t="shared" si="34"/>
        <v>10607</v>
      </c>
      <c r="P142" s="359">
        <f t="shared" si="36"/>
        <v>131490</v>
      </c>
      <c r="Q142" s="358"/>
      <c r="R142" s="358"/>
      <c r="S142" s="358"/>
      <c r="T142" s="358"/>
      <c r="U142" s="358"/>
      <c r="V142" s="358"/>
      <c r="W142" s="358"/>
    </row>
    <row r="143" spans="3:23" outlineLevel="1">
      <c r="C143" s="235" t="s">
        <v>1116</v>
      </c>
      <c r="D143" s="358">
        <f t="shared" si="35"/>
        <v>6879</v>
      </c>
      <c r="E143" s="358">
        <f t="shared" si="34"/>
        <v>5800</v>
      </c>
      <c r="F143" s="358">
        <f t="shared" si="34"/>
        <v>5820</v>
      </c>
      <c r="G143" s="358">
        <f t="shared" si="34"/>
        <v>5921</v>
      </c>
      <c r="H143" s="358">
        <f t="shared" si="34"/>
        <v>6363</v>
      </c>
      <c r="I143" s="358">
        <f t="shared" si="34"/>
        <v>5919</v>
      </c>
      <c r="J143" s="358">
        <f t="shared" si="34"/>
        <v>5875</v>
      </c>
      <c r="K143" s="358">
        <f t="shared" si="34"/>
        <v>5869</v>
      </c>
      <c r="L143" s="358">
        <f t="shared" si="34"/>
        <v>5914</v>
      </c>
      <c r="M143" s="358">
        <f t="shared" si="34"/>
        <v>6899</v>
      </c>
      <c r="N143" s="358">
        <f t="shared" si="34"/>
        <v>5899</v>
      </c>
      <c r="O143" s="358">
        <f t="shared" si="34"/>
        <v>5893</v>
      </c>
      <c r="P143" s="359">
        <f t="shared" si="36"/>
        <v>73051</v>
      </c>
      <c r="Q143" s="358"/>
      <c r="R143" s="358"/>
      <c r="S143" s="358"/>
      <c r="T143" s="358"/>
      <c r="U143" s="358"/>
      <c r="V143" s="358"/>
      <c r="W143" s="358"/>
    </row>
    <row r="144" spans="3:23" outlineLevel="1">
      <c r="C144" s="235" t="s">
        <v>1117</v>
      </c>
      <c r="D144" s="358">
        <f t="shared" si="35"/>
        <v>13758</v>
      </c>
      <c r="E144" s="358">
        <f t="shared" si="34"/>
        <v>11601</v>
      </c>
      <c r="F144" s="358">
        <f t="shared" si="34"/>
        <v>11639</v>
      </c>
      <c r="G144" s="358">
        <f t="shared" si="34"/>
        <v>11841</v>
      </c>
      <c r="H144" s="358">
        <f t="shared" si="34"/>
        <v>12725</v>
      </c>
      <c r="I144" s="358">
        <f t="shared" si="34"/>
        <v>11837</v>
      </c>
      <c r="J144" s="358">
        <f t="shared" si="34"/>
        <v>11750</v>
      </c>
      <c r="K144" s="358">
        <f t="shared" si="34"/>
        <v>11738</v>
      </c>
      <c r="L144" s="358">
        <f t="shared" si="34"/>
        <v>11827</v>
      </c>
      <c r="M144" s="358">
        <f t="shared" si="34"/>
        <v>13799</v>
      </c>
      <c r="N144" s="358">
        <f t="shared" si="34"/>
        <v>11798</v>
      </c>
      <c r="O144" s="358">
        <f t="shared" si="34"/>
        <v>11786</v>
      </c>
      <c r="P144" s="359">
        <f t="shared" si="36"/>
        <v>146099</v>
      </c>
      <c r="Q144" s="358"/>
      <c r="R144" s="358"/>
      <c r="S144" s="358"/>
      <c r="T144" s="358"/>
      <c r="U144" s="358"/>
      <c r="V144" s="358"/>
      <c r="W144" s="358"/>
    </row>
    <row r="145" spans="3:23" outlineLevel="1">
      <c r="C145" s="235" t="s">
        <v>1118</v>
      </c>
      <c r="D145" s="358">
        <f t="shared" si="35"/>
        <v>2752</v>
      </c>
      <c r="E145" s="358">
        <f t="shared" si="34"/>
        <v>2320</v>
      </c>
      <c r="F145" s="358">
        <f t="shared" si="34"/>
        <v>2328</v>
      </c>
      <c r="G145" s="358">
        <f t="shared" si="34"/>
        <v>2368</v>
      </c>
      <c r="H145" s="358">
        <f t="shared" si="34"/>
        <v>2545</v>
      </c>
      <c r="I145" s="358">
        <f t="shared" si="34"/>
        <v>2367</v>
      </c>
      <c r="J145" s="358">
        <f t="shared" si="34"/>
        <v>2350</v>
      </c>
      <c r="K145" s="358">
        <f t="shared" si="34"/>
        <v>2348</v>
      </c>
      <c r="L145" s="358">
        <f t="shared" si="34"/>
        <v>2365</v>
      </c>
      <c r="M145" s="358">
        <f t="shared" si="34"/>
        <v>2760</v>
      </c>
      <c r="N145" s="358">
        <f t="shared" si="34"/>
        <v>2360</v>
      </c>
      <c r="O145" s="358">
        <f t="shared" si="34"/>
        <v>2357</v>
      </c>
      <c r="P145" s="359">
        <f t="shared" si="36"/>
        <v>29220</v>
      </c>
      <c r="Q145" s="358"/>
      <c r="R145" s="358"/>
      <c r="S145" s="358"/>
      <c r="T145" s="358"/>
      <c r="U145" s="358"/>
      <c r="V145" s="358"/>
      <c r="W145" s="358"/>
    </row>
    <row r="146" spans="3:23" outlineLevel="1">
      <c r="C146" s="235" t="s">
        <v>1119</v>
      </c>
      <c r="D146" s="358">
        <f t="shared" si="35"/>
        <v>0</v>
      </c>
      <c r="E146" s="358">
        <f t="shared" si="35"/>
        <v>0</v>
      </c>
      <c r="F146" s="358">
        <f t="shared" si="35"/>
        <v>0</v>
      </c>
      <c r="G146" s="358">
        <f t="shared" si="35"/>
        <v>0</v>
      </c>
      <c r="H146" s="358">
        <f t="shared" si="35"/>
        <v>0</v>
      </c>
      <c r="I146" s="358">
        <f t="shared" si="35"/>
        <v>0</v>
      </c>
      <c r="J146" s="358">
        <f t="shared" si="35"/>
        <v>0</v>
      </c>
      <c r="K146" s="358">
        <f t="shared" si="35"/>
        <v>0</v>
      </c>
      <c r="L146" s="358">
        <f t="shared" si="35"/>
        <v>0</v>
      </c>
      <c r="M146" s="358">
        <f t="shared" si="35"/>
        <v>0</v>
      </c>
      <c r="N146" s="358">
        <f t="shared" si="35"/>
        <v>0</v>
      </c>
      <c r="O146" s="358">
        <f t="shared" si="35"/>
        <v>0</v>
      </c>
      <c r="P146" s="359">
        <f t="shared" si="36"/>
        <v>0</v>
      </c>
      <c r="Q146" s="358"/>
      <c r="R146" s="358"/>
      <c r="S146" s="358"/>
      <c r="T146" s="358"/>
      <c r="U146" s="358"/>
      <c r="V146" s="358"/>
      <c r="W146" s="358"/>
    </row>
    <row r="147" spans="3:23" outlineLevel="1">
      <c r="C147" s="235" t="s">
        <v>1120</v>
      </c>
      <c r="D147" s="358">
        <f t="shared" ref="D147:O162" si="37">ROUND($E88*D$24,0)</f>
        <v>0</v>
      </c>
      <c r="E147" s="358">
        <f t="shared" si="37"/>
        <v>0</v>
      </c>
      <c r="F147" s="358">
        <f t="shared" si="37"/>
        <v>0</v>
      </c>
      <c r="G147" s="358">
        <f t="shared" si="37"/>
        <v>0</v>
      </c>
      <c r="H147" s="358">
        <f t="shared" si="37"/>
        <v>0</v>
      </c>
      <c r="I147" s="358">
        <f t="shared" si="37"/>
        <v>0</v>
      </c>
      <c r="J147" s="358">
        <f t="shared" si="37"/>
        <v>0</v>
      </c>
      <c r="K147" s="358">
        <f t="shared" si="37"/>
        <v>0</v>
      </c>
      <c r="L147" s="358">
        <f t="shared" si="37"/>
        <v>0</v>
      </c>
      <c r="M147" s="358">
        <f t="shared" si="37"/>
        <v>0</v>
      </c>
      <c r="N147" s="358">
        <f t="shared" si="37"/>
        <v>0</v>
      </c>
      <c r="O147" s="358">
        <f t="shared" si="37"/>
        <v>0</v>
      </c>
      <c r="P147" s="359">
        <f t="shared" si="36"/>
        <v>0</v>
      </c>
      <c r="Q147" s="358"/>
      <c r="R147" s="358"/>
      <c r="S147" s="358"/>
      <c r="T147" s="358"/>
      <c r="U147" s="358"/>
      <c r="V147" s="358"/>
      <c r="W147" s="358"/>
    </row>
    <row r="148" spans="3:23" outlineLevel="1">
      <c r="C148" s="235" t="s">
        <v>1121</v>
      </c>
      <c r="D148" s="358">
        <f t="shared" si="37"/>
        <v>0</v>
      </c>
      <c r="E148" s="358">
        <f t="shared" si="37"/>
        <v>0</v>
      </c>
      <c r="F148" s="358">
        <f t="shared" si="37"/>
        <v>0</v>
      </c>
      <c r="G148" s="358">
        <f t="shared" si="37"/>
        <v>0</v>
      </c>
      <c r="H148" s="358">
        <f t="shared" si="37"/>
        <v>0</v>
      </c>
      <c r="I148" s="358">
        <f t="shared" si="37"/>
        <v>0</v>
      </c>
      <c r="J148" s="358">
        <f t="shared" si="37"/>
        <v>0</v>
      </c>
      <c r="K148" s="358">
        <f t="shared" si="37"/>
        <v>0</v>
      </c>
      <c r="L148" s="358">
        <f t="shared" si="37"/>
        <v>0</v>
      </c>
      <c r="M148" s="358">
        <f t="shared" si="37"/>
        <v>0</v>
      </c>
      <c r="N148" s="358">
        <f t="shared" si="37"/>
        <v>0</v>
      </c>
      <c r="O148" s="358">
        <f t="shared" si="37"/>
        <v>0</v>
      </c>
      <c r="P148" s="359">
        <f t="shared" si="36"/>
        <v>0</v>
      </c>
      <c r="Q148" s="358"/>
      <c r="R148" s="358"/>
      <c r="S148" s="358"/>
      <c r="T148" s="358"/>
      <c r="U148" s="358"/>
      <c r="V148" s="358"/>
      <c r="W148" s="358"/>
    </row>
    <row r="149" spans="3:23" outlineLevel="1">
      <c r="C149" s="235" t="s">
        <v>1122</v>
      </c>
      <c r="D149" s="358">
        <f t="shared" si="37"/>
        <v>0</v>
      </c>
      <c r="E149" s="358">
        <f t="shared" si="37"/>
        <v>0</v>
      </c>
      <c r="F149" s="358">
        <f t="shared" si="37"/>
        <v>0</v>
      </c>
      <c r="G149" s="358">
        <f t="shared" si="37"/>
        <v>0</v>
      </c>
      <c r="H149" s="358">
        <f t="shared" si="37"/>
        <v>0</v>
      </c>
      <c r="I149" s="358">
        <f t="shared" si="37"/>
        <v>0</v>
      </c>
      <c r="J149" s="358">
        <f t="shared" si="37"/>
        <v>0</v>
      </c>
      <c r="K149" s="358">
        <f t="shared" si="37"/>
        <v>0</v>
      </c>
      <c r="L149" s="358">
        <f t="shared" si="37"/>
        <v>0</v>
      </c>
      <c r="M149" s="358">
        <f t="shared" si="37"/>
        <v>0</v>
      </c>
      <c r="N149" s="358">
        <f t="shared" si="37"/>
        <v>0</v>
      </c>
      <c r="O149" s="358">
        <f t="shared" si="37"/>
        <v>0</v>
      </c>
      <c r="P149" s="359">
        <f t="shared" si="36"/>
        <v>0</v>
      </c>
      <c r="Q149" s="358"/>
      <c r="R149" s="358"/>
      <c r="S149" s="358"/>
      <c r="T149" s="358"/>
      <c r="U149" s="358"/>
      <c r="V149" s="358"/>
      <c r="W149" s="358"/>
    </row>
    <row r="150" spans="3:23" outlineLevel="1">
      <c r="C150" s="235" t="s">
        <v>1123</v>
      </c>
      <c r="D150" s="358">
        <f t="shared" si="37"/>
        <v>9631</v>
      </c>
      <c r="E150" s="358">
        <f t="shared" si="37"/>
        <v>8120</v>
      </c>
      <c r="F150" s="358">
        <f t="shared" si="37"/>
        <v>8148</v>
      </c>
      <c r="G150" s="358">
        <f t="shared" si="37"/>
        <v>8289</v>
      </c>
      <c r="H150" s="358">
        <f t="shared" si="37"/>
        <v>8908</v>
      </c>
      <c r="I150" s="358">
        <f t="shared" si="37"/>
        <v>8286</v>
      </c>
      <c r="J150" s="358">
        <f t="shared" si="37"/>
        <v>8225</v>
      </c>
      <c r="K150" s="358">
        <f t="shared" si="37"/>
        <v>8216</v>
      </c>
      <c r="L150" s="358">
        <f t="shared" si="37"/>
        <v>8279</v>
      </c>
      <c r="M150" s="358">
        <f t="shared" si="37"/>
        <v>9659</v>
      </c>
      <c r="N150" s="358">
        <f t="shared" si="37"/>
        <v>8259</v>
      </c>
      <c r="O150" s="358">
        <f t="shared" si="37"/>
        <v>8250</v>
      </c>
      <c r="P150" s="359">
        <f t="shared" si="36"/>
        <v>102270</v>
      </c>
      <c r="Q150" s="358"/>
      <c r="R150" s="358"/>
      <c r="S150" s="358"/>
      <c r="T150" s="358"/>
      <c r="U150" s="358"/>
      <c r="V150" s="358"/>
      <c r="W150" s="358"/>
    </row>
    <row r="151" spans="3:23" outlineLevel="1">
      <c r="C151" s="235" t="s">
        <v>1124</v>
      </c>
      <c r="D151" s="358">
        <f t="shared" si="37"/>
        <v>11006</v>
      </c>
      <c r="E151" s="358">
        <f t="shared" si="37"/>
        <v>9280</v>
      </c>
      <c r="F151" s="358">
        <f t="shared" si="37"/>
        <v>9311</v>
      </c>
      <c r="G151" s="358">
        <f t="shared" si="37"/>
        <v>9473</v>
      </c>
      <c r="H151" s="358">
        <f t="shared" si="37"/>
        <v>10180</v>
      </c>
      <c r="I151" s="358">
        <f t="shared" si="37"/>
        <v>9470</v>
      </c>
      <c r="J151" s="358">
        <f t="shared" si="37"/>
        <v>9400</v>
      </c>
      <c r="K151" s="358">
        <f t="shared" si="37"/>
        <v>9390</v>
      </c>
      <c r="L151" s="358">
        <f t="shared" si="37"/>
        <v>9462</v>
      </c>
      <c r="M151" s="358">
        <f t="shared" si="37"/>
        <v>11039</v>
      </c>
      <c r="N151" s="358">
        <f t="shared" si="37"/>
        <v>9439</v>
      </c>
      <c r="O151" s="358">
        <f t="shared" si="37"/>
        <v>9428</v>
      </c>
      <c r="P151" s="359">
        <f t="shared" si="36"/>
        <v>116878</v>
      </c>
      <c r="Q151" s="358"/>
      <c r="R151" s="358"/>
      <c r="S151" s="358"/>
      <c r="T151" s="358"/>
      <c r="U151" s="358"/>
      <c r="V151" s="358"/>
      <c r="W151" s="358"/>
    </row>
    <row r="152" spans="3:23" outlineLevel="1">
      <c r="C152" s="235" t="s">
        <v>1125</v>
      </c>
      <c r="D152" s="358">
        <f t="shared" si="37"/>
        <v>0</v>
      </c>
      <c r="E152" s="358">
        <f t="shared" si="37"/>
        <v>0</v>
      </c>
      <c r="F152" s="358">
        <f t="shared" si="37"/>
        <v>0</v>
      </c>
      <c r="G152" s="358">
        <f t="shared" si="37"/>
        <v>0</v>
      </c>
      <c r="H152" s="358">
        <f t="shared" si="37"/>
        <v>0</v>
      </c>
      <c r="I152" s="358">
        <f t="shared" si="37"/>
        <v>0</v>
      </c>
      <c r="J152" s="358">
        <f t="shared" si="37"/>
        <v>0</v>
      </c>
      <c r="K152" s="358">
        <f t="shared" si="37"/>
        <v>0</v>
      </c>
      <c r="L152" s="358">
        <f t="shared" si="37"/>
        <v>0</v>
      </c>
      <c r="M152" s="358">
        <f t="shared" si="37"/>
        <v>0</v>
      </c>
      <c r="N152" s="358">
        <f t="shared" si="37"/>
        <v>0</v>
      </c>
      <c r="O152" s="358">
        <f t="shared" si="37"/>
        <v>0</v>
      </c>
      <c r="P152" s="359">
        <f t="shared" si="36"/>
        <v>0</v>
      </c>
      <c r="Q152" s="358"/>
      <c r="R152" s="358"/>
      <c r="S152" s="358"/>
      <c r="T152" s="358"/>
      <c r="U152" s="358"/>
      <c r="V152" s="358"/>
      <c r="W152" s="358"/>
    </row>
    <row r="153" spans="3:23" outlineLevel="1">
      <c r="C153" s="235" t="s">
        <v>1126</v>
      </c>
      <c r="D153" s="358">
        <f t="shared" si="37"/>
        <v>4127</v>
      </c>
      <c r="E153" s="358">
        <f t="shared" si="37"/>
        <v>3480</v>
      </c>
      <c r="F153" s="358">
        <f t="shared" si="37"/>
        <v>3492</v>
      </c>
      <c r="G153" s="358">
        <f t="shared" si="37"/>
        <v>3552</v>
      </c>
      <c r="H153" s="358">
        <f t="shared" si="37"/>
        <v>3818</v>
      </c>
      <c r="I153" s="358">
        <f t="shared" si="37"/>
        <v>3551</v>
      </c>
      <c r="J153" s="358">
        <f t="shared" si="37"/>
        <v>3525</v>
      </c>
      <c r="K153" s="358">
        <f t="shared" si="37"/>
        <v>3521</v>
      </c>
      <c r="L153" s="358">
        <f t="shared" si="37"/>
        <v>3548</v>
      </c>
      <c r="M153" s="358">
        <f t="shared" si="37"/>
        <v>4140</v>
      </c>
      <c r="N153" s="358">
        <f t="shared" si="37"/>
        <v>3540</v>
      </c>
      <c r="O153" s="358">
        <f t="shared" si="37"/>
        <v>3536</v>
      </c>
      <c r="P153" s="359">
        <f t="shared" si="36"/>
        <v>43830</v>
      </c>
      <c r="Q153" s="358"/>
      <c r="R153" s="358"/>
      <c r="S153" s="358"/>
      <c r="T153" s="358"/>
      <c r="U153" s="358"/>
      <c r="V153" s="358"/>
      <c r="W153" s="358"/>
    </row>
    <row r="154" spans="3:23" outlineLevel="1">
      <c r="C154" s="235" t="s">
        <v>1127</v>
      </c>
      <c r="D154" s="358">
        <f t="shared" si="37"/>
        <v>0</v>
      </c>
      <c r="E154" s="358">
        <f t="shared" si="37"/>
        <v>0</v>
      </c>
      <c r="F154" s="358">
        <f t="shared" si="37"/>
        <v>0</v>
      </c>
      <c r="G154" s="358">
        <f t="shared" si="37"/>
        <v>0</v>
      </c>
      <c r="H154" s="358">
        <f t="shared" si="37"/>
        <v>0</v>
      </c>
      <c r="I154" s="358">
        <f t="shared" si="37"/>
        <v>0</v>
      </c>
      <c r="J154" s="358">
        <f t="shared" si="37"/>
        <v>0</v>
      </c>
      <c r="K154" s="358">
        <f t="shared" si="37"/>
        <v>0</v>
      </c>
      <c r="L154" s="358">
        <f t="shared" si="37"/>
        <v>0</v>
      </c>
      <c r="M154" s="358">
        <f t="shared" si="37"/>
        <v>0</v>
      </c>
      <c r="N154" s="358">
        <f t="shared" si="37"/>
        <v>0</v>
      </c>
      <c r="O154" s="358">
        <f t="shared" si="37"/>
        <v>0</v>
      </c>
      <c r="P154" s="359">
        <f t="shared" si="36"/>
        <v>0</v>
      </c>
      <c r="Q154" s="358"/>
      <c r="R154" s="358"/>
      <c r="S154" s="358"/>
      <c r="T154" s="358"/>
      <c r="U154" s="358"/>
      <c r="V154" s="358"/>
      <c r="W154" s="358"/>
    </row>
    <row r="155" spans="3:23" outlineLevel="1">
      <c r="C155" s="235" t="s">
        <v>1128</v>
      </c>
      <c r="D155" s="358">
        <f t="shared" si="37"/>
        <v>0</v>
      </c>
      <c r="E155" s="358">
        <f t="shared" si="37"/>
        <v>0</v>
      </c>
      <c r="F155" s="358">
        <f t="shared" si="37"/>
        <v>0</v>
      </c>
      <c r="G155" s="358">
        <f t="shared" si="37"/>
        <v>0</v>
      </c>
      <c r="H155" s="358">
        <f t="shared" si="37"/>
        <v>0</v>
      </c>
      <c r="I155" s="358">
        <f t="shared" si="37"/>
        <v>0</v>
      </c>
      <c r="J155" s="358">
        <f t="shared" si="37"/>
        <v>0</v>
      </c>
      <c r="K155" s="358">
        <f t="shared" si="37"/>
        <v>0</v>
      </c>
      <c r="L155" s="358">
        <f t="shared" si="37"/>
        <v>0</v>
      </c>
      <c r="M155" s="358">
        <f t="shared" si="37"/>
        <v>0</v>
      </c>
      <c r="N155" s="358">
        <f t="shared" si="37"/>
        <v>0</v>
      </c>
      <c r="O155" s="358">
        <f t="shared" si="37"/>
        <v>0</v>
      </c>
      <c r="P155" s="359">
        <f t="shared" si="36"/>
        <v>0</v>
      </c>
      <c r="Q155" s="358"/>
      <c r="R155" s="358"/>
      <c r="S155" s="358"/>
      <c r="T155" s="358"/>
      <c r="U155" s="358"/>
      <c r="V155" s="358"/>
      <c r="W155" s="358"/>
    </row>
    <row r="156" spans="3:23" outlineLevel="1">
      <c r="C156" s="235" t="s">
        <v>1129</v>
      </c>
      <c r="D156" s="358">
        <f t="shared" si="37"/>
        <v>5503</v>
      </c>
      <c r="E156" s="358">
        <f t="shared" si="37"/>
        <v>4640</v>
      </c>
      <c r="F156" s="358">
        <f t="shared" si="37"/>
        <v>4656</v>
      </c>
      <c r="G156" s="358">
        <f t="shared" si="37"/>
        <v>4736</v>
      </c>
      <c r="H156" s="358">
        <f t="shared" si="37"/>
        <v>5090</v>
      </c>
      <c r="I156" s="358">
        <f t="shared" si="37"/>
        <v>4735</v>
      </c>
      <c r="J156" s="358">
        <f t="shared" si="37"/>
        <v>4700</v>
      </c>
      <c r="K156" s="358">
        <f t="shared" si="37"/>
        <v>4695</v>
      </c>
      <c r="L156" s="358">
        <f t="shared" si="37"/>
        <v>4731</v>
      </c>
      <c r="M156" s="358">
        <f t="shared" si="37"/>
        <v>5520</v>
      </c>
      <c r="N156" s="358">
        <f t="shared" si="37"/>
        <v>4719</v>
      </c>
      <c r="O156" s="358">
        <f t="shared" si="37"/>
        <v>4714</v>
      </c>
      <c r="P156" s="359">
        <f t="shared" si="36"/>
        <v>58439</v>
      </c>
      <c r="Q156" s="358"/>
      <c r="R156" s="358"/>
      <c r="S156" s="358"/>
      <c r="T156" s="358"/>
      <c r="U156" s="358"/>
      <c r="V156" s="358"/>
      <c r="W156" s="358"/>
    </row>
    <row r="157" spans="3:23" outlineLevel="1">
      <c r="C157" s="235" t="s">
        <v>1130</v>
      </c>
      <c r="D157" s="358">
        <f t="shared" si="37"/>
        <v>8255</v>
      </c>
      <c r="E157" s="358">
        <f t="shared" si="37"/>
        <v>6960</v>
      </c>
      <c r="F157" s="358">
        <f t="shared" si="37"/>
        <v>6984</v>
      </c>
      <c r="G157" s="358">
        <f t="shared" si="37"/>
        <v>7105</v>
      </c>
      <c r="H157" s="358">
        <f t="shared" si="37"/>
        <v>7635</v>
      </c>
      <c r="I157" s="358">
        <f t="shared" si="37"/>
        <v>7102</v>
      </c>
      <c r="J157" s="358">
        <f t="shared" si="37"/>
        <v>7050</v>
      </c>
      <c r="K157" s="358">
        <f t="shared" si="37"/>
        <v>7043</v>
      </c>
      <c r="L157" s="358">
        <f t="shared" si="37"/>
        <v>7096</v>
      </c>
      <c r="M157" s="358">
        <f t="shared" si="37"/>
        <v>8279</v>
      </c>
      <c r="N157" s="358">
        <f t="shared" si="37"/>
        <v>7079</v>
      </c>
      <c r="O157" s="358">
        <f t="shared" si="37"/>
        <v>7071</v>
      </c>
      <c r="P157" s="359">
        <f t="shared" si="36"/>
        <v>87659</v>
      </c>
      <c r="Q157" s="358"/>
      <c r="R157" s="358"/>
      <c r="S157" s="358"/>
      <c r="T157" s="358"/>
      <c r="U157" s="358"/>
      <c r="V157" s="358"/>
      <c r="W157" s="358"/>
    </row>
    <row r="158" spans="3:23" outlineLevel="1">
      <c r="C158" s="235" t="s">
        <v>1131</v>
      </c>
      <c r="D158" s="358">
        <f t="shared" si="37"/>
        <v>0</v>
      </c>
      <c r="E158" s="358">
        <f t="shared" si="37"/>
        <v>0</v>
      </c>
      <c r="F158" s="358">
        <f t="shared" si="37"/>
        <v>0</v>
      </c>
      <c r="G158" s="358">
        <f t="shared" si="37"/>
        <v>0</v>
      </c>
      <c r="H158" s="358">
        <f t="shared" si="37"/>
        <v>0</v>
      </c>
      <c r="I158" s="358">
        <f t="shared" si="37"/>
        <v>0</v>
      </c>
      <c r="J158" s="358">
        <f t="shared" si="37"/>
        <v>0</v>
      </c>
      <c r="K158" s="358">
        <f t="shared" si="37"/>
        <v>0</v>
      </c>
      <c r="L158" s="358">
        <f t="shared" si="37"/>
        <v>0</v>
      </c>
      <c r="M158" s="358">
        <f t="shared" si="37"/>
        <v>0</v>
      </c>
      <c r="N158" s="358">
        <f t="shared" si="37"/>
        <v>0</v>
      </c>
      <c r="O158" s="358">
        <f t="shared" si="37"/>
        <v>0</v>
      </c>
      <c r="P158" s="359">
        <f t="shared" si="36"/>
        <v>0</v>
      </c>
      <c r="Q158" s="358"/>
      <c r="R158" s="358"/>
      <c r="S158" s="358"/>
      <c r="T158" s="358"/>
      <c r="U158" s="358"/>
      <c r="V158" s="358"/>
      <c r="W158" s="358"/>
    </row>
    <row r="159" spans="3:23" outlineLevel="1">
      <c r="C159" s="235" t="s">
        <v>1132</v>
      </c>
      <c r="D159" s="358">
        <f t="shared" si="37"/>
        <v>26140</v>
      </c>
      <c r="E159" s="358">
        <f t="shared" si="37"/>
        <v>22041</v>
      </c>
      <c r="F159" s="358">
        <f t="shared" si="37"/>
        <v>22115</v>
      </c>
      <c r="G159" s="358">
        <f t="shared" si="37"/>
        <v>22498</v>
      </c>
      <c r="H159" s="358">
        <f t="shared" si="37"/>
        <v>24178</v>
      </c>
      <c r="I159" s="358">
        <f t="shared" si="37"/>
        <v>22491</v>
      </c>
      <c r="J159" s="358">
        <f t="shared" si="37"/>
        <v>22326</v>
      </c>
      <c r="K159" s="358">
        <f t="shared" si="37"/>
        <v>22301</v>
      </c>
      <c r="L159" s="358">
        <f t="shared" si="37"/>
        <v>22471</v>
      </c>
      <c r="M159" s="358">
        <f t="shared" si="37"/>
        <v>26218</v>
      </c>
      <c r="N159" s="358">
        <f t="shared" si="37"/>
        <v>22417</v>
      </c>
      <c r="O159" s="358">
        <f t="shared" si="37"/>
        <v>22393</v>
      </c>
      <c r="P159" s="359">
        <f t="shared" si="36"/>
        <v>277589</v>
      </c>
      <c r="Q159" s="358"/>
      <c r="R159" s="358"/>
      <c r="S159" s="358"/>
      <c r="T159" s="358"/>
      <c r="U159" s="358"/>
      <c r="V159" s="358"/>
      <c r="W159" s="358"/>
    </row>
    <row r="160" spans="3:23" outlineLevel="1">
      <c r="C160" s="235" t="s">
        <v>1133</v>
      </c>
      <c r="D160" s="358">
        <f t="shared" si="37"/>
        <v>8255</v>
      </c>
      <c r="E160" s="358">
        <f t="shared" si="37"/>
        <v>6960</v>
      </c>
      <c r="F160" s="358">
        <f t="shared" si="37"/>
        <v>6984</v>
      </c>
      <c r="G160" s="358">
        <f t="shared" si="37"/>
        <v>7105</v>
      </c>
      <c r="H160" s="358">
        <f t="shared" si="37"/>
        <v>7635</v>
      </c>
      <c r="I160" s="358">
        <f t="shared" si="37"/>
        <v>7102</v>
      </c>
      <c r="J160" s="358">
        <f t="shared" si="37"/>
        <v>7050</v>
      </c>
      <c r="K160" s="358">
        <f t="shared" si="37"/>
        <v>7043</v>
      </c>
      <c r="L160" s="358">
        <f t="shared" si="37"/>
        <v>7096</v>
      </c>
      <c r="M160" s="358">
        <f t="shared" si="37"/>
        <v>8279</v>
      </c>
      <c r="N160" s="358">
        <f t="shared" si="37"/>
        <v>7079</v>
      </c>
      <c r="O160" s="358">
        <f t="shared" si="37"/>
        <v>7071</v>
      </c>
      <c r="P160" s="359">
        <f t="shared" si="36"/>
        <v>87659</v>
      </c>
      <c r="Q160" s="358"/>
      <c r="R160" s="358"/>
      <c r="S160" s="358"/>
      <c r="T160" s="358"/>
      <c r="U160" s="358"/>
      <c r="V160" s="358"/>
      <c r="W160" s="358"/>
    </row>
    <row r="161" spans="3:23" outlineLevel="1">
      <c r="C161" s="235" t="s">
        <v>1134</v>
      </c>
      <c r="D161" s="358">
        <f t="shared" si="37"/>
        <v>5503</v>
      </c>
      <c r="E161" s="358">
        <f t="shared" si="37"/>
        <v>4640</v>
      </c>
      <c r="F161" s="358">
        <f t="shared" si="37"/>
        <v>4656</v>
      </c>
      <c r="G161" s="358">
        <f t="shared" si="37"/>
        <v>4736</v>
      </c>
      <c r="H161" s="358">
        <f t="shared" si="37"/>
        <v>5090</v>
      </c>
      <c r="I161" s="358">
        <f t="shared" si="37"/>
        <v>4735</v>
      </c>
      <c r="J161" s="358">
        <f t="shared" si="37"/>
        <v>4700</v>
      </c>
      <c r="K161" s="358">
        <f t="shared" si="37"/>
        <v>4695</v>
      </c>
      <c r="L161" s="358">
        <f t="shared" si="37"/>
        <v>4731</v>
      </c>
      <c r="M161" s="358">
        <f t="shared" si="37"/>
        <v>5520</v>
      </c>
      <c r="N161" s="358">
        <f t="shared" si="37"/>
        <v>4719</v>
      </c>
      <c r="O161" s="358">
        <f t="shared" si="37"/>
        <v>4714</v>
      </c>
      <c r="P161" s="359">
        <f t="shared" si="36"/>
        <v>58439</v>
      </c>
      <c r="Q161" s="358"/>
      <c r="R161" s="358"/>
      <c r="S161" s="358"/>
      <c r="T161" s="358"/>
      <c r="U161" s="358"/>
      <c r="V161" s="358"/>
      <c r="W161" s="358"/>
    </row>
    <row r="162" spans="3:23" outlineLevel="1">
      <c r="C162" s="235" t="s">
        <v>1135</v>
      </c>
      <c r="D162" s="358">
        <f t="shared" si="37"/>
        <v>0</v>
      </c>
      <c r="E162" s="358">
        <f t="shared" si="37"/>
        <v>0</v>
      </c>
      <c r="F162" s="358">
        <f t="shared" si="37"/>
        <v>0</v>
      </c>
      <c r="G162" s="358">
        <f t="shared" si="37"/>
        <v>0</v>
      </c>
      <c r="H162" s="358">
        <f t="shared" si="37"/>
        <v>0</v>
      </c>
      <c r="I162" s="358">
        <f t="shared" si="37"/>
        <v>0</v>
      </c>
      <c r="J162" s="358">
        <f t="shared" si="37"/>
        <v>0</v>
      </c>
      <c r="K162" s="358">
        <f t="shared" si="37"/>
        <v>0</v>
      </c>
      <c r="L162" s="358">
        <f t="shared" si="37"/>
        <v>0</v>
      </c>
      <c r="M162" s="358">
        <f t="shared" si="37"/>
        <v>0</v>
      </c>
      <c r="N162" s="358">
        <f t="shared" si="37"/>
        <v>0</v>
      </c>
      <c r="O162" s="358">
        <f t="shared" si="37"/>
        <v>0</v>
      </c>
      <c r="P162" s="359">
        <f t="shared" si="36"/>
        <v>0</v>
      </c>
      <c r="Q162" s="358"/>
      <c r="R162" s="358"/>
      <c r="S162" s="358"/>
      <c r="T162" s="358"/>
      <c r="U162" s="358"/>
      <c r="V162" s="358"/>
      <c r="W162" s="358"/>
    </row>
    <row r="163" spans="3:23" outlineLevel="1">
      <c r="C163" s="235" t="s">
        <v>1136</v>
      </c>
      <c r="D163" s="358">
        <f t="shared" ref="D163:O178" si="38">ROUND($E104*D$24,0)</f>
        <v>0</v>
      </c>
      <c r="E163" s="358">
        <f t="shared" si="38"/>
        <v>0</v>
      </c>
      <c r="F163" s="358">
        <f t="shared" si="38"/>
        <v>0</v>
      </c>
      <c r="G163" s="358">
        <f t="shared" si="38"/>
        <v>0</v>
      </c>
      <c r="H163" s="358">
        <f t="shared" si="38"/>
        <v>0</v>
      </c>
      <c r="I163" s="358">
        <f t="shared" si="38"/>
        <v>0</v>
      </c>
      <c r="J163" s="358">
        <f t="shared" si="38"/>
        <v>0</v>
      </c>
      <c r="K163" s="358">
        <f t="shared" si="38"/>
        <v>0</v>
      </c>
      <c r="L163" s="358">
        <f t="shared" si="38"/>
        <v>0</v>
      </c>
      <c r="M163" s="358">
        <f t="shared" si="38"/>
        <v>0</v>
      </c>
      <c r="N163" s="358">
        <f t="shared" si="38"/>
        <v>0</v>
      </c>
      <c r="O163" s="358">
        <f t="shared" si="38"/>
        <v>0</v>
      </c>
      <c r="P163" s="359">
        <f t="shared" si="36"/>
        <v>0</v>
      </c>
      <c r="Q163" s="358"/>
      <c r="R163" s="358"/>
      <c r="S163" s="358"/>
      <c r="T163" s="358"/>
      <c r="U163" s="358"/>
      <c r="V163" s="358"/>
      <c r="W163" s="358"/>
    </row>
    <row r="164" spans="3:23" outlineLevel="1">
      <c r="C164" s="235" t="s">
        <v>1137</v>
      </c>
      <c r="D164" s="358">
        <f t="shared" si="38"/>
        <v>0</v>
      </c>
      <c r="E164" s="358">
        <f t="shared" si="38"/>
        <v>0</v>
      </c>
      <c r="F164" s="358">
        <f t="shared" si="38"/>
        <v>0</v>
      </c>
      <c r="G164" s="358">
        <f t="shared" si="38"/>
        <v>0</v>
      </c>
      <c r="H164" s="358">
        <f t="shared" si="38"/>
        <v>0</v>
      </c>
      <c r="I164" s="358">
        <f t="shared" si="38"/>
        <v>0</v>
      </c>
      <c r="J164" s="358">
        <f t="shared" si="38"/>
        <v>0</v>
      </c>
      <c r="K164" s="358">
        <f t="shared" si="38"/>
        <v>0</v>
      </c>
      <c r="L164" s="358">
        <f t="shared" si="38"/>
        <v>0</v>
      </c>
      <c r="M164" s="358">
        <f t="shared" si="38"/>
        <v>0</v>
      </c>
      <c r="N164" s="358">
        <f t="shared" si="38"/>
        <v>0</v>
      </c>
      <c r="O164" s="358">
        <f t="shared" si="38"/>
        <v>0</v>
      </c>
      <c r="P164" s="359">
        <f t="shared" si="36"/>
        <v>0</v>
      </c>
      <c r="Q164" s="358"/>
      <c r="R164" s="358"/>
      <c r="S164" s="358"/>
      <c r="T164" s="358"/>
      <c r="U164" s="358"/>
      <c r="V164" s="358"/>
      <c r="W164" s="358"/>
    </row>
    <row r="165" spans="3:23" outlineLevel="1">
      <c r="C165" s="235" t="s">
        <v>1138</v>
      </c>
      <c r="D165" s="358">
        <f t="shared" si="38"/>
        <v>0</v>
      </c>
      <c r="E165" s="358">
        <f t="shared" si="38"/>
        <v>0</v>
      </c>
      <c r="F165" s="358">
        <f t="shared" si="38"/>
        <v>0</v>
      </c>
      <c r="G165" s="358">
        <f t="shared" si="38"/>
        <v>0</v>
      </c>
      <c r="H165" s="358">
        <f t="shared" si="38"/>
        <v>0</v>
      </c>
      <c r="I165" s="358">
        <f t="shared" si="38"/>
        <v>0</v>
      </c>
      <c r="J165" s="358">
        <f t="shared" si="38"/>
        <v>0</v>
      </c>
      <c r="K165" s="358">
        <f t="shared" si="38"/>
        <v>0</v>
      </c>
      <c r="L165" s="358">
        <f t="shared" si="38"/>
        <v>0</v>
      </c>
      <c r="M165" s="358">
        <f t="shared" si="38"/>
        <v>0</v>
      </c>
      <c r="N165" s="358">
        <f t="shared" si="38"/>
        <v>0</v>
      </c>
      <c r="O165" s="358">
        <f t="shared" si="38"/>
        <v>0</v>
      </c>
      <c r="P165" s="359">
        <f t="shared" si="36"/>
        <v>0</v>
      </c>
      <c r="Q165" s="358"/>
      <c r="R165" s="358"/>
      <c r="S165" s="358"/>
      <c r="T165" s="358"/>
      <c r="U165" s="358"/>
      <c r="V165" s="358"/>
      <c r="W165" s="358"/>
    </row>
    <row r="166" spans="3:23" outlineLevel="1">
      <c r="C166" s="235" t="s">
        <v>1139</v>
      </c>
      <c r="D166" s="358">
        <f t="shared" si="38"/>
        <v>50905</v>
      </c>
      <c r="E166" s="358">
        <f t="shared" si="38"/>
        <v>42922</v>
      </c>
      <c r="F166" s="358">
        <f t="shared" si="38"/>
        <v>43065</v>
      </c>
      <c r="G166" s="358">
        <f t="shared" si="38"/>
        <v>43812</v>
      </c>
      <c r="H166" s="358">
        <f t="shared" si="38"/>
        <v>47083</v>
      </c>
      <c r="I166" s="358">
        <f t="shared" si="38"/>
        <v>43798</v>
      </c>
      <c r="J166" s="358">
        <f t="shared" si="38"/>
        <v>43476</v>
      </c>
      <c r="K166" s="358">
        <f t="shared" si="38"/>
        <v>43429</v>
      </c>
      <c r="L166" s="358">
        <f t="shared" si="38"/>
        <v>43760</v>
      </c>
      <c r="M166" s="358">
        <f t="shared" si="38"/>
        <v>51056</v>
      </c>
      <c r="N166" s="358">
        <f t="shared" si="38"/>
        <v>43654</v>
      </c>
      <c r="O166" s="358">
        <f t="shared" si="38"/>
        <v>43607</v>
      </c>
      <c r="P166" s="359">
        <f t="shared" si="36"/>
        <v>540567</v>
      </c>
      <c r="Q166" s="358"/>
      <c r="R166" s="358"/>
      <c r="S166" s="358"/>
      <c r="T166" s="358"/>
      <c r="U166" s="358"/>
      <c r="V166" s="358"/>
      <c r="W166" s="358"/>
    </row>
    <row r="167" spans="3:23" outlineLevel="1">
      <c r="C167" s="235" t="s">
        <v>1140</v>
      </c>
      <c r="D167" s="358">
        <f t="shared" si="38"/>
        <v>9631</v>
      </c>
      <c r="E167" s="358">
        <f t="shared" si="38"/>
        <v>8120</v>
      </c>
      <c r="F167" s="358">
        <f t="shared" si="38"/>
        <v>8148</v>
      </c>
      <c r="G167" s="358">
        <f t="shared" si="38"/>
        <v>8289</v>
      </c>
      <c r="H167" s="358">
        <f t="shared" si="38"/>
        <v>8908</v>
      </c>
      <c r="I167" s="358">
        <f t="shared" si="38"/>
        <v>8286</v>
      </c>
      <c r="J167" s="358">
        <f t="shared" si="38"/>
        <v>8225</v>
      </c>
      <c r="K167" s="358">
        <f t="shared" si="38"/>
        <v>8216</v>
      </c>
      <c r="L167" s="358">
        <f t="shared" si="38"/>
        <v>8279</v>
      </c>
      <c r="M167" s="358">
        <f t="shared" si="38"/>
        <v>9659</v>
      </c>
      <c r="N167" s="358">
        <f t="shared" si="38"/>
        <v>8259</v>
      </c>
      <c r="O167" s="358">
        <f t="shared" si="38"/>
        <v>8250</v>
      </c>
      <c r="P167" s="359">
        <f t="shared" si="36"/>
        <v>102270</v>
      </c>
      <c r="Q167" s="358"/>
      <c r="R167" s="358"/>
      <c r="S167" s="358"/>
      <c r="T167" s="358"/>
      <c r="U167" s="358"/>
      <c r="V167" s="358"/>
      <c r="W167" s="358"/>
    </row>
    <row r="168" spans="3:23" outlineLevel="1">
      <c r="C168" s="235" t="s">
        <v>1141</v>
      </c>
      <c r="D168" s="358">
        <f t="shared" si="38"/>
        <v>8255</v>
      </c>
      <c r="E168" s="358">
        <f t="shared" si="38"/>
        <v>6960</v>
      </c>
      <c r="F168" s="358">
        <f t="shared" si="38"/>
        <v>6984</v>
      </c>
      <c r="G168" s="358">
        <f t="shared" si="38"/>
        <v>7105</v>
      </c>
      <c r="H168" s="358">
        <f t="shared" si="38"/>
        <v>7635</v>
      </c>
      <c r="I168" s="358">
        <f t="shared" si="38"/>
        <v>7102</v>
      </c>
      <c r="J168" s="358">
        <f t="shared" si="38"/>
        <v>7050</v>
      </c>
      <c r="K168" s="358">
        <f t="shared" si="38"/>
        <v>7043</v>
      </c>
      <c r="L168" s="358">
        <f t="shared" si="38"/>
        <v>7096</v>
      </c>
      <c r="M168" s="358">
        <f t="shared" si="38"/>
        <v>8279</v>
      </c>
      <c r="N168" s="358">
        <f t="shared" si="38"/>
        <v>7079</v>
      </c>
      <c r="O168" s="358">
        <f t="shared" si="38"/>
        <v>7071</v>
      </c>
      <c r="P168" s="359">
        <f t="shared" si="36"/>
        <v>87659</v>
      </c>
      <c r="Q168" s="358"/>
      <c r="R168" s="358"/>
      <c r="S168" s="358"/>
      <c r="T168" s="358"/>
      <c r="U168" s="358"/>
      <c r="V168" s="358"/>
      <c r="W168" s="358"/>
    </row>
    <row r="169" spans="3:23" outlineLevel="1">
      <c r="C169" s="235" t="s">
        <v>1142</v>
      </c>
      <c r="D169" s="358">
        <f t="shared" si="38"/>
        <v>4127</v>
      </c>
      <c r="E169" s="358">
        <f t="shared" si="38"/>
        <v>3480</v>
      </c>
      <c r="F169" s="358">
        <f t="shared" si="38"/>
        <v>3492</v>
      </c>
      <c r="G169" s="358">
        <f t="shared" si="38"/>
        <v>3552</v>
      </c>
      <c r="H169" s="358">
        <f t="shared" si="38"/>
        <v>3818</v>
      </c>
      <c r="I169" s="358">
        <f t="shared" si="38"/>
        <v>3551</v>
      </c>
      <c r="J169" s="358">
        <f t="shared" si="38"/>
        <v>3525</v>
      </c>
      <c r="K169" s="358">
        <f t="shared" si="38"/>
        <v>3521</v>
      </c>
      <c r="L169" s="358">
        <f t="shared" si="38"/>
        <v>3548</v>
      </c>
      <c r="M169" s="358">
        <f t="shared" si="38"/>
        <v>4140</v>
      </c>
      <c r="N169" s="358">
        <f t="shared" si="38"/>
        <v>3540</v>
      </c>
      <c r="O169" s="358">
        <f t="shared" si="38"/>
        <v>3536</v>
      </c>
      <c r="P169" s="359">
        <f t="shared" si="36"/>
        <v>43830</v>
      </c>
      <c r="Q169" s="358"/>
      <c r="R169" s="358"/>
      <c r="S169" s="358"/>
      <c r="T169" s="358"/>
      <c r="U169" s="358"/>
      <c r="V169" s="358"/>
      <c r="W169" s="358"/>
    </row>
    <row r="170" spans="3:23" outlineLevel="1">
      <c r="C170" s="235" t="s">
        <v>1143</v>
      </c>
      <c r="D170" s="358">
        <f t="shared" si="38"/>
        <v>0</v>
      </c>
      <c r="E170" s="358">
        <f t="shared" si="38"/>
        <v>0</v>
      </c>
      <c r="F170" s="358">
        <f t="shared" si="38"/>
        <v>0</v>
      </c>
      <c r="G170" s="358">
        <f t="shared" si="38"/>
        <v>0</v>
      </c>
      <c r="H170" s="358">
        <f t="shared" si="38"/>
        <v>0</v>
      </c>
      <c r="I170" s="358">
        <f t="shared" si="38"/>
        <v>0</v>
      </c>
      <c r="J170" s="358">
        <f t="shared" si="38"/>
        <v>0</v>
      </c>
      <c r="K170" s="358">
        <f t="shared" si="38"/>
        <v>0</v>
      </c>
      <c r="L170" s="358">
        <f t="shared" si="38"/>
        <v>0</v>
      </c>
      <c r="M170" s="358">
        <f t="shared" si="38"/>
        <v>0</v>
      </c>
      <c r="N170" s="358">
        <f t="shared" si="38"/>
        <v>0</v>
      </c>
      <c r="O170" s="358">
        <f t="shared" si="38"/>
        <v>0</v>
      </c>
      <c r="P170" s="359">
        <f t="shared" si="36"/>
        <v>0</v>
      </c>
      <c r="Q170" s="358"/>
      <c r="R170" s="358"/>
      <c r="S170" s="358"/>
      <c r="T170" s="358"/>
      <c r="U170" s="358"/>
      <c r="V170" s="358"/>
      <c r="W170" s="358"/>
    </row>
    <row r="171" spans="3:23" outlineLevel="1">
      <c r="C171" s="235" t="s">
        <v>1144</v>
      </c>
      <c r="D171" s="358">
        <f t="shared" si="38"/>
        <v>0</v>
      </c>
      <c r="E171" s="358">
        <f t="shared" si="38"/>
        <v>0</v>
      </c>
      <c r="F171" s="358">
        <f t="shared" si="38"/>
        <v>0</v>
      </c>
      <c r="G171" s="358">
        <f t="shared" si="38"/>
        <v>0</v>
      </c>
      <c r="H171" s="358">
        <f t="shared" si="38"/>
        <v>0</v>
      </c>
      <c r="I171" s="358">
        <f t="shared" si="38"/>
        <v>0</v>
      </c>
      <c r="J171" s="358">
        <f t="shared" si="38"/>
        <v>0</v>
      </c>
      <c r="K171" s="358">
        <f t="shared" si="38"/>
        <v>0</v>
      </c>
      <c r="L171" s="358">
        <f t="shared" si="38"/>
        <v>0</v>
      </c>
      <c r="M171" s="358">
        <f t="shared" si="38"/>
        <v>0</v>
      </c>
      <c r="N171" s="358">
        <f t="shared" si="38"/>
        <v>0</v>
      </c>
      <c r="O171" s="358">
        <f t="shared" si="38"/>
        <v>0</v>
      </c>
      <c r="P171" s="359">
        <f t="shared" si="36"/>
        <v>0</v>
      </c>
      <c r="Q171" s="358"/>
      <c r="R171" s="358"/>
      <c r="S171" s="358"/>
      <c r="T171" s="358"/>
      <c r="U171" s="358"/>
      <c r="V171" s="358"/>
      <c r="W171" s="358"/>
    </row>
    <row r="172" spans="3:23" outlineLevel="1">
      <c r="C172" s="235" t="s">
        <v>1145</v>
      </c>
      <c r="D172" s="358">
        <f t="shared" si="38"/>
        <v>13758</v>
      </c>
      <c r="E172" s="358">
        <f t="shared" si="38"/>
        <v>11601</v>
      </c>
      <c r="F172" s="358">
        <f t="shared" si="38"/>
        <v>11639</v>
      </c>
      <c r="G172" s="358">
        <f t="shared" si="38"/>
        <v>11841</v>
      </c>
      <c r="H172" s="358">
        <f t="shared" si="38"/>
        <v>12725</v>
      </c>
      <c r="I172" s="358">
        <f t="shared" si="38"/>
        <v>11837</v>
      </c>
      <c r="J172" s="358">
        <f t="shared" si="38"/>
        <v>11750</v>
      </c>
      <c r="K172" s="358">
        <f t="shared" si="38"/>
        <v>11738</v>
      </c>
      <c r="L172" s="358">
        <f t="shared" si="38"/>
        <v>11827</v>
      </c>
      <c r="M172" s="358">
        <f t="shared" si="38"/>
        <v>13799</v>
      </c>
      <c r="N172" s="358">
        <f t="shared" si="38"/>
        <v>11798</v>
      </c>
      <c r="O172" s="358">
        <f t="shared" si="38"/>
        <v>11786</v>
      </c>
      <c r="P172" s="359">
        <f t="shared" si="36"/>
        <v>146099</v>
      </c>
      <c r="Q172" s="358"/>
      <c r="R172" s="358"/>
      <c r="S172" s="358"/>
      <c r="T172" s="358"/>
      <c r="U172" s="358"/>
      <c r="V172" s="358"/>
      <c r="W172" s="358"/>
    </row>
    <row r="173" spans="3:23" outlineLevel="1">
      <c r="C173" s="235" t="s">
        <v>1146</v>
      </c>
      <c r="D173" s="358">
        <f t="shared" si="38"/>
        <v>8255</v>
      </c>
      <c r="E173" s="358">
        <f t="shared" si="38"/>
        <v>6960</v>
      </c>
      <c r="F173" s="358">
        <f t="shared" si="38"/>
        <v>6984</v>
      </c>
      <c r="G173" s="358">
        <f t="shared" si="38"/>
        <v>7105</v>
      </c>
      <c r="H173" s="358">
        <f t="shared" si="38"/>
        <v>7635</v>
      </c>
      <c r="I173" s="358">
        <f t="shared" si="38"/>
        <v>7102</v>
      </c>
      <c r="J173" s="358">
        <f t="shared" si="38"/>
        <v>7050</v>
      </c>
      <c r="K173" s="358">
        <f t="shared" si="38"/>
        <v>7043</v>
      </c>
      <c r="L173" s="358">
        <f t="shared" si="38"/>
        <v>7096</v>
      </c>
      <c r="M173" s="358">
        <f t="shared" si="38"/>
        <v>8279</v>
      </c>
      <c r="N173" s="358">
        <f t="shared" si="38"/>
        <v>7079</v>
      </c>
      <c r="O173" s="358">
        <f t="shared" si="38"/>
        <v>7071</v>
      </c>
      <c r="P173" s="359">
        <f t="shared" si="36"/>
        <v>87659</v>
      </c>
      <c r="Q173" s="358"/>
      <c r="R173" s="358"/>
      <c r="S173" s="358"/>
      <c r="T173" s="358"/>
      <c r="U173" s="358"/>
      <c r="V173" s="358"/>
      <c r="W173" s="358"/>
    </row>
    <row r="174" spans="3:23" outlineLevel="1">
      <c r="C174" s="235" t="s">
        <v>1147</v>
      </c>
      <c r="D174" s="358">
        <f t="shared" si="38"/>
        <v>48153</v>
      </c>
      <c r="E174" s="358">
        <f t="shared" si="38"/>
        <v>40602</v>
      </c>
      <c r="F174" s="358">
        <f t="shared" si="38"/>
        <v>40738</v>
      </c>
      <c r="G174" s="358">
        <f t="shared" si="38"/>
        <v>41444</v>
      </c>
      <c r="H174" s="358">
        <f t="shared" si="38"/>
        <v>44538</v>
      </c>
      <c r="I174" s="358">
        <f t="shared" si="38"/>
        <v>41431</v>
      </c>
      <c r="J174" s="358">
        <f t="shared" si="38"/>
        <v>41126</v>
      </c>
      <c r="K174" s="358">
        <f t="shared" si="38"/>
        <v>41081</v>
      </c>
      <c r="L174" s="358">
        <f t="shared" si="38"/>
        <v>41395</v>
      </c>
      <c r="M174" s="358">
        <f t="shared" si="38"/>
        <v>48296</v>
      </c>
      <c r="N174" s="358">
        <f t="shared" si="38"/>
        <v>41294</v>
      </c>
      <c r="O174" s="358">
        <f t="shared" si="38"/>
        <v>41250</v>
      </c>
      <c r="P174" s="359">
        <f t="shared" si="36"/>
        <v>511348</v>
      </c>
      <c r="Q174" s="358"/>
      <c r="R174" s="358"/>
      <c r="S174" s="358"/>
      <c r="T174" s="358"/>
      <c r="U174" s="358"/>
      <c r="V174" s="358"/>
      <c r="W174" s="358"/>
    </row>
    <row r="175" spans="3:23" outlineLevel="1">
      <c r="C175" s="235" t="s">
        <v>1148</v>
      </c>
      <c r="D175" s="358">
        <f t="shared" si="38"/>
        <v>17885</v>
      </c>
      <c r="E175" s="358">
        <f t="shared" si="38"/>
        <v>15081</v>
      </c>
      <c r="F175" s="358">
        <f t="shared" si="38"/>
        <v>15131</v>
      </c>
      <c r="G175" s="358">
        <f t="shared" si="38"/>
        <v>15393</v>
      </c>
      <c r="H175" s="358">
        <f t="shared" si="38"/>
        <v>16543</v>
      </c>
      <c r="I175" s="358">
        <f t="shared" si="38"/>
        <v>15389</v>
      </c>
      <c r="J175" s="358">
        <f t="shared" si="38"/>
        <v>15275</v>
      </c>
      <c r="K175" s="358">
        <f t="shared" si="38"/>
        <v>15259</v>
      </c>
      <c r="L175" s="358">
        <f t="shared" si="38"/>
        <v>15375</v>
      </c>
      <c r="M175" s="358">
        <f t="shared" si="38"/>
        <v>17939</v>
      </c>
      <c r="N175" s="358">
        <f t="shared" si="38"/>
        <v>15338</v>
      </c>
      <c r="O175" s="358">
        <f t="shared" si="38"/>
        <v>15321</v>
      </c>
      <c r="P175" s="359">
        <f t="shared" si="36"/>
        <v>189929</v>
      </c>
      <c r="Q175" s="358"/>
      <c r="R175" s="358"/>
      <c r="S175" s="358"/>
      <c r="T175" s="358"/>
      <c r="U175" s="358"/>
      <c r="V175" s="358"/>
      <c r="W175" s="358"/>
    </row>
    <row r="176" spans="3:23" outlineLevel="1">
      <c r="C176" s="235" t="s">
        <v>1149</v>
      </c>
      <c r="D176" s="358">
        <f t="shared" si="38"/>
        <v>2752</v>
      </c>
      <c r="E176" s="358">
        <f t="shared" si="38"/>
        <v>2320</v>
      </c>
      <c r="F176" s="358">
        <f t="shared" si="38"/>
        <v>2328</v>
      </c>
      <c r="G176" s="358">
        <f t="shared" si="38"/>
        <v>2368</v>
      </c>
      <c r="H176" s="358">
        <f t="shared" si="38"/>
        <v>2545</v>
      </c>
      <c r="I176" s="358">
        <f t="shared" si="38"/>
        <v>2367</v>
      </c>
      <c r="J176" s="358">
        <f t="shared" si="38"/>
        <v>2350</v>
      </c>
      <c r="K176" s="358">
        <f t="shared" si="38"/>
        <v>2348</v>
      </c>
      <c r="L176" s="358">
        <f t="shared" si="38"/>
        <v>2365</v>
      </c>
      <c r="M176" s="358">
        <f t="shared" si="38"/>
        <v>2760</v>
      </c>
      <c r="N176" s="358">
        <f t="shared" si="38"/>
        <v>2360</v>
      </c>
      <c r="O176" s="358">
        <f t="shared" si="38"/>
        <v>2357</v>
      </c>
      <c r="P176" s="359">
        <f t="shared" si="36"/>
        <v>29220</v>
      </c>
      <c r="Q176" s="358"/>
      <c r="R176" s="358"/>
      <c r="S176" s="358"/>
      <c r="T176" s="358"/>
      <c r="U176" s="358"/>
      <c r="V176" s="358"/>
      <c r="W176" s="358"/>
    </row>
    <row r="177" spans="3:24" outlineLevel="1">
      <c r="C177" s="235" t="s">
        <v>1150</v>
      </c>
      <c r="D177" s="358">
        <f t="shared" si="38"/>
        <v>27516</v>
      </c>
      <c r="E177" s="358">
        <f t="shared" si="38"/>
        <v>23201</v>
      </c>
      <c r="F177" s="358">
        <f t="shared" si="38"/>
        <v>23279</v>
      </c>
      <c r="G177" s="358">
        <f t="shared" si="38"/>
        <v>23682</v>
      </c>
      <c r="H177" s="358">
        <f t="shared" si="38"/>
        <v>25450</v>
      </c>
      <c r="I177" s="358">
        <f t="shared" si="38"/>
        <v>23675</v>
      </c>
      <c r="J177" s="358">
        <f t="shared" si="38"/>
        <v>23501</v>
      </c>
      <c r="K177" s="358">
        <f t="shared" si="38"/>
        <v>23475</v>
      </c>
      <c r="L177" s="358">
        <f t="shared" si="38"/>
        <v>23654</v>
      </c>
      <c r="M177" s="358">
        <f t="shared" si="38"/>
        <v>27598</v>
      </c>
      <c r="N177" s="358">
        <f t="shared" si="38"/>
        <v>23597</v>
      </c>
      <c r="O177" s="358">
        <f t="shared" si="38"/>
        <v>23571</v>
      </c>
      <c r="P177" s="359">
        <f t="shared" si="36"/>
        <v>292199</v>
      </c>
      <c r="Q177" s="358"/>
      <c r="R177" s="358"/>
      <c r="S177" s="358"/>
      <c r="T177" s="358"/>
      <c r="U177" s="358"/>
      <c r="V177" s="358"/>
      <c r="W177" s="358"/>
    </row>
    <row r="178" spans="3:24" outlineLevel="1">
      <c r="C178" s="235" t="s">
        <v>1151</v>
      </c>
      <c r="D178" s="358">
        <f t="shared" si="38"/>
        <v>6879</v>
      </c>
      <c r="E178" s="358">
        <f t="shared" si="38"/>
        <v>5800</v>
      </c>
      <c r="F178" s="358">
        <f t="shared" si="38"/>
        <v>5820</v>
      </c>
      <c r="G178" s="358">
        <f t="shared" si="38"/>
        <v>5921</v>
      </c>
      <c r="H178" s="358">
        <f t="shared" si="38"/>
        <v>6363</v>
      </c>
      <c r="I178" s="358">
        <f t="shared" si="38"/>
        <v>5919</v>
      </c>
      <c r="J178" s="358">
        <f t="shared" si="38"/>
        <v>5875</v>
      </c>
      <c r="K178" s="358">
        <f t="shared" si="38"/>
        <v>5869</v>
      </c>
      <c r="L178" s="358">
        <f t="shared" si="38"/>
        <v>5914</v>
      </c>
      <c r="M178" s="358">
        <f t="shared" si="38"/>
        <v>6899</v>
      </c>
      <c r="N178" s="358">
        <f t="shared" si="38"/>
        <v>5899</v>
      </c>
      <c r="O178" s="358">
        <f t="shared" si="38"/>
        <v>5893</v>
      </c>
      <c r="P178" s="359">
        <f t="shared" si="36"/>
        <v>73051</v>
      </c>
      <c r="Q178" s="358"/>
      <c r="R178" s="358"/>
      <c r="S178" s="358"/>
      <c r="T178" s="358"/>
      <c r="U178" s="358"/>
      <c r="V178" s="358"/>
      <c r="W178" s="358"/>
    </row>
    <row r="179" spans="3:24" outlineLevel="1">
      <c r="C179" s="235" t="s">
        <v>1152</v>
      </c>
      <c r="D179" s="358">
        <f t="shared" ref="D179:O181" si="39">ROUND($E120*D$24,0)</f>
        <v>0</v>
      </c>
      <c r="E179" s="358">
        <f t="shared" si="39"/>
        <v>0</v>
      </c>
      <c r="F179" s="358">
        <f t="shared" si="39"/>
        <v>0</v>
      </c>
      <c r="G179" s="358">
        <f t="shared" si="39"/>
        <v>0</v>
      </c>
      <c r="H179" s="358">
        <f t="shared" si="39"/>
        <v>0</v>
      </c>
      <c r="I179" s="358">
        <f t="shared" si="39"/>
        <v>0</v>
      </c>
      <c r="J179" s="358">
        <f t="shared" si="39"/>
        <v>0</v>
      </c>
      <c r="K179" s="358">
        <f t="shared" si="39"/>
        <v>0</v>
      </c>
      <c r="L179" s="358">
        <f t="shared" si="39"/>
        <v>0</v>
      </c>
      <c r="M179" s="358">
        <f t="shared" si="39"/>
        <v>0</v>
      </c>
      <c r="N179" s="358">
        <f t="shared" si="39"/>
        <v>0</v>
      </c>
      <c r="O179" s="358">
        <f t="shared" si="39"/>
        <v>0</v>
      </c>
      <c r="P179" s="359">
        <f t="shared" si="36"/>
        <v>0</v>
      </c>
      <c r="Q179" s="358"/>
      <c r="R179" s="358"/>
      <c r="S179" s="358"/>
      <c r="T179" s="358"/>
      <c r="U179" s="358"/>
      <c r="V179" s="358"/>
      <c r="W179" s="358"/>
    </row>
    <row r="180" spans="3:24" outlineLevel="1">
      <c r="C180" s="235" t="s">
        <v>1153</v>
      </c>
      <c r="D180" s="358">
        <f t="shared" si="39"/>
        <v>28892</v>
      </c>
      <c r="E180" s="358">
        <f t="shared" si="39"/>
        <v>24361</v>
      </c>
      <c r="F180" s="358">
        <f t="shared" si="39"/>
        <v>24443</v>
      </c>
      <c r="G180" s="358">
        <f t="shared" si="39"/>
        <v>24866</v>
      </c>
      <c r="H180" s="358">
        <f t="shared" si="39"/>
        <v>26723</v>
      </c>
      <c r="I180" s="358">
        <f t="shared" si="39"/>
        <v>24858</v>
      </c>
      <c r="J180" s="358">
        <f t="shared" si="39"/>
        <v>24676</v>
      </c>
      <c r="K180" s="358">
        <f t="shared" si="39"/>
        <v>24649</v>
      </c>
      <c r="L180" s="358">
        <f t="shared" si="39"/>
        <v>24837</v>
      </c>
      <c r="M180" s="358">
        <f t="shared" si="39"/>
        <v>28978</v>
      </c>
      <c r="N180" s="358">
        <f t="shared" si="39"/>
        <v>24777</v>
      </c>
      <c r="O180" s="358">
        <f t="shared" si="39"/>
        <v>24750</v>
      </c>
      <c r="P180" s="359">
        <f t="shared" si="36"/>
        <v>306810</v>
      </c>
      <c r="Q180" s="358"/>
      <c r="R180" s="358"/>
      <c r="S180" s="358"/>
      <c r="T180" s="358"/>
      <c r="U180" s="358"/>
      <c r="V180" s="358"/>
      <c r="W180" s="358"/>
    </row>
    <row r="181" spans="3:24" outlineLevel="1">
      <c r="C181" s="235" t="s">
        <v>1154</v>
      </c>
      <c r="D181" s="358">
        <f t="shared" si="39"/>
        <v>46777</v>
      </c>
      <c r="E181" s="358">
        <f t="shared" si="39"/>
        <v>39442</v>
      </c>
      <c r="F181" s="358">
        <f t="shared" si="39"/>
        <v>39574</v>
      </c>
      <c r="G181" s="358">
        <f t="shared" si="39"/>
        <v>40260</v>
      </c>
      <c r="H181" s="358">
        <f t="shared" si="39"/>
        <v>43265</v>
      </c>
      <c r="I181" s="358">
        <f t="shared" si="39"/>
        <v>40247</v>
      </c>
      <c r="J181" s="358">
        <f t="shared" si="39"/>
        <v>39951</v>
      </c>
      <c r="K181" s="358">
        <f t="shared" si="39"/>
        <v>39908</v>
      </c>
      <c r="L181" s="358">
        <f t="shared" si="39"/>
        <v>40212</v>
      </c>
      <c r="M181" s="358">
        <f t="shared" si="39"/>
        <v>46916</v>
      </c>
      <c r="N181" s="358">
        <f t="shared" si="39"/>
        <v>40114</v>
      </c>
      <c r="O181" s="358">
        <f t="shared" si="39"/>
        <v>40071</v>
      </c>
      <c r="P181" s="359">
        <f t="shared" si="36"/>
        <v>496737</v>
      </c>
      <c r="Q181" s="358"/>
      <c r="R181" s="358"/>
      <c r="S181" s="358"/>
      <c r="T181" s="358"/>
      <c r="U181" s="358"/>
      <c r="V181" s="358"/>
      <c r="W181" s="358"/>
    </row>
    <row r="182" spans="3:24" outlineLevel="1">
      <c r="C182" s="235"/>
      <c r="D182" s="358">
        <f>SUM(D130:D181)</f>
        <v>614984</v>
      </c>
      <c r="E182" s="358">
        <f t="shared" ref="E182:P182" si="40">SUM(E130:E181)</f>
        <v>518543</v>
      </c>
      <c r="F182" s="358">
        <f t="shared" si="40"/>
        <v>520281</v>
      </c>
      <c r="G182" s="358">
        <f t="shared" si="40"/>
        <v>529297</v>
      </c>
      <c r="H182" s="358">
        <f t="shared" si="40"/>
        <v>568816</v>
      </c>
      <c r="I182" s="358">
        <f t="shared" si="40"/>
        <v>529127</v>
      </c>
      <c r="J182" s="358">
        <f t="shared" si="40"/>
        <v>525234</v>
      </c>
      <c r="K182" s="358">
        <f t="shared" si="40"/>
        <v>524672</v>
      </c>
      <c r="L182" s="358">
        <f t="shared" si="40"/>
        <v>528669</v>
      </c>
      <c r="M182" s="358">
        <f t="shared" si="40"/>
        <v>616811</v>
      </c>
      <c r="N182" s="358">
        <f t="shared" si="40"/>
        <v>527389</v>
      </c>
      <c r="O182" s="358">
        <f t="shared" si="40"/>
        <v>526816</v>
      </c>
      <c r="P182" s="359">
        <f t="shared" si="40"/>
        <v>6530639</v>
      </c>
      <c r="Q182" s="358"/>
      <c r="R182" s="358"/>
      <c r="S182" s="358"/>
      <c r="T182" s="358"/>
      <c r="U182" s="358"/>
      <c r="V182" s="358"/>
      <c r="W182" s="358"/>
    </row>
    <row r="183" spans="3:24" outlineLevel="1">
      <c r="C183" s="235"/>
      <c r="D183" s="358">
        <f>D182-D24</f>
        <v>-0.60999999998603016</v>
      </c>
      <c r="E183" s="358">
        <f t="shared" ref="E183:P183" si="41">E182-E24</f>
        <v>-4.6899999999441206</v>
      </c>
      <c r="F183" s="358">
        <f t="shared" si="41"/>
        <v>4.7000000000698492</v>
      </c>
      <c r="G183" s="358">
        <f t="shared" si="41"/>
        <v>0.34000000008381903</v>
      </c>
      <c r="H183" s="358">
        <f t="shared" si="41"/>
        <v>7.9299999999348074</v>
      </c>
      <c r="I183" s="358">
        <f t="shared" si="41"/>
        <v>-0.72999999998137355</v>
      </c>
      <c r="J183" s="358">
        <f t="shared" si="41"/>
        <v>-3.4299999999348074</v>
      </c>
      <c r="K183" s="358">
        <f t="shared" si="41"/>
        <v>3.9699999999720603</v>
      </c>
      <c r="L183" s="358">
        <f t="shared" si="41"/>
        <v>0.96999999997206032</v>
      </c>
      <c r="M183" s="358">
        <f t="shared" si="41"/>
        <v>-1.0000000009313226E-2</v>
      </c>
      <c r="N183" s="358">
        <f t="shared" si="41"/>
        <v>3</v>
      </c>
      <c r="O183" s="358">
        <f t="shared" si="41"/>
        <v>-0.23999999999068677</v>
      </c>
      <c r="P183" s="359">
        <f t="shared" si="41"/>
        <v>11.200000001117587</v>
      </c>
      <c r="Q183" s="358"/>
      <c r="R183" s="358"/>
      <c r="S183" s="358"/>
      <c r="T183" s="358"/>
      <c r="U183" s="358"/>
      <c r="V183" s="358"/>
      <c r="W183" s="358"/>
    </row>
    <row r="185" spans="3:24">
      <c r="C185" s="151" t="s">
        <v>1160</v>
      </c>
    </row>
    <row r="186" spans="3:24" outlineLevel="1">
      <c r="C186" s="106"/>
    </row>
    <row r="187" spans="3:24" outlineLevel="1">
      <c r="C187" s="299"/>
      <c r="D187" s="371">
        <v>0.25</v>
      </c>
      <c r="E187" s="372" t="s">
        <v>1161</v>
      </c>
      <c r="F187" s="372" t="s">
        <v>1162</v>
      </c>
      <c r="G187" s="372" t="s">
        <v>1163</v>
      </c>
      <c r="H187" s="372" t="s">
        <v>1164</v>
      </c>
      <c r="I187" s="372" t="s">
        <v>1165</v>
      </c>
      <c r="J187" s="372" t="s">
        <v>1166</v>
      </c>
      <c r="K187" s="372" t="s">
        <v>1167</v>
      </c>
      <c r="L187" s="372" t="s">
        <v>1168</v>
      </c>
      <c r="M187" s="372" t="s">
        <v>1169</v>
      </c>
      <c r="N187" s="372" t="s">
        <v>1170</v>
      </c>
      <c r="O187" s="372" t="s">
        <v>1171</v>
      </c>
      <c r="P187" s="373" t="s">
        <v>1172</v>
      </c>
      <c r="Q187" s="372"/>
      <c r="R187" s="372"/>
      <c r="S187" s="372"/>
      <c r="T187" s="372"/>
      <c r="U187" s="372"/>
      <c r="V187" s="372"/>
      <c r="W187" s="372"/>
    </row>
    <row r="188" spans="3:24" outlineLevel="1">
      <c r="C188" s="374" t="s">
        <v>1103</v>
      </c>
      <c r="D188" s="375"/>
      <c r="E188" s="376">
        <f>D188*$D$187</f>
        <v>0</v>
      </c>
      <c r="F188" s="376">
        <f>E188</f>
        <v>0</v>
      </c>
      <c r="G188" s="376">
        <f t="shared" ref="G188:P188" si="42">F188</f>
        <v>0</v>
      </c>
      <c r="H188" s="376">
        <f t="shared" si="42"/>
        <v>0</v>
      </c>
      <c r="I188" s="376">
        <f t="shared" si="42"/>
        <v>0</v>
      </c>
      <c r="J188" s="376">
        <f t="shared" si="42"/>
        <v>0</v>
      </c>
      <c r="K188" s="376">
        <f t="shared" si="42"/>
        <v>0</v>
      </c>
      <c r="L188" s="376">
        <f t="shared" si="42"/>
        <v>0</v>
      </c>
      <c r="M188" s="376">
        <f t="shared" si="42"/>
        <v>0</v>
      </c>
      <c r="N188" s="376">
        <f t="shared" si="42"/>
        <v>0</v>
      </c>
      <c r="O188" s="376">
        <f t="shared" si="42"/>
        <v>0</v>
      </c>
      <c r="P188" s="377">
        <f t="shared" si="42"/>
        <v>0</v>
      </c>
      <c r="Q188" s="378"/>
      <c r="R188" s="378"/>
      <c r="S188" s="378"/>
      <c r="T188" s="378"/>
      <c r="U188" s="378"/>
      <c r="V188" s="378"/>
      <c r="W188" s="378"/>
      <c r="X188" s="105">
        <f>SUM(E188:P188)</f>
        <v>0</v>
      </c>
    </row>
    <row r="189" spans="3:24" outlineLevel="1">
      <c r="C189" s="379" t="s">
        <v>1104</v>
      </c>
      <c r="D189" s="375"/>
      <c r="E189" s="376">
        <f t="shared" ref="E189:E203" si="43">D189*$D$187</f>
        <v>0</v>
      </c>
      <c r="F189" s="376">
        <f t="shared" ref="F189:P203" si="44">E189</f>
        <v>0</v>
      </c>
      <c r="G189" s="376">
        <f t="shared" si="44"/>
        <v>0</v>
      </c>
      <c r="H189" s="376">
        <f t="shared" si="44"/>
        <v>0</v>
      </c>
      <c r="I189" s="376">
        <f t="shared" si="44"/>
        <v>0</v>
      </c>
      <c r="J189" s="376">
        <f t="shared" si="44"/>
        <v>0</v>
      </c>
      <c r="K189" s="376">
        <f t="shared" si="44"/>
        <v>0</v>
      </c>
      <c r="L189" s="376">
        <f t="shared" si="44"/>
        <v>0</v>
      </c>
      <c r="M189" s="376">
        <f t="shared" si="44"/>
        <v>0</v>
      </c>
      <c r="N189" s="376">
        <f t="shared" si="44"/>
        <v>0</v>
      </c>
      <c r="O189" s="376">
        <f t="shared" si="44"/>
        <v>0</v>
      </c>
      <c r="P189" s="377">
        <f t="shared" si="44"/>
        <v>0</v>
      </c>
      <c r="Q189" s="378"/>
      <c r="R189" s="378"/>
      <c r="S189" s="378"/>
      <c r="T189" s="378"/>
      <c r="U189" s="378"/>
      <c r="V189" s="378"/>
      <c r="W189" s="378"/>
      <c r="X189" s="105">
        <f t="shared" ref="X189:X203" si="45">SUM(E189:P189)</f>
        <v>0</v>
      </c>
    </row>
    <row r="190" spans="3:24" outlineLevel="1">
      <c r="C190" s="379" t="s">
        <v>1173</v>
      </c>
      <c r="D190" s="375"/>
      <c r="E190" s="376">
        <f t="shared" si="43"/>
        <v>0</v>
      </c>
      <c r="F190" s="376">
        <f t="shared" si="44"/>
        <v>0</v>
      </c>
      <c r="G190" s="376">
        <f t="shared" si="44"/>
        <v>0</v>
      </c>
      <c r="H190" s="376">
        <f t="shared" si="44"/>
        <v>0</v>
      </c>
      <c r="I190" s="376">
        <f t="shared" si="44"/>
        <v>0</v>
      </c>
      <c r="J190" s="376">
        <f t="shared" si="44"/>
        <v>0</v>
      </c>
      <c r="K190" s="376">
        <f t="shared" si="44"/>
        <v>0</v>
      </c>
      <c r="L190" s="376">
        <f t="shared" si="44"/>
        <v>0</v>
      </c>
      <c r="M190" s="376">
        <f t="shared" si="44"/>
        <v>0</v>
      </c>
      <c r="N190" s="376">
        <f t="shared" si="44"/>
        <v>0</v>
      </c>
      <c r="O190" s="376">
        <f t="shared" si="44"/>
        <v>0</v>
      </c>
      <c r="P190" s="377">
        <f t="shared" si="44"/>
        <v>0</v>
      </c>
      <c r="Q190" s="378"/>
      <c r="R190" s="378"/>
      <c r="S190" s="378"/>
      <c r="T190" s="378"/>
      <c r="U190" s="378"/>
      <c r="V190" s="378"/>
      <c r="W190" s="378"/>
      <c r="X190" s="105">
        <f t="shared" si="45"/>
        <v>0</v>
      </c>
    </row>
    <row r="191" spans="3:24" outlineLevel="1">
      <c r="C191" s="379" t="s">
        <v>1174</v>
      </c>
      <c r="D191" s="375"/>
      <c r="E191" s="376">
        <f t="shared" si="43"/>
        <v>0</v>
      </c>
      <c r="F191" s="376">
        <f t="shared" si="44"/>
        <v>0</v>
      </c>
      <c r="G191" s="376">
        <f t="shared" si="44"/>
        <v>0</v>
      </c>
      <c r="H191" s="376">
        <f t="shared" si="44"/>
        <v>0</v>
      </c>
      <c r="I191" s="376">
        <f t="shared" si="44"/>
        <v>0</v>
      </c>
      <c r="J191" s="376">
        <f t="shared" si="44"/>
        <v>0</v>
      </c>
      <c r="K191" s="376">
        <f t="shared" si="44"/>
        <v>0</v>
      </c>
      <c r="L191" s="376">
        <f t="shared" si="44"/>
        <v>0</v>
      </c>
      <c r="M191" s="376">
        <f t="shared" si="44"/>
        <v>0</v>
      </c>
      <c r="N191" s="376">
        <f t="shared" si="44"/>
        <v>0</v>
      </c>
      <c r="O191" s="376">
        <f t="shared" si="44"/>
        <v>0</v>
      </c>
      <c r="P191" s="377">
        <f t="shared" si="44"/>
        <v>0</v>
      </c>
      <c r="Q191" s="378"/>
      <c r="R191" s="378"/>
      <c r="S191" s="378"/>
      <c r="T191" s="378"/>
      <c r="U191" s="378"/>
      <c r="V191" s="378"/>
      <c r="W191" s="378"/>
      <c r="X191" s="105">
        <f t="shared" si="45"/>
        <v>0</v>
      </c>
    </row>
    <row r="192" spans="3:24" outlineLevel="1">
      <c r="C192" s="374" t="s">
        <v>1175</v>
      </c>
      <c r="D192" s="375"/>
      <c r="E192" s="376">
        <f t="shared" si="43"/>
        <v>0</v>
      </c>
      <c r="F192" s="376">
        <f t="shared" si="44"/>
        <v>0</v>
      </c>
      <c r="G192" s="376">
        <f t="shared" si="44"/>
        <v>0</v>
      </c>
      <c r="H192" s="376">
        <f t="shared" si="44"/>
        <v>0</v>
      </c>
      <c r="I192" s="376">
        <f t="shared" si="44"/>
        <v>0</v>
      </c>
      <c r="J192" s="376">
        <f t="shared" si="44"/>
        <v>0</v>
      </c>
      <c r="K192" s="376">
        <f t="shared" si="44"/>
        <v>0</v>
      </c>
      <c r="L192" s="376">
        <f t="shared" si="44"/>
        <v>0</v>
      </c>
      <c r="M192" s="376">
        <f t="shared" si="44"/>
        <v>0</v>
      </c>
      <c r="N192" s="376">
        <f t="shared" si="44"/>
        <v>0</v>
      </c>
      <c r="O192" s="376">
        <f t="shared" si="44"/>
        <v>0</v>
      </c>
      <c r="P192" s="377">
        <f t="shared" si="44"/>
        <v>0</v>
      </c>
      <c r="Q192" s="378"/>
      <c r="R192" s="378"/>
      <c r="S192" s="378"/>
      <c r="T192" s="378"/>
      <c r="U192" s="378"/>
      <c r="V192" s="378"/>
      <c r="W192" s="378"/>
      <c r="X192" s="105">
        <f t="shared" si="45"/>
        <v>0</v>
      </c>
    </row>
    <row r="193" spans="3:24" outlineLevel="1">
      <c r="C193" s="374" t="s">
        <v>1176</v>
      </c>
      <c r="D193" s="375"/>
      <c r="E193" s="376">
        <f t="shared" si="43"/>
        <v>0</v>
      </c>
      <c r="F193" s="376">
        <f t="shared" si="44"/>
        <v>0</v>
      </c>
      <c r="G193" s="376">
        <f t="shared" si="44"/>
        <v>0</v>
      </c>
      <c r="H193" s="376">
        <f t="shared" si="44"/>
        <v>0</v>
      </c>
      <c r="I193" s="376">
        <f t="shared" si="44"/>
        <v>0</v>
      </c>
      <c r="J193" s="376">
        <f t="shared" si="44"/>
        <v>0</v>
      </c>
      <c r="K193" s="376">
        <f t="shared" si="44"/>
        <v>0</v>
      </c>
      <c r="L193" s="376">
        <f t="shared" si="44"/>
        <v>0</v>
      </c>
      <c r="M193" s="376">
        <f t="shared" si="44"/>
        <v>0</v>
      </c>
      <c r="N193" s="376">
        <f t="shared" si="44"/>
        <v>0</v>
      </c>
      <c r="O193" s="376">
        <f t="shared" si="44"/>
        <v>0</v>
      </c>
      <c r="P193" s="377">
        <f t="shared" si="44"/>
        <v>0</v>
      </c>
      <c r="Q193" s="378"/>
      <c r="R193" s="378"/>
      <c r="S193" s="378"/>
      <c r="T193" s="378"/>
      <c r="U193" s="378"/>
      <c r="V193" s="378"/>
      <c r="W193" s="378"/>
      <c r="X193" s="105">
        <f t="shared" si="45"/>
        <v>0</v>
      </c>
    </row>
    <row r="194" spans="3:24" outlineLevel="1">
      <c r="C194" s="374" t="s">
        <v>1136</v>
      </c>
      <c r="D194" s="375"/>
      <c r="E194" s="376">
        <f t="shared" si="43"/>
        <v>0</v>
      </c>
      <c r="F194" s="376">
        <f t="shared" si="44"/>
        <v>0</v>
      </c>
      <c r="G194" s="376">
        <f t="shared" si="44"/>
        <v>0</v>
      </c>
      <c r="H194" s="376">
        <f t="shared" si="44"/>
        <v>0</v>
      </c>
      <c r="I194" s="376">
        <f t="shared" si="44"/>
        <v>0</v>
      </c>
      <c r="J194" s="376">
        <f t="shared" si="44"/>
        <v>0</v>
      </c>
      <c r="K194" s="376">
        <f t="shared" si="44"/>
        <v>0</v>
      </c>
      <c r="L194" s="376">
        <f t="shared" si="44"/>
        <v>0</v>
      </c>
      <c r="M194" s="376">
        <f t="shared" si="44"/>
        <v>0</v>
      </c>
      <c r="N194" s="376">
        <f t="shared" si="44"/>
        <v>0</v>
      </c>
      <c r="O194" s="376">
        <f t="shared" si="44"/>
        <v>0</v>
      </c>
      <c r="P194" s="377">
        <f t="shared" si="44"/>
        <v>0</v>
      </c>
      <c r="Q194" s="378"/>
      <c r="R194" s="378"/>
      <c r="S194" s="378"/>
      <c r="T194" s="378"/>
      <c r="U194" s="378"/>
      <c r="V194" s="378"/>
      <c r="W194" s="378"/>
      <c r="X194" s="105">
        <f t="shared" si="45"/>
        <v>0</v>
      </c>
    </row>
    <row r="195" spans="3:24" outlineLevel="1">
      <c r="C195" s="379" t="s">
        <v>1177</v>
      </c>
      <c r="D195" s="375"/>
      <c r="E195" s="376">
        <f t="shared" si="43"/>
        <v>0</v>
      </c>
      <c r="F195" s="376">
        <f t="shared" si="44"/>
        <v>0</v>
      </c>
      <c r="G195" s="376">
        <f t="shared" si="44"/>
        <v>0</v>
      </c>
      <c r="H195" s="376">
        <f t="shared" si="44"/>
        <v>0</v>
      </c>
      <c r="I195" s="376">
        <f t="shared" si="44"/>
        <v>0</v>
      </c>
      <c r="J195" s="376">
        <f t="shared" si="44"/>
        <v>0</v>
      </c>
      <c r="K195" s="376">
        <f t="shared" si="44"/>
        <v>0</v>
      </c>
      <c r="L195" s="376">
        <f t="shared" si="44"/>
        <v>0</v>
      </c>
      <c r="M195" s="376">
        <f t="shared" si="44"/>
        <v>0</v>
      </c>
      <c r="N195" s="376">
        <f t="shared" si="44"/>
        <v>0</v>
      </c>
      <c r="O195" s="376">
        <f t="shared" si="44"/>
        <v>0</v>
      </c>
      <c r="P195" s="377">
        <f t="shared" si="44"/>
        <v>0</v>
      </c>
      <c r="Q195" s="378"/>
      <c r="R195" s="378"/>
      <c r="S195" s="378"/>
      <c r="T195" s="378"/>
      <c r="U195" s="378"/>
      <c r="V195" s="378"/>
      <c r="W195" s="378"/>
      <c r="X195" s="105">
        <f t="shared" si="45"/>
        <v>0</v>
      </c>
    </row>
    <row r="196" spans="3:24" outlineLevel="1">
      <c r="C196" s="379" t="s">
        <v>1178</v>
      </c>
      <c r="D196" s="375"/>
      <c r="E196" s="376">
        <f>D196*50%</f>
        <v>0</v>
      </c>
      <c r="F196" s="376">
        <f t="shared" si="44"/>
        <v>0</v>
      </c>
      <c r="G196" s="376">
        <f t="shared" si="44"/>
        <v>0</v>
      </c>
      <c r="H196" s="376">
        <f t="shared" si="44"/>
        <v>0</v>
      </c>
      <c r="I196" s="376">
        <f t="shared" si="44"/>
        <v>0</v>
      </c>
      <c r="J196" s="376">
        <f t="shared" si="44"/>
        <v>0</v>
      </c>
      <c r="K196" s="376">
        <f t="shared" si="44"/>
        <v>0</v>
      </c>
      <c r="L196" s="376">
        <f t="shared" si="44"/>
        <v>0</v>
      </c>
      <c r="M196" s="376">
        <f t="shared" si="44"/>
        <v>0</v>
      </c>
      <c r="N196" s="376">
        <f t="shared" si="44"/>
        <v>0</v>
      </c>
      <c r="O196" s="376">
        <f t="shared" si="44"/>
        <v>0</v>
      </c>
      <c r="P196" s="377">
        <f t="shared" si="44"/>
        <v>0</v>
      </c>
      <c r="Q196" s="378"/>
      <c r="R196" s="378"/>
      <c r="S196" s="378"/>
      <c r="T196" s="378"/>
      <c r="U196" s="378"/>
      <c r="V196" s="378"/>
      <c r="W196" s="378"/>
      <c r="X196" s="105">
        <f t="shared" si="45"/>
        <v>0</v>
      </c>
    </row>
    <row r="197" spans="3:24" outlineLevel="1">
      <c r="C197" s="379" t="s">
        <v>1179</v>
      </c>
      <c r="D197" s="375"/>
      <c r="E197" s="376">
        <f t="shared" si="43"/>
        <v>0</v>
      </c>
      <c r="F197" s="376">
        <f t="shared" si="44"/>
        <v>0</v>
      </c>
      <c r="G197" s="376">
        <f t="shared" si="44"/>
        <v>0</v>
      </c>
      <c r="H197" s="376">
        <f t="shared" si="44"/>
        <v>0</v>
      </c>
      <c r="I197" s="376">
        <f t="shared" si="44"/>
        <v>0</v>
      </c>
      <c r="J197" s="376">
        <f t="shared" si="44"/>
        <v>0</v>
      </c>
      <c r="K197" s="376">
        <f t="shared" si="44"/>
        <v>0</v>
      </c>
      <c r="L197" s="376">
        <f t="shared" si="44"/>
        <v>0</v>
      </c>
      <c r="M197" s="376">
        <f t="shared" si="44"/>
        <v>0</v>
      </c>
      <c r="N197" s="376">
        <f t="shared" si="44"/>
        <v>0</v>
      </c>
      <c r="O197" s="376">
        <f t="shared" si="44"/>
        <v>0</v>
      </c>
      <c r="P197" s="377">
        <f t="shared" si="44"/>
        <v>0</v>
      </c>
      <c r="Q197" s="378"/>
      <c r="R197" s="378"/>
      <c r="S197" s="378"/>
      <c r="T197" s="378"/>
      <c r="U197" s="378"/>
      <c r="V197" s="378"/>
      <c r="W197" s="378"/>
      <c r="X197" s="105">
        <f t="shared" si="45"/>
        <v>0</v>
      </c>
    </row>
    <row r="198" spans="3:24" outlineLevel="1">
      <c r="C198" s="379" t="s">
        <v>1180</v>
      </c>
      <c r="D198" s="375"/>
      <c r="E198" s="376">
        <f t="shared" si="43"/>
        <v>0</v>
      </c>
      <c r="F198" s="376">
        <f t="shared" si="44"/>
        <v>0</v>
      </c>
      <c r="G198" s="376">
        <f t="shared" si="44"/>
        <v>0</v>
      </c>
      <c r="H198" s="376">
        <f t="shared" si="44"/>
        <v>0</v>
      </c>
      <c r="I198" s="376">
        <f t="shared" si="44"/>
        <v>0</v>
      </c>
      <c r="J198" s="376">
        <f t="shared" si="44"/>
        <v>0</v>
      </c>
      <c r="K198" s="376">
        <f t="shared" si="44"/>
        <v>0</v>
      </c>
      <c r="L198" s="376">
        <f t="shared" si="44"/>
        <v>0</v>
      </c>
      <c r="M198" s="376">
        <f t="shared" si="44"/>
        <v>0</v>
      </c>
      <c r="N198" s="376">
        <f t="shared" si="44"/>
        <v>0</v>
      </c>
      <c r="O198" s="376">
        <f t="shared" si="44"/>
        <v>0</v>
      </c>
      <c r="P198" s="377">
        <f t="shared" si="44"/>
        <v>0</v>
      </c>
      <c r="Q198" s="378"/>
      <c r="R198" s="378"/>
      <c r="S198" s="378"/>
      <c r="T198" s="378"/>
      <c r="U198" s="378"/>
      <c r="V198" s="378"/>
      <c r="W198" s="378"/>
      <c r="X198" s="105">
        <f t="shared" si="45"/>
        <v>0</v>
      </c>
    </row>
    <row r="199" spans="3:24" outlineLevel="1">
      <c r="C199" s="374" t="s">
        <v>1181</v>
      </c>
      <c r="D199" s="375"/>
      <c r="E199" s="376">
        <f t="shared" si="43"/>
        <v>0</v>
      </c>
      <c r="F199" s="376">
        <f t="shared" si="44"/>
        <v>0</v>
      </c>
      <c r="G199" s="376">
        <f t="shared" si="44"/>
        <v>0</v>
      </c>
      <c r="H199" s="376">
        <f t="shared" si="44"/>
        <v>0</v>
      </c>
      <c r="I199" s="376">
        <f t="shared" si="44"/>
        <v>0</v>
      </c>
      <c r="J199" s="376">
        <f t="shared" si="44"/>
        <v>0</v>
      </c>
      <c r="K199" s="376">
        <f t="shared" si="44"/>
        <v>0</v>
      </c>
      <c r="L199" s="376">
        <f t="shared" si="44"/>
        <v>0</v>
      </c>
      <c r="M199" s="376">
        <f t="shared" si="44"/>
        <v>0</v>
      </c>
      <c r="N199" s="376">
        <f t="shared" si="44"/>
        <v>0</v>
      </c>
      <c r="O199" s="376">
        <f t="shared" si="44"/>
        <v>0</v>
      </c>
      <c r="P199" s="377">
        <f t="shared" si="44"/>
        <v>0</v>
      </c>
      <c r="Q199" s="378"/>
      <c r="R199" s="378"/>
      <c r="S199" s="378"/>
      <c r="T199" s="378"/>
      <c r="U199" s="378"/>
      <c r="V199" s="378"/>
      <c r="W199" s="378"/>
      <c r="X199" s="105">
        <f t="shared" si="45"/>
        <v>0</v>
      </c>
    </row>
    <row r="200" spans="3:24" outlineLevel="1">
      <c r="C200" s="379" t="s">
        <v>1182</v>
      </c>
      <c r="D200" s="375"/>
      <c r="E200" s="376">
        <f t="shared" si="43"/>
        <v>0</v>
      </c>
      <c r="F200" s="376">
        <f t="shared" si="44"/>
        <v>0</v>
      </c>
      <c r="G200" s="376">
        <f t="shared" si="44"/>
        <v>0</v>
      </c>
      <c r="H200" s="376">
        <f t="shared" si="44"/>
        <v>0</v>
      </c>
      <c r="I200" s="376">
        <f t="shared" si="44"/>
        <v>0</v>
      </c>
      <c r="J200" s="376">
        <f t="shared" si="44"/>
        <v>0</v>
      </c>
      <c r="K200" s="376">
        <f t="shared" si="44"/>
        <v>0</v>
      </c>
      <c r="L200" s="376">
        <f t="shared" si="44"/>
        <v>0</v>
      </c>
      <c r="M200" s="376">
        <f t="shared" si="44"/>
        <v>0</v>
      </c>
      <c r="N200" s="376">
        <f t="shared" si="44"/>
        <v>0</v>
      </c>
      <c r="O200" s="376">
        <f t="shared" si="44"/>
        <v>0</v>
      </c>
      <c r="P200" s="377">
        <f t="shared" si="44"/>
        <v>0</v>
      </c>
      <c r="Q200" s="378"/>
      <c r="R200" s="378"/>
      <c r="S200" s="378"/>
      <c r="T200" s="378"/>
      <c r="U200" s="378"/>
      <c r="V200" s="378"/>
      <c r="W200" s="378"/>
      <c r="X200" s="105">
        <f t="shared" si="45"/>
        <v>0</v>
      </c>
    </row>
    <row r="201" spans="3:24" outlineLevel="1">
      <c r="C201" s="379" t="s">
        <v>1183</v>
      </c>
      <c r="D201" s="375"/>
      <c r="E201" s="376">
        <f t="shared" si="43"/>
        <v>0</v>
      </c>
      <c r="F201" s="376">
        <f t="shared" si="44"/>
        <v>0</v>
      </c>
      <c r="G201" s="376">
        <f t="shared" si="44"/>
        <v>0</v>
      </c>
      <c r="H201" s="376">
        <f t="shared" si="44"/>
        <v>0</v>
      </c>
      <c r="I201" s="376">
        <f t="shared" si="44"/>
        <v>0</v>
      </c>
      <c r="J201" s="376">
        <f t="shared" si="44"/>
        <v>0</v>
      </c>
      <c r="K201" s="376">
        <f t="shared" si="44"/>
        <v>0</v>
      </c>
      <c r="L201" s="376">
        <f t="shared" si="44"/>
        <v>0</v>
      </c>
      <c r="M201" s="376">
        <f t="shared" si="44"/>
        <v>0</v>
      </c>
      <c r="N201" s="376">
        <f t="shared" si="44"/>
        <v>0</v>
      </c>
      <c r="O201" s="376">
        <f t="shared" si="44"/>
        <v>0</v>
      </c>
      <c r="P201" s="377">
        <f t="shared" si="44"/>
        <v>0</v>
      </c>
      <c r="Q201" s="378"/>
      <c r="R201" s="378"/>
      <c r="S201" s="378"/>
      <c r="T201" s="378"/>
      <c r="U201" s="378"/>
      <c r="V201" s="378"/>
      <c r="W201" s="378"/>
      <c r="X201" s="105">
        <f t="shared" si="45"/>
        <v>0</v>
      </c>
    </row>
    <row r="202" spans="3:24" outlineLevel="1">
      <c r="C202" s="379" t="s">
        <v>1153</v>
      </c>
      <c r="D202" s="375"/>
      <c r="E202" s="376">
        <f t="shared" si="43"/>
        <v>0</v>
      </c>
      <c r="F202" s="376">
        <f t="shared" si="44"/>
        <v>0</v>
      </c>
      <c r="G202" s="376">
        <f t="shared" si="44"/>
        <v>0</v>
      </c>
      <c r="H202" s="376">
        <f t="shared" si="44"/>
        <v>0</v>
      </c>
      <c r="I202" s="376">
        <f t="shared" si="44"/>
        <v>0</v>
      </c>
      <c r="J202" s="376">
        <f t="shared" si="44"/>
        <v>0</v>
      </c>
      <c r="K202" s="376">
        <f t="shared" si="44"/>
        <v>0</v>
      </c>
      <c r="L202" s="376">
        <f t="shared" si="44"/>
        <v>0</v>
      </c>
      <c r="M202" s="376">
        <f t="shared" si="44"/>
        <v>0</v>
      </c>
      <c r="N202" s="376">
        <f t="shared" si="44"/>
        <v>0</v>
      </c>
      <c r="O202" s="376">
        <f t="shared" si="44"/>
        <v>0</v>
      </c>
      <c r="P202" s="377">
        <f t="shared" si="44"/>
        <v>0</v>
      </c>
      <c r="Q202" s="378"/>
      <c r="R202" s="378"/>
      <c r="S202" s="378"/>
      <c r="T202" s="378"/>
      <c r="U202" s="378"/>
      <c r="V202" s="378"/>
      <c r="W202" s="378"/>
      <c r="X202" s="105">
        <f t="shared" si="45"/>
        <v>0</v>
      </c>
    </row>
    <row r="203" spans="3:24" outlineLevel="1">
      <c r="C203" s="379" t="s">
        <v>1184</v>
      </c>
      <c r="D203" s="375"/>
      <c r="E203" s="376">
        <f t="shared" si="43"/>
        <v>0</v>
      </c>
      <c r="F203" s="376">
        <f t="shared" si="44"/>
        <v>0</v>
      </c>
      <c r="G203" s="376">
        <f t="shared" si="44"/>
        <v>0</v>
      </c>
      <c r="H203" s="376">
        <f t="shared" si="44"/>
        <v>0</v>
      </c>
      <c r="I203" s="376">
        <f t="shared" si="44"/>
        <v>0</v>
      </c>
      <c r="J203" s="376">
        <f t="shared" si="44"/>
        <v>0</v>
      </c>
      <c r="K203" s="376">
        <f t="shared" si="44"/>
        <v>0</v>
      </c>
      <c r="L203" s="376">
        <f t="shared" si="44"/>
        <v>0</v>
      </c>
      <c r="M203" s="376">
        <f t="shared" si="44"/>
        <v>0</v>
      </c>
      <c r="N203" s="376">
        <f t="shared" si="44"/>
        <v>0</v>
      </c>
      <c r="O203" s="376">
        <f t="shared" si="44"/>
        <v>0</v>
      </c>
      <c r="P203" s="377">
        <f t="shared" si="44"/>
        <v>0</v>
      </c>
      <c r="Q203" s="378"/>
      <c r="R203" s="378"/>
      <c r="S203" s="378"/>
      <c r="T203" s="378"/>
      <c r="U203" s="378"/>
      <c r="V203" s="378"/>
      <c r="W203" s="378"/>
      <c r="X203" s="105">
        <f t="shared" si="45"/>
        <v>0</v>
      </c>
    </row>
    <row r="204" spans="3:24" outlineLevel="1">
      <c r="C204" s="380"/>
      <c r="D204" s="111">
        <f>SUM(D188:D203)</f>
        <v>0</v>
      </c>
      <c r="E204" s="111">
        <f>SUM(E188:E203)</f>
        <v>0</v>
      </c>
      <c r="F204" s="111">
        <f t="shared" ref="F204:P204" si="46">SUM(F188:F203)</f>
        <v>0</v>
      </c>
      <c r="G204" s="111">
        <f t="shared" si="46"/>
        <v>0</v>
      </c>
      <c r="H204" s="111">
        <f t="shared" si="46"/>
        <v>0</v>
      </c>
      <c r="I204" s="111">
        <f t="shared" si="46"/>
        <v>0</v>
      </c>
      <c r="J204" s="111">
        <f t="shared" si="46"/>
        <v>0</v>
      </c>
      <c r="K204" s="111">
        <f t="shared" si="46"/>
        <v>0</v>
      </c>
      <c r="L204" s="111">
        <f t="shared" si="46"/>
        <v>0</v>
      </c>
      <c r="M204" s="111">
        <f t="shared" si="46"/>
        <v>0</v>
      </c>
      <c r="N204" s="111">
        <f t="shared" si="46"/>
        <v>0</v>
      </c>
      <c r="O204" s="111">
        <f t="shared" si="46"/>
        <v>0</v>
      </c>
      <c r="P204" s="129">
        <f t="shared" si="46"/>
        <v>0</v>
      </c>
      <c r="Q204" s="299"/>
      <c r="R204" s="299"/>
      <c r="S204" s="299"/>
      <c r="T204" s="299"/>
      <c r="U204" s="299"/>
      <c r="V204" s="299"/>
      <c r="W204" s="299"/>
      <c r="X204" s="105">
        <f>SUM(X188:X203)</f>
        <v>0</v>
      </c>
    </row>
    <row r="205" spans="3:24" outlineLevel="1"/>
    <row r="206" spans="3:24" outlineLevel="1">
      <c r="C206" s="381" t="s">
        <v>1103</v>
      </c>
      <c r="D206" s="382">
        <f>E188</f>
        <v>0</v>
      </c>
      <c r="E206" s="382">
        <f t="shared" ref="E206:O208" si="47">F188</f>
        <v>0</v>
      </c>
      <c r="F206" s="382">
        <f t="shared" si="47"/>
        <v>0</v>
      </c>
      <c r="G206" s="382">
        <f t="shared" si="47"/>
        <v>0</v>
      </c>
      <c r="H206" s="382">
        <f t="shared" si="47"/>
        <v>0</v>
      </c>
      <c r="I206" s="382">
        <f t="shared" si="47"/>
        <v>0</v>
      </c>
      <c r="J206" s="382">
        <f t="shared" si="47"/>
        <v>0</v>
      </c>
      <c r="K206" s="382">
        <f t="shared" si="47"/>
        <v>0</v>
      </c>
      <c r="L206" s="382">
        <f t="shared" si="47"/>
        <v>0</v>
      </c>
      <c r="M206" s="382">
        <f t="shared" si="47"/>
        <v>0</v>
      </c>
      <c r="N206" s="382">
        <f t="shared" si="47"/>
        <v>0</v>
      </c>
      <c r="O206" s="382">
        <f t="shared" si="47"/>
        <v>0</v>
      </c>
      <c r="P206" s="383">
        <f>SUM(D206:O206)</f>
        <v>0</v>
      </c>
      <c r="Q206" s="382"/>
      <c r="R206" s="382"/>
      <c r="S206" s="382"/>
      <c r="T206" s="382"/>
      <c r="U206" s="382"/>
      <c r="V206" s="382"/>
      <c r="W206" s="382"/>
    </row>
    <row r="207" spans="3:24" outlineLevel="1">
      <c r="C207" s="381" t="s">
        <v>1104</v>
      </c>
      <c r="D207" s="382">
        <f>E189</f>
        <v>0</v>
      </c>
      <c r="E207" s="382">
        <f t="shared" si="47"/>
        <v>0</v>
      </c>
      <c r="F207" s="382">
        <f t="shared" si="47"/>
        <v>0</v>
      </c>
      <c r="G207" s="382">
        <f t="shared" si="47"/>
        <v>0</v>
      </c>
      <c r="H207" s="382">
        <f t="shared" si="47"/>
        <v>0</v>
      </c>
      <c r="I207" s="382">
        <f t="shared" si="47"/>
        <v>0</v>
      </c>
      <c r="J207" s="382">
        <f t="shared" si="47"/>
        <v>0</v>
      </c>
      <c r="K207" s="382">
        <f t="shared" si="47"/>
        <v>0</v>
      </c>
      <c r="L207" s="382">
        <f t="shared" si="47"/>
        <v>0</v>
      </c>
      <c r="M207" s="382">
        <f t="shared" si="47"/>
        <v>0</v>
      </c>
      <c r="N207" s="382">
        <f t="shared" si="47"/>
        <v>0</v>
      </c>
      <c r="O207" s="382">
        <f t="shared" si="47"/>
        <v>0</v>
      </c>
      <c r="P207" s="383">
        <f t="shared" ref="P207:P257" si="48">SUM(D207:O207)</f>
        <v>0</v>
      </c>
      <c r="Q207" s="382"/>
      <c r="R207" s="382"/>
      <c r="S207" s="382"/>
      <c r="T207" s="382"/>
      <c r="U207" s="382"/>
      <c r="V207" s="382"/>
      <c r="W207" s="382"/>
    </row>
    <row r="208" spans="3:24" outlineLevel="1">
      <c r="C208" s="381" t="s">
        <v>1105</v>
      </c>
      <c r="D208" s="382">
        <f>E190</f>
        <v>0</v>
      </c>
      <c r="E208" s="382">
        <f t="shared" si="47"/>
        <v>0</v>
      </c>
      <c r="F208" s="382">
        <f t="shared" si="47"/>
        <v>0</v>
      </c>
      <c r="G208" s="382">
        <f t="shared" si="47"/>
        <v>0</v>
      </c>
      <c r="H208" s="382">
        <f t="shared" si="47"/>
        <v>0</v>
      </c>
      <c r="I208" s="382">
        <f t="shared" si="47"/>
        <v>0</v>
      </c>
      <c r="J208" s="382">
        <f t="shared" si="47"/>
        <v>0</v>
      </c>
      <c r="K208" s="382">
        <f t="shared" si="47"/>
        <v>0</v>
      </c>
      <c r="L208" s="382">
        <f t="shared" si="47"/>
        <v>0</v>
      </c>
      <c r="M208" s="382">
        <f t="shared" si="47"/>
        <v>0</v>
      </c>
      <c r="N208" s="382">
        <f t="shared" si="47"/>
        <v>0</v>
      </c>
      <c r="O208" s="382">
        <f t="shared" si="47"/>
        <v>0</v>
      </c>
      <c r="P208" s="383">
        <f t="shared" si="48"/>
        <v>0</v>
      </c>
      <c r="Q208" s="382"/>
      <c r="R208" s="382"/>
      <c r="S208" s="382"/>
      <c r="T208" s="382"/>
      <c r="U208" s="382"/>
      <c r="V208" s="382"/>
      <c r="W208" s="382"/>
    </row>
    <row r="209" spans="3:23" outlineLevel="1">
      <c r="C209" s="381" t="s">
        <v>1106</v>
      </c>
      <c r="D209" s="382"/>
      <c r="E209" s="382"/>
      <c r="F209" s="382"/>
      <c r="G209" s="382"/>
      <c r="H209" s="382"/>
      <c r="I209" s="382"/>
      <c r="J209" s="382"/>
      <c r="K209" s="382"/>
      <c r="L209" s="382"/>
      <c r="M209" s="382"/>
      <c r="N209" s="382"/>
      <c r="O209" s="382"/>
      <c r="P209" s="383">
        <f t="shared" si="48"/>
        <v>0</v>
      </c>
      <c r="Q209" s="382"/>
      <c r="R209" s="382"/>
      <c r="S209" s="382"/>
      <c r="T209" s="382"/>
      <c r="U209" s="382"/>
      <c r="V209" s="382"/>
      <c r="W209" s="382"/>
    </row>
    <row r="210" spans="3:23" outlineLevel="1">
      <c r="C210" s="381" t="s">
        <v>1107</v>
      </c>
      <c r="D210" s="384">
        <f>E191</f>
        <v>0</v>
      </c>
      <c r="E210" s="384">
        <f t="shared" ref="E210:O210" si="49">F191</f>
        <v>0</v>
      </c>
      <c r="F210" s="384">
        <f t="shared" si="49"/>
        <v>0</v>
      </c>
      <c r="G210" s="384">
        <f t="shared" si="49"/>
        <v>0</v>
      </c>
      <c r="H210" s="384">
        <f t="shared" si="49"/>
        <v>0</v>
      </c>
      <c r="I210" s="384">
        <f t="shared" si="49"/>
        <v>0</v>
      </c>
      <c r="J210" s="384">
        <f t="shared" si="49"/>
        <v>0</v>
      </c>
      <c r="K210" s="384">
        <f t="shared" si="49"/>
        <v>0</v>
      </c>
      <c r="L210" s="384">
        <f t="shared" si="49"/>
        <v>0</v>
      </c>
      <c r="M210" s="384">
        <f t="shared" si="49"/>
        <v>0</v>
      </c>
      <c r="N210" s="384">
        <f t="shared" si="49"/>
        <v>0</v>
      </c>
      <c r="O210" s="384">
        <f t="shared" si="49"/>
        <v>0</v>
      </c>
      <c r="P210" s="383">
        <f t="shared" si="48"/>
        <v>0</v>
      </c>
      <c r="Q210" s="382"/>
      <c r="R210" s="382"/>
      <c r="S210" s="382"/>
      <c r="T210" s="382"/>
      <c r="U210" s="382"/>
      <c r="V210" s="382"/>
      <c r="W210" s="382"/>
    </row>
    <row r="211" spans="3:23" outlineLevel="1">
      <c r="C211" s="381" t="s">
        <v>1108</v>
      </c>
      <c r="D211" s="384"/>
      <c r="E211" s="384"/>
      <c r="F211" s="384"/>
      <c r="G211" s="384"/>
      <c r="H211" s="384"/>
      <c r="I211" s="384"/>
      <c r="J211" s="384"/>
      <c r="K211" s="384"/>
      <c r="L211" s="384"/>
      <c r="M211" s="384"/>
      <c r="N211" s="384"/>
      <c r="O211" s="384"/>
      <c r="P211" s="383">
        <f t="shared" si="48"/>
        <v>0</v>
      </c>
      <c r="Q211" s="382"/>
      <c r="R211" s="382"/>
      <c r="S211" s="382"/>
      <c r="T211" s="382"/>
      <c r="U211" s="382"/>
      <c r="V211" s="382"/>
      <c r="W211" s="382"/>
    </row>
    <row r="212" spans="3:23" outlineLevel="1">
      <c r="C212" s="381" t="s">
        <v>1109</v>
      </c>
      <c r="D212" s="384"/>
      <c r="E212" s="384"/>
      <c r="F212" s="384"/>
      <c r="G212" s="384"/>
      <c r="H212" s="384"/>
      <c r="I212" s="384"/>
      <c r="J212" s="384"/>
      <c r="K212" s="384"/>
      <c r="L212" s="384"/>
      <c r="M212" s="384"/>
      <c r="N212" s="384"/>
      <c r="O212" s="384"/>
      <c r="P212" s="383">
        <f t="shared" si="48"/>
        <v>0</v>
      </c>
      <c r="Q212" s="382"/>
      <c r="R212" s="382"/>
      <c r="S212" s="382"/>
      <c r="T212" s="382"/>
      <c r="U212" s="382"/>
      <c r="V212" s="382"/>
      <c r="W212" s="382"/>
    </row>
    <row r="213" spans="3:23" outlineLevel="1">
      <c r="C213" s="381" t="s">
        <v>1110</v>
      </c>
      <c r="D213" s="384"/>
      <c r="E213" s="384"/>
      <c r="F213" s="384"/>
      <c r="G213" s="384"/>
      <c r="H213" s="384"/>
      <c r="I213" s="384"/>
      <c r="J213" s="384"/>
      <c r="K213" s="384"/>
      <c r="L213" s="384"/>
      <c r="M213" s="384"/>
      <c r="N213" s="384"/>
      <c r="O213" s="384"/>
      <c r="P213" s="383">
        <f t="shared" si="48"/>
        <v>0</v>
      </c>
      <c r="Q213" s="382"/>
      <c r="R213" s="382"/>
      <c r="S213" s="382"/>
      <c r="T213" s="382"/>
      <c r="U213" s="382"/>
      <c r="V213" s="382"/>
      <c r="W213" s="382"/>
    </row>
    <row r="214" spans="3:23" outlineLevel="1">
      <c r="C214" s="381" t="s">
        <v>1111</v>
      </c>
      <c r="D214" s="384"/>
      <c r="E214" s="384"/>
      <c r="F214" s="384"/>
      <c r="G214" s="384"/>
      <c r="H214" s="384"/>
      <c r="I214" s="384"/>
      <c r="J214" s="384"/>
      <c r="K214" s="384"/>
      <c r="L214" s="384"/>
      <c r="M214" s="384"/>
      <c r="N214" s="384"/>
      <c r="O214" s="384"/>
      <c r="P214" s="383">
        <f t="shared" si="48"/>
        <v>0</v>
      </c>
      <c r="Q214" s="382"/>
      <c r="R214" s="382"/>
      <c r="S214" s="382"/>
      <c r="T214" s="382"/>
      <c r="U214" s="382"/>
      <c r="V214" s="382"/>
      <c r="W214" s="382"/>
    </row>
    <row r="215" spans="3:23" outlineLevel="1">
      <c r="C215" s="381" t="s">
        <v>1112</v>
      </c>
      <c r="D215" s="384"/>
      <c r="E215" s="384"/>
      <c r="F215" s="384"/>
      <c r="G215" s="384"/>
      <c r="H215" s="384"/>
      <c r="I215" s="384"/>
      <c r="J215" s="384"/>
      <c r="K215" s="384"/>
      <c r="L215" s="384"/>
      <c r="M215" s="384"/>
      <c r="N215" s="384"/>
      <c r="O215" s="384"/>
      <c r="P215" s="383">
        <f t="shared" si="48"/>
        <v>0</v>
      </c>
      <c r="Q215" s="382"/>
      <c r="R215" s="382"/>
      <c r="S215" s="382"/>
      <c r="T215" s="382"/>
      <c r="U215" s="382"/>
      <c r="V215" s="382"/>
      <c r="W215" s="382"/>
    </row>
    <row r="216" spans="3:23" outlineLevel="1">
      <c r="C216" s="381" t="s">
        <v>1113</v>
      </c>
      <c r="D216" s="384"/>
      <c r="E216" s="384"/>
      <c r="F216" s="384"/>
      <c r="G216" s="384"/>
      <c r="H216" s="384"/>
      <c r="I216" s="384"/>
      <c r="J216" s="384"/>
      <c r="K216" s="384"/>
      <c r="L216" s="384"/>
      <c r="M216" s="384"/>
      <c r="N216" s="384"/>
      <c r="O216" s="384"/>
      <c r="P216" s="383">
        <f t="shared" si="48"/>
        <v>0</v>
      </c>
      <c r="Q216" s="382"/>
      <c r="R216" s="382"/>
      <c r="S216" s="382"/>
      <c r="T216" s="382"/>
      <c r="U216" s="382"/>
      <c r="V216" s="382"/>
      <c r="W216" s="382"/>
    </row>
    <row r="217" spans="3:23" outlineLevel="1">
      <c r="C217" s="381" t="s">
        <v>1114</v>
      </c>
      <c r="D217" s="384"/>
      <c r="E217" s="384"/>
      <c r="F217" s="384"/>
      <c r="G217" s="384"/>
      <c r="H217" s="384"/>
      <c r="I217" s="384"/>
      <c r="J217" s="384"/>
      <c r="K217" s="384"/>
      <c r="L217" s="384"/>
      <c r="M217" s="384"/>
      <c r="N217" s="384"/>
      <c r="O217" s="384"/>
      <c r="P217" s="383">
        <f t="shared" si="48"/>
        <v>0</v>
      </c>
      <c r="Q217" s="382"/>
      <c r="R217" s="382"/>
      <c r="S217" s="382"/>
      <c r="T217" s="382"/>
      <c r="U217" s="382"/>
      <c r="V217" s="382"/>
      <c r="W217" s="382"/>
    </row>
    <row r="218" spans="3:23" outlineLevel="1">
      <c r="C218" s="381" t="s">
        <v>1115</v>
      </c>
      <c r="D218" s="384"/>
      <c r="E218" s="384"/>
      <c r="F218" s="384"/>
      <c r="G218" s="384"/>
      <c r="H218" s="384"/>
      <c r="I218" s="384"/>
      <c r="J218" s="384"/>
      <c r="K218" s="384"/>
      <c r="L218" s="384"/>
      <c r="M218" s="384"/>
      <c r="N218" s="384"/>
      <c r="O218" s="384"/>
      <c r="P218" s="383">
        <f t="shared" si="48"/>
        <v>0</v>
      </c>
      <c r="Q218" s="382"/>
      <c r="R218" s="382"/>
      <c r="S218" s="382"/>
      <c r="T218" s="382"/>
      <c r="U218" s="382"/>
      <c r="V218" s="382"/>
      <c r="W218" s="382"/>
    </row>
    <row r="219" spans="3:23" outlineLevel="1">
      <c r="C219" s="381" t="s">
        <v>1116</v>
      </c>
      <c r="D219" s="384"/>
      <c r="E219" s="384"/>
      <c r="F219" s="384"/>
      <c r="G219" s="384"/>
      <c r="H219" s="384"/>
      <c r="I219" s="384"/>
      <c r="J219" s="384"/>
      <c r="K219" s="384"/>
      <c r="L219" s="384"/>
      <c r="M219" s="384"/>
      <c r="N219" s="384"/>
      <c r="O219" s="384"/>
      <c r="P219" s="383">
        <f t="shared" si="48"/>
        <v>0</v>
      </c>
      <c r="Q219" s="382"/>
      <c r="R219" s="382"/>
      <c r="S219" s="382"/>
      <c r="T219" s="382"/>
      <c r="U219" s="382"/>
      <c r="V219" s="382"/>
      <c r="W219" s="382"/>
    </row>
    <row r="220" spans="3:23" outlineLevel="1">
      <c r="C220" s="381" t="s">
        <v>1117</v>
      </c>
      <c r="D220" s="384"/>
      <c r="E220" s="384"/>
      <c r="F220" s="384"/>
      <c r="G220" s="384"/>
      <c r="H220" s="384"/>
      <c r="I220" s="384"/>
      <c r="J220" s="384"/>
      <c r="K220" s="384"/>
      <c r="L220" s="384"/>
      <c r="M220" s="384"/>
      <c r="N220" s="384"/>
      <c r="O220" s="384"/>
      <c r="P220" s="383">
        <f t="shared" si="48"/>
        <v>0</v>
      </c>
      <c r="Q220" s="382"/>
      <c r="R220" s="382"/>
      <c r="S220" s="382"/>
      <c r="T220" s="382"/>
      <c r="U220" s="382"/>
      <c r="V220" s="382"/>
      <c r="W220" s="382"/>
    </row>
    <row r="221" spans="3:23" outlineLevel="1">
      <c r="C221" s="381" t="s">
        <v>1118</v>
      </c>
      <c r="D221" s="384"/>
      <c r="E221" s="384"/>
      <c r="F221" s="384"/>
      <c r="G221" s="384"/>
      <c r="H221" s="384"/>
      <c r="I221" s="384"/>
      <c r="J221" s="384"/>
      <c r="K221" s="384"/>
      <c r="L221" s="384"/>
      <c r="M221" s="384"/>
      <c r="N221" s="384"/>
      <c r="O221" s="384"/>
      <c r="P221" s="383">
        <f t="shared" si="48"/>
        <v>0</v>
      </c>
      <c r="Q221" s="382"/>
      <c r="R221" s="382"/>
      <c r="S221" s="382"/>
      <c r="T221" s="382"/>
      <c r="U221" s="382"/>
      <c r="V221" s="382"/>
      <c r="W221" s="382"/>
    </row>
    <row r="222" spans="3:23" outlineLevel="1">
      <c r="C222" s="381" t="s">
        <v>1119</v>
      </c>
      <c r="D222" s="384"/>
      <c r="E222" s="384"/>
      <c r="F222" s="384"/>
      <c r="G222" s="384"/>
      <c r="H222" s="384"/>
      <c r="I222" s="384"/>
      <c r="J222" s="384"/>
      <c r="K222" s="384"/>
      <c r="L222" s="384"/>
      <c r="M222" s="384"/>
      <c r="N222" s="384"/>
      <c r="O222" s="384"/>
      <c r="P222" s="383">
        <f t="shared" si="48"/>
        <v>0</v>
      </c>
      <c r="Q222" s="382"/>
      <c r="R222" s="382"/>
      <c r="S222" s="382"/>
      <c r="T222" s="382"/>
      <c r="U222" s="382"/>
      <c r="V222" s="382"/>
      <c r="W222" s="382"/>
    </row>
    <row r="223" spans="3:23" outlineLevel="1">
      <c r="C223" s="381" t="s">
        <v>1120</v>
      </c>
      <c r="D223" s="384"/>
      <c r="E223" s="384"/>
      <c r="F223" s="384"/>
      <c r="G223" s="384"/>
      <c r="H223" s="384"/>
      <c r="I223" s="384"/>
      <c r="J223" s="384"/>
      <c r="K223" s="384"/>
      <c r="L223" s="384"/>
      <c r="M223" s="384"/>
      <c r="N223" s="384"/>
      <c r="O223" s="384"/>
      <c r="P223" s="383">
        <f t="shared" si="48"/>
        <v>0</v>
      </c>
      <c r="Q223" s="382"/>
      <c r="R223" s="382"/>
      <c r="S223" s="382"/>
      <c r="T223" s="382"/>
      <c r="U223" s="382"/>
      <c r="V223" s="382"/>
      <c r="W223" s="382"/>
    </row>
    <row r="224" spans="3:23" outlineLevel="1">
      <c r="C224" s="381" t="s">
        <v>1121</v>
      </c>
      <c r="D224" s="384"/>
      <c r="E224" s="384"/>
      <c r="F224" s="384"/>
      <c r="G224" s="384"/>
      <c r="H224" s="384"/>
      <c r="I224" s="384"/>
      <c r="J224" s="384"/>
      <c r="K224" s="384"/>
      <c r="L224" s="384"/>
      <c r="M224" s="384"/>
      <c r="N224" s="384"/>
      <c r="O224" s="384"/>
      <c r="P224" s="383">
        <f t="shared" si="48"/>
        <v>0</v>
      </c>
      <c r="Q224" s="382"/>
      <c r="R224" s="382"/>
      <c r="S224" s="382"/>
      <c r="T224" s="382"/>
      <c r="U224" s="382"/>
      <c r="V224" s="382"/>
      <c r="W224" s="382"/>
    </row>
    <row r="225" spans="3:23" outlineLevel="1">
      <c r="C225" s="381" t="s">
        <v>1122</v>
      </c>
      <c r="D225" s="384"/>
      <c r="E225" s="384"/>
      <c r="F225" s="384"/>
      <c r="G225" s="384"/>
      <c r="H225" s="384"/>
      <c r="I225" s="384"/>
      <c r="J225" s="384"/>
      <c r="K225" s="384"/>
      <c r="L225" s="384"/>
      <c r="M225" s="384"/>
      <c r="N225" s="384"/>
      <c r="O225" s="384"/>
      <c r="P225" s="383">
        <f t="shared" si="48"/>
        <v>0</v>
      </c>
      <c r="Q225" s="382"/>
      <c r="R225" s="382"/>
      <c r="S225" s="382"/>
      <c r="T225" s="382"/>
      <c r="U225" s="382"/>
      <c r="V225" s="382"/>
      <c r="W225" s="382"/>
    </row>
    <row r="226" spans="3:23" outlineLevel="1">
      <c r="C226" s="381" t="s">
        <v>1123</v>
      </c>
      <c r="D226" s="384"/>
      <c r="E226" s="384"/>
      <c r="F226" s="384"/>
      <c r="G226" s="384"/>
      <c r="H226" s="384"/>
      <c r="I226" s="384"/>
      <c r="J226" s="384"/>
      <c r="K226" s="384"/>
      <c r="L226" s="384"/>
      <c r="M226" s="384"/>
      <c r="N226" s="384"/>
      <c r="O226" s="384"/>
      <c r="P226" s="383">
        <f t="shared" si="48"/>
        <v>0</v>
      </c>
      <c r="Q226" s="382"/>
      <c r="R226" s="382"/>
      <c r="S226" s="382"/>
      <c r="T226" s="382"/>
      <c r="U226" s="382"/>
      <c r="V226" s="382"/>
      <c r="W226" s="382"/>
    </row>
    <row r="227" spans="3:23" outlineLevel="1">
      <c r="C227" s="381" t="s">
        <v>1124</v>
      </c>
      <c r="D227" s="384"/>
      <c r="E227" s="384"/>
      <c r="F227" s="384"/>
      <c r="G227" s="384"/>
      <c r="H227" s="384"/>
      <c r="I227" s="384"/>
      <c r="J227" s="384"/>
      <c r="K227" s="384"/>
      <c r="L227" s="384"/>
      <c r="M227" s="384"/>
      <c r="N227" s="384"/>
      <c r="O227" s="384"/>
      <c r="P227" s="383">
        <f t="shared" si="48"/>
        <v>0</v>
      </c>
      <c r="Q227" s="382"/>
      <c r="R227" s="382"/>
      <c r="S227" s="382"/>
      <c r="T227" s="382"/>
      <c r="U227" s="382"/>
      <c r="V227" s="382"/>
      <c r="W227" s="382"/>
    </row>
    <row r="228" spans="3:23" outlineLevel="1">
      <c r="C228" s="381" t="s">
        <v>1125</v>
      </c>
      <c r="D228" s="384"/>
      <c r="E228" s="384"/>
      <c r="F228" s="384"/>
      <c r="G228" s="384"/>
      <c r="H228" s="384"/>
      <c r="I228" s="384"/>
      <c r="J228" s="384"/>
      <c r="K228" s="384"/>
      <c r="L228" s="384"/>
      <c r="M228" s="384"/>
      <c r="N228" s="384"/>
      <c r="O228" s="384"/>
      <c r="P228" s="383">
        <f t="shared" si="48"/>
        <v>0</v>
      </c>
      <c r="Q228" s="382"/>
      <c r="R228" s="382"/>
      <c r="S228" s="382"/>
      <c r="T228" s="382"/>
      <c r="U228" s="382"/>
      <c r="V228" s="382"/>
      <c r="W228" s="382"/>
    </row>
    <row r="229" spans="3:23" outlineLevel="1">
      <c r="C229" s="381" t="s">
        <v>1126</v>
      </c>
      <c r="D229" s="384"/>
      <c r="E229" s="384"/>
      <c r="F229" s="384"/>
      <c r="G229" s="384"/>
      <c r="H229" s="384"/>
      <c r="I229" s="384"/>
      <c r="J229" s="384"/>
      <c r="K229" s="384"/>
      <c r="L229" s="384"/>
      <c r="M229" s="384"/>
      <c r="N229" s="384"/>
      <c r="O229" s="384"/>
      <c r="P229" s="383">
        <f t="shared" si="48"/>
        <v>0</v>
      </c>
      <c r="Q229" s="382"/>
      <c r="R229" s="382"/>
      <c r="S229" s="382"/>
      <c r="T229" s="382"/>
      <c r="U229" s="382"/>
      <c r="V229" s="382"/>
      <c r="W229" s="382"/>
    </row>
    <row r="230" spans="3:23" outlineLevel="1">
      <c r="C230" s="381" t="s">
        <v>1127</v>
      </c>
      <c r="D230" s="384"/>
      <c r="E230" s="384"/>
      <c r="F230" s="384"/>
      <c r="G230" s="384"/>
      <c r="H230" s="384"/>
      <c r="I230" s="384"/>
      <c r="J230" s="384"/>
      <c r="K230" s="384"/>
      <c r="L230" s="384"/>
      <c r="M230" s="384"/>
      <c r="N230" s="384"/>
      <c r="O230" s="384"/>
      <c r="P230" s="383">
        <f t="shared" si="48"/>
        <v>0</v>
      </c>
      <c r="Q230" s="382"/>
      <c r="R230" s="382"/>
      <c r="S230" s="382"/>
      <c r="T230" s="382"/>
      <c r="U230" s="382"/>
      <c r="V230" s="382"/>
      <c r="W230" s="382"/>
    </row>
    <row r="231" spans="3:23" outlineLevel="1">
      <c r="C231" s="381" t="s">
        <v>1128</v>
      </c>
      <c r="D231" s="384"/>
      <c r="E231" s="384"/>
      <c r="F231" s="384"/>
      <c r="G231" s="384"/>
      <c r="H231" s="384"/>
      <c r="I231" s="384"/>
      <c r="J231" s="384"/>
      <c r="K231" s="384"/>
      <c r="L231" s="384"/>
      <c r="M231" s="384"/>
      <c r="N231" s="384"/>
      <c r="O231" s="384"/>
      <c r="P231" s="383">
        <f t="shared" si="48"/>
        <v>0</v>
      </c>
      <c r="Q231" s="382"/>
      <c r="R231" s="382"/>
      <c r="S231" s="382"/>
      <c r="T231" s="382"/>
      <c r="U231" s="382"/>
      <c r="V231" s="382"/>
      <c r="W231" s="382"/>
    </row>
    <row r="232" spans="3:23" outlineLevel="1">
      <c r="C232" s="381" t="s">
        <v>1129</v>
      </c>
      <c r="D232" s="384"/>
      <c r="E232" s="384"/>
      <c r="F232" s="384"/>
      <c r="G232" s="384"/>
      <c r="H232" s="384"/>
      <c r="I232" s="384"/>
      <c r="J232" s="384"/>
      <c r="K232" s="384"/>
      <c r="L232" s="384"/>
      <c r="M232" s="384"/>
      <c r="N232" s="384"/>
      <c r="O232" s="384"/>
      <c r="P232" s="383">
        <f t="shared" si="48"/>
        <v>0</v>
      </c>
      <c r="Q232" s="382"/>
      <c r="R232" s="382"/>
      <c r="S232" s="382"/>
      <c r="T232" s="382"/>
      <c r="U232" s="382"/>
      <c r="V232" s="382"/>
      <c r="W232" s="382"/>
    </row>
    <row r="233" spans="3:23" outlineLevel="1">
      <c r="C233" s="381" t="s">
        <v>1130</v>
      </c>
      <c r="D233" s="384"/>
      <c r="E233" s="384"/>
      <c r="F233" s="384"/>
      <c r="G233" s="384"/>
      <c r="H233" s="384"/>
      <c r="I233" s="384"/>
      <c r="J233" s="384"/>
      <c r="K233" s="384"/>
      <c r="L233" s="384"/>
      <c r="M233" s="384"/>
      <c r="N233" s="384"/>
      <c r="O233" s="384"/>
      <c r="P233" s="383">
        <f t="shared" si="48"/>
        <v>0</v>
      </c>
      <c r="Q233" s="382"/>
      <c r="R233" s="382"/>
      <c r="S233" s="382"/>
      <c r="T233" s="382"/>
      <c r="U233" s="382"/>
      <c r="V233" s="382"/>
      <c r="W233" s="382"/>
    </row>
    <row r="234" spans="3:23" outlineLevel="1">
      <c r="C234" s="381" t="s">
        <v>1131</v>
      </c>
      <c r="D234" s="384"/>
      <c r="E234" s="384"/>
      <c r="F234" s="384"/>
      <c r="G234" s="384"/>
      <c r="H234" s="384"/>
      <c r="I234" s="384"/>
      <c r="J234" s="384"/>
      <c r="K234" s="384"/>
      <c r="L234" s="384"/>
      <c r="M234" s="384"/>
      <c r="N234" s="384"/>
      <c r="O234" s="384"/>
      <c r="P234" s="383">
        <f t="shared" si="48"/>
        <v>0</v>
      </c>
      <c r="Q234" s="382"/>
      <c r="R234" s="382"/>
      <c r="S234" s="382"/>
      <c r="T234" s="382"/>
      <c r="U234" s="382"/>
      <c r="V234" s="382"/>
      <c r="W234" s="382"/>
    </row>
    <row r="235" spans="3:23" outlineLevel="1">
      <c r="C235" s="381" t="s">
        <v>1132</v>
      </c>
      <c r="D235" s="384">
        <f>E192</f>
        <v>0</v>
      </c>
      <c r="E235" s="384">
        <f t="shared" ref="E235:O235" si="50">F192</f>
        <v>0</v>
      </c>
      <c r="F235" s="384">
        <f t="shared" si="50"/>
        <v>0</v>
      </c>
      <c r="G235" s="384">
        <f t="shared" si="50"/>
        <v>0</v>
      </c>
      <c r="H235" s="384">
        <f t="shared" si="50"/>
        <v>0</v>
      </c>
      <c r="I235" s="384">
        <f t="shared" si="50"/>
        <v>0</v>
      </c>
      <c r="J235" s="384">
        <f t="shared" si="50"/>
        <v>0</v>
      </c>
      <c r="K235" s="384">
        <f t="shared" si="50"/>
        <v>0</v>
      </c>
      <c r="L235" s="384">
        <f t="shared" si="50"/>
        <v>0</v>
      </c>
      <c r="M235" s="384">
        <f t="shared" si="50"/>
        <v>0</v>
      </c>
      <c r="N235" s="384">
        <f t="shared" si="50"/>
        <v>0</v>
      </c>
      <c r="O235" s="384">
        <f t="shared" si="50"/>
        <v>0</v>
      </c>
      <c r="P235" s="383">
        <f t="shared" si="48"/>
        <v>0</v>
      </c>
      <c r="Q235" s="382"/>
      <c r="R235" s="382"/>
      <c r="S235" s="382"/>
      <c r="T235" s="382"/>
      <c r="U235" s="382"/>
      <c r="V235" s="382"/>
      <c r="W235" s="382"/>
    </row>
    <row r="236" spans="3:23" outlineLevel="1">
      <c r="C236" s="381" t="s">
        <v>1133</v>
      </c>
      <c r="D236" s="384"/>
      <c r="E236" s="384"/>
      <c r="F236" s="384"/>
      <c r="G236" s="384"/>
      <c r="H236" s="384"/>
      <c r="I236" s="384"/>
      <c r="J236" s="384"/>
      <c r="K236" s="384"/>
      <c r="L236" s="384"/>
      <c r="M236" s="384"/>
      <c r="N236" s="384"/>
      <c r="O236" s="384"/>
      <c r="P236" s="383">
        <f t="shared" si="48"/>
        <v>0</v>
      </c>
      <c r="Q236" s="382"/>
      <c r="R236" s="382"/>
      <c r="S236" s="382"/>
      <c r="T236" s="382"/>
      <c r="U236" s="382"/>
      <c r="V236" s="382"/>
      <c r="W236" s="382"/>
    </row>
    <row r="237" spans="3:23" outlineLevel="1">
      <c r="C237" s="381" t="s">
        <v>1134</v>
      </c>
      <c r="D237" s="384">
        <f>E193</f>
        <v>0</v>
      </c>
      <c r="E237" s="384">
        <f t="shared" ref="E237:O237" si="51">F193</f>
        <v>0</v>
      </c>
      <c r="F237" s="384">
        <f t="shared" si="51"/>
        <v>0</v>
      </c>
      <c r="G237" s="384">
        <f t="shared" si="51"/>
        <v>0</v>
      </c>
      <c r="H237" s="384">
        <f t="shared" si="51"/>
        <v>0</v>
      </c>
      <c r="I237" s="384">
        <f t="shared" si="51"/>
        <v>0</v>
      </c>
      <c r="J237" s="384">
        <f t="shared" si="51"/>
        <v>0</v>
      </c>
      <c r="K237" s="384">
        <f t="shared" si="51"/>
        <v>0</v>
      </c>
      <c r="L237" s="384">
        <f t="shared" si="51"/>
        <v>0</v>
      </c>
      <c r="M237" s="384">
        <f t="shared" si="51"/>
        <v>0</v>
      </c>
      <c r="N237" s="384">
        <f t="shared" si="51"/>
        <v>0</v>
      </c>
      <c r="O237" s="384">
        <f t="shared" si="51"/>
        <v>0</v>
      </c>
      <c r="P237" s="383">
        <f t="shared" si="48"/>
        <v>0</v>
      </c>
      <c r="Q237" s="382"/>
      <c r="R237" s="382"/>
      <c r="S237" s="382"/>
      <c r="T237" s="382"/>
      <c r="U237" s="382"/>
      <c r="V237" s="382"/>
      <c r="W237" s="382"/>
    </row>
    <row r="238" spans="3:23" outlineLevel="1">
      <c r="C238" s="381" t="s">
        <v>1135</v>
      </c>
      <c r="D238" s="384"/>
      <c r="E238" s="384"/>
      <c r="F238" s="384"/>
      <c r="G238" s="384"/>
      <c r="H238" s="384"/>
      <c r="I238" s="384"/>
      <c r="J238" s="384"/>
      <c r="K238" s="384"/>
      <c r="L238" s="384"/>
      <c r="M238" s="384"/>
      <c r="N238" s="384"/>
      <c r="O238" s="384"/>
      <c r="P238" s="383">
        <f t="shared" si="48"/>
        <v>0</v>
      </c>
      <c r="Q238" s="382"/>
      <c r="R238" s="382"/>
      <c r="S238" s="382"/>
      <c r="T238" s="382"/>
      <c r="U238" s="382"/>
      <c r="V238" s="382"/>
      <c r="W238" s="382"/>
    </row>
    <row r="239" spans="3:23" outlineLevel="1">
      <c r="C239" s="381" t="s">
        <v>1136</v>
      </c>
      <c r="D239" s="384">
        <f>E194</f>
        <v>0</v>
      </c>
      <c r="E239" s="384">
        <f t="shared" ref="E239:O239" si="52">F194</f>
        <v>0</v>
      </c>
      <c r="F239" s="384">
        <f t="shared" si="52"/>
        <v>0</v>
      </c>
      <c r="G239" s="384">
        <f t="shared" si="52"/>
        <v>0</v>
      </c>
      <c r="H239" s="384">
        <f t="shared" si="52"/>
        <v>0</v>
      </c>
      <c r="I239" s="384">
        <f t="shared" si="52"/>
        <v>0</v>
      </c>
      <c r="J239" s="384">
        <f t="shared" si="52"/>
        <v>0</v>
      </c>
      <c r="K239" s="384">
        <f t="shared" si="52"/>
        <v>0</v>
      </c>
      <c r="L239" s="384">
        <f t="shared" si="52"/>
        <v>0</v>
      </c>
      <c r="M239" s="384">
        <f t="shared" si="52"/>
        <v>0</v>
      </c>
      <c r="N239" s="384">
        <f t="shared" si="52"/>
        <v>0</v>
      </c>
      <c r="O239" s="384">
        <f t="shared" si="52"/>
        <v>0</v>
      </c>
      <c r="P239" s="383">
        <f t="shared" si="48"/>
        <v>0</v>
      </c>
      <c r="Q239" s="382"/>
      <c r="R239" s="382"/>
      <c r="S239" s="382"/>
      <c r="T239" s="382"/>
      <c r="U239" s="382"/>
      <c r="V239" s="382"/>
      <c r="W239" s="382"/>
    </row>
    <row r="240" spans="3:23" outlineLevel="1">
      <c r="C240" s="381" t="s">
        <v>1137</v>
      </c>
      <c r="D240" s="384"/>
      <c r="E240" s="384"/>
      <c r="F240" s="384"/>
      <c r="G240" s="384"/>
      <c r="H240" s="384"/>
      <c r="I240" s="384"/>
      <c r="J240" s="384"/>
      <c r="K240" s="384"/>
      <c r="L240" s="384"/>
      <c r="M240" s="384"/>
      <c r="N240" s="384"/>
      <c r="O240" s="384"/>
      <c r="P240" s="383">
        <f t="shared" si="48"/>
        <v>0</v>
      </c>
      <c r="Q240" s="382"/>
      <c r="R240" s="382"/>
      <c r="S240" s="382"/>
      <c r="T240" s="382"/>
      <c r="U240" s="382"/>
      <c r="V240" s="382"/>
      <c r="W240" s="382"/>
    </row>
    <row r="241" spans="3:23" outlineLevel="1">
      <c r="C241" s="381" t="s">
        <v>1138</v>
      </c>
      <c r="D241" s="384"/>
      <c r="E241" s="384"/>
      <c r="F241" s="384"/>
      <c r="G241" s="384"/>
      <c r="H241" s="384"/>
      <c r="I241" s="384"/>
      <c r="J241" s="384"/>
      <c r="K241" s="384"/>
      <c r="L241" s="384"/>
      <c r="M241" s="384"/>
      <c r="N241" s="384"/>
      <c r="O241" s="384"/>
      <c r="P241" s="383">
        <f t="shared" si="48"/>
        <v>0</v>
      </c>
      <c r="Q241" s="382"/>
      <c r="R241" s="382"/>
      <c r="S241" s="382"/>
      <c r="T241" s="382"/>
      <c r="U241" s="382"/>
      <c r="V241" s="382"/>
      <c r="W241" s="382"/>
    </row>
    <row r="242" spans="3:23" outlineLevel="1">
      <c r="C242" s="381" t="s">
        <v>1139</v>
      </c>
      <c r="D242" s="384"/>
      <c r="E242" s="384"/>
      <c r="F242" s="384"/>
      <c r="G242" s="384"/>
      <c r="H242" s="384"/>
      <c r="I242" s="384"/>
      <c r="J242" s="384"/>
      <c r="K242" s="384"/>
      <c r="L242" s="384"/>
      <c r="M242" s="384"/>
      <c r="N242" s="384"/>
      <c r="O242" s="384"/>
      <c r="P242" s="383">
        <f t="shared" si="48"/>
        <v>0</v>
      </c>
      <c r="Q242" s="382"/>
      <c r="R242" s="382"/>
      <c r="S242" s="382"/>
      <c r="T242" s="382"/>
      <c r="U242" s="382"/>
      <c r="V242" s="382"/>
      <c r="W242" s="382"/>
    </row>
    <row r="243" spans="3:23" outlineLevel="1">
      <c r="C243" s="381" t="s">
        <v>1140</v>
      </c>
      <c r="D243" s="384"/>
      <c r="E243" s="384"/>
      <c r="F243" s="384"/>
      <c r="G243" s="384"/>
      <c r="H243" s="384"/>
      <c r="I243" s="384"/>
      <c r="J243" s="384"/>
      <c r="K243" s="384"/>
      <c r="L243" s="384"/>
      <c r="M243" s="384"/>
      <c r="N243" s="384"/>
      <c r="O243" s="384"/>
      <c r="P243" s="383">
        <f t="shared" si="48"/>
        <v>0</v>
      </c>
      <c r="Q243" s="382"/>
      <c r="R243" s="382"/>
      <c r="S243" s="382"/>
      <c r="T243" s="382"/>
      <c r="U243" s="382"/>
      <c r="V243" s="382"/>
      <c r="W243" s="382"/>
    </row>
    <row r="244" spans="3:23" outlineLevel="1">
      <c r="C244" s="381" t="s">
        <v>1141</v>
      </c>
      <c r="D244" s="384">
        <f>E195</f>
        <v>0</v>
      </c>
      <c r="E244" s="384">
        <f t="shared" ref="E244:O244" si="53">F195</f>
        <v>0</v>
      </c>
      <c r="F244" s="384">
        <f t="shared" si="53"/>
        <v>0</v>
      </c>
      <c r="G244" s="384">
        <f t="shared" si="53"/>
        <v>0</v>
      </c>
      <c r="H244" s="384">
        <f t="shared" si="53"/>
        <v>0</v>
      </c>
      <c r="I244" s="384">
        <f t="shared" si="53"/>
        <v>0</v>
      </c>
      <c r="J244" s="384">
        <f t="shared" si="53"/>
        <v>0</v>
      </c>
      <c r="K244" s="384">
        <f t="shared" si="53"/>
        <v>0</v>
      </c>
      <c r="L244" s="384">
        <f t="shared" si="53"/>
        <v>0</v>
      </c>
      <c r="M244" s="384">
        <f t="shared" si="53"/>
        <v>0</v>
      </c>
      <c r="N244" s="384">
        <f t="shared" si="53"/>
        <v>0</v>
      </c>
      <c r="O244" s="384">
        <f t="shared" si="53"/>
        <v>0</v>
      </c>
      <c r="P244" s="383">
        <f t="shared" si="48"/>
        <v>0</v>
      </c>
      <c r="Q244" s="382"/>
      <c r="R244" s="382"/>
      <c r="S244" s="382"/>
      <c r="T244" s="382"/>
      <c r="U244" s="382"/>
      <c r="V244" s="382"/>
      <c r="W244" s="382"/>
    </row>
    <row r="245" spans="3:23" outlineLevel="1">
      <c r="C245" s="381" t="s">
        <v>1142</v>
      </c>
      <c r="D245" s="384"/>
      <c r="E245" s="384"/>
      <c r="F245" s="384"/>
      <c r="G245" s="384"/>
      <c r="H245" s="384"/>
      <c r="I245" s="384"/>
      <c r="J245" s="384"/>
      <c r="K245" s="384"/>
      <c r="L245" s="384"/>
      <c r="M245" s="384"/>
      <c r="N245" s="384"/>
      <c r="O245" s="384"/>
      <c r="P245" s="383">
        <f t="shared" si="48"/>
        <v>0</v>
      </c>
      <c r="Q245" s="382"/>
      <c r="R245" s="382"/>
      <c r="S245" s="382"/>
      <c r="T245" s="382"/>
      <c r="U245" s="382"/>
      <c r="V245" s="382"/>
      <c r="W245" s="382"/>
    </row>
    <row r="246" spans="3:23" outlineLevel="1">
      <c r="C246" s="381" t="s">
        <v>1143</v>
      </c>
      <c r="D246" s="384"/>
      <c r="E246" s="384"/>
      <c r="F246" s="384"/>
      <c r="G246" s="384"/>
      <c r="H246" s="384"/>
      <c r="I246" s="384"/>
      <c r="J246" s="384"/>
      <c r="K246" s="384"/>
      <c r="L246" s="384"/>
      <c r="M246" s="384"/>
      <c r="N246" s="384"/>
      <c r="O246" s="384"/>
      <c r="P246" s="383">
        <f t="shared" si="48"/>
        <v>0</v>
      </c>
      <c r="Q246" s="382"/>
      <c r="R246" s="382"/>
      <c r="S246" s="382"/>
      <c r="T246" s="382"/>
      <c r="U246" s="382"/>
      <c r="V246" s="382"/>
      <c r="W246" s="382"/>
    </row>
    <row r="247" spans="3:23" outlineLevel="1">
      <c r="C247" s="381" t="s">
        <v>1144</v>
      </c>
      <c r="D247" s="384"/>
      <c r="E247" s="384"/>
      <c r="F247" s="384"/>
      <c r="G247" s="384"/>
      <c r="H247" s="384"/>
      <c r="I247" s="384"/>
      <c r="J247" s="384"/>
      <c r="K247" s="384"/>
      <c r="L247" s="384"/>
      <c r="M247" s="384"/>
      <c r="N247" s="384"/>
      <c r="O247" s="384"/>
      <c r="P247" s="383">
        <f t="shared" si="48"/>
        <v>0</v>
      </c>
      <c r="Q247" s="382"/>
      <c r="R247" s="382"/>
      <c r="S247" s="382"/>
      <c r="T247" s="382"/>
      <c r="U247" s="382"/>
      <c r="V247" s="382"/>
      <c r="W247" s="382"/>
    </row>
    <row r="248" spans="3:23" outlineLevel="1">
      <c r="C248" s="381" t="s">
        <v>1145</v>
      </c>
      <c r="D248" s="384"/>
      <c r="E248" s="384"/>
      <c r="F248" s="384"/>
      <c r="G248" s="384"/>
      <c r="H248" s="384"/>
      <c r="I248" s="384"/>
      <c r="J248" s="384"/>
      <c r="K248" s="384"/>
      <c r="L248" s="384"/>
      <c r="M248" s="384"/>
      <c r="N248" s="384"/>
      <c r="O248" s="384"/>
      <c r="P248" s="383">
        <f t="shared" si="48"/>
        <v>0</v>
      </c>
      <c r="Q248" s="382"/>
      <c r="R248" s="382"/>
      <c r="S248" s="382"/>
      <c r="T248" s="382"/>
      <c r="U248" s="382"/>
      <c r="V248" s="382"/>
      <c r="W248" s="382"/>
    </row>
    <row r="249" spans="3:23" outlineLevel="1">
      <c r="C249" s="381" t="s">
        <v>1146</v>
      </c>
      <c r="D249" s="384">
        <f>E196</f>
        <v>0</v>
      </c>
      <c r="E249" s="384">
        <f t="shared" ref="E249:O249" si="54">F196</f>
        <v>0</v>
      </c>
      <c r="F249" s="384">
        <f t="shared" si="54"/>
        <v>0</v>
      </c>
      <c r="G249" s="384">
        <f t="shared" si="54"/>
        <v>0</v>
      </c>
      <c r="H249" s="384">
        <f t="shared" si="54"/>
        <v>0</v>
      </c>
      <c r="I249" s="384">
        <f t="shared" si="54"/>
        <v>0</v>
      </c>
      <c r="J249" s="384">
        <f t="shared" si="54"/>
        <v>0</v>
      </c>
      <c r="K249" s="384">
        <f t="shared" si="54"/>
        <v>0</v>
      </c>
      <c r="L249" s="384">
        <f t="shared" si="54"/>
        <v>0</v>
      </c>
      <c r="M249" s="384">
        <f t="shared" si="54"/>
        <v>0</v>
      </c>
      <c r="N249" s="384">
        <f t="shared" si="54"/>
        <v>0</v>
      </c>
      <c r="O249" s="384">
        <f t="shared" si="54"/>
        <v>0</v>
      </c>
      <c r="P249" s="383">
        <f t="shared" si="48"/>
        <v>0</v>
      </c>
      <c r="Q249" s="382"/>
      <c r="R249" s="382"/>
      <c r="S249" s="382"/>
      <c r="T249" s="382"/>
      <c r="U249" s="382"/>
      <c r="V249" s="382"/>
      <c r="W249" s="382"/>
    </row>
    <row r="250" spans="3:23" outlineLevel="1">
      <c r="C250" s="381" t="s">
        <v>1147</v>
      </c>
      <c r="D250" s="384">
        <f t="shared" ref="D250:O254" si="55">E197</f>
        <v>0</v>
      </c>
      <c r="E250" s="384">
        <f t="shared" si="55"/>
        <v>0</v>
      </c>
      <c r="F250" s="384">
        <f t="shared" si="55"/>
        <v>0</v>
      </c>
      <c r="G250" s="384">
        <f t="shared" si="55"/>
        <v>0</v>
      </c>
      <c r="H250" s="384">
        <f t="shared" si="55"/>
        <v>0</v>
      </c>
      <c r="I250" s="384">
        <f t="shared" si="55"/>
        <v>0</v>
      </c>
      <c r="J250" s="384">
        <f t="shared" si="55"/>
        <v>0</v>
      </c>
      <c r="K250" s="384">
        <f t="shared" si="55"/>
        <v>0</v>
      </c>
      <c r="L250" s="384">
        <f t="shared" si="55"/>
        <v>0</v>
      </c>
      <c r="M250" s="384">
        <f t="shared" si="55"/>
        <v>0</v>
      </c>
      <c r="N250" s="384">
        <f t="shared" si="55"/>
        <v>0</v>
      </c>
      <c r="O250" s="384">
        <f t="shared" si="55"/>
        <v>0</v>
      </c>
      <c r="P250" s="383">
        <f t="shared" si="48"/>
        <v>0</v>
      </c>
      <c r="Q250" s="382"/>
      <c r="R250" s="382"/>
      <c r="S250" s="382"/>
      <c r="T250" s="382"/>
      <c r="U250" s="382"/>
      <c r="V250" s="382"/>
      <c r="W250" s="382"/>
    </row>
    <row r="251" spans="3:23" outlineLevel="1">
      <c r="C251" s="381" t="s">
        <v>1148</v>
      </c>
      <c r="D251" s="384">
        <f t="shared" si="55"/>
        <v>0</v>
      </c>
      <c r="E251" s="384">
        <f t="shared" si="55"/>
        <v>0</v>
      </c>
      <c r="F251" s="384">
        <f t="shared" si="55"/>
        <v>0</v>
      </c>
      <c r="G251" s="384">
        <f t="shared" si="55"/>
        <v>0</v>
      </c>
      <c r="H251" s="384">
        <f t="shared" si="55"/>
        <v>0</v>
      </c>
      <c r="I251" s="384">
        <f t="shared" si="55"/>
        <v>0</v>
      </c>
      <c r="J251" s="384">
        <f t="shared" si="55"/>
        <v>0</v>
      </c>
      <c r="K251" s="384">
        <f t="shared" si="55"/>
        <v>0</v>
      </c>
      <c r="L251" s="384">
        <f t="shared" si="55"/>
        <v>0</v>
      </c>
      <c r="M251" s="384">
        <f t="shared" si="55"/>
        <v>0</v>
      </c>
      <c r="N251" s="384">
        <f t="shared" si="55"/>
        <v>0</v>
      </c>
      <c r="O251" s="384">
        <f t="shared" si="55"/>
        <v>0</v>
      </c>
      <c r="P251" s="383">
        <f t="shared" si="48"/>
        <v>0</v>
      </c>
      <c r="Q251" s="382"/>
      <c r="R251" s="382"/>
      <c r="S251" s="382"/>
      <c r="T251" s="382"/>
      <c r="U251" s="382"/>
      <c r="V251" s="382"/>
      <c r="W251" s="382"/>
    </row>
    <row r="252" spans="3:23" outlineLevel="1">
      <c r="C252" s="381" t="s">
        <v>1149</v>
      </c>
      <c r="D252" s="384">
        <f t="shared" si="55"/>
        <v>0</v>
      </c>
      <c r="E252" s="384">
        <f t="shared" si="55"/>
        <v>0</v>
      </c>
      <c r="F252" s="384">
        <f t="shared" si="55"/>
        <v>0</v>
      </c>
      <c r="G252" s="384">
        <f t="shared" si="55"/>
        <v>0</v>
      </c>
      <c r="H252" s="384">
        <f t="shared" si="55"/>
        <v>0</v>
      </c>
      <c r="I252" s="384">
        <f t="shared" si="55"/>
        <v>0</v>
      </c>
      <c r="J252" s="384">
        <f t="shared" si="55"/>
        <v>0</v>
      </c>
      <c r="K252" s="384">
        <f t="shared" si="55"/>
        <v>0</v>
      </c>
      <c r="L252" s="384">
        <f t="shared" si="55"/>
        <v>0</v>
      </c>
      <c r="M252" s="384">
        <f t="shared" si="55"/>
        <v>0</v>
      </c>
      <c r="N252" s="384">
        <f t="shared" si="55"/>
        <v>0</v>
      </c>
      <c r="O252" s="384">
        <f t="shared" si="55"/>
        <v>0</v>
      </c>
      <c r="P252" s="383">
        <f t="shared" si="48"/>
        <v>0</v>
      </c>
      <c r="Q252" s="382"/>
      <c r="R252" s="382"/>
      <c r="S252" s="382"/>
      <c r="T252" s="382"/>
      <c r="U252" s="382"/>
      <c r="V252" s="382"/>
      <c r="W252" s="382"/>
    </row>
    <row r="253" spans="3:23" outlineLevel="1">
      <c r="C253" s="381" t="s">
        <v>1150</v>
      </c>
      <c r="D253" s="384">
        <f t="shared" si="55"/>
        <v>0</v>
      </c>
      <c r="E253" s="384">
        <f t="shared" si="55"/>
        <v>0</v>
      </c>
      <c r="F253" s="384">
        <f t="shared" si="55"/>
        <v>0</v>
      </c>
      <c r="G253" s="384">
        <f t="shared" si="55"/>
        <v>0</v>
      </c>
      <c r="H253" s="384">
        <f t="shared" si="55"/>
        <v>0</v>
      </c>
      <c r="I253" s="384">
        <f t="shared" si="55"/>
        <v>0</v>
      </c>
      <c r="J253" s="384">
        <f t="shared" si="55"/>
        <v>0</v>
      </c>
      <c r="K253" s="384">
        <f t="shared" si="55"/>
        <v>0</v>
      </c>
      <c r="L253" s="384">
        <f t="shared" si="55"/>
        <v>0</v>
      </c>
      <c r="M253" s="384">
        <f t="shared" si="55"/>
        <v>0</v>
      </c>
      <c r="N253" s="384">
        <f t="shared" si="55"/>
        <v>0</v>
      </c>
      <c r="O253" s="384">
        <f t="shared" si="55"/>
        <v>0</v>
      </c>
      <c r="P253" s="383">
        <f t="shared" si="48"/>
        <v>0</v>
      </c>
      <c r="Q253" s="382"/>
      <c r="R253" s="382"/>
      <c r="S253" s="382"/>
      <c r="T253" s="382"/>
      <c r="U253" s="382"/>
      <c r="V253" s="382"/>
      <c r="W253" s="382"/>
    </row>
    <row r="254" spans="3:23" outlineLevel="1">
      <c r="C254" s="381" t="s">
        <v>1151</v>
      </c>
      <c r="D254" s="384">
        <f t="shared" si="55"/>
        <v>0</v>
      </c>
      <c r="E254" s="384">
        <f t="shared" si="55"/>
        <v>0</v>
      </c>
      <c r="F254" s="384">
        <f t="shared" si="55"/>
        <v>0</v>
      </c>
      <c r="G254" s="384">
        <f t="shared" si="55"/>
        <v>0</v>
      </c>
      <c r="H254" s="384">
        <f t="shared" si="55"/>
        <v>0</v>
      </c>
      <c r="I254" s="384">
        <f t="shared" si="55"/>
        <v>0</v>
      </c>
      <c r="J254" s="384">
        <f t="shared" si="55"/>
        <v>0</v>
      </c>
      <c r="K254" s="384">
        <f t="shared" si="55"/>
        <v>0</v>
      </c>
      <c r="L254" s="384">
        <f t="shared" si="55"/>
        <v>0</v>
      </c>
      <c r="M254" s="384">
        <f t="shared" si="55"/>
        <v>0</v>
      </c>
      <c r="N254" s="384">
        <f t="shared" si="55"/>
        <v>0</v>
      </c>
      <c r="O254" s="384">
        <f t="shared" si="55"/>
        <v>0</v>
      </c>
      <c r="P254" s="383">
        <f t="shared" si="48"/>
        <v>0</v>
      </c>
      <c r="Q254" s="382"/>
      <c r="R254" s="382"/>
      <c r="S254" s="382"/>
      <c r="T254" s="382"/>
      <c r="U254" s="382"/>
      <c r="V254" s="382"/>
      <c r="W254" s="382"/>
    </row>
    <row r="255" spans="3:23" outlineLevel="1">
      <c r="C255" s="381" t="s">
        <v>1152</v>
      </c>
      <c r="D255" s="384"/>
      <c r="E255" s="384"/>
      <c r="F255" s="384"/>
      <c r="G255" s="384"/>
      <c r="H255" s="384"/>
      <c r="I255" s="384"/>
      <c r="J255" s="384"/>
      <c r="K255" s="384"/>
      <c r="L255" s="384"/>
      <c r="M255" s="384"/>
      <c r="N255" s="384"/>
      <c r="O255" s="384"/>
      <c r="P255" s="383">
        <f t="shared" si="48"/>
        <v>0</v>
      </c>
      <c r="Q255" s="382"/>
      <c r="R255" s="382"/>
      <c r="S255" s="382"/>
      <c r="T255" s="382"/>
      <c r="U255" s="382"/>
      <c r="V255" s="382"/>
      <c r="W255" s="382"/>
    </row>
    <row r="256" spans="3:23" outlineLevel="1">
      <c r="C256" s="381" t="s">
        <v>1153</v>
      </c>
      <c r="D256" s="384">
        <f>E202</f>
        <v>0</v>
      </c>
      <c r="E256" s="384">
        <f t="shared" ref="E256:O257" si="56">F202</f>
        <v>0</v>
      </c>
      <c r="F256" s="384">
        <f t="shared" si="56"/>
        <v>0</v>
      </c>
      <c r="G256" s="384">
        <f t="shared" si="56"/>
        <v>0</v>
      </c>
      <c r="H256" s="384">
        <f t="shared" si="56"/>
        <v>0</v>
      </c>
      <c r="I256" s="384">
        <f t="shared" si="56"/>
        <v>0</v>
      </c>
      <c r="J256" s="384">
        <f t="shared" si="56"/>
        <v>0</v>
      </c>
      <c r="K256" s="384">
        <f t="shared" si="56"/>
        <v>0</v>
      </c>
      <c r="L256" s="384">
        <f t="shared" si="56"/>
        <v>0</v>
      </c>
      <c r="M256" s="384">
        <f t="shared" si="56"/>
        <v>0</v>
      </c>
      <c r="N256" s="384">
        <f t="shared" si="56"/>
        <v>0</v>
      </c>
      <c r="O256" s="384">
        <f t="shared" si="56"/>
        <v>0</v>
      </c>
      <c r="P256" s="383">
        <f t="shared" si="48"/>
        <v>0</v>
      </c>
      <c r="Q256" s="382"/>
      <c r="R256" s="382"/>
      <c r="S256" s="382"/>
      <c r="T256" s="382"/>
      <c r="U256" s="382"/>
      <c r="V256" s="382"/>
      <c r="W256" s="382"/>
    </row>
    <row r="257" spans="3:23" outlineLevel="1">
      <c r="C257" s="381" t="s">
        <v>1154</v>
      </c>
      <c r="D257" s="384">
        <f>E203</f>
        <v>0</v>
      </c>
      <c r="E257" s="384">
        <f t="shared" si="56"/>
        <v>0</v>
      </c>
      <c r="F257" s="384">
        <f t="shared" si="56"/>
        <v>0</v>
      </c>
      <c r="G257" s="384">
        <f t="shared" si="56"/>
        <v>0</v>
      </c>
      <c r="H257" s="384">
        <f t="shared" si="56"/>
        <v>0</v>
      </c>
      <c r="I257" s="384">
        <f t="shared" si="56"/>
        <v>0</v>
      </c>
      <c r="J257" s="384">
        <f t="shared" si="56"/>
        <v>0</v>
      </c>
      <c r="K257" s="384">
        <f t="shared" si="56"/>
        <v>0</v>
      </c>
      <c r="L257" s="384">
        <f t="shared" si="56"/>
        <v>0</v>
      </c>
      <c r="M257" s="384">
        <f t="shared" si="56"/>
        <v>0</v>
      </c>
      <c r="N257" s="384">
        <f t="shared" si="56"/>
        <v>0</v>
      </c>
      <c r="O257" s="384">
        <f t="shared" si="56"/>
        <v>0</v>
      </c>
      <c r="P257" s="383">
        <f t="shared" si="48"/>
        <v>0</v>
      </c>
      <c r="Q257" s="382"/>
      <c r="R257" s="382"/>
      <c r="S257" s="382"/>
      <c r="T257" s="382"/>
      <c r="U257" s="382"/>
      <c r="V257" s="382"/>
      <c r="W257" s="382"/>
    </row>
    <row r="258" spans="3:23" outlineLevel="1">
      <c r="C258" s="381"/>
      <c r="D258" s="382">
        <f>SUM(D206:D257)</f>
        <v>0</v>
      </c>
      <c r="E258" s="382">
        <f t="shared" ref="E258:O258" si="57">SUM(E206:E257)</f>
        <v>0</v>
      </c>
      <c r="F258" s="382">
        <f t="shared" si="57"/>
        <v>0</v>
      </c>
      <c r="G258" s="382">
        <f t="shared" si="57"/>
        <v>0</v>
      </c>
      <c r="H258" s="382">
        <f t="shared" si="57"/>
        <v>0</v>
      </c>
      <c r="I258" s="382">
        <f t="shared" si="57"/>
        <v>0</v>
      </c>
      <c r="J258" s="382">
        <f t="shared" si="57"/>
        <v>0</v>
      </c>
      <c r="K258" s="382">
        <f t="shared" si="57"/>
        <v>0</v>
      </c>
      <c r="L258" s="382">
        <f t="shared" si="57"/>
        <v>0</v>
      </c>
      <c r="M258" s="382">
        <f t="shared" si="57"/>
        <v>0</v>
      </c>
      <c r="N258" s="382">
        <f t="shared" si="57"/>
        <v>0</v>
      </c>
      <c r="O258" s="382">
        <f t="shared" si="57"/>
        <v>0</v>
      </c>
      <c r="P258" s="383">
        <f>SUM(D258:O258)</f>
        <v>0</v>
      </c>
      <c r="Q258" s="382"/>
      <c r="R258" s="382"/>
      <c r="S258" s="382"/>
      <c r="T258" s="382"/>
      <c r="U258" s="382"/>
      <c r="V258" s="382"/>
      <c r="W258" s="382"/>
    </row>
    <row r="260" spans="3:23">
      <c r="C260" s="385" t="s">
        <v>1185</v>
      </c>
    </row>
    <row r="261" spans="3:23">
      <c r="C261" s="235" t="s">
        <v>1103</v>
      </c>
      <c r="D261" s="358">
        <f>+D130+D206-D318</f>
        <v>48153</v>
      </c>
      <c r="E261" s="358">
        <f t="shared" ref="E261:O261" si="58">+E130+E206-E318</f>
        <v>40602</v>
      </c>
      <c r="F261" s="358">
        <f t="shared" si="58"/>
        <v>40738</v>
      </c>
      <c r="G261" s="358">
        <f t="shared" si="58"/>
        <v>41444</v>
      </c>
      <c r="H261" s="358">
        <f t="shared" si="58"/>
        <v>44538</v>
      </c>
      <c r="I261" s="358">
        <f t="shared" si="58"/>
        <v>41431</v>
      </c>
      <c r="J261" s="358">
        <f t="shared" si="58"/>
        <v>41126</v>
      </c>
      <c r="K261" s="358">
        <f t="shared" si="58"/>
        <v>41081</v>
      </c>
      <c r="L261" s="358">
        <f t="shared" si="58"/>
        <v>41395</v>
      </c>
      <c r="M261" s="358">
        <f t="shared" si="58"/>
        <v>48296</v>
      </c>
      <c r="N261" s="358">
        <f t="shared" si="58"/>
        <v>41294</v>
      </c>
      <c r="O261" s="358">
        <f t="shared" si="58"/>
        <v>41250</v>
      </c>
      <c r="P261" s="359">
        <f>SUM(D261:O261)</f>
        <v>511348</v>
      </c>
      <c r="Q261" s="358"/>
      <c r="R261" s="358"/>
      <c r="S261" s="358"/>
      <c r="T261" s="358"/>
      <c r="U261" s="358"/>
      <c r="V261" s="358"/>
      <c r="W261" s="358"/>
    </row>
    <row r="262" spans="3:23">
      <c r="C262" s="235" t="s">
        <v>1104</v>
      </c>
      <c r="D262" s="358">
        <f t="shared" ref="D262:O277" si="59">+D131+D207-D319</f>
        <v>52281</v>
      </c>
      <c r="E262" s="358">
        <f t="shared" si="59"/>
        <v>44082</v>
      </c>
      <c r="F262" s="358">
        <f t="shared" si="59"/>
        <v>44229</v>
      </c>
      <c r="G262" s="358">
        <f t="shared" si="59"/>
        <v>44996</v>
      </c>
      <c r="H262" s="358">
        <f t="shared" si="59"/>
        <v>48355</v>
      </c>
      <c r="I262" s="358">
        <f t="shared" si="59"/>
        <v>44982</v>
      </c>
      <c r="J262" s="358">
        <f t="shared" si="59"/>
        <v>44651</v>
      </c>
      <c r="K262" s="358">
        <f t="shared" si="59"/>
        <v>44603</v>
      </c>
      <c r="L262" s="358">
        <f t="shared" si="59"/>
        <v>44943</v>
      </c>
      <c r="M262" s="358">
        <f t="shared" si="59"/>
        <v>52436</v>
      </c>
      <c r="N262" s="358">
        <f t="shared" si="59"/>
        <v>44834</v>
      </c>
      <c r="O262" s="358">
        <f t="shared" si="59"/>
        <v>44785</v>
      </c>
      <c r="P262" s="359">
        <f t="shared" ref="P262:P312" si="60">SUM(D262:O262)</f>
        <v>555177</v>
      </c>
      <c r="Q262" s="358"/>
      <c r="R262" s="358"/>
      <c r="S262" s="358"/>
      <c r="T262" s="358"/>
      <c r="U262" s="358"/>
      <c r="V262" s="358"/>
      <c r="W262" s="358"/>
    </row>
    <row r="263" spans="3:23">
      <c r="C263" s="235" t="s">
        <v>1105</v>
      </c>
      <c r="D263" s="358">
        <f t="shared" si="59"/>
        <v>15134</v>
      </c>
      <c r="E263" s="358">
        <f t="shared" si="59"/>
        <v>12761</v>
      </c>
      <c r="F263" s="358">
        <f t="shared" si="59"/>
        <v>12803</v>
      </c>
      <c r="G263" s="358">
        <f t="shared" si="59"/>
        <v>13025</v>
      </c>
      <c r="H263" s="358">
        <f t="shared" si="59"/>
        <v>13998</v>
      </c>
      <c r="I263" s="358">
        <f t="shared" si="59"/>
        <v>13021</v>
      </c>
      <c r="J263" s="358">
        <f t="shared" si="59"/>
        <v>12925</v>
      </c>
      <c r="K263" s="358">
        <f t="shared" si="59"/>
        <v>12911</v>
      </c>
      <c r="L263" s="358">
        <f t="shared" si="59"/>
        <v>13010</v>
      </c>
      <c r="M263" s="358">
        <f t="shared" si="59"/>
        <v>15179</v>
      </c>
      <c r="N263" s="358">
        <f t="shared" si="59"/>
        <v>12978</v>
      </c>
      <c r="O263" s="358">
        <f t="shared" si="59"/>
        <v>12964</v>
      </c>
      <c r="P263" s="359">
        <f t="shared" si="60"/>
        <v>160709</v>
      </c>
      <c r="Q263" s="358"/>
      <c r="R263" s="358"/>
      <c r="S263" s="358"/>
      <c r="T263" s="358"/>
      <c r="U263" s="358"/>
      <c r="V263" s="358"/>
      <c r="W263" s="358"/>
    </row>
    <row r="264" spans="3:23">
      <c r="C264" s="235" t="s">
        <v>1106</v>
      </c>
      <c r="D264" s="358">
        <f t="shared" si="59"/>
        <v>0</v>
      </c>
      <c r="E264" s="358">
        <f t="shared" si="59"/>
        <v>0</v>
      </c>
      <c r="F264" s="358">
        <f t="shared" si="59"/>
        <v>0</v>
      </c>
      <c r="G264" s="358">
        <f t="shared" si="59"/>
        <v>0</v>
      </c>
      <c r="H264" s="358">
        <f t="shared" si="59"/>
        <v>0</v>
      </c>
      <c r="I264" s="358">
        <f t="shared" si="59"/>
        <v>0</v>
      </c>
      <c r="J264" s="358">
        <f t="shared" si="59"/>
        <v>0</v>
      </c>
      <c r="K264" s="358">
        <f t="shared" si="59"/>
        <v>0</v>
      </c>
      <c r="L264" s="358">
        <f t="shared" si="59"/>
        <v>0</v>
      </c>
      <c r="M264" s="358">
        <f t="shared" si="59"/>
        <v>0</v>
      </c>
      <c r="N264" s="358">
        <f t="shared" si="59"/>
        <v>0</v>
      </c>
      <c r="O264" s="358">
        <f t="shared" si="59"/>
        <v>0</v>
      </c>
      <c r="P264" s="359">
        <f t="shared" si="60"/>
        <v>0</v>
      </c>
      <c r="Q264" s="358"/>
      <c r="R264" s="358"/>
      <c r="S264" s="358"/>
      <c r="T264" s="358"/>
      <c r="U264" s="358"/>
      <c r="V264" s="358"/>
      <c r="W264" s="358"/>
    </row>
    <row r="265" spans="3:23">
      <c r="C265" s="235" t="s">
        <v>1107</v>
      </c>
      <c r="D265" s="358">
        <f t="shared" si="59"/>
        <v>2752</v>
      </c>
      <c r="E265" s="358">
        <f t="shared" si="59"/>
        <v>2320</v>
      </c>
      <c r="F265" s="358">
        <f t="shared" si="59"/>
        <v>2328</v>
      </c>
      <c r="G265" s="358">
        <f t="shared" si="59"/>
        <v>2368</v>
      </c>
      <c r="H265" s="358">
        <f t="shared" si="59"/>
        <v>2545</v>
      </c>
      <c r="I265" s="358">
        <f t="shared" si="59"/>
        <v>2367</v>
      </c>
      <c r="J265" s="358">
        <f t="shared" si="59"/>
        <v>2350</v>
      </c>
      <c r="K265" s="358">
        <f t="shared" si="59"/>
        <v>2348</v>
      </c>
      <c r="L265" s="358">
        <f t="shared" si="59"/>
        <v>2365</v>
      </c>
      <c r="M265" s="358">
        <f t="shared" si="59"/>
        <v>2760</v>
      </c>
      <c r="N265" s="358">
        <f t="shared" si="59"/>
        <v>2360</v>
      </c>
      <c r="O265" s="358">
        <f t="shared" si="59"/>
        <v>2357</v>
      </c>
      <c r="P265" s="359">
        <f t="shared" si="60"/>
        <v>29220</v>
      </c>
      <c r="Q265" s="358"/>
      <c r="R265" s="358"/>
      <c r="S265" s="358"/>
      <c r="T265" s="358"/>
      <c r="U265" s="358"/>
      <c r="V265" s="358"/>
      <c r="W265" s="358"/>
    </row>
    <row r="266" spans="3:23">
      <c r="C266" s="235" t="s">
        <v>1108</v>
      </c>
      <c r="D266" s="358">
        <f t="shared" si="59"/>
        <v>15134</v>
      </c>
      <c r="E266" s="358">
        <f t="shared" si="59"/>
        <v>12761</v>
      </c>
      <c r="F266" s="358">
        <f t="shared" si="59"/>
        <v>12803</v>
      </c>
      <c r="G266" s="358">
        <f t="shared" si="59"/>
        <v>13025</v>
      </c>
      <c r="H266" s="358">
        <f t="shared" si="59"/>
        <v>13998</v>
      </c>
      <c r="I266" s="358">
        <f t="shared" si="59"/>
        <v>13021</v>
      </c>
      <c r="J266" s="358">
        <f t="shared" si="59"/>
        <v>12925</v>
      </c>
      <c r="K266" s="358">
        <f t="shared" si="59"/>
        <v>12911</v>
      </c>
      <c r="L266" s="358">
        <f t="shared" si="59"/>
        <v>13010</v>
      </c>
      <c r="M266" s="358">
        <f t="shared" si="59"/>
        <v>15179</v>
      </c>
      <c r="N266" s="358">
        <f t="shared" si="59"/>
        <v>12978</v>
      </c>
      <c r="O266" s="358">
        <f t="shared" si="59"/>
        <v>12964</v>
      </c>
      <c r="P266" s="359">
        <f t="shared" si="60"/>
        <v>160709</v>
      </c>
      <c r="Q266" s="358"/>
      <c r="R266" s="358"/>
      <c r="S266" s="358"/>
      <c r="T266" s="358"/>
      <c r="U266" s="358"/>
      <c r="V266" s="358"/>
      <c r="W266" s="358"/>
    </row>
    <row r="267" spans="3:23">
      <c r="C267" s="235" t="s">
        <v>1109</v>
      </c>
      <c r="D267" s="358">
        <f t="shared" si="59"/>
        <v>24764</v>
      </c>
      <c r="E267" s="358">
        <f t="shared" si="59"/>
        <v>20881</v>
      </c>
      <c r="F267" s="358">
        <f t="shared" si="59"/>
        <v>20951</v>
      </c>
      <c r="G267" s="358">
        <f t="shared" si="59"/>
        <v>21314</v>
      </c>
      <c r="H267" s="358">
        <f t="shared" si="59"/>
        <v>22905</v>
      </c>
      <c r="I267" s="358">
        <f t="shared" si="59"/>
        <v>21307</v>
      </c>
      <c r="J267" s="358">
        <f t="shared" si="59"/>
        <v>21151</v>
      </c>
      <c r="K267" s="358">
        <f t="shared" si="59"/>
        <v>21128</v>
      </c>
      <c r="L267" s="358">
        <f t="shared" si="59"/>
        <v>21289</v>
      </c>
      <c r="M267" s="358">
        <f t="shared" si="59"/>
        <v>24838</v>
      </c>
      <c r="N267" s="358">
        <f t="shared" si="59"/>
        <v>21237</v>
      </c>
      <c r="O267" s="358">
        <f t="shared" si="59"/>
        <v>21214</v>
      </c>
      <c r="P267" s="359">
        <f t="shared" si="60"/>
        <v>262979</v>
      </c>
      <c r="Q267" s="358"/>
      <c r="R267" s="358"/>
      <c r="S267" s="358"/>
      <c r="T267" s="358"/>
      <c r="U267" s="358"/>
      <c r="V267" s="358"/>
      <c r="W267" s="358"/>
    </row>
    <row r="268" spans="3:23">
      <c r="C268" s="235" t="s">
        <v>1110</v>
      </c>
      <c r="D268" s="358">
        <f t="shared" si="59"/>
        <v>12382</v>
      </c>
      <c r="E268" s="358">
        <f t="shared" si="59"/>
        <v>10441</v>
      </c>
      <c r="F268" s="358">
        <f t="shared" si="59"/>
        <v>10475</v>
      </c>
      <c r="G268" s="358">
        <f t="shared" si="59"/>
        <v>10657</v>
      </c>
      <c r="H268" s="358">
        <f t="shared" si="59"/>
        <v>11453</v>
      </c>
      <c r="I268" s="358">
        <f t="shared" si="59"/>
        <v>10654</v>
      </c>
      <c r="J268" s="358">
        <f t="shared" si="59"/>
        <v>10575</v>
      </c>
      <c r="K268" s="358">
        <f t="shared" si="59"/>
        <v>10564</v>
      </c>
      <c r="L268" s="358">
        <f t="shared" si="59"/>
        <v>10644</v>
      </c>
      <c r="M268" s="358">
        <f t="shared" si="59"/>
        <v>12419</v>
      </c>
      <c r="N268" s="358">
        <f t="shared" si="59"/>
        <v>10619</v>
      </c>
      <c r="O268" s="358">
        <f t="shared" si="59"/>
        <v>10607</v>
      </c>
      <c r="P268" s="359">
        <f t="shared" si="60"/>
        <v>131490</v>
      </c>
      <c r="Q268" s="358"/>
      <c r="R268" s="358"/>
      <c r="S268" s="358"/>
      <c r="T268" s="358"/>
      <c r="U268" s="358"/>
      <c r="V268" s="358"/>
      <c r="W268" s="358"/>
    </row>
    <row r="269" spans="3:23">
      <c r="C269" s="235" t="s">
        <v>1111</v>
      </c>
      <c r="D269" s="358">
        <f t="shared" si="59"/>
        <v>19261</v>
      </c>
      <c r="E269" s="358">
        <f t="shared" si="59"/>
        <v>16241</v>
      </c>
      <c r="F269" s="358">
        <f t="shared" si="59"/>
        <v>16295</v>
      </c>
      <c r="G269" s="358">
        <f t="shared" si="59"/>
        <v>16578</v>
      </c>
      <c r="H269" s="358">
        <f t="shared" si="59"/>
        <v>17815</v>
      </c>
      <c r="I269" s="358">
        <f t="shared" si="59"/>
        <v>16572</v>
      </c>
      <c r="J269" s="358">
        <f t="shared" si="59"/>
        <v>16450</v>
      </c>
      <c r="K269" s="358">
        <f t="shared" si="59"/>
        <v>16433</v>
      </c>
      <c r="L269" s="358">
        <f t="shared" si="59"/>
        <v>16558</v>
      </c>
      <c r="M269" s="358">
        <f t="shared" si="59"/>
        <v>19318</v>
      </c>
      <c r="N269" s="358">
        <f t="shared" si="59"/>
        <v>16518</v>
      </c>
      <c r="O269" s="358">
        <f t="shared" si="59"/>
        <v>16500</v>
      </c>
      <c r="P269" s="359">
        <f t="shared" si="60"/>
        <v>204539</v>
      </c>
      <c r="Q269" s="358"/>
      <c r="R269" s="358"/>
      <c r="S269" s="358"/>
      <c r="T269" s="358"/>
      <c r="U269" s="358"/>
      <c r="V269" s="358"/>
      <c r="W269" s="358"/>
    </row>
    <row r="270" spans="3:23">
      <c r="C270" s="235" t="s">
        <v>1112</v>
      </c>
      <c r="D270" s="358">
        <f t="shared" si="59"/>
        <v>9631</v>
      </c>
      <c r="E270" s="358">
        <f t="shared" si="59"/>
        <v>8120</v>
      </c>
      <c r="F270" s="358">
        <f t="shared" si="59"/>
        <v>8148</v>
      </c>
      <c r="G270" s="358">
        <f t="shared" si="59"/>
        <v>8289</v>
      </c>
      <c r="H270" s="358">
        <f t="shared" si="59"/>
        <v>8908</v>
      </c>
      <c r="I270" s="358">
        <f t="shared" si="59"/>
        <v>8286</v>
      </c>
      <c r="J270" s="358">
        <f t="shared" si="59"/>
        <v>8225</v>
      </c>
      <c r="K270" s="358">
        <f t="shared" si="59"/>
        <v>8216</v>
      </c>
      <c r="L270" s="358">
        <f t="shared" si="59"/>
        <v>8279</v>
      </c>
      <c r="M270" s="358">
        <f t="shared" si="59"/>
        <v>9659</v>
      </c>
      <c r="N270" s="358">
        <f t="shared" si="59"/>
        <v>8259</v>
      </c>
      <c r="O270" s="358">
        <f t="shared" si="59"/>
        <v>8250</v>
      </c>
      <c r="P270" s="359">
        <f t="shared" si="60"/>
        <v>102270</v>
      </c>
      <c r="Q270" s="358"/>
      <c r="R270" s="358"/>
      <c r="S270" s="358"/>
      <c r="T270" s="358"/>
      <c r="U270" s="358"/>
      <c r="V270" s="358"/>
      <c r="W270" s="358"/>
    </row>
    <row r="271" spans="3:23">
      <c r="C271" s="235" t="s">
        <v>1113</v>
      </c>
      <c r="D271" s="358">
        <f t="shared" si="59"/>
        <v>16510</v>
      </c>
      <c r="E271" s="358">
        <f t="shared" si="59"/>
        <v>13921</v>
      </c>
      <c r="F271" s="358">
        <f t="shared" si="59"/>
        <v>13967</v>
      </c>
      <c r="G271" s="358">
        <f t="shared" si="59"/>
        <v>14209</v>
      </c>
      <c r="H271" s="358">
        <f t="shared" si="59"/>
        <v>15270</v>
      </c>
      <c r="I271" s="358">
        <f t="shared" si="59"/>
        <v>14205</v>
      </c>
      <c r="J271" s="358">
        <f t="shared" si="59"/>
        <v>14100</v>
      </c>
      <c r="K271" s="358">
        <f t="shared" si="59"/>
        <v>14085</v>
      </c>
      <c r="L271" s="358">
        <f t="shared" si="59"/>
        <v>14192</v>
      </c>
      <c r="M271" s="358">
        <f t="shared" si="59"/>
        <v>16559</v>
      </c>
      <c r="N271" s="358">
        <f t="shared" si="59"/>
        <v>14158</v>
      </c>
      <c r="O271" s="358">
        <f t="shared" si="59"/>
        <v>14143</v>
      </c>
      <c r="P271" s="359">
        <f t="shared" si="60"/>
        <v>175319</v>
      </c>
      <c r="Q271" s="358"/>
      <c r="R271" s="358"/>
      <c r="S271" s="358"/>
      <c r="T271" s="358"/>
      <c r="U271" s="358"/>
      <c r="V271" s="358"/>
      <c r="W271" s="358"/>
    </row>
    <row r="272" spans="3:23">
      <c r="C272" s="235" t="s">
        <v>1114</v>
      </c>
      <c r="D272" s="358">
        <f t="shared" si="59"/>
        <v>11006</v>
      </c>
      <c r="E272" s="358">
        <f t="shared" si="59"/>
        <v>9280</v>
      </c>
      <c r="F272" s="358">
        <f t="shared" si="59"/>
        <v>9311</v>
      </c>
      <c r="G272" s="358">
        <f t="shared" si="59"/>
        <v>9473</v>
      </c>
      <c r="H272" s="358">
        <f t="shared" si="59"/>
        <v>10180</v>
      </c>
      <c r="I272" s="358">
        <f t="shared" si="59"/>
        <v>9470</v>
      </c>
      <c r="J272" s="358">
        <f t="shared" si="59"/>
        <v>9400</v>
      </c>
      <c r="K272" s="358">
        <f t="shared" si="59"/>
        <v>9390</v>
      </c>
      <c r="L272" s="358">
        <f t="shared" si="59"/>
        <v>9462</v>
      </c>
      <c r="M272" s="358">
        <f t="shared" si="59"/>
        <v>11039</v>
      </c>
      <c r="N272" s="358">
        <f t="shared" si="59"/>
        <v>9439</v>
      </c>
      <c r="O272" s="358">
        <f t="shared" si="59"/>
        <v>9428</v>
      </c>
      <c r="P272" s="359">
        <f t="shared" si="60"/>
        <v>116878</v>
      </c>
      <c r="Q272" s="358"/>
      <c r="R272" s="358"/>
      <c r="S272" s="358"/>
      <c r="T272" s="358"/>
      <c r="U272" s="358"/>
      <c r="V272" s="358"/>
      <c r="W272" s="358"/>
    </row>
    <row r="273" spans="3:23">
      <c r="C273" s="235" t="s">
        <v>1115</v>
      </c>
      <c r="D273" s="358">
        <f t="shared" si="59"/>
        <v>12382</v>
      </c>
      <c r="E273" s="358">
        <f t="shared" si="59"/>
        <v>10441</v>
      </c>
      <c r="F273" s="358">
        <f t="shared" si="59"/>
        <v>10475</v>
      </c>
      <c r="G273" s="358">
        <f t="shared" si="59"/>
        <v>10657</v>
      </c>
      <c r="H273" s="358">
        <f t="shared" si="59"/>
        <v>11453</v>
      </c>
      <c r="I273" s="358">
        <f t="shared" si="59"/>
        <v>10654</v>
      </c>
      <c r="J273" s="358">
        <f t="shared" si="59"/>
        <v>10575</v>
      </c>
      <c r="K273" s="358">
        <f t="shared" si="59"/>
        <v>10564</v>
      </c>
      <c r="L273" s="358">
        <f t="shared" si="59"/>
        <v>10644</v>
      </c>
      <c r="M273" s="358">
        <f t="shared" si="59"/>
        <v>12419</v>
      </c>
      <c r="N273" s="358">
        <f t="shared" si="59"/>
        <v>10619</v>
      </c>
      <c r="O273" s="358">
        <f t="shared" si="59"/>
        <v>10607</v>
      </c>
      <c r="P273" s="359">
        <f t="shared" si="60"/>
        <v>131490</v>
      </c>
      <c r="Q273" s="358"/>
      <c r="R273" s="358"/>
      <c r="S273" s="358"/>
      <c r="T273" s="358"/>
      <c r="U273" s="358"/>
      <c r="V273" s="358"/>
      <c r="W273" s="358"/>
    </row>
    <row r="274" spans="3:23">
      <c r="C274" s="235" t="s">
        <v>1116</v>
      </c>
      <c r="D274" s="358">
        <f t="shared" si="59"/>
        <v>6879</v>
      </c>
      <c r="E274" s="358">
        <f t="shared" si="59"/>
        <v>5800</v>
      </c>
      <c r="F274" s="358">
        <f t="shared" si="59"/>
        <v>5820</v>
      </c>
      <c r="G274" s="358">
        <f t="shared" si="59"/>
        <v>5921</v>
      </c>
      <c r="H274" s="358">
        <f t="shared" si="59"/>
        <v>6363</v>
      </c>
      <c r="I274" s="358">
        <f t="shared" si="59"/>
        <v>5919</v>
      </c>
      <c r="J274" s="358">
        <f t="shared" si="59"/>
        <v>5875</v>
      </c>
      <c r="K274" s="358">
        <f t="shared" si="59"/>
        <v>5869</v>
      </c>
      <c r="L274" s="358">
        <f t="shared" si="59"/>
        <v>5914</v>
      </c>
      <c r="M274" s="358">
        <f t="shared" si="59"/>
        <v>6899</v>
      </c>
      <c r="N274" s="358">
        <f t="shared" si="59"/>
        <v>5899</v>
      </c>
      <c r="O274" s="358">
        <f t="shared" si="59"/>
        <v>5893</v>
      </c>
      <c r="P274" s="359">
        <f t="shared" si="60"/>
        <v>73051</v>
      </c>
      <c r="Q274" s="358"/>
      <c r="R274" s="358"/>
      <c r="S274" s="358"/>
      <c r="T274" s="358"/>
      <c r="U274" s="358"/>
      <c r="V274" s="358"/>
      <c r="W274" s="358"/>
    </row>
    <row r="275" spans="3:23">
      <c r="C275" s="235" t="s">
        <v>1117</v>
      </c>
      <c r="D275" s="358">
        <f t="shared" si="59"/>
        <v>13758</v>
      </c>
      <c r="E275" s="358">
        <f t="shared" si="59"/>
        <v>11601</v>
      </c>
      <c r="F275" s="358">
        <f t="shared" si="59"/>
        <v>11639</v>
      </c>
      <c r="G275" s="358">
        <f t="shared" si="59"/>
        <v>11841</v>
      </c>
      <c r="H275" s="358">
        <f t="shared" si="59"/>
        <v>12725</v>
      </c>
      <c r="I275" s="358">
        <f t="shared" si="59"/>
        <v>11837</v>
      </c>
      <c r="J275" s="358">
        <f t="shared" si="59"/>
        <v>11750</v>
      </c>
      <c r="K275" s="358">
        <f t="shared" si="59"/>
        <v>11738</v>
      </c>
      <c r="L275" s="358">
        <f t="shared" si="59"/>
        <v>11827</v>
      </c>
      <c r="M275" s="358">
        <f t="shared" si="59"/>
        <v>13799</v>
      </c>
      <c r="N275" s="358">
        <f t="shared" si="59"/>
        <v>11798</v>
      </c>
      <c r="O275" s="358">
        <f t="shared" si="59"/>
        <v>11786</v>
      </c>
      <c r="P275" s="359">
        <f t="shared" si="60"/>
        <v>146099</v>
      </c>
      <c r="Q275" s="358"/>
      <c r="R275" s="358"/>
      <c r="S275" s="358"/>
      <c r="T275" s="358"/>
      <c r="U275" s="358"/>
      <c r="V275" s="358"/>
      <c r="W275" s="358"/>
    </row>
    <row r="276" spans="3:23">
      <c r="C276" s="235" t="s">
        <v>1118</v>
      </c>
      <c r="D276" s="358">
        <f t="shared" si="59"/>
        <v>2752</v>
      </c>
      <c r="E276" s="358">
        <f t="shared" si="59"/>
        <v>2320</v>
      </c>
      <c r="F276" s="358">
        <f t="shared" si="59"/>
        <v>2328</v>
      </c>
      <c r="G276" s="358">
        <f t="shared" si="59"/>
        <v>2368</v>
      </c>
      <c r="H276" s="358">
        <f t="shared" si="59"/>
        <v>2545</v>
      </c>
      <c r="I276" s="358">
        <f t="shared" si="59"/>
        <v>2367</v>
      </c>
      <c r="J276" s="358">
        <f t="shared" si="59"/>
        <v>2350</v>
      </c>
      <c r="K276" s="358">
        <f t="shared" si="59"/>
        <v>2348</v>
      </c>
      <c r="L276" s="358">
        <f t="shared" si="59"/>
        <v>2365</v>
      </c>
      <c r="M276" s="358">
        <f t="shared" si="59"/>
        <v>2760</v>
      </c>
      <c r="N276" s="358">
        <f t="shared" si="59"/>
        <v>2360</v>
      </c>
      <c r="O276" s="358">
        <f t="shared" si="59"/>
        <v>2357</v>
      </c>
      <c r="P276" s="359">
        <f t="shared" si="60"/>
        <v>29220</v>
      </c>
      <c r="Q276" s="358"/>
      <c r="R276" s="358"/>
      <c r="S276" s="358"/>
      <c r="T276" s="358"/>
      <c r="U276" s="358"/>
      <c r="V276" s="358"/>
      <c r="W276" s="358"/>
    </row>
    <row r="277" spans="3:23">
      <c r="C277" s="235" t="s">
        <v>1119</v>
      </c>
      <c r="D277" s="358">
        <f t="shared" si="59"/>
        <v>0</v>
      </c>
      <c r="E277" s="358">
        <f t="shared" si="59"/>
        <v>0</v>
      </c>
      <c r="F277" s="358">
        <f t="shared" si="59"/>
        <v>0</v>
      </c>
      <c r="G277" s="358">
        <f t="shared" si="59"/>
        <v>0</v>
      </c>
      <c r="H277" s="358">
        <f t="shared" si="59"/>
        <v>0</v>
      </c>
      <c r="I277" s="358">
        <f t="shared" si="59"/>
        <v>0</v>
      </c>
      <c r="J277" s="358">
        <f t="shared" si="59"/>
        <v>0</v>
      </c>
      <c r="K277" s="358">
        <f t="shared" si="59"/>
        <v>0</v>
      </c>
      <c r="L277" s="358">
        <f t="shared" si="59"/>
        <v>0</v>
      </c>
      <c r="M277" s="358">
        <f t="shared" si="59"/>
        <v>0</v>
      </c>
      <c r="N277" s="358">
        <f t="shared" si="59"/>
        <v>0</v>
      </c>
      <c r="O277" s="358">
        <f t="shared" si="59"/>
        <v>0</v>
      </c>
      <c r="P277" s="359">
        <f t="shared" si="60"/>
        <v>0</v>
      </c>
      <c r="Q277" s="358"/>
      <c r="R277" s="358"/>
      <c r="S277" s="358"/>
      <c r="T277" s="358"/>
      <c r="U277" s="358"/>
      <c r="V277" s="358"/>
      <c r="W277" s="358"/>
    </row>
    <row r="278" spans="3:23">
      <c r="C278" s="235" t="s">
        <v>1120</v>
      </c>
      <c r="D278" s="358">
        <f t="shared" ref="D278:O293" si="61">+D147+D223-D335</f>
        <v>0</v>
      </c>
      <c r="E278" s="358">
        <f t="shared" si="61"/>
        <v>0</v>
      </c>
      <c r="F278" s="358">
        <f t="shared" si="61"/>
        <v>0</v>
      </c>
      <c r="G278" s="358">
        <f t="shared" si="61"/>
        <v>0</v>
      </c>
      <c r="H278" s="358">
        <f t="shared" si="61"/>
        <v>0</v>
      </c>
      <c r="I278" s="358">
        <f t="shared" si="61"/>
        <v>0</v>
      </c>
      <c r="J278" s="358">
        <f t="shared" si="61"/>
        <v>0</v>
      </c>
      <c r="K278" s="358">
        <f t="shared" si="61"/>
        <v>0</v>
      </c>
      <c r="L278" s="358">
        <f t="shared" si="61"/>
        <v>0</v>
      </c>
      <c r="M278" s="358">
        <f t="shared" si="61"/>
        <v>0</v>
      </c>
      <c r="N278" s="358">
        <f t="shared" si="61"/>
        <v>0</v>
      </c>
      <c r="O278" s="358">
        <f t="shared" si="61"/>
        <v>0</v>
      </c>
      <c r="P278" s="359">
        <f t="shared" si="60"/>
        <v>0</v>
      </c>
      <c r="Q278" s="358"/>
      <c r="R278" s="358"/>
      <c r="S278" s="358"/>
      <c r="T278" s="358"/>
      <c r="U278" s="358"/>
      <c r="V278" s="358"/>
      <c r="W278" s="358"/>
    </row>
    <row r="279" spans="3:23">
      <c r="C279" s="235" t="s">
        <v>1121</v>
      </c>
      <c r="D279" s="358">
        <f t="shared" si="61"/>
        <v>0</v>
      </c>
      <c r="E279" s="358">
        <f t="shared" si="61"/>
        <v>0</v>
      </c>
      <c r="F279" s="358">
        <f t="shared" si="61"/>
        <v>0</v>
      </c>
      <c r="G279" s="358">
        <f t="shared" si="61"/>
        <v>0</v>
      </c>
      <c r="H279" s="358">
        <f t="shared" si="61"/>
        <v>0</v>
      </c>
      <c r="I279" s="358">
        <f t="shared" si="61"/>
        <v>0</v>
      </c>
      <c r="J279" s="358">
        <f t="shared" si="61"/>
        <v>0</v>
      </c>
      <c r="K279" s="358">
        <f t="shared" si="61"/>
        <v>0</v>
      </c>
      <c r="L279" s="358">
        <f t="shared" si="61"/>
        <v>0</v>
      </c>
      <c r="M279" s="358">
        <f t="shared" si="61"/>
        <v>0</v>
      </c>
      <c r="N279" s="358">
        <f t="shared" si="61"/>
        <v>0</v>
      </c>
      <c r="O279" s="358">
        <f t="shared" si="61"/>
        <v>0</v>
      </c>
      <c r="P279" s="359">
        <f t="shared" si="60"/>
        <v>0</v>
      </c>
      <c r="Q279" s="358"/>
      <c r="R279" s="358"/>
      <c r="S279" s="358"/>
      <c r="T279" s="358"/>
      <c r="U279" s="358"/>
      <c r="V279" s="358"/>
      <c r="W279" s="358"/>
    </row>
    <row r="280" spans="3:23">
      <c r="C280" s="235" t="s">
        <v>1122</v>
      </c>
      <c r="D280" s="358">
        <f t="shared" si="61"/>
        <v>0</v>
      </c>
      <c r="E280" s="358">
        <f t="shared" si="61"/>
        <v>0</v>
      </c>
      <c r="F280" s="358">
        <f t="shared" si="61"/>
        <v>0</v>
      </c>
      <c r="G280" s="358">
        <f t="shared" si="61"/>
        <v>0</v>
      </c>
      <c r="H280" s="358">
        <f t="shared" si="61"/>
        <v>0</v>
      </c>
      <c r="I280" s="358">
        <f t="shared" si="61"/>
        <v>0</v>
      </c>
      <c r="J280" s="358">
        <f t="shared" si="61"/>
        <v>0</v>
      </c>
      <c r="K280" s="358">
        <f t="shared" si="61"/>
        <v>0</v>
      </c>
      <c r="L280" s="358">
        <f t="shared" si="61"/>
        <v>0</v>
      </c>
      <c r="M280" s="358">
        <f t="shared" si="61"/>
        <v>0</v>
      </c>
      <c r="N280" s="358">
        <f t="shared" si="61"/>
        <v>0</v>
      </c>
      <c r="O280" s="358">
        <f t="shared" si="61"/>
        <v>0</v>
      </c>
      <c r="P280" s="359">
        <f t="shared" si="60"/>
        <v>0</v>
      </c>
      <c r="Q280" s="358"/>
      <c r="R280" s="358"/>
      <c r="S280" s="358"/>
      <c r="T280" s="358"/>
      <c r="U280" s="358"/>
      <c r="V280" s="358"/>
      <c r="W280" s="358"/>
    </row>
    <row r="281" spans="3:23">
      <c r="C281" s="235" t="s">
        <v>1123</v>
      </c>
      <c r="D281" s="358">
        <f t="shared" si="61"/>
        <v>9631</v>
      </c>
      <c r="E281" s="358">
        <f t="shared" si="61"/>
        <v>8120</v>
      </c>
      <c r="F281" s="358">
        <f t="shared" si="61"/>
        <v>8148</v>
      </c>
      <c r="G281" s="358">
        <f t="shared" si="61"/>
        <v>8289</v>
      </c>
      <c r="H281" s="358">
        <f t="shared" si="61"/>
        <v>8908</v>
      </c>
      <c r="I281" s="358">
        <f t="shared" si="61"/>
        <v>8286</v>
      </c>
      <c r="J281" s="358">
        <f t="shared" si="61"/>
        <v>8225</v>
      </c>
      <c r="K281" s="358">
        <f t="shared" si="61"/>
        <v>8216</v>
      </c>
      <c r="L281" s="358">
        <f t="shared" si="61"/>
        <v>8279</v>
      </c>
      <c r="M281" s="358">
        <f t="shared" si="61"/>
        <v>9659</v>
      </c>
      <c r="N281" s="358">
        <f t="shared" si="61"/>
        <v>8259</v>
      </c>
      <c r="O281" s="358">
        <f t="shared" si="61"/>
        <v>8250</v>
      </c>
      <c r="P281" s="359">
        <f t="shared" si="60"/>
        <v>102270</v>
      </c>
      <c r="Q281" s="358"/>
      <c r="R281" s="358"/>
      <c r="S281" s="358"/>
      <c r="T281" s="358"/>
      <c r="U281" s="358"/>
      <c r="V281" s="358"/>
      <c r="W281" s="358"/>
    </row>
    <row r="282" spans="3:23">
      <c r="C282" s="235" t="s">
        <v>1124</v>
      </c>
      <c r="D282" s="358">
        <f t="shared" si="61"/>
        <v>11006</v>
      </c>
      <c r="E282" s="358">
        <f t="shared" si="61"/>
        <v>9280</v>
      </c>
      <c r="F282" s="358">
        <f t="shared" si="61"/>
        <v>9311</v>
      </c>
      <c r="G282" s="358">
        <f t="shared" si="61"/>
        <v>9473</v>
      </c>
      <c r="H282" s="358">
        <f t="shared" si="61"/>
        <v>10180</v>
      </c>
      <c r="I282" s="358">
        <f t="shared" si="61"/>
        <v>9470</v>
      </c>
      <c r="J282" s="358">
        <f t="shared" si="61"/>
        <v>9400</v>
      </c>
      <c r="K282" s="358">
        <f t="shared" si="61"/>
        <v>9390</v>
      </c>
      <c r="L282" s="358">
        <f t="shared" si="61"/>
        <v>9462</v>
      </c>
      <c r="M282" s="358">
        <f t="shared" si="61"/>
        <v>11039</v>
      </c>
      <c r="N282" s="358">
        <f t="shared" si="61"/>
        <v>9439</v>
      </c>
      <c r="O282" s="358">
        <f t="shared" si="61"/>
        <v>9428</v>
      </c>
      <c r="P282" s="359">
        <f t="shared" si="60"/>
        <v>116878</v>
      </c>
      <c r="Q282" s="358"/>
      <c r="R282" s="358"/>
      <c r="S282" s="358"/>
      <c r="T282" s="358"/>
      <c r="U282" s="358"/>
      <c r="V282" s="358"/>
      <c r="W282" s="358"/>
    </row>
    <row r="283" spans="3:23">
      <c r="C283" s="235" t="s">
        <v>1125</v>
      </c>
      <c r="D283" s="358">
        <f t="shared" si="61"/>
        <v>0</v>
      </c>
      <c r="E283" s="358">
        <f t="shared" si="61"/>
        <v>0</v>
      </c>
      <c r="F283" s="358">
        <f t="shared" si="61"/>
        <v>0</v>
      </c>
      <c r="G283" s="358">
        <f t="shared" si="61"/>
        <v>0</v>
      </c>
      <c r="H283" s="358">
        <f t="shared" si="61"/>
        <v>0</v>
      </c>
      <c r="I283" s="358">
        <f t="shared" si="61"/>
        <v>0</v>
      </c>
      <c r="J283" s="358">
        <f t="shared" si="61"/>
        <v>0</v>
      </c>
      <c r="K283" s="358">
        <f t="shared" si="61"/>
        <v>0</v>
      </c>
      <c r="L283" s="358">
        <f t="shared" si="61"/>
        <v>0</v>
      </c>
      <c r="M283" s="358">
        <f t="shared" si="61"/>
        <v>0</v>
      </c>
      <c r="N283" s="358">
        <f t="shared" si="61"/>
        <v>0</v>
      </c>
      <c r="O283" s="358">
        <f t="shared" si="61"/>
        <v>0</v>
      </c>
      <c r="P283" s="359">
        <f t="shared" si="60"/>
        <v>0</v>
      </c>
      <c r="Q283" s="358"/>
      <c r="R283" s="358"/>
      <c r="S283" s="358"/>
      <c r="T283" s="358"/>
      <c r="U283" s="358"/>
      <c r="V283" s="358"/>
      <c r="W283" s="358"/>
    </row>
    <row r="284" spans="3:23">
      <c r="C284" s="235" t="s">
        <v>1126</v>
      </c>
      <c r="D284" s="358">
        <f t="shared" si="61"/>
        <v>4127</v>
      </c>
      <c r="E284" s="358">
        <f t="shared" si="61"/>
        <v>3480</v>
      </c>
      <c r="F284" s="358">
        <f t="shared" si="61"/>
        <v>3492</v>
      </c>
      <c r="G284" s="358">
        <f t="shared" si="61"/>
        <v>3552</v>
      </c>
      <c r="H284" s="358">
        <f t="shared" si="61"/>
        <v>3818</v>
      </c>
      <c r="I284" s="358">
        <f t="shared" si="61"/>
        <v>3551</v>
      </c>
      <c r="J284" s="358">
        <f t="shared" si="61"/>
        <v>3525</v>
      </c>
      <c r="K284" s="358">
        <f t="shared" si="61"/>
        <v>3521</v>
      </c>
      <c r="L284" s="358">
        <f t="shared" si="61"/>
        <v>3548</v>
      </c>
      <c r="M284" s="358">
        <f t="shared" si="61"/>
        <v>4140</v>
      </c>
      <c r="N284" s="358">
        <f t="shared" si="61"/>
        <v>3540</v>
      </c>
      <c r="O284" s="358">
        <f t="shared" si="61"/>
        <v>3536</v>
      </c>
      <c r="P284" s="359">
        <f t="shared" si="60"/>
        <v>43830</v>
      </c>
      <c r="Q284" s="358"/>
      <c r="R284" s="358"/>
      <c r="S284" s="358"/>
      <c r="T284" s="358"/>
      <c r="U284" s="358"/>
      <c r="V284" s="358"/>
      <c r="W284" s="358"/>
    </row>
    <row r="285" spans="3:23">
      <c r="C285" s="235" t="s">
        <v>1127</v>
      </c>
      <c r="D285" s="358">
        <f t="shared" si="61"/>
        <v>0</v>
      </c>
      <c r="E285" s="358">
        <f t="shared" si="61"/>
        <v>0</v>
      </c>
      <c r="F285" s="358">
        <f t="shared" si="61"/>
        <v>0</v>
      </c>
      <c r="G285" s="358">
        <f t="shared" si="61"/>
        <v>0</v>
      </c>
      <c r="H285" s="358">
        <f t="shared" si="61"/>
        <v>0</v>
      </c>
      <c r="I285" s="358">
        <f t="shared" si="61"/>
        <v>0</v>
      </c>
      <c r="J285" s="358">
        <f t="shared" si="61"/>
        <v>0</v>
      </c>
      <c r="K285" s="358">
        <f t="shared" si="61"/>
        <v>0</v>
      </c>
      <c r="L285" s="358">
        <f t="shared" si="61"/>
        <v>0</v>
      </c>
      <c r="M285" s="358">
        <f t="shared" si="61"/>
        <v>0</v>
      </c>
      <c r="N285" s="358">
        <f t="shared" si="61"/>
        <v>0</v>
      </c>
      <c r="O285" s="358">
        <f t="shared" si="61"/>
        <v>0</v>
      </c>
      <c r="P285" s="359">
        <f t="shared" si="60"/>
        <v>0</v>
      </c>
      <c r="Q285" s="358"/>
      <c r="R285" s="358"/>
      <c r="S285" s="358"/>
      <c r="T285" s="358"/>
      <c r="U285" s="358"/>
      <c r="V285" s="358"/>
      <c r="W285" s="358"/>
    </row>
    <row r="286" spans="3:23">
      <c r="C286" s="235" t="s">
        <v>1128</v>
      </c>
      <c r="D286" s="358">
        <f t="shared" si="61"/>
        <v>0</v>
      </c>
      <c r="E286" s="358">
        <f t="shared" si="61"/>
        <v>0</v>
      </c>
      <c r="F286" s="358">
        <f t="shared" si="61"/>
        <v>0</v>
      </c>
      <c r="G286" s="358">
        <f t="shared" si="61"/>
        <v>0</v>
      </c>
      <c r="H286" s="358">
        <f t="shared" si="61"/>
        <v>0</v>
      </c>
      <c r="I286" s="358">
        <f t="shared" si="61"/>
        <v>0</v>
      </c>
      <c r="J286" s="358">
        <f t="shared" si="61"/>
        <v>0</v>
      </c>
      <c r="K286" s="358">
        <f t="shared" si="61"/>
        <v>0</v>
      </c>
      <c r="L286" s="358">
        <f t="shared" si="61"/>
        <v>0</v>
      </c>
      <c r="M286" s="358">
        <f t="shared" si="61"/>
        <v>0</v>
      </c>
      <c r="N286" s="358">
        <f t="shared" si="61"/>
        <v>0</v>
      </c>
      <c r="O286" s="358">
        <f t="shared" si="61"/>
        <v>0</v>
      </c>
      <c r="P286" s="359">
        <f t="shared" si="60"/>
        <v>0</v>
      </c>
      <c r="Q286" s="358"/>
      <c r="R286" s="358"/>
      <c r="S286" s="358"/>
      <c r="T286" s="358"/>
      <c r="U286" s="358"/>
      <c r="V286" s="358"/>
      <c r="W286" s="358"/>
    </row>
    <row r="287" spans="3:23">
      <c r="C287" s="235" t="s">
        <v>1129</v>
      </c>
      <c r="D287" s="358">
        <f t="shared" si="61"/>
        <v>5503</v>
      </c>
      <c r="E287" s="358">
        <f t="shared" si="61"/>
        <v>4640</v>
      </c>
      <c r="F287" s="358">
        <f t="shared" si="61"/>
        <v>4656</v>
      </c>
      <c r="G287" s="358">
        <f t="shared" si="61"/>
        <v>4736</v>
      </c>
      <c r="H287" s="358">
        <f t="shared" si="61"/>
        <v>5090</v>
      </c>
      <c r="I287" s="358">
        <f t="shared" si="61"/>
        <v>4735</v>
      </c>
      <c r="J287" s="358">
        <f t="shared" si="61"/>
        <v>4700</v>
      </c>
      <c r="K287" s="358">
        <f t="shared" si="61"/>
        <v>4695</v>
      </c>
      <c r="L287" s="358">
        <f t="shared" si="61"/>
        <v>4731</v>
      </c>
      <c r="M287" s="358">
        <f t="shared" si="61"/>
        <v>5520</v>
      </c>
      <c r="N287" s="358">
        <f t="shared" si="61"/>
        <v>4719</v>
      </c>
      <c r="O287" s="358">
        <f t="shared" si="61"/>
        <v>4714</v>
      </c>
      <c r="P287" s="359">
        <f t="shared" si="60"/>
        <v>58439</v>
      </c>
      <c r="Q287" s="358"/>
      <c r="R287" s="358"/>
      <c r="S287" s="358"/>
      <c r="T287" s="358"/>
      <c r="U287" s="358"/>
      <c r="V287" s="358"/>
      <c r="W287" s="358"/>
    </row>
    <row r="288" spans="3:23">
      <c r="C288" s="235" t="s">
        <v>1130</v>
      </c>
      <c r="D288" s="358">
        <f t="shared" si="61"/>
        <v>8255</v>
      </c>
      <c r="E288" s="358">
        <f t="shared" si="61"/>
        <v>6960</v>
      </c>
      <c r="F288" s="358">
        <f t="shared" si="61"/>
        <v>6984</v>
      </c>
      <c r="G288" s="358">
        <f t="shared" si="61"/>
        <v>7105</v>
      </c>
      <c r="H288" s="358">
        <f t="shared" si="61"/>
        <v>7635</v>
      </c>
      <c r="I288" s="358">
        <f t="shared" si="61"/>
        <v>7102</v>
      </c>
      <c r="J288" s="358">
        <f t="shared" si="61"/>
        <v>7050</v>
      </c>
      <c r="K288" s="358">
        <f t="shared" si="61"/>
        <v>7043</v>
      </c>
      <c r="L288" s="358">
        <f t="shared" si="61"/>
        <v>7096</v>
      </c>
      <c r="M288" s="358">
        <f t="shared" si="61"/>
        <v>8279</v>
      </c>
      <c r="N288" s="358">
        <f t="shared" si="61"/>
        <v>7079</v>
      </c>
      <c r="O288" s="358">
        <f t="shared" si="61"/>
        <v>7071</v>
      </c>
      <c r="P288" s="359">
        <f t="shared" si="60"/>
        <v>87659</v>
      </c>
      <c r="Q288" s="358"/>
      <c r="R288" s="358"/>
      <c r="S288" s="358"/>
      <c r="T288" s="358"/>
      <c r="U288" s="358"/>
      <c r="V288" s="358"/>
      <c r="W288" s="358"/>
    </row>
    <row r="289" spans="3:23">
      <c r="C289" s="235" t="s">
        <v>1131</v>
      </c>
      <c r="D289" s="358">
        <f t="shared" si="61"/>
        <v>0</v>
      </c>
      <c r="E289" s="358">
        <f t="shared" si="61"/>
        <v>0</v>
      </c>
      <c r="F289" s="358">
        <f t="shared" si="61"/>
        <v>0</v>
      </c>
      <c r="G289" s="358">
        <f t="shared" si="61"/>
        <v>0</v>
      </c>
      <c r="H289" s="358">
        <f t="shared" si="61"/>
        <v>0</v>
      </c>
      <c r="I289" s="358">
        <f t="shared" si="61"/>
        <v>0</v>
      </c>
      <c r="J289" s="358">
        <f t="shared" si="61"/>
        <v>0</v>
      </c>
      <c r="K289" s="358">
        <f t="shared" si="61"/>
        <v>0</v>
      </c>
      <c r="L289" s="358">
        <f t="shared" si="61"/>
        <v>0</v>
      </c>
      <c r="M289" s="358">
        <f t="shared" si="61"/>
        <v>0</v>
      </c>
      <c r="N289" s="358">
        <f t="shared" si="61"/>
        <v>0</v>
      </c>
      <c r="O289" s="358">
        <f t="shared" si="61"/>
        <v>0</v>
      </c>
      <c r="P289" s="359">
        <f t="shared" si="60"/>
        <v>0</v>
      </c>
      <c r="Q289" s="358"/>
      <c r="R289" s="358"/>
      <c r="S289" s="358"/>
      <c r="T289" s="358"/>
      <c r="U289" s="358"/>
      <c r="V289" s="358"/>
      <c r="W289" s="358"/>
    </row>
    <row r="290" spans="3:23">
      <c r="C290" s="235" t="s">
        <v>1132</v>
      </c>
      <c r="D290" s="358">
        <f t="shared" si="61"/>
        <v>26140</v>
      </c>
      <c r="E290" s="358">
        <f t="shared" si="61"/>
        <v>22041</v>
      </c>
      <c r="F290" s="358">
        <f t="shared" si="61"/>
        <v>22115</v>
      </c>
      <c r="G290" s="358">
        <f t="shared" si="61"/>
        <v>22498</v>
      </c>
      <c r="H290" s="358">
        <f t="shared" si="61"/>
        <v>24178</v>
      </c>
      <c r="I290" s="358">
        <f t="shared" si="61"/>
        <v>22491</v>
      </c>
      <c r="J290" s="358">
        <f t="shared" si="61"/>
        <v>22326</v>
      </c>
      <c r="K290" s="358">
        <f t="shared" si="61"/>
        <v>22301</v>
      </c>
      <c r="L290" s="358">
        <f t="shared" si="61"/>
        <v>22471</v>
      </c>
      <c r="M290" s="358">
        <f t="shared" si="61"/>
        <v>26218</v>
      </c>
      <c r="N290" s="358">
        <f t="shared" si="61"/>
        <v>22417</v>
      </c>
      <c r="O290" s="358">
        <f t="shared" si="61"/>
        <v>22393</v>
      </c>
      <c r="P290" s="359">
        <f t="shared" si="60"/>
        <v>277589</v>
      </c>
      <c r="Q290" s="358"/>
      <c r="R290" s="358"/>
      <c r="S290" s="358"/>
      <c r="T290" s="358"/>
      <c r="U290" s="358"/>
      <c r="V290" s="358"/>
      <c r="W290" s="358"/>
    </row>
    <row r="291" spans="3:23">
      <c r="C291" s="235" t="s">
        <v>1133</v>
      </c>
      <c r="D291" s="358">
        <f t="shared" si="61"/>
        <v>8255</v>
      </c>
      <c r="E291" s="358">
        <f t="shared" si="61"/>
        <v>6960</v>
      </c>
      <c r="F291" s="358">
        <f t="shared" si="61"/>
        <v>6984</v>
      </c>
      <c r="G291" s="358">
        <f t="shared" si="61"/>
        <v>7105</v>
      </c>
      <c r="H291" s="358">
        <f t="shared" si="61"/>
        <v>7635</v>
      </c>
      <c r="I291" s="358">
        <f t="shared" si="61"/>
        <v>7102</v>
      </c>
      <c r="J291" s="358">
        <f t="shared" si="61"/>
        <v>7050</v>
      </c>
      <c r="K291" s="358">
        <f t="shared" si="61"/>
        <v>7043</v>
      </c>
      <c r="L291" s="358">
        <f t="shared" si="61"/>
        <v>7096</v>
      </c>
      <c r="M291" s="358">
        <f t="shared" si="61"/>
        <v>8279</v>
      </c>
      <c r="N291" s="358">
        <f t="shared" si="61"/>
        <v>7079</v>
      </c>
      <c r="O291" s="358">
        <f t="shared" si="61"/>
        <v>7071</v>
      </c>
      <c r="P291" s="359">
        <f t="shared" si="60"/>
        <v>87659</v>
      </c>
      <c r="Q291" s="358"/>
      <c r="R291" s="358"/>
      <c r="S291" s="358"/>
      <c r="T291" s="358"/>
      <c r="U291" s="358"/>
      <c r="V291" s="358"/>
      <c r="W291" s="358"/>
    </row>
    <row r="292" spans="3:23">
      <c r="C292" s="235" t="s">
        <v>1134</v>
      </c>
      <c r="D292" s="358">
        <f t="shared" si="61"/>
        <v>5503</v>
      </c>
      <c r="E292" s="358">
        <f t="shared" si="61"/>
        <v>4640</v>
      </c>
      <c r="F292" s="358">
        <f t="shared" si="61"/>
        <v>4656</v>
      </c>
      <c r="G292" s="358">
        <f t="shared" si="61"/>
        <v>4736</v>
      </c>
      <c r="H292" s="358">
        <f t="shared" si="61"/>
        <v>5090</v>
      </c>
      <c r="I292" s="358">
        <f t="shared" si="61"/>
        <v>4735</v>
      </c>
      <c r="J292" s="358">
        <f t="shared" si="61"/>
        <v>4700</v>
      </c>
      <c r="K292" s="358">
        <f t="shared" si="61"/>
        <v>4695</v>
      </c>
      <c r="L292" s="358">
        <f t="shared" si="61"/>
        <v>4731</v>
      </c>
      <c r="M292" s="358">
        <f t="shared" si="61"/>
        <v>5520</v>
      </c>
      <c r="N292" s="358">
        <f t="shared" si="61"/>
        <v>4719</v>
      </c>
      <c r="O292" s="358">
        <f t="shared" si="61"/>
        <v>4714</v>
      </c>
      <c r="P292" s="359">
        <f t="shared" si="60"/>
        <v>58439</v>
      </c>
      <c r="Q292" s="358"/>
      <c r="R292" s="358"/>
      <c r="S292" s="358"/>
      <c r="T292" s="358"/>
      <c r="U292" s="358"/>
      <c r="V292" s="358"/>
      <c r="W292" s="358"/>
    </row>
    <row r="293" spans="3:23">
      <c r="C293" s="235" t="s">
        <v>1135</v>
      </c>
      <c r="D293" s="358">
        <f t="shared" si="61"/>
        <v>0</v>
      </c>
      <c r="E293" s="358">
        <f t="shared" si="61"/>
        <v>0</v>
      </c>
      <c r="F293" s="358">
        <f t="shared" si="61"/>
        <v>0</v>
      </c>
      <c r="G293" s="358">
        <f t="shared" si="61"/>
        <v>0</v>
      </c>
      <c r="H293" s="358">
        <f t="shared" si="61"/>
        <v>0</v>
      </c>
      <c r="I293" s="358">
        <f t="shared" si="61"/>
        <v>0</v>
      </c>
      <c r="J293" s="358">
        <f t="shared" si="61"/>
        <v>0</v>
      </c>
      <c r="K293" s="358">
        <f t="shared" si="61"/>
        <v>0</v>
      </c>
      <c r="L293" s="358">
        <f t="shared" si="61"/>
        <v>0</v>
      </c>
      <c r="M293" s="358">
        <f t="shared" si="61"/>
        <v>0</v>
      </c>
      <c r="N293" s="358">
        <f t="shared" si="61"/>
        <v>0</v>
      </c>
      <c r="O293" s="358">
        <f t="shared" si="61"/>
        <v>0</v>
      </c>
      <c r="P293" s="359">
        <f t="shared" si="60"/>
        <v>0</v>
      </c>
      <c r="Q293" s="358"/>
      <c r="R293" s="358"/>
      <c r="S293" s="358"/>
      <c r="T293" s="358"/>
      <c r="U293" s="358"/>
      <c r="V293" s="358"/>
      <c r="W293" s="358"/>
    </row>
    <row r="294" spans="3:23">
      <c r="C294" s="235" t="s">
        <v>1136</v>
      </c>
      <c r="D294" s="358">
        <f t="shared" ref="D294:O309" si="62">+D163+D239-D351</f>
        <v>0</v>
      </c>
      <c r="E294" s="358">
        <f t="shared" si="62"/>
        <v>0</v>
      </c>
      <c r="F294" s="358">
        <f t="shared" si="62"/>
        <v>0</v>
      </c>
      <c r="G294" s="358">
        <f t="shared" si="62"/>
        <v>0</v>
      </c>
      <c r="H294" s="358">
        <f t="shared" si="62"/>
        <v>0</v>
      </c>
      <c r="I294" s="358">
        <f t="shared" si="62"/>
        <v>0</v>
      </c>
      <c r="J294" s="358">
        <f t="shared" si="62"/>
        <v>0</v>
      </c>
      <c r="K294" s="358">
        <f t="shared" si="62"/>
        <v>0</v>
      </c>
      <c r="L294" s="358">
        <f t="shared" si="62"/>
        <v>0</v>
      </c>
      <c r="M294" s="358">
        <f t="shared" si="62"/>
        <v>0</v>
      </c>
      <c r="N294" s="358">
        <f t="shared" si="62"/>
        <v>0</v>
      </c>
      <c r="O294" s="358">
        <f t="shared" si="62"/>
        <v>0</v>
      </c>
      <c r="P294" s="359">
        <f t="shared" si="60"/>
        <v>0</v>
      </c>
      <c r="Q294" s="358"/>
      <c r="R294" s="358"/>
      <c r="S294" s="358"/>
      <c r="T294" s="358"/>
      <c r="U294" s="358"/>
      <c r="V294" s="358"/>
      <c r="W294" s="358"/>
    </row>
    <row r="295" spans="3:23">
      <c r="C295" s="235" t="s">
        <v>1137</v>
      </c>
      <c r="D295" s="358">
        <f t="shared" si="62"/>
        <v>0</v>
      </c>
      <c r="E295" s="358">
        <f t="shared" si="62"/>
        <v>0</v>
      </c>
      <c r="F295" s="358">
        <f t="shared" si="62"/>
        <v>0</v>
      </c>
      <c r="G295" s="358">
        <f t="shared" si="62"/>
        <v>0</v>
      </c>
      <c r="H295" s="358">
        <f t="shared" si="62"/>
        <v>0</v>
      </c>
      <c r="I295" s="358">
        <f t="shared" si="62"/>
        <v>0</v>
      </c>
      <c r="J295" s="358">
        <f t="shared" si="62"/>
        <v>0</v>
      </c>
      <c r="K295" s="358">
        <f t="shared" si="62"/>
        <v>0</v>
      </c>
      <c r="L295" s="358">
        <f t="shared" si="62"/>
        <v>0</v>
      </c>
      <c r="M295" s="358">
        <f t="shared" si="62"/>
        <v>0</v>
      </c>
      <c r="N295" s="358">
        <f t="shared" si="62"/>
        <v>0</v>
      </c>
      <c r="O295" s="358">
        <f t="shared" si="62"/>
        <v>0</v>
      </c>
      <c r="P295" s="359">
        <f t="shared" si="60"/>
        <v>0</v>
      </c>
      <c r="Q295" s="358"/>
      <c r="R295" s="358"/>
      <c r="S295" s="358"/>
      <c r="T295" s="358"/>
      <c r="U295" s="358"/>
      <c r="V295" s="358"/>
      <c r="W295" s="358"/>
    </row>
    <row r="296" spans="3:23">
      <c r="C296" s="235" t="s">
        <v>1138</v>
      </c>
      <c r="D296" s="358">
        <f t="shared" si="62"/>
        <v>0</v>
      </c>
      <c r="E296" s="358">
        <f t="shared" si="62"/>
        <v>0</v>
      </c>
      <c r="F296" s="358">
        <f t="shared" si="62"/>
        <v>0</v>
      </c>
      <c r="G296" s="358">
        <f t="shared" si="62"/>
        <v>0</v>
      </c>
      <c r="H296" s="358">
        <f t="shared" si="62"/>
        <v>0</v>
      </c>
      <c r="I296" s="358">
        <f t="shared" si="62"/>
        <v>0</v>
      </c>
      <c r="J296" s="358">
        <f t="shared" si="62"/>
        <v>0</v>
      </c>
      <c r="K296" s="358">
        <f t="shared" si="62"/>
        <v>0</v>
      </c>
      <c r="L296" s="358">
        <f t="shared" si="62"/>
        <v>0</v>
      </c>
      <c r="M296" s="358">
        <f t="shared" si="62"/>
        <v>0</v>
      </c>
      <c r="N296" s="358">
        <f t="shared" si="62"/>
        <v>0</v>
      </c>
      <c r="O296" s="358">
        <f t="shared" si="62"/>
        <v>0</v>
      </c>
      <c r="P296" s="359">
        <f t="shared" si="60"/>
        <v>0</v>
      </c>
      <c r="Q296" s="358"/>
      <c r="R296" s="358"/>
      <c r="S296" s="358"/>
      <c r="T296" s="358"/>
      <c r="U296" s="358"/>
      <c r="V296" s="358"/>
      <c r="W296" s="358"/>
    </row>
    <row r="297" spans="3:23">
      <c r="C297" s="235" t="s">
        <v>1139</v>
      </c>
      <c r="D297" s="358">
        <f t="shared" si="62"/>
        <v>50905</v>
      </c>
      <c r="E297" s="358">
        <f t="shared" si="62"/>
        <v>42922</v>
      </c>
      <c r="F297" s="358">
        <f t="shared" si="62"/>
        <v>43065</v>
      </c>
      <c r="G297" s="358">
        <f t="shared" si="62"/>
        <v>43812</v>
      </c>
      <c r="H297" s="358">
        <f t="shared" si="62"/>
        <v>47083</v>
      </c>
      <c r="I297" s="358">
        <f t="shared" si="62"/>
        <v>43798</v>
      </c>
      <c r="J297" s="358">
        <f t="shared" si="62"/>
        <v>43476</v>
      </c>
      <c r="K297" s="358">
        <f t="shared" si="62"/>
        <v>43429</v>
      </c>
      <c r="L297" s="358">
        <f t="shared" si="62"/>
        <v>43760</v>
      </c>
      <c r="M297" s="358">
        <f t="shared" si="62"/>
        <v>51056</v>
      </c>
      <c r="N297" s="358">
        <f t="shared" si="62"/>
        <v>43654</v>
      </c>
      <c r="O297" s="358">
        <f t="shared" si="62"/>
        <v>43607</v>
      </c>
      <c r="P297" s="359">
        <f t="shared" si="60"/>
        <v>540567</v>
      </c>
      <c r="Q297" s="358"/>
      <c r="R297" s="358"/>
      <c r="S297" s="358"/>
      <c r="T297" s="358"/>
      <c r="U297" s="358"/>
      <c r="V297" s="358"/>
      <c r="W297" s="358"/>
    </row>
    <row r="298" spans="3:23">
      <c r="C298" s="235" t="s">
        <v>1140</v>
      </c>
      <c r="D298" s="358">
        <f t="shared" si="62"/>
        <v>9631</v>
      </c>
      <c r="E298" s="358">
        <f t="shared" si="62"/>
        <v>8120</v>
      </c>
      <c r="F298" s="358">
        <f t="shared" si="62"/>
        <v>8148</v>
      </c>
      <c r="G298" s="358">
        <f t="shared" si="62"/>
        <v>8289</v>
      </c>
      <c r="H298" s="358">
        <f t="shared" si="62"/>
        <v>8908</v>
      </c>
      <c r="I298" s="358">
        <f t="shared" si="62"/>
        <v>8286</v>
      </c>
      <c r="J298" s="358">
        <f t="shared" si="62"/>
        <v>8225</v>
      </c>
      <c r="K298" s="358">
        <f t="shared" si="62"/>
        <v>8216</v>
      </c>
      <c r="L298" s="358">
        <f t="shared" si="62"/>
        <v>8279</v>
      </c>
      <c r="M298" s="358">
        <f t="shared" si="62"/>
        <v>9659</v>
      </c>
      <c r="N298" s="358">
        <f t="shared" si="62"/>
        <v>8259</v>
      </c>
      <c r="O298" s="358">
        <f t="shared" si="62"/>
        <v>8250</v>
      </c>
      <c r="P298" s="359">
        <f t="shared" si="60"/>
        <v>102270</v>
      </c>
      <c r="Q298" s="358"/>
      <c r="R298" s="358"/>
      <c r="S298" s="358"/>
      <c r="T298" s="358"/>
      <c r="U298" s="358"/>
      <c r="V298" s="358"/>
      <c r="W298" s="358"/>
    </row>
    <row r="299" spans="3:23">
      <c r="C299" s="235" t="s">
        <v>1141</v>
      </c>
      <c r="D299" s="358">
        <f t="shared" si="62"/>
        <v>8255</v>
      </c>
      <c r="E299" s="358">
        <f t="shared" si="62"/>
        <v>6960</v>
      </c>
      <c r="F299" s="358">
        <f t="shared" si="62"/>
        <v>6984</v>
      </c>
      <c r="G299" s="358">
        <f t="shared" si="62"/>
        <v>7105</v>
      </c>
      <c r="H299" s="358">
        <f t="shared" si="62"/>
        <v>7635</v>
      </c>
      <c r="I299" s="358">
        <f t="shared" si="62"/>
        <v>7102</v>
      </c>
      <c r="J299" s="358">
        <f t="shared" si="62"/>
        <v>7050</v>
      </c>
      <c r="K299" s="358">
        <f t="shared" si="62"/>
        <v>7043</v>
      </c>
      <c r="L299" s="358">
        <f t="shared" si="62"/>
        <v>7096</v>
      </c>
      <c r="M299" s="358">
        <f t="shared" si="62"/>
        <v>8279</v>
      </c>
      <c r="N299" s="358">
        <f t="shared" si="62"/>
        <v>7079</v>
      </c>
      <c r="O299" s="358">
        <f t="shared" si="62"/>
        <v>7071</v>
      </c>
      <c r="P299" s="359">
        <f t="shared" si="60"/>
        <v>87659</v>
      </c>
      <c r="Q299" s="358"/>
      <c r="R299" s="358"/>
      <c r="S299" s="358"/>
      <c r="T299" s="358"/>
      <c r="U299" s="358"/>
      <c r="V299" s="358"/>
      <c r="W299" s="358"/>
    </row>
    <row r="300" spans="3:23">
      <c r="C300" s="235" t="s">
        <v>1142</v>
      </c>
      <c r="D300" s="358">
        <f t="shared" si="62"/>
        <v>4127</v>
      </c>
      <c r="E300" s="358">
        <f t="shared" si="62"/>
        <v>3480</v>
      </c>
      <c r="F300" s="358">
        <f t="shared" si="62"/>
        <v>3492</v>
      </c>
      <c r="G300" s="358">
        <f t="shared" si="62"/>
        <v>3552</v>
      </c>
      <c r="H300" s="358">
        <f t="shared" si="62"/>
        <v>3818</v>
      </c>
      <c r="I300" s="358">
        <f t="shared" si="62"/>
        <v>3551</v>
      </c>
      <c r="J300" s="358">
        <f t="shared" si="62"/>
        <v>3525</v>
      </c>
      <c r="K300" s="358">
        <f t="shared" si="62"/>
        <v>3521</v>
      </c>
      <c r="L300" s="358">
        <f t="shared" si="62"/>
        <v>3548</v>
      </c>
      <c r="M300" s="358">
        <f t="shared" si="62"/>
        <v>4140</v>
      </c>
      <c r="N300" s="358">
        <f t="shared" si="62"/>
        <v>3540</v>
      </c>
      <c r="O300" s="358">
        <f t="shared" si="62"/>
        <v>3536</v>
      </c>
      <c r="P300" s="359">
        <f t="shared" si="60"/>
        <v>43830</v>
      </c>
      <c r="Q300" s="358"/>
      <c r="R300" s="358"/>
      <c r="S300" s="358"/>
      <c r="T300" s="358"/>
      <c r="U300" s="358"/>
      <c r="V300" s="358"/>
      <c r="W300" s="358"/>
    </row>
    <row r="301" spans="3:23">
      <c r="C301" s="235" t="s">
        <v>1143</v>
      </c>
      <c r="D301" s="358">
        <f t="shared" si="62"/>
        <v>0</v>
      </c>
      <c r="E301" s="358">
        <f t="shared" si="62"/>
        <v>0</v>
      </c>
      <c r="F301" s="358">
        <f t="shared" si="62"/>
        <v>0</v>
      </c>
      <c r="G301" s="358">
        <f t="shared" si="62"/>
        <v>0</v>
      </c>
      <c r="H301" s="358">
        <f t="shared" si="62"/>
        <v>0</v>
      </c>
      <c r="I301" s="358">
        <f t="shared" si="62"/>
        <v>0</v>
      </c>
      <c r="J301" s="358">
        <f t="shared" si="62"/>
        <v>0</v>
      </c>
      <c r="K301" s="358">
        <f t="shared" si="62"/>
        <v>0</v>
      </c>
      <c r="L301" s="358">
        <f t="shared" si="62"/>
        <v>0</v>
      </c>
      <c r="M301" s="358">
        <f t="shared" si="62"/>
        <v>0</v>
      </c>
      <c r="N301" s="358">
        <f t="shared" si="62"/>
        <v>0</v>
      </c>
      <c r="O301" s="358">
        <f t="shared" si="62"/>
        <v>0</v>
      </c>
      <c r="P301" s="359">
        <f t="shared" si="60"/>
        <v>0</v>
      </c>
      <c r="Q301" s="358"/>
      <c r="R301" s="358"/>
      <c r="S301" s="358"/>
      <c r="T301" s="358"/>
      <c r="U301" s="358"/>
      <c r="V301" s="358"/>
      <c r="W301" s="358"/>
    </row>
    <row r="302" spans="3:23">
      <c r="C302" s="235" t="s">
        <v>1144</v>
      </c>
      <c r="D302" s="358">
        <f t="shared" si="62"/>
        <v>0</v>
      </c>
      <c r="E302" s="358">
        <f t="shared" si="62"/>
        <v>0</v>
      </c>
      <c r="F302" s="358">
        <f t="shared" si="62"/>
        <v>0</v>
      </c>
      <c r="G302" s="358">
        <f t="shared" si="62"/>
        <v>0</v>
      </c>
      <c r="H302" s="358">
        <f t="shared" si="62"/>
        <v>0</v>
      </c>
      <c r="I302" s="358">
        <f t="shared" si="62"/>
        <v>0</v>
      </c>
      <c r="J302" s="358">
        <f t="shared" si="62"/>
        <v>0</v>
      </c>
      <c r="K302" s="358">
        <f t="shared" si="62"/>
        <v>0</v>
      </c>
      <c r="L302" s="358">
        <f t="shared" si="62"/>
        <v>0</v>
      </c>
      <c r="M302" s="358">
        <f t="shared" si="62"/>
        <v>0</v>
      </c>
      <c r="N302" s="358">
        <f t="shared" si="62"/>
        <v>0</v>
      </c>
      <c r="O302" s="358">
        <f t="shared" si="62"/>
        <v>0</v>
      </c>
      <c r="P302" s="359">
        <f t="shared" si="60"/>
        <v>0</v>
      </c>
      <c r="Q302" s="358"/>
      <c r="R302" s="358"/>
      <c r="S302" s="358"/>
      <c r="T302" s="358"/>
      <c r="U302" s="358"/>
      <c r="V302" s="358"/>
      <c r="W302" s="358"/>
    </row>
    <row r="303" spans="3:23">
      <c r="C303" s="235" t="s">
        <v>1145</v>
      </c>
      <c r="D303" s="358">
        <f t="shared" si="62"/>
        <v>13758</v>
      </c>
      <c r="E303" s="358">
        <f t="shared" si="62"/>
        <v>11601</v>
      </c>
      <c r="F303" s="358">
        <f t="shared" si="62"/>
        <v>11639</v>
      </c>
      <c r="G303" s="358">
        <f t="shared" si="62"/>
        <v>11841</v>
      </c>
      <c r="H303" s="358">
        <f t="shared" si="62"/>
        <v>12725</v>
      </c>
      <c r="I303" s="358">
        <f t="shared" si="62"/>
        <v>11837</v>
      </c>
      <c r="J303" s="358">
        <f t="shared" si="62"/>
        <v>11750</v>
      </c>
      <c r="K303" s="358">
        <f t="shared" si="62"/>
        <v>11738</v>
      </c>
      <c r="L303" s="358">
        <f t="shared" si="62"/>
        <v>11827</v>
      </c>
      <c r="M303" s="358">
        <f t="shared" si="62"/>
        <v>13799</v>
      </c>
      <c r="N303" s="358">
        <f t="shared" si="62"/>
        <v>11798</v>
      </c>
      <c r="O303" s="358">
        <f t="shared" si="62"/>
        <v>11786</v>
      </c>
      <c r="P303" s="359">
        <f t="shared" si="60"/>
        <v>146099</v>
      </c>
      <c r="Q303" s="358"/>
      <c r="R303" s="358"/>
      <c r="S303" s="358"/>
      <c r="T303" s="358"/>
      <c r="U303" s="358"/>
      <c r="V303" s="358"/>
      <c r="W303" s="358"/>
    </row>
    <row r="304" spans="3:23">
      <c r="C304" s="235" t="s">
        <v>1146</v>
      </c>
      <c r="D304" s="358">
        <f t="shared" si="62"/>
        <v>8255</v>
      </c>
      <c r="E304" s="358">
        <f t="shared" si="62"/>
        <v>6960</v>
      </c>
      <c r="F304" s="358">
        <f t="shared" si="62"/>
        <v>6984</v>
      </c>
      <c r="G304" s="358">
        <f t="shared" si="62"/>
        <v>7105</v>
      </c>
      <c r="H304" s="358">
        <f t="shared" si="62"/>
        <v>7635</v>
      </c>
      <c r="I304" s="358">
        <f t="shared" si="62"/>
        <v>7102</v>
      </c>
      <c r="J304" s="358">
        <f t="shared" si="62"/>
        <v>7050</v>
      </c>
      <c r="K304" s="358">
        <f t="shared" si="62"/>
        <v>7043</v>
      </c>
      <c r="L304" s="358">
        <f t="shared" si="62"/>
        <v>7096</v>
      </c>
      <c r="M304" s="358">
        <f t="shared" si="62"/>
        <v>8279</v>
      </c>
      <c r="N304" s="358">
        <f t="shared" si="62"/>
        <v>7079</v>
      </c>
      <c r="O304" s="358">
        <f t="shared" si="62"/>
        <v>7071</v>
      </c>
      <c r="P304" s="359">
        <f t="shared" si="60"/>
        <v>87659</v>
      </c>
      <c r="Q304" s="358"/>
      <c r="R304" s="358"/>
      <c r="S304" s="358"/>
      <c r="T304" s="358"/>
      <c r="U304" s="358"/>
      <c r="V304" s="358"/>
      <c r="W304" s="358"/>
    </row>
    <row r="305" spans="3:23">
      <c r="C305" s="235" t="s">
        <v>1147</v>
      </c>
      <c r="D305" s="358">
        <f t="shared" si="62"/>
        <v>48153</v>
      </c>
      <c r="E305" s="358">
        <f t="shared" si="62"/>
        <v>40602</v>
      </c>
      <c r="F305" s="358">
        <f t="shared" si="62"/>
        <v>40738</v>
      </c>
      <c r="G305" s="358">
        <f t="shared" si="62"/>
        <v>41444</v>
      </c>
      <c r="H305" s="358">
        <f t="shared" si="62"/>
        <v>44538</v>
      </c>
      <c r="I305" s="358">
        <f t="shared" si="62"/>
        <v>41431</v>
      </c>
      <c r="J305" s="358">
        <f t="shared" si="62"/>
        <v>41126</v>
      </c>
      <c r="K305" s="358">
        <f t="shared" si="62"/>
        <v>41081</v>
      </c>
      <c r="L305" s="358">
        <f t="shared" si="62"/>
        <v>41395</v>
      </c>
      <c r="M305" s="358">
        <f t="shared" si="62"/>
        <v>48296</v>
      </c>
      <c r="N305" s="358">
        <f t="shared" si="62"/>
        <v>41294</v>
      </c>
      <c r="O305" s="358">
        <f t="shared" si="62"/>
        <v>41250</v>
      </c>
      <c r="P305" s="359">
        <f t="shared" si="60"/>
        <v>511348</v>
      </c>
      <c r="Q305" s="358"/>
      <c r="R305" s="358"/>
      <c r="S305" s="358"/>
      <c r="T305" s="358"/>
      <c r="U305" s="358"/>
      <c r="V305" s="358"/>
      <c r="W305" s="358"/>
    </row>
    <row r="306" spans="3:23">
      <c r="C306" s="235" t="s">
        <v>1148</v>
      </c>
      <c r="D306" s="358">
        <f t="shared" si="62"/>
        <v>17885</v>
      </c>
      <c r="E306" s="358">
        <f t="shared" si="62"/>
        <v>15081</v>
      </c>
      <c r="F306" s="358">
        <f t="shared" si="62"/>
        <v>15131</v>
      </c>
      <c r="G306" s="358">
        <f t="shared" si="62"/>
        <v>15393</v>
      </c>
      <c r="H306" s="358">
        <f t="shared" si="62"/>
        <v>16543</v>
      </c>
      <c r="I306" s="358">
        <f t="shared" si="62"/>
        <v>15389</v>
      </c>
      <c r="J306" s="358">
        <f t="shared" si="62"/>
        <v>15275</v>
      </c>
      <c r="K306" s="358">
        <f t="shared" si="62"/>
        <v>15259</v>
      </c>
      <c r="L306" s="358">
        <f t="shared" si="62"/>
        <v>15375</v>
      </c>
      <c r="M306" s="358">
        <f t="shared" si="62"/>
        <v>17939</v>
      </c>
      <c r="N306" s="358">
        <f t="shared" si="62"/>
        <v>15338</v>
      </c>
      <c r="O306" s="358">
        <f t="shared" si="62"/>
        <v>15321</v>
      </c>
      <c r="P306" s="359">
        <f t="shared" si="60"/>
        <v>189929</v>
      </c>
      <c r="Q306" s="358"/>
      <c r="R306" s="358"/>
      <c r="S306" s="358"/>
      <c r="T306" s="358"/>
      <c r="U306" s="358"/>
      <c r="V306" s="358"/>
      <c r="W306" s="358"/>
    </row>
    <row r="307" spans="3:23">
      <c r="C307" s="235" t="s">
        <v>1149</v>
      </c>
      <c r="D307" s="358">
        <f t="shared" si="62"/>
        <v>2752</v>
      </c>
      <c r="E307" s="358">
        <f t="shared" si="62"/>
        <v>2320</v>
      </c>
      <c r="F307" s="358">
        <f t="shared" si="62"/>
        <v>2328</v>
      </c>
      <c r="G307" s="358">
        <f t="shared" si="62"/>
        <v>2368</v>
      </c>
      <c r="H307" s="358">
        <f t="shared" si="62"/>
        <v>2545</v>
      </c>
      <c r="I307" s="358">
        <f t="shared" si="62"/>
        <v>2367</v>
      </c>
      <c r="J307" s="358">
        <f t="shared" si="62"/>
        <v>2350</v>
      </c>
      <c r="K307" s="358">
        <f t="shared" si="62"/>
        <v>2348</v>
      </c>
      <c r="L307" s="358">
        <f t="shared" si="62"/>
        <v>2365</v>
      </c>
      <c r="M307" s="358">
        <f t="shared" si="62"/>
        <v>2760</v>
      </c>
      <c r="N307" s="358">
        <f t="shared" si="62"/>
        <v>2360</v>
      </c>
      <c r="O307" s="358">
        <f t="shared" si="62"/>
        <v>2357</v>
      </c>
      <c r="P307" s="359">
        <f t="shared" si="60"/>
        <v>29220</v>
      </c>
      <c r="Q307" s="358"/>
      <c r="R307" s="358"/>
      <c r="S307" s="358"/>
      <c r="T307" s="358"/>
      <c r="U307" s="358"/>
      <c r="V307" s="358"/>
      <c r="W307" s="358"/>
    </row>
    <row r="308" spans="3:23">
      <c r="C308" s="235" t="s">
        <v>1150</v>
      </c>
      <c r="D308" s="358">
        <f t="shared" si="62"/>
        <v>27516</v>
      </c>
      <c r="E308" s="358">
        <f t="shared" si="62"/>
        <v>23201</v>
      </c>
      <c r="F308" s="358">
        <f t="shared" si="62"/>
        <v>23279</v>
      </c>
      <c r="G308" s="358">
        <f t="shared" si="62"/>
        <v>23682</v>
      </c>
      <c r="H308" s="358">
        <f t="shared" si="62"/>
        <v>25450</v>
      </c>
      <c r="I308" s="358">
        <f t="shared" si="62"/>
        <v>23675</v>
      </c>
      <c r="J308" s="358">
        <f t="shared" si="62"/>
        <v>23501</v>
      </c>
      <c r="K308" s="358">
        <f t="shared" si="62"/>
        <v>23475</v>
      </c>
      <c r="L308" s="358">
        <f t="shared" si="62"/>
        <v>23654</v>
      </c>
      <c r="M308" s="358">
        <f t="shared" si="62"/>
        <v>27598</v>
      </c>
      <c r="N308" s="358">
        <f t="shared" si="62"/>
        <v>23597</v>
      </c>
      <c r="O308" s="358">
        <f t="shared" si="62"/>
        <v>23571</v>
      </c>
      <c r="P308" s="359">
        <f t="shared" si="60"/>
        <v>292199</v>
      </c>
      <c r="Q308" s="358"/>
      <c r="R308" s="358"/>
      <c r="S308" s="358"/>
      <c r="T308" s="358"/>
      <c r="U308" s="358"/>
      <c r="V308" s="358"/>
      <c r="W308" s="358"/>
    </row>
    <row r="309" spans="3:23">
      <c r="C309" s="235" t="s">
        <v>1151</v>
      </c>
      <c r="D309" s="358">
        <f t="shared" si="62"/>
        <v>6879</v>
      </c>
      <c r="E309" s="358">
        <f t="shared" si="62"/>
        <v>5800</v>
      </c>
      <c r="F309" s="358">
        <f t="shared" si="62"/>
        <v>5820</v>
      </c>
      <c r="G309" s="358">
        <f t="shared" si="62"/>
        <v>5921</v>
      </c>
      <c r="H309" s="358">
        <f t="shared" si="62"/>
        <v>6363</v>
      </c>
      <c r="I309" s="358">
        <f t="shared" si="62"/>
        <v>5919</v>
      </c>
      <c r="J309" s="358">
        <f t="shared" si="62"/>
        <v>5875</v>
      </c>
      <c r="K309" s="358">
        <f t="shared" si="62"/>
        <v>5869</v>
      </c>
      <c r="L309" s="358">
        <f t="shared" si="62"/>
        <v>5914</v>
      </c>
      <c r="M309" s="358">
        <f t="shared" si="62"/>
        <v>6899</v>
      </c>
      <c r="N309" s="358">
        <f t="shared" si="62"/>
        <v>5899</v>
      </c>
      <c r="O309" s="358">
        <f t="shared" si="62"/>
        <v>5893</v>
      </c>
      <c r="P309" s="359">
        <f t="shared" si="60"/>
        <v>73051</v>
      </c>
      <c r="Q309" s="358"/>
      <c r="R309" s="358"/>
      <c r="S309" s="358"/>
      <c r="T309" s="358"/>
      <c r="U309" s="358"/>
      <c r="V309" s="358"/>
      <c r="W309" s="358"/>
    </row>
    <row r="310" spans="3:23">
      <c r="C310" s="235" t="s">
        <v>1152</v>
      </c>
      <c r="D310" s="358">
        <f t="shared" ref="D310:O312" si="63">+D179+D255-D367</f>
        <v>0</v>
      </c>
      <c r="E310" s="358">
        <f t="shared" si="63"/>
        <v>0</v>
      </c>
      <c r="F310" s="358">
        <f t="shared" si="63"/>
        <v>0</v>
      </c>
      <c r="G310" s="358">
        <f t="shared" si="63"/>
        <v>0</v>
      </c>
      <c r="H310" s="358">
        <f t="shared" si="63"/>
        <v>0</v>
      </c>
      <c r="I310" s="358">
        <f t="shared" si="63"/>
        <v>0</v>
      </c>
      <c r="J310" s="358">
        <f t="shared" si="63"/>
        <v>0</v>
      </c>
      <c r="K310" s="358">
        <f t="shared" si="63"/>
        <v>0</v>
      </c>
      <c r="L310" s="358">
        <f t="shared" si="63"/>
        <v>0</v>
      </c>
      <c r="M310" s="358">
        <f t="shared" si="63"/>
        <v>0</v>
      </c>
      <c r="N310" s="358">
        <f t="shared" si="63"/>
        <v>0</v>
      </c>
      <c r="O310" s="358">
        <f t="shared" si="63"/>
        <v>0</v>
      </c>
      <c r="P310" s="359">
        <f t="shared" si="60"/>
        <v>0</v>
      </c>
      <c r="Q310" s="358"/>
      <c r="R310" s="358"/>
      <c r="S310" s="358"/>
      <c r="T310" s="358"/>
      <c r="U310" s="358"/>
      <c r="V310" s="358"/>
      <c r="W310" s="358"/>
    </row>
    <row r="311" spans="3:23">
      <c r="C311" s="235" t="s">
        <v>1153</v>
      </c>
      <c r="D311" s="358">
        <f t="shared" si="63"/>
        <v>28892</v>
      </c>
      <c r="E311" s="358">
        <f t="shared" si="63"/>
        <v>24361</v>
      </c>
      <c r="F311" s="358">
        <f t="shared" si="63"/>
        <v>24443</v>
      </c>
      <c r="G311" s="358">
        <f t="shared" si="63"/>
        <v>24866</v>
      </c>
      <c r="H311" s="358">
        <f t="shared" si="63"/>
        <v>26723</v>
      </c>
      <c r="I311" s="358">
        <f t="shared" si="63"/>
        <v>24858</v>
      </c>
      <c r="J311" s="358">
        <f t="shared" si="63"/>
        <v>24676</v>
      </c>
      <c r="K311" s="358">
        <f t="shared" si="63"/>
        <v>24649</v>
      </c>
      <c r="L311" s="358">
        <f t="shared" si="63"/>
        <v>24837</v>
      </c>
      <c r="M311" s="358">
        <f t="shared" si="63"/>
        <v>28978</v>
      </c>
      <c r="N311" s="358">
        <f t="shared" si="63"/>
        <v>24777</v>
      </c>
      <c r="O311" s="358">
        <f t="shared" si="63"/>
        <v>24750</v>
      </c>
      <c r="P311" s="359">
        <f t="shared" si="60"/>
        <v>306810</v>
      </c>
      <c r="Q311" s="358"/>
      <c r="R311" s="358"/>
      <c r="S311" s="358"/>
      <c r="T311" s="358"/>
      <c r="U311" s="358"/>
      <c r="V311" s="358"/>
      <c r="W311" s="358"/>
    </row>
    <row r="312" spans="3:23">
      <c r="C312" s="235" t="s">
        <v>1154</v>
      </c>
      <c r="D312" s="358">
        <f t="shared" si="63"/>
        <v>46777</v>
      </c>
      <c r="E312" s="358">
        <f t="shared" si="63"/>
        <v>39442</v>
      </c>
      <c r="F312" s="358">
        <f t="shared" si="63"/>
        <v>39574</v>
      </c>
      <c r="G312" s="358">
        <f t="shared" si="63"/>
        <v>40260</v>
      </c>
      <c r="H312" s="358">
        <f t="shared" si="63"/>
        <v>43265</v>
      </c>
      <c r="I312" s="358">
        <f t="shared" si="63"/>
        <v>40247</v>
      </c>
      <c r="J312" s="358">
        <f t="shared" si="63"/>
        <v>39951</v>
      </c>
      <c r="K312" s="358">
        <f t="shared" si="63"/>
        <v>39908</v>
      </c>
      <c r="L312" s="358">
        <f t="shared" si="63"/>
        <v>40212</v>
      </c>
      <c r="M312" s="358">
        <f t="shared" si="63"/>
        <v>46916</v>
      </c>
      <c r="N312" s="358">
        <f t="shared" si="63"/>
        <v>40114</v>
      </c>
      <c r="O312" s="358">
        <f t="shared" si="63"/>
        <v>40071</v>
      </c>
      <c r="P312" s="359">
        <f t="shared" si="60"/>
        <v>496737</v>
      </c>
      <c r="Q312" s="358"/>
      <c r="R312" s="358"/>
      <c r="S312" s="358"/>
      <c r="T312" s="358"/>
      <c r="U312" s="358"/>
      <c r="V312" s="358"/>
      <c r="W312" s="358"/>
    </row>
    <row r="313" spans="3:23">
      <c r="C313" s="235"/>
      <c r="D313" s="358">
        <f>SUM(D261:D312)</f>
        <v>614984</v>
      </c>
      <c r="E313" s="358">
        <f t="shared" ref="E313:O313" si="64">SUM(E261:E312)</f>
        <v>518543</v>
      </c>
      <c r="F313" s="358">
        <f t="shared" si="64"/>
        <v>520281</v>
      </c>
      <c r="G313" s="358">
        <f t="shared" si="64"/>
        <v>529297</v>
      </c>
      <c r="H313" s="358">
        <f t="shared" si="64"/>
        <v>568816</v>
      </c>
      <c r="I313" s="358">
        <f t="shared" si="64"/>
        <v>529127</v>
      </c>
      <c r="J313" s="358">
        <f t="shared" si="64"/>
        <v>525234</v>
      </c>
      <c r="K313" s="358">
        <f t="shared" si="64"/>
        <v>524672</v>
      </c>
      <c r="L313" s="358">
        <f t="shared" si="64"/>
        <v>528669</v>
      </c>
      <c r="M313" s="358">
        <f t="shared" si="64"/>
        <v>616811</v>
      </c>
      <c r="N313" s="358">
        <f t="shared" si="64"/>
        <v>527389</v>
      </c>
      <c r="O313" s="358">
        <f t="shared" si="64"/>
        <v>526816</v>
      </c>
      <c r="P313" s="359">
        <f>SUM(P261:P312)</f>
        <v>6530639</v>
      </c>
      <c r="Q313" s="358"/>
      <c r="R313" s="358"/>
      <c r="S313" s="358"/>
      <c r="T313" s="358"/>
      <c r="U313" s="358"/>
      <c r="V313" s="358"/>
      <c r="W313" s="358"/>
    </row>
    <row r="314" spans="3:23">
      <c r="C314" s="235"/>
      <c r="D314" s="386">
        <f>D313-D258-D182</f>
        <v>0</v>
      </c>
      <c r="E314" s="386">
        <f t="shared" ref="E314:O314" si="65">E313-E258-E182</f>
        <v>0</v>
      </c>
      <c r="F314" s="386">
        <f t="shared" si="65"/>
        <v>0</v>
      </c>
      <c r="G314" s="386">
        <f t="shared" si="65"/>
        <v>0</v>
      </c>
      <c r="H314" s="386">
        <f t="shared" si="65"/>
        <v>0</v>
      </c>
      <c r="I314" s="386">
        <f t="shared" si="65"/>
        <v>0</v>
      </c>
      <c r="J314" s="386">
        <f t="shared" si="65"/>
        <v>0</v>
      </c>
      <c r="K314" s="386">
        <f t="shared" si="65"/>
        <v>0</v>
      </c>
      <c r="L314" s="386">
        <f t="shared" si="65"/>
        <v>0</v>
      </c>
      <c r="M314" s="386">
        <f t="shared" si="65"/>
        <v>0</v>
      </c>
      <c r="N314" s="386">
        <f t="shared" si="65"/>
        <v>0</v>
      </c>
      <c r="O314" s="386">
        <f t="shared" si="65"/>
        <v>0</v>
      </c>
      <c r="P314" s="387">
        <f>P313-P258-P182</f>
        <v>0</v>
      </c>
      <c r="Q314" s="358"/>
      <c r="R314" s="358"/>
      <c r="S314" s="358"/>
      <c r="T314" s="358"/>
      <c r="U314" s="358"/>
      <c r="V314" s="358"/>
      <c r="W314" s="358"/>
    </row>
    <row r="315" spans="3:23"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9"/>
    </row>
    <row r="316" spans="3:23">
      <c r="D316" s="290" t="e">
        <f>D313-#REF!</f>
        <v>#REF!</v>
      </c>
      <c r="E316" s="290" t="e">
        <f>E313-#REF!</f>
        <v>#REF!</v>
      </c>
      <c r="F316" s="290" t="e">
        <f>F313-#REF!</f>
        <v>#REF!</v>
      </c>
      <c r="G316" s="290" t="e">
        <f>G313-#REF!</f>
        <v>#REF!</v>
      </c>
      <c r="H316" s="290" t="e">
        <f>H313-#REF!</f>
        <v>#REF!</v>
      </c>
      <c r="I316" s="290" t="e">
        <f>I313-#REF!</f>
        <v>#REF!</v>
      </c>
      <c r="J316" s="290" t="e">
        <f>J313-#REF!</f>
        <v>#REF!</v>
      </c>
      <c r="K316" s="290" t="e">
        <f>K313-#REF!</f>
        <v>#REF!</v>
      </c>
      <c r="L316" s="290" t="e">
        <f>L313-#REF!</f>
        <v>#REF!</v>
      </c>
      <c r="M316" s="290" t="e">
        <f>M313-#REF!</f>
        <v>#REF!</v>
      </c>
      <c r="N316" s="290" t="e">
        <f>N313-#REF!</f>
        <v>#REF!</v>
      </c>
      <c r="O316" s="290" t="e">
        <f>O313-#REF!</f>
        <v>#REF!</v>
      </c>
      <c r="P316" s="360" t="e">
        <f>P313-#REF!</f>
        <v>#REF!</v>
      </c>
      <c r="Q316" s="290"/>
      <c r="R316" s="290"/>
      <c r="S316" s="290"/>
      <c r="T316" s="290"/>
      <c r="U316" s="290"/>
      <c r="V316" s="290"/>
      <c r="W316" s="290"/>
    </row>
    <row r="317" spans="3:23">
      <c r="C317" s="151" t="s">
        <v>1186</v>
      </c>
    </row>
    <row r="318" spans="3:23" outlineLevel="1">
      <c r="C318" s="235" t="s">
        <v>1103</v>
      </c>
      <c r="D318" s="358">
        <f>ROUND($G71*D130,0)</f>
        <v>0</v>
      </c>
      <c r="E318" s="358">
        <f t="shared" ref="E318:O318" si="66">ROUND($G71*E130,0)</f>
        <v>0</v>
      </c>
      <c r="F318" s="358">
        <f t="shared" si="66"/>
        <v>0</v>
      </c>
      <c r="G318" s="358">
        <f t="shared" si="66"/>
        <v>0</v>
      </c>
      <c r="H318" s="358">
        <f t="shared" si="66"/>
        <v>0</v>
      </c>
      <c r="I318" s="358">
        <f t="shared" si="66"/>
        <v>0</v>
      </c>
      <c r="J318" s="358">
        <f t="shared" si="66"/>
        <v>0</v>
      </c>
      <c r="K318" s="358">
        <f t="shared" si="66"/>
        <v>0</v>
      </c>
      <c r="L318" s="358">
        <f t="shared" si="66"/>
        <v>0</v>
      </c>
      <c r="M318" s="358">
        <f t="shared" si="66"/>
        <v>0</v>
      </c>
      <c r="N318" s="358">
        <f t="shared" si="66"/>
        <v>0</v>
      </c>
      <c r="O318" s="358">
        <f t="shared" si="66"/>
        <v>0</v>
      </c>
      <c r="P318" s="359">
        <f>SUM(D318:O318)</f>
        <v>0</v>
      </c>
      <c r="Q318" s="358"/>
      <c r="R318" s="358"/>
      <c r="S318" s="358"/>
      <c r="T318" s="358"/>
      <c r="U318" s="358"/>
      <c r="V318" s="358"/>
      <c r="W318" s="358"/>
    </row>
    <row r="319" spans="3:23" outlineLevel="1">
      <c r="C319" s="235" t="s">
        <v>1104</v>
      </c>
      <c r="D319" s="358">
        <f t="shared" ref="D319:O334" si="67">ROUND($G72*D131,0)</f>
        <v>0</v>
      </c>
      <c r="E319" s="358">
        <f t="shared" si="67"/>
        <v>0</v>
      </c>
      <c r="F319" s="358">
        <f t="shared" si="67"/>
        <v>0</v>
      </c>
      <c r="G319" s="358">
        <f t="shared" si="67"/>
        <v>0</v>
      </c>
      <c r="H319" s="358">
        <f t="shared" si="67"/>
        <v>0</v>
      </c>
      <c r="I319" s="358">
        <f t="shared" si="67"/>
        <v>0</v>
      </c>
      <c r="J319" s="358">
        <f t="shared" si="67"/>
        <v>0</v>
      </c>
      <c r="K319" s="358">
        <f t="shared" si="67"/>
        <v>0</v>
      </c>
      <c r="L319" s="358">
        <f t="shared" si="67"/>
        <v>0</v>
      </c>
      <c r="M319" s="358">
        <f t="shared" si="67"/>
        <v>0</v>
      </c>
      <c r="N319" s="358">
        <f t="shared" si="67"/>
        <v>0</v>
      </c>
      <c r="O319" s="358">
        <f t="shared" si="67"/>
        <v>0</v>
      </c>
      <c r="P319" s="359">
        <f t="shared" ref="P319:P371" si="68">SUM(D319:O319)</f>
        <v>0</v>
      </c>
      <c r="Q319" s="358"/>
      <c r="R319" s="358"/>
      <c r="S319" s="358"/>
      <c r="T319" s="358"/>
      <c r="U319" s="358"/>
      <c r="V319" s="358"/>
      <c r="W319" s="358"/>
    </row>
    <row r="320" spans="3:23" outlineLevel="1">
      <c r="C320" s="235" t="s">
        <v>1105</v>
      </c>
      <c r="D320" s="358">
        <f t="shared" si="67"/>
        <v>0</v>
      </c>
      <c r="E320" s="358">
        <f t="shared" si="67"/>
        <v>0</v>
      </c>
      <c r="F320" s="358">
        <f t="shared" si="67"/>
        <v>0</v>
      </c>
      <c r="G320" s="358">
        <f t="shared" si="67"/>
        <v>0</v>
      </c>
      <c r="H320" s="358">
        <f t="shared" si="67"/>
        <v>0</v>
      </c>
      <c r="I320" s="358">
        <f t="shared" si="67"/>
        <v>0</v>
      </c>
      <c r="J320" s="358">
        <f t="shared" si="67"/>
        <v>0</v>
      </c>
      <c r="K320" s="358">
        <f t="shared" si="67"/>
        <v>0</v>
      </c>
      <c r="L320" s="358">
        <f t="shared" si="67"/>
        <v>0</v>
      </c>
      <c r="M320" s="358">
        <f t="shared" si="67"/>
        <v>0</v>
      </c>
      <c r="N320" s="358">
        <f t="shared" si="67"/>
        <v>0</v>
      </c>
      <c r="O320" s="358">
        <f t="shared" si="67"/>
        <v>0</v>
      </c>
      <c r="P320" s="359">
        <f t="shared" si="68"/>
        <v>0</v>
      </c>
      <c r="Q320" s="358"/>
      <c r="R320" s="358"/>
      <c r="S320" s="358"/>
      <c r="T320" s="358"/>
      <c r="U320" s="358"/>
      <c r="V320" s="358"/>
      <c r="W320" s="358"/>
    </row>
    <row r="321" spans="3:23" outlineLevel="1">
      <c r="C321" s="235" t="s">
        <v>1106</v>
      </c>
      <c r="D321" s="358">
        <f t="shared" si="67"/>
        <v>0</v>
      </c>
      <c r="E321" s="358">
        <f t="shared" si="67"/>
        <v>0</v>
      </c>
      <c r="F321" s="358">
        <f t="shared" si="67"/>
        <v>0</v>
      </c>
      <c r="G321" s="358">
        <f t="shared" si="67"/>
        <v>0</v>
      </c>
      <c r="H321" s="358">
        <f t="shared" si="67"/>
        <v>0</v>
      </c>
      <c r="I321" s="358">
        <f t="shared" si="67"/>
        <v>0</v>
      </c>
      <c r="J321" s="358">
        <f t="shared" si="67"/>
        <v>0</v>
      </c>
      <c r="K321" s="358">
        <f t="shared" si="67"/>
        <v>0</v>
      </c>
      <c r="L321" s="358">
        <f t="shared" si="67"/>
        <v>0</v>
      </c>
      <c r="M321" s="358">
        <f t="shared" si="67"/>
        <v>0</v>
      </c>
      <c r="N321" s="358">
        <f t="shared" si="67"/>
        <v>0</v>
      </c>
      <c r="O321" s="358">
        <f t="shared" si="67"/>
        <v>0</v>
      </c>
      <c r="P321" s="359">
        <f t="shared" si="68"/>
        <v>0</v>
      </c>
      <c r="Q321" s="358"/>
      <c r="R321" s="358"/>
      <c r="S321" s="358"/>
      <c r="T321" s="358"/>
      <c r="U321" s="358"/>
      <c r="V321" s="358"/>
      <c r="W321" s="358"/>
    </row>
    <row r="322" spans="3:23" outlineLevel="1">
      <c r="C322" s="235" t="s">
        <v>1107</v>
      </c>
      <c r="D322" s="358">
        <f t="shared" si="67"/>
        <v>0</v>
      </c>
      <c r="E322" s="358">
        <f t="shared" si="67"/>
        <v>0</v>
      </c>
      <c r="F322" s="358">
        <f t="shared" si="67"/>
        <v>0</v>
      </c>
      <c r="G322" s="358">
        <f t="shared" si="67"/>
        <v>0</v>
      </c>
      <c r="H322" s="358">
        <f t="shared" si="67"/>
        <v>0</v>
      </c>
      <c r="I322" s="358">
        <f t="shared" si="67"/>
        <v>0</v>
      </c>
      <c r="J322" s="358">
        <f t="shared" si="67"/>
        <v>0</v>
      </c>
      <c r="K322" s="358">
        <f t="shared" si="67"/>
        <v>0</v>
      </c>
      <c r="L322" s="358">
        <f t="shared" si="67"/>
        <v>0</v>
      </c>
      <c r="M322" s="358">
        <f t="shared" si="67"/>
        <v>0</v>
      </c>
      <c r="N322" s="358">
        <f t="shared" si="67"/>
        <v>0</v>
      </c>
      <c r="O322" s="358">
        <f t="shared" si="67"/>
        <v>0</v>
      </c>
      <c r="P322" s="359">
        <f t="shared" si="68"/>
        <v>0</v>
      </c>
      <c r="Q322" s="358"/>
      <c r="R322" s="358"/>
      <c r="S322" s="358"/>
      <c r="T322" s="358"/>
      <c r="U322" s="358"/>
      <c r="V322" s="358"/>
      <c r="W322" s="358"/>
    </row>
    <row r="323" spans="3:23" outlineLevel="1">
      <c r="C323" s="235" t="s">
        <v>1108</v>
      </c>
      <c r="D323" s="358">
        <f t="shared" si="67"/>
        <v>0</v>
      </c>
      <c r="E323" s="358">
        <f t="shared" si="67"/>
        <v>0</v>
      </c>
      <c r="F323" s="358">
        <f t="shared" si="67"/>
        <v>0</v>
      </c>
      <c r="G323" s="358">
        <f t="shared" si="67"/>
        <v>0</v>
      </c>
      <c r="H323" s="358">
        <f t="shared" si="67"/>
        <v>0</v>
      </c>
      <c r="I323" s="358">
        <f t="shared" si="67"/>
        <v>0</v>
      </c>
      <c r="J323" s="358">
        <f t="shared" si="67"/>
        <v>0</v>
      </c>
      <c r="K323" s="358">
        <f t="shared" si="67"/>
        <v>0</v>
      </c>
      <c r="L323" s="358">
        <f t="shared" si="67"/>
        <v>0</v>
      </c>
      <c r="M323" s="358">
        <f t="shared" si="67"/>
        <v>0</v>
      </c>
      <c r="N323" s="358">
        <f t="shared" si="67"/>
        <v>0</v>
      </c>
      <c r="O323" s="358">
        <f t="shared" si="67"/>
        <v>0</v>
      </c>
      <c r="P323" s="359">
        <f t="shared" si="68"/>
        <v>0</v>
      </c>
      <c r="Q323" s="358"/>
      <c r="R323" s="358"/>
      <c r="S323" s="358"/>
      <c r="T323" s="358"/>
      <c r="U323" s="358"/>
      <c r="V323" s="358"/>
      <c r="W323" s="358"/>
    </row>
    <row r="324" spans="3:23" outlineLevel="1">
      <c r="C324" s="235" t="s">
        <v>1109</v>
      </c>
      <c r="D324" s="358">
        <f t="shared" si="67"/>
        <v>0</v>
      </c>
      <c r="E324" s="358">
        <f t="shared" si="67"/>
        <v>0</v>
      </c>
      <c r="F324" s="358">
        <f t="shared" si="67"/>
        <v>0</v>
      </c>
      <c r="G324" s="358">
        <f t="shared" si="67"/>
        <v>0</v>
      </c>
      <c r="H324" s="358">
        <f t="shared" si="67"/>
        <v>0</v>
      </c>
      <c r="I324" s="358">
        <f t="shared" si="67"/>
        <v>0</v>
      </c>
      <c r="J324" s="358">
        <f t="shared" si="67"/>
        <v>0</v>
      </c>
      <c r="K324" s="358">
        <f t="shared" si="67"/>
        <v>0</v>
      </c>
      <c r="L324" s="358">
        <f t="shared" si="67"/>
        <v>0</v>
      </c>
      <c r="M324" s="358">
        <f t="shared" si="67"/>
        <v>0</v>
      </c>
      <c r="N324" s="358">
        <f t="shared" si="67"/>
        <v>0</v>
      </c>
      <c r="O324" s="358">
        <f t="shared" si="67"/>
        <v>0</v>
      </c>
      <c r="P324" s="359">
        <f t="shared" si="68"/>
        <v>0</v>
      </c>
      <c r="Q324" s="358"/>
      <c r="R324" s="358"/>
      <c r="S324" s="358"/>
      <c r="T324" s="358"/>
      <c r="U324" s="358"/>
      <c r="V324" s="358"/>
      <c r="W324" s="358"/>
    </row>
    <row r="325" spans="3:23" outlineLevel="1">
      <c r="C325" s="235" t="s">
        <v>1110</v>
      </c>
      <c r="D325" s="358">
        <f t="shared" si="67"/>
        <v>0</v>
      </c>
      <c r="E325" s="358">
        <f t="shared" si="67"/>
        <v>0</v>
      </c>
      <c r="F325" s="358">
        <f t="shared" si="67"/>
        <v>0</v>
      </c>
      <c r="G325" s="358">
        <f t="shared" si="67"/>
        <v>0</v>
      </c>
      <c r="H325" s="358">
        <f t="shared" si="67"/>
        <v>0</v>
      </c>
      <c r="I325" s="358">
        <f t="shared" si="67"/>
        <v>0</v>
      </c>
      <c r="J325" s="358">
        <f t="shared" si="67"/>
        <v>0</v>
      </c>
      <c r="K325" s="358">
        <f t="shared" si="67"/>
        <v>0</v>
      </c>
      <c r="L325" s="358">
        <f t="shared" si="67"/>
        <v>0</v>
      </c>
      <c r="M325" s="358">
        <f t="shared" si="67"/>
        <v>0</v>
      </c>
      <c r="N325" s="358">
        <f t="shared" si="67"/>
        <v>0</v>
      </c>
      <c r="O325" s="358">
        <f t="shared" si="67"/>
        <v>0</v>
      </c>
      <c r="P325" s="359">
        <f t="shared" si="68"/>
        <v>0</v>
      </c>
      <c r="Q325" s="358"/>
      <c r="R325" s="358"/>
      <c r="S325" s="358"/>
      <c r="T325" s="358"/>
      <c r="U325" s="358"/>
      <c r="V325" s="358"/>
      <c r="W325" s="358"/>
    </row>
    <row r="326" spans="3:23" outlineLevel="1">
      <c r="C326" s="235" t="s">
        <v>1111</v>
      </c>
      <c r="D326" s="358">
        <f t="shared" si="67"/>
        <v>0</v>
      </c>
      <c r="E326" s="358">
        <f t="shared" si="67"/>
        <v>0</v>
      </c>
      <c r="F326" s="358">
        <f t="shared" si="67"/>
        <v>0</v>
      </c>
      <c r="G326" s="358">
        <f t="shared" si="67"/>
        <v>0</v>
      </c>
      <c r="H326" s="358">
        <f t="shared" si="67"/>
        <v>0</v>
      </c>
      <c r="I326" s="358">
        <f t="shared" si="67"/>
        <v>0</v>
      </c>
      <c r="J326" s="358">
        <f t="shared" si="67"/>
        <v>0</v>
      </c>
      <c r="K326" s="358">
        <f t="shared" si="67"/>
        <v>0</v>
      </c>
      <c r="L326" s="358">
        <f t="shared" si="67"/>
        <v>0</v>
      </c>
      <c r="M326" s="358">
        <f t="shared" si="67"/>
        <v>0</v>
      </c>
      <c r="N326" s="358">
        <f t="shared" si="67"/>
        <v>0</v>
      </c>
      <c r="O326" s="358">
        <f t="shared" si="67"/>
        <v>0</v>
      </c>
      <c r="P326" s="359">
        <f t="shared" si="68"/>
        <v>0</v>
      </c>
      <c r="Q326" s="358"/>
      <c r="R326" s="358"/>
      <c r="S326" s="358"/>
      <c r="T326" s="358"/>
      <c r="U326" s="358"/>
      <c r="V326" s="358"/>
      <c r="W326" s="358"/>
    </row>
    <row r="327" spans="3:23" outlineLevel="1">
      <c r="C327" s="235" t="s">
        <v>1112</v>
      </c>
      <c r="D327" s="358">
        <f t="shared" si="67"/>
        <v>0</v>
      </c>
      <c r="E327" s="358">
        <f t="shared" si="67"/>
        <v>0</v>
      </c>
      <c r="F327" s="358">
        <f t="shared" si="67"/>
        <v>0</v>
      </c>
      <c r="G327" s="358">
        <f t="shared" si="67"/>
        <v>0</v>
      </c>
      <c r="H327" s="358">
        <f t="shared" si="67"/>
        <v>0</v>
      </c>
      <c r="I327" s="358">
        <f t="shared" si="67"/>
        <v>0</v>
      </c>
      <c r="J327" s="358">
        <f t="shared" si="67"/>
        <v>0</v>
      </c>
      <c r="K327" s="358">
        <f t="shared" si="67"/>
        <v>0</v>
      </c>
      <c r="L327" s="358">
        <f t="shared" si="67"/>
        <v>0</v>
      </c>
      <c r="M327" s="358">
        <f t="shared" si="67"/>
        <v>0</v>
      </c>
      <c r="N327" s="358">
        <f t="shared" si="67"/>
        <v>0</v>
      </c>
      <c r="O327" s="358">
        <f t="shared" si="67"/>
        <v>0</v>
      </c>
      <c r="P327" s="359">
        <f t="shared" si="68"/>
        <v>0</v>
      </c>
      <c r="Q327" s="358"/>
      <c r="R327" s="358"/>
      <c r="S327" s="358"/>
      <c r="T327" s="358"/>
      <c r="U327" s="358"/>
      <c r="V327" s="358"/>
      <c r="W327" s="358"/>
    </row>
    <row r="328" spans="3:23" outlineLevel="1">
      <c r="C328" s="235" t="s">
        <v>1113</v>
      </c>
      <c r="D328" s="358">
        <f t="shared" si="67"/>
        <v>0</v>
      </c>
      <c r="E328" s="358">
        <f t="shared" si="67"/>
        <v>0</v>
      </c>
      <c r="F328" s="358">
        <f t="shared" si="67"/>
        <v>0</v>
      </c>
      <c r="G328" s="358">
        <f t="shared" si="67"/>
        <v>0</v>
      </c>
      <c r="H328" s="358">
        <f t="shared" si="67"/>
        <v>0</v>
      </c>
      <c r="I328" s="358">
        <f t="shared" si="67"/>
        <v>0</v>
      </c>
      <c r="J328" s="358">
        <f t="shared" si="67"/>
        <v>0</v>
      </c>
      <c r="K328" s="358">
        <f t="shared" si="67"/>
        <v>0</v>
      </c>
      <c r="L328" s="358">
        <f t="shared" si="67"/>
        <v>0</v>
      </c>
      <c r="M328" s="358">
        <f t="shared" si="67"/>
        <v>0</v>
      </c>
      <c r="N328" s="358">
        <f t="shared" si="67"/>
        <v>0</v>
      </c>
      <c r="O328" s="358">
        <f t="shared" si="67"/>
        <v>0</v>
      </c>
      <c r="P328" s="359">
        <f t="shared" si="68"/>
        <v>0</v>
      </c>
      <c r="Q328" s="358"/>
      <c r="R328" s="358"/>
      <c r="S328" s="358"/>
      <c r="T328" s="358"/>
      <c r="U328" s="358"/>
      <c r="V328" s="358"/>
      <c r="W328" s="358"/>
    </row>
    <row r="329" spans="3:23" outlineLevel="1">
      <c r="C329" s="235" t="s">
        <v>1114</v>
      </c>
      <c r="D329" s="358">
        <f t="shared" si="67"/>
        <v>0</v>
      </c>
      <c r="E329" s="358">
        <f t="shared" si="67"/>
        <v>0</v>
      </c>
      <c r="F329" s="358">
        <f t="shared" si="67"/>
        <v>0</v>
      </c>
      <c r="G329" s="358">
        <f t="shared" si="67"/>
        <v>0</v>
      </c>
      <c r="H329" s="358">
        <f t="shared" si="67"/>
        <v>0</v>
      </c>
      <c r="I329" s="358">
        <f t="shared" si="67"/>
        <v>0</v>
      </c>
      <c r="J329" s="358">
        <f t="shared" si="67"/>
        <v>0</v>
      </c>
      <c r="K329" s="358">
        <f t="shared" si="67"/>
        <v>0</v>
      </c>
      <c r="L329" s="358">
        <f t="shared" si="67"/>
        <v>0</v>
      </c>
      <c r="M329" s="358">
        <f t="shared" si="67"/>
        <v>0</v>
      </c>
      <c r="N329" s="358">
        <f t="shared" si="67"/>
        <v>0</v>
      </c>
      <c r="O329" s="358">
        <f t="shared" si="67"/>
        <v>0</v>
      </c>
      <c r="P329" s="359">
        <f t="shared" si="68"/>
        <v>0</v>
      </c>
      <c r="Q329" s="358"/>
      <c r="R329" s="358"/>
      <c r="S329" s="358"/>
      <c r="T329" s="358"/>
      <c r="U329" s="358"/>
      <c r="V329" s="358"/>
      <c r="W329" s="358"/>
    </row>
    <row r="330" spans="3:23" outlineLevel="1">
      <c r="C330" s="235" t="s">
        <v>1115</v>
      </c>
      <c r="D330" s="358">
        <f t="shared" si="67"/>
        <v>0</v>
      </c>
      <c r="E330" s="358">
        <f t="shared" si="67"/>
        <v>0</v>
      </c>
      <c r="F330" s="358">
        <f t="shared" si="67"/>
        <v>0</v>
      </c>
      <c r="G330" s="358">
        <f t="shared" si="67"/>
        <v>0</v>
      </c>
      <c r="H330" s="358">
        <f t="shared" si="67"/>
        <v>0</v>
      </c>
      <c r="I330" s="358">
        <f t="shared" si="67"/>
        <v>0</v>
      </c>
      <c r="J330" s="358">
        <f t="shared" si="67"/>
        <v>0</v>
      </c>
      <c r="K330" s="358">
        <f t="shared" si="67"/>
        <v>0</v>
      </c>
      <c r="L330" s="358">
        <f t="shared" si="67"/>
        <v>0</v>
      </c>
      <c r="M330" s="358">
        <f t="shared" si="67"/>
        <v>0</v>
      </c>
      <c r="N330" s="358">
        <f t="shared" si="67"/>
        <v>0</v>
      </c>
      <c r="O330" s="358">
        <f t="shared" si="67"/>
        <v>0</v>
      </c>
      <c r="P330" s="359">
        <f t="shared" si="68"/>
        <v>0</v>
      </c>
      <c r="Q330" s="358"/>
      <c r="R330" s="358"/>
      <c r="S330" s="358"/>
      <c r="T330" s="358"/>
      <c r="U330" s="358"/>
      <c r="V330" s="358"/>
      <c r="W330" s="358"/>
    </row>
    <row r="331" spans="3:23" outlineLevel="1">
      <c r="C331" s="235" t="s">
        <v>1116</v>
      </c>
      <c r="D331" s="358">
        <f t="shared" si="67"/>
        <v>0</v>
      </c>
      <c r="E331" s="358">
        <f t="shared" si="67"/>
        <v>0</v>
      </c>
      <c r="F331" s="358">
        <f t="shared" si="67"/>
        <v>0</v>
      </c>
      <c r="G331" s="358">
        <f t="shared" si="67"/>
        <v>0</v>
      </c>
      <c r="H331" s="358">
        <f t="shared" si="67"/>
        <v>0</v>
      </c>
      <c r="I331" s="358">
        <f t="shared" si="67"/>
        <v>0</v>
      </c>
      <c r="J331" s="358">
        <f t="shared" si="67"/>
        <v>0</v>
      </c>
      <c r="K331" s="358">
        <f t="shared" si="67"/>
        <v>0</v>
      </c>
      <c r="L331" s="358">
        <f t="shared" si="67"/>
        <v>0</v>
      </c>
      <c r="M331" s="358">
        <f t="shared" si="67"/>
        <v>0</v>
      </c>
      <c r="N331" s="358">
        <f t="shared" si="67"/>
        <v>0</v>
      </c>
      <c r="O331" s="358">
        <f t="shared" si="67"/>
        <v>0</v>
      </c>
      <c r="P331" s="359">
        <f t="shared" si="68"/>
        <v>0</v>
      </c>
      <c r="Q331" s="358"/>
      <c r="R331" s="358"/>
      <c r="S331" s="358"/>
      <c r="T331" s="358"/>
      <c r="U331" s="358"/>
      <c r="V331" s="358"/>
      <c r="W331" s="358"/>
    </row>
    <row r="332" spans="3:23" outlineLevel="1">
      <c r="C332" s="235" t="s">
        <v>1117</v>
      </c>
      <c r="D332" s="358">
        <f t="shared" si="67"/>
        <v>0</v>
      </c>
      <c r="E332" s="358">
        <f t="shared" si="67"/>
        <v>0</v>
      </c>
      <c r="F332" s="358">
        <f t="shared" si="67"/>
        <v>0</v>
      </c>
      <c r="G332" s="358">
        <f t="shared" si="67"/>
        <v>0</v>
      </c>
      <c r="H332" s="358">
        <f t="shared" si="67"/>
        <v>0</v>
      </c>
      <c r="I332" s="358">
        <f t="shared" si="67"/>
        <v>0</v>
      </c>
      <c r="J332" s="358">
        <f t="shared" si="67"/>
        <v>0</v>
      </c>
      <c r="K332" s="358">
        <f t="shared" si="67"/>
        <v>0</v>
      </c>
      <c r="L332" s="358">
        <f t="shared" si="67"/>
        <v>0</v>
      </c>
      <c r="M332" s="358">
        <f t="shared" si="67"/>
        <v>0</v>
      </c>
      <c r="N332" s="358">
        <f t="shared" si="67"/>
        <v>0</v>
      </c>
      <c r="O332" s="358">
        <f t="shared" si="67"/>
        <v>0</v>
      </c>
      <c r="P332" s="359">
        <f t="shared" si="68"/>
        <v>0</v>
      </c>
      <c r="Q332" s="358"/>
      <c r="R332" s="358"/>
      <c r="S332" s="358"/>
      <c r="T332" s="358"/>
      <c r="U332" s="358"/>
      <c r="V332" s="358"/>
      <c r="W332" s="358"/>
    </row>
    <row r="333" spans="3:23" outlineLevel="1">
      <c r="C333" s="235" t="s">
        <v>1118</v>
      </c>
      <c r="D333" s="358">
        <f t="shared" si="67"/>
        <v>0</v>
      </c>
      <c r="E333" s="358">
        <f t="shared" si="67"/>
        <v>0</v>
      </c>
      <c r="F333" s="358">
        <f t="shared" si="67"/>
        <v>0</v>
      </c>
      <c r="G333" s="358">
        <f t="shared" si="67"/>
        <v>0</v>
      </c>
      <c r="H333" s="358">
        <f t="shared" si="67"/>
        <v>0</v>
      </c>
      <c r="I333" s="358">
        <f t="shared" si="67"/>
        <v>0</v>
      </c>
      <c r="J333" s="358">
        <f t="shared" si="67"/>
        <v>0</v>
      </c>
      <c r="K333" s="358">
        <f t="shared" si="67"/>
        <v>0</v>
      </c>
      <c r="L333" s="358">
        <f t="shared" si="67"/>
        <v>0</v>
      </c>
      <c r="M333" s="358">
        <f t="shared" si="67"/>
        <v>0</v>
      </c>
      <c r="N333" s="358">
        <f t="shared" si="67"/>
        <v>0</v>
      </c>
      <c r="O333" s="358">
        <f t="shared" si="67"/>
        <v>0</v>
      </c>
      <c r="P333" s="359">
        <f t="shared" si="68"/>
        <v>0</v>
      </c>
      <c r="Q333" s="358"/>
      <c r="R333" s="358"/>
      <c r="S333" s="358"/>
      <c r="T333" s="358"/>
      <c r="U333" s="358"/>
      <c r="V333" s="358"/>
      <c r="W333" s="358"/>
    </row>
    <row r="334" spans="3:23" outlineLevel="1">
      <c r="C334" s="235" t="s">
        <v>1119</v>
      </c>
      <c r="D334" s="358">
        <f t="shared" si="67"/>
        <v>0</v>
      </c>
      <c r="E334" s="358">
        <f t="shared" si="67"/>
        <v>0</v>
      </c>
      <c r="F334" s="358">
        <f t="shared" si="67"/>
        <v>0</v>
      </c>
      <c r="G334" s="358">
        <f t="shared" si="67"/>
        <v>0</v>
      </c>
      <c r="H334" s="358">
        <f t="shared" si="67"/>
        <v>0</v>
      </c>
      <c r="I334" s="358">
        <f t="shared" si="67"/>
        <v>0</v>
      </c>
      <c r="J334" s="358">
        <f t="shared" si="67"/>
        <v>0</v>
      </c>
      <c r="K334" s="358">
        <f t="shared" si="67"/>
        <v>0</v>
      </c>
      <c r="L334" s="358">
        <f t="shared" si="67"/>
        <v>0</v>
      </c>
      <c r="M334" s="358">
        <f t="shared" si="67"/>
        <v>0</v>
      </c>
      <c r="N334" s="358">
        <f t="shared" si="67"/>
        <v>0</v>
      </c>
      <c r="O334" s="358">
        <f t="shared" si="67"/>
        <v>0</v>
      </c>
      <c r="P334" s="359">
        <f t="shared" si="68"/>
        <v>0</v>
      </c>
      <c r="Q334" s="358"/>
      <c r="R334" s="358"/>
      <c r="S334" s="358"/>
      <c r="T334" s="358"/>
      <c r="U334" s="358"/>
      <c r="V334" s="358"/>
      <c r="W334" s="358"/>
    </row>
    <row r="335" spans="3:23" outlineLevel="1">
      <c r="C335" s="235" t="s">
        <v>1120</v>
      </c>
      <c r="D335" s="358">
        <f t="shared" ref="D335:O350" si="69">ROUND($G88*D147,0)</f>
        <v>0</v>
      </c>
      <c r="E335" s="358">
        <f t="shared" si="69"/>
        <v>0</v>
      </c>
      <c r="F335" s="358">
        <f t="shared" si="69"/>
        <v>0</v>
      </c>
      <c r="G335" s="358">
        <f t="shared" si="69"/>
        <v>0</v>
      </c>
      <c r="H335" s="358">
        <f t="shared" si="69"/>
        <v>0</v>
      </c>
      <c r="I335" s="358">
        <f t="shared" si="69"/>
        <v>0</v>
      </c>
      <c r="J335" s="358">
        <f t="shared" si="69"/>
        <v>0</v>
      </c>
      <c r="K335" s="358">
        <f t="shared" si="69"/>
        <v>0</v>
      </c>
      <c r="L335" s="358">
        <f t="shared" si="69"/>
        <v>0</v>
      </c>
      <c r="M335" s="358">
        <f t="shared" si="69"/>
        <v>0</v>
      </c>
      <c r="N335" s="358">
        <f t="shared" si="69"/>
        <v>0</v>
      </c>
      <c r="O335" s="358">
        <f t="shared" si="69"/>
        <v>0</v>
      </c>
      <c r="P335" s="359">
        <f t="shared" si="68"/>
        <v>0</v>
      </c>
      <c r="Q335" s="358"/>
      <c r="R335" s="358"/>
      <c r="S335" s="358"/>
      <c r="T335" s="358"/>
      <c r="U335" s="358"/>
      <c r="V335" s="358"/>
      <c r="W335" s="358"/>
    </row>
    <row r="336" spans="3:23" outlineLevel="1">
      <c r="C336" s="235" t="s">
        <v>1121</v>
      </c>
      <c r="D336" s="358">
        <f t="shared" si="69"/>
        <v>0</v>
      </c>
      <c r="E336" s="358">
        <f t="shared" si="69"/>
        <v>0</v>
      </c>
      <c r="F336" s="358">
        <f t="shared" si="69"/>
        <v>0</v>
      </c>
      <c r="G336" s="358">
        <f t="shared" si="69"/>
        <v>0</v>
      </c>
      <c r="H336" s="358">
        <f t="shared" si="69"/>
        <v>0</v>
      </c>
      <c r="I336" s="358">
        <f t="shared" si="69"/>
        <v>0</v>
      </c>
      <c r="J336" s="358">
        <f t="shared" si="69"/>
        <v>0</v>
      </c>
      <c r="K336" s="358">
        <f t="shared" si="69"/>
        <v>0</v>
      </c>
      <c r="L336" s="358">
        <f t="shared" si="69"/>
        <v>0</v>
      </c>
      <c r="M336" s="358">
        <f t="shared" si="69"/>
        <v>0</v>
      </c>
      <c r="N336" s="358">
        <f t="shared" si="69"/>
        <v>0</v>
      </c>
      <c r="O336" s="358">
        <f t="shared" si="69"/>
        <v>0</v>
      </c>
      <c r="P336" s="359">
        <f t="shared" si="68"/>
        <v>0</v>
      </c>
      <c r="Q336" s="358"/>
      <c r="R336" s="358"/>
      <c r="S336" s="358"/>
      <c r="T336" s="358"/>
      <c r="U336" s="358"/>
      <c r="V336" s="358"/>
      <c r="W336" s="358"/>
    </row>
    <row r="337" spans="3:23" outlineLevel="1">
      <c r="C337" s="235" t="s">
        <v>1122</v>
      </c>
      <c r="D337" s="358">
        <f t="shared" si="69"/>
        <v>0</v>
      </c>
      <c r="E337" s="358">
        <f t="shared" si="69"/>
        <v>0</v>
      </c>
      <c r="F337" s="358">
        <f t="shared" si="69"/>
        <v>0</v>
      </c>
      <c r="G337" s="358">
        <f t="shared" si="69"/>
        <v>0</v>
      </c>
      <c r="H337" s="358">
        <f t="shared" si="69"/>
        <v>0</v>
      </c>
      <c r="I337" s="358">
        <f t="shared" si="69"/>
        <v>0</v>
      </c>
      <c r="J337" s="358">
        <f t="shared" si="69"/>
        <v>0</v>
      </c>
      <c r="K337" s="358">
        <f t="shared" si="69"/>
        <v>0</v>
      </c>
      <c r="L337" s="358">
        <f t="shared" si="69"/>
        <v>0</v>
      </c>
      <c r="M337" s="358">
        <f t="shared" si="69"/>
        <v>0</v>
      </c>
      <c r="N337" s="358">
        <f t="shared" si="69"/>
        <v>0</v>
      </c>
      <c r="O337" s="358">
        <f t="shared" si="69"/>
        <v>0</v>
      </c>
      <c r="P337" s="359">
        <f t="shared" si="68"/>
        <v>0</v>
      </c>
      <c r="Q337" s="358"/>
      <c r="R337" s="358"/>
      <c r="S337" s="358"/>
      <c r="T337" s="358"/>
      <c r="U337" s="358"/>
      <c r="V337" s="358"/>
      <c r="W337" s="358"/>
    </row>
    <row r="338" spans="3:23" outlineLevel="1">
      <c r="C338" s="235" t="s">
        <v>1123</v>
      </c>
      <c r="D338" s="358">
        <f t="shared" si="69"/>
        <v>0</v>
      </c>
      <c r="E338" s="358">
        <f t="shared" si="69"/>
        <v>0</v>
      </c>
      <c r="F338" s="358">
        <f t="shared" si="69"/>
        <v>0</v>
      </c>
      <c r="G338" s="358">
        <f t="shared" si="69"/>
        <v>0</v>
      </c>
      <c r="H338" s="358">
        <f t="shared" si="69"/>
        <v>0</v>
      </c>
      <c r="I338" s="358">
        <f t="shared" si="69"/>
        <v>0</v>
      </c>
      <c r="J338" s="358">
        <f t="shared" si="69"/>
        <v>0</v>
      </c>
      <c r="K338" s="358">
        <f t="shared" si="69"/>
        <v>0</v>
      </c>
      <c r="L338" s="358">
        <f t="shared" si="69"/>
        <v>0</v>
      </c>
      <c r="M338" s="358">
        <f t="shared" si="69"/>
        <v>0</v>
      </c>
      <c r="N338" s="358">
        <f t="shared" si="69"/>
        <v>0</v>
      </c>
      <c r="O338" s="358">
        <f t="shared" si="69"/>
        <v>0</v>
      </c>
      <c r="P338" s="359">
        <f t="shared" si="68"/>
        <v>0</v>
      </c>
      <c r="Q338" s="358"/>
      <c r="R338" s="358"/>
      <c r="S338" s="358"/>
      <c r="T338" s="358"/>
      <c r="U338" s="358"/>
      <c r="V338" s="358"/>
      <c r="W338" s="358"/>
    </row>
    <row r="339" spans="3:23" outlineLevel="1">
      <c r="C339" s="235" t="s">
        <v>1124</v>
      </c>
      <c r="D339" s="358">
        <f t="shared" si="69"/>
        <v>0</v>
      </c>
      <c r="E339" s="358">
        <f t="shared" si="69"/>
        <v>0</v>
      </c>
      <c r="F339" s="358">
        <f t="shared" si="69"/>
        <v>0</v>
      </c>
      <c r="G339" s="358">
        <f t="shared" si="69"/>
        <v>0</v>
      </c>
      <c r="H339" s="358">
        <f t="shared" si="69"/>
        <v>0</v>
      </c>
      <c r="I339" s="358">
        <f t="shared" si="69"/>
        <v>0</v>
      </c>
      <c r="J339" s="358">
        <f t="shared" si="69"/>
        <v>0</v>
      </c>
      <c r="K339" s="358">
        <f t="shared" si="69"/>
        <v>0</v>
      </c>
      <c r="L339" s="358">
        <f t="shared" si="69"/>
        <v>0</v>
      </c>
      <c r="M339" s="358">
        <f t="shared" si="69"/>
        <v>0</v>
      </c>
      <c r="N339" s="358">
        <f t="shared" si="69"/>
        <v>0</v>
      </c>
      <c r="O339" s="358">
        <f t="shared" si="69"/>
        <v>0</v>
      </c>
      <c r="P339" s="359">
        <f t="shared" si="68"/>
        <v>0</v>
      </c>
      <c r="Q339" s="358"/>
      <c r="R339" s="358"/>
      <c r="S339" s="358"/>
      <c r="T339" s="358"/>
      <c r="U339" s="358"/>
      <c r="V339" s="358"/>
      <c r="W339" s="358"/>
    </row>
    <row r="340" spans="3:23" outlineLevel="1">
      <c r="C340" s="235" t="s">
        <v>1125</v>
      </c>
      <c r="D340" s="358">
        <f t="shared" si="69"/>
        <v>0</v>
      </c>
      <c r="E340" s="358">
        <f t="shared" si="69"/>
        <v>0</v>
      </c>
      <c r="F340" s="358">
        <f t="shared" si="69"/>
        <v>0</v>
      </c>
      <c r="G340" s="358">
        <f t="shared" si="69"/>
        <v>0</v>
      </c>
      <c r="H340" s="358">
        <f t="shared" si="69"/>
        <v>0</v>
      </c>
      <c r="I340" s="358">
        <f t="shared" si="69"/>
        <v>0</v>
      </c>
      <c r="J340" s="358">
        <f t="shared" si="69"/>
        <v>0</v>
      </c>
      <c r="K340" s="358">
        <f t="shared" si="69"/>
        <v>0</v>
      </c>
      <c r="L340" s="358">
        <f t="shared" si="69"/>
        <v>0</v>
      </c>
      <c r="M340" s="358">
        <f t="shared" si="69"/>
        <v>0</v>
      </c>
      <c r="N340" s="358">
        <f t="shared" si="69"/>
        <v>0</v>
      </c>
      <c r="O340" s="358">
        <f t="shared" si="69"/>
        <v>0</v>
      </c>
      <c r="P340" s="359">
        <f t="shared" si="68"/>
        <v>0</v>
      </c>
      <c r="Q340" s="358"/>
      <c r="R340" s="358"/>
      <c r="S340" s="358"/>
      <c r="T340" s="358"/>
      <c r="U340" s="358"/>
      <c r="V340" s="358"/>
      <c r="W340" s="358"/>
    </row>
    <row r="341" spans="3:23" outlineLevel="1">
      <c r="C341" s="235" t="s">
        <v>1126</v>
      </c>
      <c r="D341" s="358">
        <f t="shared" si="69"/>
        <v>0</v>
      </c>
      <c r="E341" s="358">
        <f t="shared" si="69"/>
        <v>0</v>
      </c>
      <c r="F341" s="358">
        <f t="shared" si="69"/>
        <v>0</v>
      </c>
      <c r="G341" s="358">
        <f t="shared" si="69"/>
        <v>0</v>
      </c>
      <c r="H341" s="358">
        <f t="shared" si="69"/>
        <v>0</v>
      </c>
      <c r="I341" s="358">
        <f t="shared" si="69"/>
        <v>0</v>
      </c>
      <c r="J341" s="358">
        <f t="shared" si="69"/>
        <v>0</v>
      </c>
      <c r="K341" s="358">
        <f t="shared" si="69"/>
        <v>0</v>
      </c>
      <c r="L341" s="358">
        <f t="shared" si="69"/>
        <v>0</v>
      </c>
      <c r="M341" s="358">
        <f t="shared" si="69"/>
        <v>0</v>
      </c>
      <c r="N341" s="358">
        <f t="shared" si="69"/>
        <v>0</v>
      </c>
      <c r="O341" s="358">
        <f t="shared" si="69"/>
        <v>0</v>
      </c>
      <c r="P341" s="359">
        <f t="shared" si="68"/>
        <v>0</v>
      </c>
      <c r="Q341" s="358"/>
      <c r="R341" s="358"/>
      <c r="S341" s="358"/>
      <c r="T341" s="358"/>
      <c r="U341" s="358"/>
      <c r="V341" s="358"/>
      <c r="W341" s="358"/>
    </row>
    <row r="342" spans="3:23" outlineLevel="1">
      <c r="C342" s="235" t="s">
        <v>1127</v>
      </c>
      <c r="D342" s="358">
        <f t="shared" si="69"/>
        <v>0</v>
      </c>
      <c r="E342" s="358">
        <f t="shared" si="69"/>
        <v>0</v>
      </c>
      <c r="F342" s="358">
        <f t="shared" si="69"/>
        <v>0</v>
      </c>
      <c r="G342" s="358">
        <f t="shared" si="69"/>
        <v>0</v>
      </c>
      <c r="H342" s="358">
        <f t="shared" si="69"/>
        <v>0</v>
      </c>
      <c r="I342" s="358">
        <f t="shared" si="69"/>
        <v>0</v>
      </c>
      <c r="J342" s="358">
        <f t="shared" si="69"/>
        <v>0</v>
      </c>
      <c r="K342" s="358">
        <f t="shared" si="69"/>
        <v>0</v>
      </c>
      <c r="L342" s="358">
        <f t="shared" si="69"/>
        <v>0</v>
      </c>
      <c r="M342" s="358">
        <f t="shared" si="69"/>
        <v>0</v>
      </c>
      <c r="N342" s="358">
        <f t="shared" si="69"/>
        <v>0</v>
      </c>
      <c r="O342" s="358">
        <f t="shared" si="69"/>
        <v>0</v>
      </c>
      <c r="P342" s="359">
        <f t="shared" si="68"/>
        <v>0</v>
      </c>
      <c r="Q342" s="358"/>
      <c r="R342" s="358"/>
      <c r="S342" s="358"/>
      <c r="T342" s="358"/>
      <c r="U342" s="358"/>
      <c r="V342" s="358"/>
      <c r="W342" s="358"/>
    </row>
    <row r="343" spans="3:23" outlineLevel="1">
      <c r="C343" s="235" t="s">
        <v>1128</v>
      </c>
      <c r="D343" s="358">
        <f t="shared" si="69"/>
        <v>0</v>
      </c>
      <c r="E343" s="358">
        <f t="shared" si="69"/>
        <v>0</v>
      </c>
      <c r="F343" s="358">
        <f t="shared" si="69"/>
        <v>0</v>
      </c>
      <c r="G343" s="358">
        <f t="shared" si="69"/>
        <v>0</v>
      </c>
      <c r="H343" s="358">
        <f t="shared" si="69"/>
        <v>0</v>
      </c>
      <c r="I343" s="358">
        <f t="shared" si="69"/>
        <v>0</v>
      </c>
      <c r="J343" s="358">
        <f t="shared" si="69"/>
        <v>0</v>
      </c>
      <c r="K343" s="358">
        <f t="shared" si="69"/>
        <v>0</v>
      </c>
      <c r="L343" s="358">
        <f t="shared" si="69"/>
        <v>0</v>
      </c>
      <c r="M343" s="358">
        <f t="shared" si="69"/>
        <v>0</v>
      </c>
      <c r="N343" s="358">
        <f t="shared" si="69"/>
        <v>0</v>
      </c>
      <c r="O343" s="358">
        <f t="shared" si="69"/>
        <v>0</v>
      </c>
      <c r="P343" s="359">
        <f t="shared" si="68"/>
        <v>0</v>
      </c>
      <c r="Q343" s="358"/>
      <c r="R343" s="358"/>
      <c r="S343" s="358"/>
      <c r="T343" s="358"/>
      <c r="U343" s="358"/>
      <c r="V343" s="358"/>
      <c r="W343" s="358"/>
    </row>
    <row r="344" spans="3:23" outlineLevel="1">
      <c r="C344" s="235" t="s">
        <v>1129</v>
      </c>
      <c r="D344" s="358">
        <f t="shared" si="69"/>
        <v>0</v>
      </c>
      <c r="E344" s="358">
        <f t="shared" si="69"/>
        <v>0</v>
      </c>
      <c r="F344" s="358">
        <f t="shared" si="69"/>
        <v>0</v>
      </c>
      <c r="G344" s="358">
        <f t="shared" si="69"/>
        <v>0</v>
      </c>
      <c r="H344" s="358">
        <f t="shared" si="69"/>
        <v>0</v>
      </c>
      <c r="I344" s="358">
        <f t="shared" si="69"/>
        <v>0</v>
      </c>
      <c r="J344" s="358">
        <f t="shared" si="69"/>
        <v>0</v>
      </c>
      <c r="K344" s="358">
        <f t="shared" si="69"/>
        <v>0</v>
      </c>
      <c r="L344" s="358">
        <f t="shared" si="69"/>
        <v>0</v>
      </c>
      <c r="M344" s="358">
        <f t="shared" si="69"/>
        <v>0</v>
      </c>
      <c r="N344" s="358">
        <f t="shared" si="69"/>
        <v>0</v>
      </c>
      <c r="O344" s="358">
        <f t="shared" si="69"/>
        <v>0</v>
      </c>
      <c r="P344" s="359">
        <f t="shared" si="68"/>
        <v>0</v>
      </c>
      <c r="Q344" s="358"/>
      <c r="R344" s="358"/>
      <c r="S344" s="358"/>
      <c r="T344" s="358"/>
      <c r="U344" s="358"/>
      <c r="V344" s="358"/>
      <c r="W344" s="358"/>
    </row>
    <row r="345" spans="3:23" outlineLevel="1">
      <c r="C345" s="235" t="s">
        <v>1130</v>
      </c>
      <c r="D345" s="358">
        <f t="shared" si="69"/>
        <v>0</v>
      </c>
      <c r="E345" s="358">
        <f t="shared" si="69"/>
        <v>0</v>
      </c>
      <c r="F345" s="358">
        <f t="shared" si="69"/>
        <v>0</v>
      </c>
      <c r="G345" s="358">
        <f t="shared" si="69"/>
        <v>0</v>
      </c>
      <c r="H345" s="358">
        <f t="shared" si="69"/>
        <v>0</v>
      </c>
      <c r="I345" s="358">
        <f t="shared" si="69"/>
        <v>0</v>
      </c>
      <c r="J345" s="358">
        <f t="shared" si="69"/>
        <v>0</v>
      </c>
      <c r="K345" s="358">
        <f t="shared" si="69"/>
        <v>0</v>
      </c>
      <c r="L345" s="358">
        <f t="shared" si="69"/>
        <v>0</v>
      </c>
      <c r="M345" s="358">
        <f t="shared" si="69"/>
        <v>0</v>
      </c>
      <c r="N345" s="358">
        <f t="shared" si="69"/>
        <v>0</v>
      </c>
      <c r="O345" s="358">
        <f t="shared" si="69"/>
        <v>0</v>
      </c>
      <c r="P345" s="359">
        <f t="shared" si="68"/>
        <v>0</v>
      </c>
      <c r="Q345" s="358"/>
      <c r="R345" s="358"/>
      <c r="S345" s="358"/>
      <c r="T345" s="358"/>
      <c r="U345" s="358"/>
      <c r="V345" s="358"/>
      <c r="W345" s="358"/>
    </row>
    <row r="346" spans="3:23" outlineLevel="1">
      <c r="C346" s="235" t="s">
        <v>1131</v>
      </c>
      <c r="D346" s="358">
        <f t="shared" si="69"/>
        <v>0</v>
      </c>
      <c r="E346" s="358">
        <f t="shared" si="69"/>
        <v>0</v>
      </c>
      <c r="F346" s="358">
        <f t="shared" si="69"/>
        <v>0</v>
      </c>
      <c r="G346" s="358">
        <f t="shared" si="69"/>
        <v>0</v>
      </c>
      <c r="H346" s="358">
        <f t="shared" si="69"/>
        <v>0</v>
      </c>
      <c r="I346" s="358">
        <f t="shared" si="69"/>
        <v>0</v>
      </c>
      <c r="J346" s="358">
        <f t="shared" si="69"/>
        <v>0</v>
      </c>
      <c r="K346" s="358">
        <f t="shared" si="69"/>
        <v>0</v>
      </c>
      <c r="L346" s="358">
        <f t="shared" si="69"/>
        <v>0</v>
      </c>
      <c r="M346" s="358">
        <f t="shared" si="69"/>
        <v>0</v>
      </c>
      <c r="N346" s="358">
        <f t="shared" si="69"/>
        <v>0</v>
      </c>
      <c r="O346" s="358">
        <f t="shared" si="69"/>
        <v>0</v>
      </c>
      <c r="P346" s="359">
        <f t="shared" si="68"/>
        <v>0</v>
      </c>
      <c r="Q346" s="358"/>
      <c r="R346" s="358"/>
      <c r="S346" s="358"/>
      <c r="T346" s="358"/>
      <c r="U346" s="358"/>
      <c r="V346" s="358"/>
      <c r="W346" s="358"/>
    </row>
    <row r="347" spans="3:23" outlineLevel="1">
      <c r="C347" s="235" t="s">
        <v>1132</v>
      </c>
      <c r="D347" s="358">
        <f t="shared" si="69"/>
        <v>0</v>
      </c>
      <c r="E347" s="358">
        <f t="shared" si="69"/>
        <v>0</v>
      </c>
      <c r="F347" s="358">
        <f t="shared" si="69"/>
        <v>0</v>
      </c>
      <c r="G347" s="358">
        <f t="shared" si="69"/>
        <v>0</v>
      </c>
      <c r="H347" s="358">
        <f t="shared" si="69"/>
        <v>0</v>
      </c>
      <c r="I347" s="358">
        <f t="shared" si="69"/>
        <v>0</v>
      </c>
      <c r="J347" s="358">
        <f t="shared" si="69"/>
        <v>0</v>
      </c>
      <c r="K347" s="358">
        <f t="shared" si="69"/>
        <v>0</v>
      </c>
      <c r="L347" s="358">
        <f t="shared" si="69"/>
        <v>0</v>
      </c>
      <c r="M347" s="358">
        <f t="shared" si="69"/>
        <v>0</v>
      </c>
      <c r="N347" s="358">
        <f t="shared" si="69"/>
        <v>0</v>
      </c>
      <c r="O347" s="358">
        <f t="shared" si="69"/>
        <v>0</v>
      </c>
      <c r="P347" s="359">
        <f t="shared" si="68"/>
        <v>0</v>
      </c>
      <c r="Q347" s="358"/>
      <c r="R347" s="358"/>
      <c r="S347" s="358"/>
      <c r="T347" s="358"/>
      <c r="U347" s="358"/>
      <c r="V347" s="358"/>
      <c r="W347" s="358"/>
    </row>
    <row r="348" spans="3:23" outlineLevel="1">
      <c r="C348" s="235" t="s">
        <v>1133</v>
      </c>
      <c r="D348" s="358">
        <f t="shared" si="69"/>
        <v>0</v>
      </c>
      <c r="E348" s="358">
        <f t="shared" si="69"/>
        <v>0</v>
      </c>
      <c r="F348" s="358">
        <f t="shared" si="69"/>
        <v>0</v>
      </c>
      <c r="G348" s="358">
        <f t="shared" si="69"/>
        <v>0</v>
      </c>
      <c r="H348" s="358">
        <f t="shared" si="69"/>
        <v>0</v>
      </c>
      <c r="I348" s="358">
        <f t="shared" si="69"/>
        <v>0</v>
      </c>
      <c r="J348" s="358">
        <f t="shared" si="69"/>
        <v>0</v>
      </c>
      <c r="K348" s="358">
        <f t="shared" si="69"/>
        <v>0</v>
      </c>
      <c r="L348" s="358">
        <f t="shared" si="69"/>
        <v>0</v>
      </c>
      <c r="M348" s="358">
        <f t="shared" si="69"/>
        <v>0</v>
      </c>
      <c r="N348" s="358">
        <f t="shared" si="69"/>
        <v>0</v>
      </c>
      <c r="O348" s="358">
        <f t="shared" si="69"/>
        <v>0</v>
      </c>
      <c r="P348" s="359">
        <f t="shared" si="68"/>
        <v>0</v>
      </c>
      <c r="Q348" s="358"/>
      <c r="R348" s="358"/>
      <c r="S348" s="358"/>
      <c r="T348" s="358"/>
      <c r="U348" s="358"/>
      <c r="V348" s="358"/>
      <c r="W348" s="358"/>
    </row>
    <row r="349" spans="3:23" outlineLevel="1">
      <c r="C349" s="235" t="s">
        <v>1134</v>
      </c>
      <c r="D349" s="358">
        <f t="shared" si="69"/>
        <v>0</v>
      </c>
      <c r="E349" s="358">
        <f t="shared" si="69"/>
        <v>0</v>
      </c>
      <c r="F349" s="358">
        <f t="shared" si="69"/>
        <v>0</v>
      </c>
      <c r="G349" s="358">
        <f t="shared" si="69"/>
        <v>0</v>
      </c>
      <c r="H349" s="358">
        <f t="shared" si="69"/>
        <v>0</v>
      </c>
      <c r="I349" s="358">
        <f t="shared" si="69"/>
        <v>0</v>
      </c>
      <c r="J349" s="358">
        <f t="shared" si="69"/>
        <v>0</v>
      </c>
      <c r="K349" s="358">
        <f t="shared" si="69"/>
        <v>0</v>
      </c>
      <c r="L349" s="358">
        <f t="shared" si="69"/>
        <v>0</v>
      </c>
      <c r="M349" s="358">
        <f t="shared" si="69"/>
        <v>0</v>
      </c>
      <c r="N349" s="358">
        <f t="shared" si="69"/>
        <v>0</v>
      </c>
      <c r="O349" s="358">
        <f t="shared" si="69"/>
        <v>0</v>
      </c>
      <c r="P349" s="359">
        <f t="shared" si="68"/>
        <v>0</v>
      </c>
      <c r="Q349" s="358"/>
      <c r="R349" s="358"/>
      <c r="S349" s="358"/>
      <c r="T349" s="358"/>
      <c r="U349" s="358"/>
      <c r="V349" s="358"/>
      <c r="W349" s="358"/>
    </row>
    <row r="350" spans="3:23" outlineLevel="1">
      <c r="C350" s="235" t="s">
        <v>1135</v>
      </c>
      <c r="D350" s="358">
        <f t="shared" si="69"/>
        <v>0</v>
      </c>
      <c r="E350" s="358">
        <f t="shared" si="69"/>
        <v>0</v>
      </c>
      <c r="F350" s="358">
        <f t="shared" si="69"/>
        <v>0</v>
      </c>
      <c r="G350" s="358">
        <f t="shared" si="69"/>
        <v>0</v>
      </c>
      <c r="H350" s="358">
        <f t="shared" si="69"/>
        <v>0</v>
      </c>
      <c r="I350" s="358">
        <f t="shared" si="69"/>
        <v>0</v>
      </c>
      <c r="J350" s="358">
        <f t="shared" si="69"/>
        <v>0</v>
      </c>
      <c r="K350" s="358">
        <f t="shared" si="69"/>
        <v>0</v>
      </c>
      <c r="L350" s="358">
        <f t="shared" si="69"/>
        <v>0</v>
      </c>
      <c r="M350" s="358">
        <f t="shared" si="69"/>
        <v>0</v>
      </c>
      <c r="N350" s="358">
        <f t="shared" si="69"/>
        <v>0</v>
      </c>
      <c r="O350" s="358">
        <f t="shared" si="69"/>
        <v>0</v>
      </c>
      <c r="P350" s="359">
        <f t="shared" si="68"/>
        <v>0</v>
      </c>
      <c r="Q350" s="358"/>
      <c r="R350" s="358"/>
      <c r="S350" s="358"/>
      <c r="T350" s="358"/>
      <c r="U350" s="358"/>
      <c r="V350" s="358"/>
      <c r="W350" s="358"/>
    </row>
    <row r="351" spans="3:23" outlineLevel="1">
      <c r="C351" s="235" t="s">
        <v>1136</v>
      </c>
      <c r="D351" s="358">
        <f t="shared" ref="D351:O366" si="70">ROUND($G104*D163,0)</f>
        <v>0</v>
      </c>
      <c r="E351" s="358">
        <f t="shared" si="70"/>
        <v>0</v>
      </c>
      <c r="F351" s="358">
        <f t="shared" si="70"/>
        <v>0</v>
      </c>
      <c r="G351" s="358">
        <f t="shared" si="70"/>
        <v>0</v>
      </c>
      <c r="H351" s="358">
        <f t="shared" si="70"/>
        <v>0</v>
      </c>
      <c r="I351" s="358">
        <f t="shared" si="70"/>
        <v>0</v>
      </c>
      <c r="J351" s="358">
        <f t="shared" si="70"/>
        <v>0</v>
      </c>
      <c r="K351" s="358">
        <f t="shared" si="70"/>
        <v>0</v>
      </c>
      <c r="L351" s="358">
        <f t="shared" si="70"/>
        <v>0</v>
      </c>
      <c r="M351" s="358">
        <f t="shared" si="70"/>
        <v>0</v>
      </c>
      <c r="N351" s="358">
        <f t="shared" si="70"/>
        <v>0</v>
      </c>
      <c r="O351" s="358">
        <f t="shared" si="70"/>
        <v>0</v>
      </c>
      <c r="P351" s="359">
        <f t="shared" si="68"/>
        <v>0</v>
      </c>
      <c r="Q351" s="358"/>
      <c r="R351" s="358"/>
      <c r="S351" s="358"/>
      <c r="T351" s="358"/>
      <c r="U351" s="358"/>
      <c r="V351" s="358"/>
      <c r="W351" s="358"/>
    </row>
    <row r="352" spans="3:23" outlineLevel="1">
      <c r="C352" s="235" t="s">
        <v>1137</v>
      </c>
      <c r="D352" s="358">
        <f t="shared" si="70"/>
        <v>0</v>
      </c>
      <c r="E352" s="358">
        <f t="shared" si="70"/>
        <v>0</v>
      </c>
      <c r="F352" s="358">
        <f t="shared" si="70"/>
        <v>0</v>
      </c>
      <c r="G352" s="358">
        <f t="shared" si="70"/>
        <v>0</v>
      </c>
      <c r="H352" s="358">
        <f t="shared" si="70"/>
        <v>0</v>
      </c>
      <c r="I352" s="358">
        <f t="shared" si="70"/>
        <v>0</v>
      </c>
      <c r="J352" s="358">
        <f t="shared" si="70"/>
        <v>0</v>
      </c>
      <c r="K352" s="358">
        <f t="shared" si="70"/>
        <v>0</v>
      </c>
      <c r="L352" s="358">
        <f t="shared" si="70"/>
        <v>0</v>
      </c>
      <c r="M352" s="358">
        <f t="shared" si="70"/>
        <v>0</v>
      </c>
      <c r="N352" s="358">
        <f t="shared" si="70"/>
        <v>0</v>
      </c>
      <c r="O352" s="358">
        <f t="shared" si="70"/>
        <v>0</v>
      </c>
      <c r="P352" s="359">
        <f t="shared" si="68"/>
        <v>0</v>
      </c>
      <c r="Q352" s="358"/>
      <c r="R352" s="358"/>
      <c r="S352" s="358"/>
      <c r="T352" s="358"/>
      <c r="U352" s="358"/>
      <c r="V352" s="358"/>
      <c r="W352" s="358"/>
    </row>
    <row r="353" spans="3:23" outlineLevel="1">
      <c r="C353" s="235" t="s">
        <v>1138</v>
      </c>
      <c r="D353" s="358">
        <f t="shared" si="70"/>
        <v>0</v>
      </c>
      <c r="E353" s="358">
        <f t="shared" si="70"/>
        <v>0</v>
      </c>
      <c r="F353" s="358">
        <f t="shared" si="70"/>
        <v>0</v>
      </c>
      <c r="G353" s="358">
        <f t="shared" si="70"/>
        <v>0</v>
      </c>
      <c r="H353" s="358">
        <f t="shared" si="70"/>
        <v>0</v>
      </c>
      <c r="I353" s="358">
        <f t="shared" si="70"/>
        <v>0</v>
      </c>
      <c r="J353" s="358">
        <f t="shared" si="70"/>
        <v>0</v>
      </c>
      <c r="K353" s="358">
        <f t="shared" si="70"/>
        <v>0</v>
      </c>
      <c r="L353" s="358">
        <f t="shared" si="70"/>
        <v>0</v>
      </c>
      <c r="M353" s="358">
        <f t="shared" si="70"/>
        <v>0</v>
      </c>
      <c r="N353" s="358">
        <f t="shared" si="70"/>
        <v>0</v>
      </c>
      <c r="O353" s="358">
        <f t="shared" si="70"/>
        <v>0</v>
      </c>
      <c r="P353" s="359">
        <f t="shared" si="68"/>
        <v>0</v>
      </c>
      <c r="Q353" s="358"/>
      <c r="R353" s="358"/>
      <c r="S353" s="358"/>
      <c r="T353" s="358"/>
      <c r="U353" s="358"/>
      <c r="V353" s="358"/>
      <c r="W353" s="358"/>
    </row>
    <row r="354" spans="3:23" outlineLevel="1">
      <c r="C354" s="235" t="s">
        <v>1139</v>
      </c>
      <c r="D354" s="358">
        <f t="shared" si="70"/>
        <v>0</v>
      </c>
      <c r="E354" s="358">
        <f t="shared" si="70"/>
        <v>0</v>
      </c>
      <c r="F354" s="358">
        <f t="shared" si="70"/>
        <v>0</v>
      </c>
      <c r="G354" s="358">
        <f t="shared" si="70"/>
        <v>0</v>
      </c>
      <c r="H354" s="358">
        <f t="shared" si="70"/>
        <v>0</v>
      </c>
      <c r="I354" s="358">
        <f t="shared" si="70"/>
        <v>0</v>
      </c>
      <c r="J354" s="358">
        <f t="shared" si="70"/>
        <v>0</v>
      </c>
      <c r="K354" s="358">
        <f t="shared" si="70"/>
        <v>0</v>
      </c>
      <c r="L354" s="358">
        <f t="shared" si="70"/>
        <v>0</v>
      </c>
      <c r="M354" s="358">
        <f t="shared" si="70"/>
        <v>0</v>
      </c>
      <c r="N354" s="358">
        <f t="shared" si="70"/>
        <v>0</v>
      </c>
      <c r="O354" s="358">
        <f t="shared" si="70"/>
        <v>0</v>
      </c>
      <c r="P354" s="359">
        <f t="shared" si="68"/>
        <v>0</v>
      </c>
      <c r="Q354" s="358"/>
      <c r="R354" s="358"/>
      <c r="S354" s="358"/>
      <c r="T354" s="358"/>
      <c r="U354" s="358"/>
      <c r="V354" s="358"/>
      <c r="W354" s="358"/>
    </row>
    <row r="355" spans="3:23" outlineLevel="1">
      <c r="C355" s="235" t="s">
        <v>1140</v>
      </c>
      <c r="D355" s="358">
        <f t="shared" si="70"/>
        <v>0</v>
      </c>
      <c r="E355" s="358">
        <f t="shared" si="70"/>
        <v>0</v>
      </c>
      <c r="F355" s="358">
        <f t="shared" si="70"/>
        <v>0</v>
      </c>
      <c r="G355" s="358">
        <f t="shared" si="70"/>
        <v>0</v>
      </c>
      <c r="H355" s="358">
        <f t="shared" si="70"/>
        <v>0</v>
      </c>
      <c r="I355" s="358">
        <f t="shared" si="70"/>
        <v>0</v>
      </c>
      <c r="J355" s="358">
        <f t="shared" si="70"/>
        <v>0</v>
      </c>
      <c r="K355" s="358">
        <f t="shared" si="70"/>
        <v>0</v>
      </c>
      <c r="L355" s="358">
        <f t="shared" si="70"/>
        <v>0</v>
      </c>
      <c r="M355" s="358">
        <f t="shared" si="70"/>
        <v>0</v>
      </c>
      <c r="N355" s="358">
        <f t="shared" si="70"/>
        <v>0</v>
      </c>
      <c r="O355" s="358">
        <f t="shared" si="70"/>
        <v>0</v>
      </c>
      <c r="P355" s="359">
        <f t="shared" si="68"/>
        <v>0</v>
      </c>
      <c r="Q355" s="358"/>
      <c r="R355" s="358"/>
      <c r="S355" s="358"/>
      <c r="T355" s="358"/>
      <c r="U355" s="358"/>
      <c r="V355" s="358"/>
      <c r="W355" s="358"/>
    </row>
    <row r="356" spans="3:23" outlineLevel="1">
      <c r="C356" s="235" t="s">
        <v>1141</v>
      </c>
      <c r="D356" s="358">
        <f t="shared" si="70"/>
        <v>0</v>
      </c>
      <c r="E356" s="358">
        <f t="shared" si="70"/>
        <v>0</v>
      </c>
      <c r="F356" s="358">
        <f t="shared" si="70"/>
        <v>0</v>
      </c>
      <c r="G356" s="358">
        <f t="shared" si="70"/>
        <v>0</v>
      </c>
      <c r="H356" s="358">
        <f t="shared" si="70"/>
        <v>0</v>
      </c>
      <c r="I356" s="358">
        <f t="shared" si="70"/>
        <v>0</v>
      </c>
      <c r="J356" s="358">
        <f t="shared" si="70"/>
        <v>0</v>
      </c>
      <c r="K356" s="358">
        <f t="shared" si="70"/>
        <v>0</v>
      </c>
      <c r="L356" s="358">
        <f t="shared" si="70"/>
        <v>0</v>
      </c>
      <c r="M356" s="358">
        <f t="shared" si="70"/>
        <v>0</v>
      </c>
      <c r="N356" s="358">
        <f t="shared" si="70"/>
        <v>0</v>
      </c>
      <c r="O356" s="358">
        <f t="shared" si="70"/>
        <v>0</v>
      </c>
      <c r="P356" s="359">
        <f t="shared" si="68"/>
        <v>0</v>
      </c>
      <c r="Q356" s="358"/>
      <c r="R356" s="358"/>
      <c r="S356" s="358"/>
      <c r="T356" s="358"/>
      <c r="U356" s="358"/>
      <c r="V356" s="358"/>
      <c r="W356" s="358"/>
    </row>
    <row r="357" spans="3:23" outlineLevel="1">
      <c r="C357" s="235" t="s">
        <v>1142</v>
      </c>
      <c r="D357" s="358">
        <f t="shared" si="70"/>
        <v>0</v>
      </c>
      <c r="E357" s="358">
        <f t="shared" si="70"/>
        <v>0</v>
      </c>
      <c r="F357" s="358">
        <f t="shared" si="70"/>
        <v>0</v>
      </c>
      <c r="G357" s="358">
        <f t="shared" si="70"/>
        <v>0</v>
      </c>
      <c r="H357" s="358">
        <f t="shared" si="70"/>
        <v>0</v>
      </c>
      <c r="I357" s="358">
        <f t="shared" si="70"/>
        <v>0</v>
      </c>
      <c r="J357" s="358">
        <f t="shared" si="70"/>
        <v>0</v>
      </c>
      <c r="K357" s="358">
        <f t="shared" si="70"/>
        <v>0</v>
      </c>
      <c r="L357" s="358">
        <f t="shared" si="70"/>
        <v>0</v>
      </c>
      <c r="M357" s="358">
        <f t="shared" si="70"/>
        <v>0</v>
      </c>
      <c r="N357" s="358">
        <f t="shared" si="70"/>
        <v>0</v>
      </c>
      <c r="O357" s="358">
        <f t="shared" si="70"/>
        <v>0</v>
      </c>
      <c r="P357" s="359">
        <f t="shared" si="68"/>
        <v>0</v>
      </c>
      <c r="Q357" s="358"/>
      <c r="R357" s="358"/>
      <c r="S357" s="358"/>
      <c r="T357" s="358"/>
      <c r="U357" s="358"/>
      <c r="V357" s="358"/>
      <c r="W357" s="358"/>
    </row>
    <row r="358" spans="3:23" outlineLevel="1">
      <c r="C358" s="235" t="s">
        <v>1143</v>
      </c>
      <c r="D358" s="358">
        <f t="shared" si="70"/>
        <v>0</v>
      </c>
      <c r="E358" s="358">
        <f t="shared" si="70"/>
        <v>0</v>
      </c>
      <c r="F358" s="358">
        <f t="shared" si="70"/>
        <v>0</v>
      </c>
      <c r="G358" s="358">
        <f t="shared" si="70"/>
        <v>0</v>
      </c>
      <c r="H358" s="358">
        <f t="shared" si="70"/>
        <v>0</v>
      </c>
      <c r="I358" s="358">
        <f t="shared" si="70"/>
        <v>0</v>
      </c>
      <c r="J358" s="358">
        <f t="shared" si="70"/>
        <v>0</v>
      </c>
      <c r="K358" s="358">
        <f t="shared" si="70"/>
        <v>0</v>
      </c>
      <c r="L358" s="358">
        <f t="shared" si="70"/>
        <v>0</v>
      </c>
      <c r="M358" s="358">
        <f t="shared" si="70"/>
        <v>0</v>
      </c>
      <c r="N358" s="358">
        <f t="shared" si="70"/>
        <v>0</v>
      </c>
      <c r="O358" s="358">
        <f t="shared" si="70"/>
        <v>0</v>
      </c>
      <c r="P358" s="359">
        <f t="shared" si="68"/>
        <v>0</v>
      </c>
      <c r="Q358" s="358"/>
      <c r="R358" s="358"/>
      <c r="S358" s="358"/>
      <c r="T358" s="358"/>
      <c r="U358" s="358"/>
      <c r="V358" s="358"/>
      <c r="W358" s="358"/>
    </row>
    <row r="359" spans="3:23" outlineLevel="1">
      <c r="C359" s="235" t="s">
        <v>1144</v>
      </c>
      <c r="D359" s="358">
        <f t="shared" si="70"/>
        <v>0</v>
      </c>
      <c r="E359" s="358">
        <f t="shared" si="70"/>
        <v>0</v>
      </c>
      <c r="F359" s="358">
        <f t="shared" si="70"/>
        <v>0</v>
      </c>
      <c r="G359" s="358">
        <f t="shared" si="70"/>
        <v>0</v>
      </c>
      <c r="H359" s="358">
        <f t="shared" si="70"/>
        <v>0</v>
      </c>
      <c r="I359" s="358">
        <f t="shared" si="70"/>
        <v>0</v>
      </c>
      <c r="J359" s="358">
        <f t="shared" si="70"/>
        <v>0</v>
      </c>
      <c r="K359" s="358">
        <f t="shared" si="70"/>
        <v>0</v>
      </c>
      <c r="L359" s="358">
        <f t="shared" si="70"/>
        <v>0</v>
      </c>
      <c r="M359" s="358">
        <f t="shared" si="70"/>
        <v>0</v>
      </c>
      <c r="N359" s="358">
        <f t="shared" si="70"/>
        <v>0</v>
      </c>
      <c r="O359" s="358">
        <f t="shared" si="70"/>
        <v>0</v>
      </c>
      <c r="P359" s="359">
        <f t="shared" si="68"/>
        <v>0</v>
      </c>
      <c r="Q359" s="358"/>
      <c r="R359" s="358"/>
      <c r="S359" s="358"/>
      <c r="T359" s="358"/>
      <c r="U359" s="358"/>
      <c r="V359" s="358"/>
      <c r="W359" s="358"/>
    </row>
    <row r="360" spans="3:23" outlineLevel="1">
      <c r="C360" s="235" t="s">
        <v>1145</v>
      </c>
      <c r="D360" s="358">
        <f t="shared" si="70"/>
        <v>0</v>
      </c>
      <c r="E360" s="358">
        <f t="shared" si="70"/>
        <v>0</v>
      </c>
      <c r="F360" s="358">
        <f t="shared" si="70"/>
        <v>0</v>
      </c>
      <c r="G360" s="358">
        <f t="shared" si="70"/>
        <v>0</v>
      </c>
      <c r="H360" s="358">
        <f t="shared" si="70"/>
        <v>0</v>
      </c>
      <c r="I360" s="358">
        <f t="shared" si="70"/>
        <v>0</v>
      </c>
      <c r="J360" s="358">
        <f t="shared" si="70"/>
        <v>0</v>
      </c>
      <c r="K360" s="358">
        <f t="shared" si="70"/>
        <v>0</v>
      </c>
      <c r="L360" s="358">
        <f t="shared" si="70"/>
        <v>0</v>
      </c>
      <c r="M360" s="358">
        <f t="shared" si="70"/>
        <v>0</v>
      </c>
      <c r="N360" s="358">
        <f t="shared" si="70"/>
        <v>0</v>
      </c>
      <c r="O360" s="358">
        <f t="shared" si="70"/>
        <v>0</v>
      </c>
      <c r="P360" s="359">
        <f t="shared" si="68"/>
        <v>0</v>
      </c>
      <c r="Q360" s="358"/>
      <c r="R360" s="358"/>
      <c r="S360" s="358"/>
      <c r="T360" s="358"/>
      <c r="U360" s="358"/>
      <c r="V360" s="358"/>
      <c r="W360" s="358"/>
    </row>
    <row r="361" spans="3:23" outlineLevel="1">
      <c r="C361" s="235" t="s">
        <v>1146</v>
      </c>
      <c r="D361" s="358">
        <f t="shared" si="70"/>
        <v>0</v>
      </c>
      <c r="E361" s="358">
        <f t="shared" si="70"/>
        <v>0</v>
      </c>
      <c r="F361" s="358">
        <f t="shared" si="70"/>
        <v>0</v>
      </c>
      <c r="G361" s="358">
        <f t="shared" si="70"/>
        <v>0</v>
      </c>
      <c r="H361" s="358">
        <f t="shared" si="70"/>
        <v>0</v>
      </c>
      <c r="I361" s="358">
        <f t="shared" si="70"/>
        <v>0</v>
      </c>
      <c r="J361" s="358">
        <f t="shared" si="70"/>
        <v>0</v>
      </c>
      <c r="K361" s="358">
        <f t="shared" si="70"/>
        <v>0</v>
      </c>
      <c r="L361" s="358">
        <f t="shared" si="70"/>
        <v>0</v>
      </c>
      <c r="M361" s="358">
        <f t="shared" si="70"/>
        <v>0</v>
      </c>
      <c r="N361" s="358">
        <f t="shared" si="70"/>
        <v>0</v>
      </c>
      <c r="O361" s="358">
        <f t="shared" si="70"/>
        <v>0</v>
      </c>
      <c r="P361" s="359">
        <f t="shared" si="68"/>
        <v>0</v>
      </c>
      <c r="Q361" s="358"/>
      <c r="R361" s="358"/>
      <c r="S361" s="358"/>
      <c r="T361" s="358"/>
      <c r="U361" s="358"/>
      <c r="V361" s="358"/>
      <c r="W361" s="358"/>
    </row>
    <row r="362" spans="3:23" outlineLevel="1">
      <c r="C362" s="235" t="s">
        <v>1147</v>
      </c>
      <c r="D362" s="358">
        <f t="shared" si="70"/>
        <v>0</v>
      </c>
      <c r="E362" s="358">
        <f t="shared" si="70"/>
        <v>0</v>
      </c>
      <c r="F362" s="358">
        <f t="shared" si="70"/>
        <v>0</v>
      </c>
      <c r="G362" s="358">
        <f t="shared" si="70"/>
        <v>0</v>
      </c>
      <c r="H362" s="358">
        <f t="shared" si="70"/>
        <v>0</v>
      </c>
      <c r="I362" s="358">
        <f t="shared" si="70"/>
        <v>0</v>
      </c>
      <c r="J362" s="358">
        <f t="shared" si="70"/>
        <v>0</v>
      </c>
      <c r="K362" s="358">
        <f t="shared" si="70"/>
        <v>0</v>
      </c>
      <c r="L362" s="358">
        <f t="shared" si="70"/>
        <v>0</v>
      </c>
      <c r="M362" s="358">
        <f t="shared" si="70"/>
        <v>0</v>
      </c>
      <c r="N362" s="358">
        <f t="shared" si="70"/>
        <v>0</v>
      </c>
      <c r="O362" s="358">
        <f t="shared" si="70"/>
        <v>0</v>
      </c>
      <c r="P362" s="359">
        <f t="shared" si="68"/>
        <v>0</v>
      </c>
      <c r="Q362" s="358"/>
      <c r="R362" s="358"/>
      <c r="S362" s="358"/>
      <c r="T362" s="358"/>
      <c r="U362" s="358"/>
      <c r="V362" s="358"/>
      <c r="W362" s="358"/>
    </row>
    <row r="363" spans="3:23" outlineLevel="1">
      <c r="C363" s="235" t="s">
        <v>1148</v>
      </c>
      <c r="D363" s="358">
        <f t="shared" si="70"/>
        <v>0</v>
      </c>
      <c r="E363" s="358">
        <f t="shared" si="70"/>
        <v>0</v>
      </c>
      <c r="F363" s="358">
        <f t="shared" si="70"/>
        <v>0</v>
      </c>
      <c r="G363" s="358">
        <f t="shared" si="70"/>
        <v>0</v>
      </c>
      <c r="H363" s="358">
        <f t="shared" si="70"/>
        <v>0</v>
      </c>
      <c r="I363" s="358">
        <f t="shared" si="70"/>
        <v>0</v>
      </c>
      <c r="J363" s="358">
        <f t="shared" si="70"/>
        <v>0</v>
      </c>
      <c r="K363" s="358">
        <f t="shared" si="70"/>
        <v>0</v>
      </c>
      <c r="L363" s="358">
        <f t="shared" si="70"/>
        <v>0</v>
      </c>
      <c r="M363" s="358">
        <f t="shared" si="70"/>
        <v>0</v>
      </c>
      <c r="N363" s="358">
        <f t="shared" si="70"/>
        <v>0</v>
      </c>
      <c r="O363" s="358">
        <f t="shared" si="70"/>
        <v>0</v>
      </c>
      <c r="P363" s="359">
        <f t="shared" si="68"/>
        <v>0</v>
      </c>
      <c r="Q363" s="358"/>
      <c r="R363" s="358"/>
      <c r="S363" s="358"/>
      <c r="T363" s="358"/>
      <c r="U363" s="358"/>
      <c r="V363" s="358"/>
      <c r="W363" s="358"/>
    </row>
    <row r="364" spans="3:23" outlineLevel="1">
      <c r="C364" s="235" t="s">
        <v>1149</v>
      </c>
      <c r="D364" s="358">
        <f t="shared" si="70"/>
        <v>0</v>
      </c>
      <c r="E364" s="358">
        <f t="shared" si="70"/>
        <v>0</v>
      </c>
      <c r="F364" s="358">
        <f t="shared" si="70"/>
        <v>0</v>
      </c>
      <c r="G364" s="358">
        <f t="shared" si="70"/>
        <v>0</v>
      </c>
      <c r="H364" s="358">
        <f t="shared" si="70"/>
        <v>0</v>
      </c>
      <c r="I364" s="358">
        <f t="shared" si="70"/>
        <v>0</v>
      </c>
      <c r="J364" s="358">
        <f t="shared" si="70"/>
        <v>0</v>
      </c>
      <c r="K364" s="358">
        <f t="shared" si="70"/>
        <v>0</v>
      </c>
      <c r="L364" s="358">
        <f t="shared" si="70"/>
        <v>0</v>
      </c>
      <c r="M364" s="358">
        <f t="shared" si="70"/>
        <v>0</v>
      </c>
      <c r="N364" s="358">
        <f t="shared" si="70"/>
        <v>0</v>
      </c>
      <c r="O364" s="358">
        <f t="shared" si="70"/>
        <v>0</v>
      </c>
      <c r="P364" s="359">
        <f t="shared" si="68"/>
        <v>0</v>
      </c>
      <c r="Q364" s="358"/>
      <c r="R364" s="358"/>
      <c r="S364" s="358"/>
      <c r="T364" s="358"/>
      <c r="U364" s="358"/>
      <c r="V364" s="358"/>
      <c r="W364" s="358"/>
    </row>
    <row r="365" spans="3:23" outlineLevel="1">
      <c r="C365" s="235" t="s">
        <v>1150</v>
      </c>
      <c r="D365" s="358">
        <f t="shared" si="70"/>
        <v>0</v>
      </c>
      <c r="E365" s="358">
        <f t="shared" si="70"/>
        <v>0</v>
      </c>
      <c r="F365" s="358">
        <f t="shared" si="70"/>
        <v>0</v>
      </c>
      <c r="G365" s="358">
        <f t="shared" si="70"/>
        <v>0</v>
      </c>
      <c r="H365" s="358">
        <f t="shared" si="70"/>
        <v>0</v>
      </c>
      <c r="I365" s="358">
        <f t="shared" si="70"/>
        <v>0</v>
      </c>
      <c r="J365" s="358">
        <f t="shared" si="70"/>
        <v>0</v>
      </c>
      <c r="K365" s="358">
        <f t="shared" si="70"/>
        <v>0</v>
      </c>
      <c r="L365" s="358">
        <f t="shared" si="70"/>
        <v>0</v>
      </c>
      <c r="M365" s="358">
        <f t="shared" si="70"/>
        <v>0</v>
      </c>
      <c r="N365" s="358">
        <f t="shared" si="70"/>
        <v>0</v>
      </c>
      <c r="O365" s="358">
        <f t="shared" si="70"/>
        <v>0</v>
      </c>
      <c r="P365" s="359">
        <f t="shared" si="68"/>
        <v>0</v>
      </c>
      <c r="Q365" s="358"/>
      <c r="R365" s="358"/>
      <c r="S365" s="358"/>
      <c r="T365" s="358"/>
      <c r="U365" s="358"/>
      <c r="V365" s="358"/>
      <c r="W365" s="358"/>
    </row>
    <row r="366" spans="3:23" outlineLevel="1">
      <c r="C366" s="235" t="s">
        <v>1151</v>
      </c>
      <c r="D366" s="358">
        <f t="shared" si="70"/>
        <v>0</v>
      </c>
      <c r="E366" s="358">
        <f t="shared" si="70"/>
        <v>0</v>
      </c>
      <c r="F366" s="358">
        <f t="shared" si="70"/>
        <v>0</v>
      </c>
      <c r="G366" s="358">
        <f t="shared" si="70"/>
        <v>0</v>
      </c>
      <c r="H366" s="358">
        <f t="shared" si="70"/>
        <v>0</v>
      </c>
      <c r="I366" s="358">
        <f t="shared" si="70"/>
        <v>0</v>
      </c>
      <c r="J366" s="358">
        <f t="shared" si="70"/>
        <v>0</v>
      </c>
      <c r="K366" s="358">
        <f t="shared" si="70"/>
        <v>0</v>
      </c>
      <c r="L366" s="358">
        <f t="shared" si="70"/>
        <v>0</v>
      </c>
      <c r="M366" s="358">
        <f t="shared" si="70"/>
        <v>0</v>
      </c>
      <c r="N366" s="358">
        <f t="shared" si="70"/>
        <v>0</v>
      </c>
      <c r="O366" s="358">
        <f t="shared" si="70"/>
        <v>0</v>
      </c>
      <c r="P366" s="359">
        <f t="shared" si="68"/>
        <v>0</v>
      </c>
      <c r="Q366" s="358"/>
      <c r="R366" s="358"/>
      <c r="S366" s="358"/>
      <c r="T366" s="358"/>
      <c r="U366" s="358"/>
      <c r="V366" s="358"/>
      <c r="W366" s="358"/>
    </row>
    <row r="367" spans="3:23" outlineLevel="1">
      <c r="C367" s="235" t="s">
        <v>1152</v>
      </c>
      <c r="D367" s="358">
        <f t="shared" ref="D367:O369" si="71">ROUND($G120*D179,0)</f>
        <v>0</v>
      </c>
      <c r="E367" s="358">
        <f t="shared" si="71"/>
        <v>0</v>
      </c>
      <c r="F367" s="358">
        <f t="shared" si="71"/>
        <v>0</v>
      </c>
      <c r="G367" s="358">
        <f t="shared" si="71"/>
        <v>0</v>
      </c>
      <c r="H367" s="358">
        <f t="shared" si="71"/>
        <v>0</v>
      </c>
      <c r="I367" s="358">
        <f t="shared" si="71"/>
        <v>0</v>
      </c>
      <c r="J367" s="358">
        <f t="shared" si="71"/>
        <v>0</v>
      </c>
      <c r="K367" s="358">
        <f t="shared" si="71"/>
        <v>0</v>
      </c>
      <c r="L367" s="358">
        <f t="shared" si="71"/>
        <v>0</v>
      </c>
      <c r="M367" s="358">
        <f t="shared" si="71"/>
        <v>0</v>
      </c>
      <c r="N367" s="358">
        <f t="shared" si="71"/>
        <v>0</v>
      </c>
      <c r="O367" s="358">
        <f t="shared" si="71"/>
        <v>0</v>
      </c>
      <c r="P367" s="359">
        <f t="shared" si="68"/>
        <v>0</v>
      </c>
      <c r="Q367" s="358"/>
      <c r="R367" s="358"/>
      <c r="S367" s="358"/>
      <c r="T367" s="358"/>
      <c r="U367" s="358"/>
      <c r="V367" s="358"/>
      <c r="W367" s="358"/>
    </row>
    <row r="368" spans="3:23" outlineLevel="1">
      <c r="C368" s="235" t="s">
        <v>1153</v>
      </c>
      <c r="D368" s="358">
        <f t="shared" si="71"/>
        <v>0</v>
      </c>
      <c r="E368" s="358">
        <f t="shared" si="71"/>
        <v>0</v>
      </c>
      <c r="F368" s="358">
        <f t="shared" si="71"/>
        <v>0</v>
      </c>
      <c r="G368" s="358">
        <f t="shared" si="71"/>
        <v>0</v>
      </c>
      <c r="H368" s="358">
        <f t="shared" si="71"/>
        <v>0</v>
      </c>
      <c r="I368" s="358">
        <f t="shared" si="71"/>
        <v>0</v>
      </c>
      <c r="J368" s="358">
        <f t="shared" si="71"/>
        <v>0</v>
      </c>
      <c r="K368" s="358">
        <f t="shared" si="71"/>
        <v>0</v>
      </c>
      <c r="L368" s="358">
        <f t="shared" si="71"/>
        <v>0</v>
      </c>
      <c r="M368" s="358">
        <f t="shared" si="71"/>
        <v>0</v>
      </c>
      <c r="N368" s="358">
        <f t="shared" si="71"/>
        <v>0</v>
      </c>
      <c r="O368" s="358">
        <f t="shared" si="71"/>
        <v>0</v>
      </c>
      <c r="P368" s="359">
        <f t="shared" si="68"/>
        <v>0</v>
      </c>
      <c r="Q368" s="358"/>
      <c r="R368" s="358"/>
      <c r="S368" s="358"/>
      <c r="T368" s="358"/>
      <c r="U368" s="358"/>
      <c r="V368" s="358"/>
      <c r="W368" s="358"/>
    </row>
    <row r="369" spans="3:23" outlineLevel="1">
      <c r="C369" s="235" t="s">
        <v>1154</v>
      </c>
      <c r="D369" s="358">
        <f t="shared" si="71"/>
        <v>0</v>
      </c>
      <c r="E369" s="358">
        <f t="shared" si="71"/>
        <v>0</v>
      </c>
      <c r="F369" s="358">
        <f t="shared" si="71"/>
        <v>0</v>
      </c>
      <c r="G369" s="358">
        <f t="shared" si="71"/>
        <v>0</v>
      </c>
      <c r="H369" s="358">
        <f t="shared" si="71"/>
        <v>0</v>
      </c>
      <c r="I369" s="358">
        <f t="shared" si="71"/>
        <v>0</v>
      </c>
      <c r="J369" s="358">
        <f t="shared" si="71"/>
        <v>0</v>
      </c>
      <c r="K369" s="358">
        <f t="shared" si="71"/>
        <v>0</v>
      </c>
      <c r="L369" s="358">
        <f t="shared" si="71"/>
        <v>0</v>
      </c>
      <c r="M369" s="358">
        <f t="shared" si="71"/>
        <v>0</v>
      </c>
      <c r="N369" s="358">
        <f t="shared" si="71"/>
        <v>0</v>
      </c>
      <c r="O369" s="358">
        <f t="shared" si="71"/>
        <v>0</v>
      </c>
      <c r="P369" s="359">
        <f t="shared" si="68"/>
        <v>0</v>
      </c>
      <c r="Q369" s="358"/>
      <c r="R369" s="358"/>
      <c r="S369" s="358"/>
      <c r="T369" s="358"/>
      <c r="U369" s="358"/>
      <c r="V369" s="358"/>
      <c r="W369" s="358"/>
    </row>
    <row r="370" spans="3:23" outlineLevel="1">
      <c r="C370" s="235"/>
      <c r="D370" s="358">
        <f>SUM(D318:D369)</f>
        <v>0</v>
      </c>
      <c r="E370" s="358">
        <f t="shared" ref="E370:O370" si="72">SUM(E318:E369)</f>
        <v>0</v>
      </c>
      <c r="F370" s="358">
        <f t="shared" si="72"/>
        <v>0</v>
      </c>
      <c r="G370" s="358">
        <f t="shared" si="72"/>
        <v>0</v>
      </c>
      <c r="H370" s="358">
        <f t="shared" si="72"/>
        <v>0</v>
      </c>
      <c r="I370" s="358">
        <f t="shared" si="72"/>
        <v>0</v>
      </c>
      <c r="J370" s="358">
        <f t="shared" si="72"/>
        <v>0</v>
      </c>
      <c r="K370" s="358">
        <f t="shared" si="72"/>
        <v>0</v>
      </c>
      <c r="L370" s="358">
        <f t="shared" si="72"/>
        <v>0</v>
      </c>
      <c r="M370" s="358">
        <f t="shared" si="72"/>
        <v>0</v>
      </c>
      <c r="N370" s="358">
        <f t="shared" si="72"/>
        <v>0</v>
      </c>
      <c r="O370" s="358">
        <f t="shared" si="72"/>
        <v>0</v>
      </c>
      <c r="P370" s="359">
        <f>SUM(P318:P369)</f>
        <v>0</v>
      </c>
      <c r="Q370" s="358"/>
      <c r="R370" s="358"/>
      <c r="S370" s="358"/>
      <c r="T370" s="358"/>
      <c r="U370" s="358"/>
      <c r="V370" s="358"/>
      <c r="W370" s="358"/>
    </row>
    <row r="371" spans="3:23">
      <c r="D371" s="163" t="e">
        <f>'R&amp;M'!D107+'S&amp;M'!D84+'A&amp;G'!D91+#REF!+'F&amp;B+Summary'!D233+'Rooms+Summary'!E151</f>
        <v>#REF!</v>
      </c>
      <c r="E371" s="163" t="e">
        <f>'R&amp;M'!E107+'S&amp;M'!E84+'A&amp;G'!E91+#REF!+'F&amp;B+Summary'!E233+'Rooms+Summary'!F151</f>
        <v>#REF!</v>
      </c>
      <c r="F371" s="163" t="e">
        <f>'R&amp;M'!F107+'S&amp;M'!F84+'A&amp;G'!F91+#REF!+'F&amp;B+Summary'!F233+'Rooms+Summary'!G151</f>
        <v>#REF!</v>
      </c>
      <c r="G371" s="163" t="e">
        <f>'R&amp;M'!G107+'S&amp;M'!G84+'A&amp;G'!G91+#REF!+'F&amp;B+Summary'!G233+'Rooms+Summary'!H151</f>
        <v>#REF!</v>
      </c>
      <c r="H371" s="163" t="e">
        <f>'R&amp;M'!H107+'S&amp;M'!H84+'A&amp;G'!H91+#REF!+'F&amp;B+Summary'!H233+'Rooms+Summary'!I151</f>
        <v>#REF!</v>
      </c>
      <c r="I371" s="163" t="e">
        <f>'R&amp;M'!I107+'S&amp;M'!I84+'A&amp;G'!I91+#REF!+'F&amp;B+Summary'!I233+'Rooms+Summary'!J151</f>
        <v>#REF!</v>
      </c>
      <c r="J371" s="163" t="e">
        <f>'R&amp;M'!J107+'S&amp;M'!J84+'A&amp;G'!J91+#REF!+'F&amp;B+Summary'!J233+'Rooms+Summary'!K151</f>
        <v>#REF!</v>
      </c>
      <c r="K371" s="163" t="e">
        <f>'R&amp;M'!K107+'S&amp;M'!K84+'A&amp;G'!K91+#REF!+'F&amp;B+Summary'!K233+'Rooms+Summary'!L151</f>
        <v>#REF!</v>
      </c>
      <c r="L371" s="163" t="e">
        <f>'R&amp;M'!L107+'S&amp;M'!L84+'A&amp;G'!L91+#REF!+'F&amp;B+Summary'!L233+'Rooms+Summary'!M151</f>
        <v>#REF!</v>
      </c>
      <c r="M371" s="163" t="e">
        <f>'R&amp;M'!M107+'S&amp;M'!M84+'A&amp;G'!M91+#REF!+'F&amp;B+Summary'!M233+'Rooms+Summary'!N151</f>
        <v>#REF!</v>
      </c>
      <c r="N371" s="163" t="e">
        <f>'R&amp;M'!N107+'S&amp;M'!N84+'A&amp;G'!N91+#REF!+'F&amp;B+Summary'!N233+'Rooms+Summary'!O151</f>
        <v>#REF!</v>
      </c>
      <c r="O371" s="163" t="e">
        <f>'R&amp;M'!O107+'S&amp;M'!O84+'A&amp;G'!O91+#REF!+'F&amp;B+Summary'!O233+'Rooms+Summary'!P151</f>
        <v>#REF!</v>
      </c>
      <c r="P371" s="387" t="e">
        <f t="shared" si="68"/>
        <v>#REF!</v>
      </c>
    </row>
    <row r="372" spans="3:23">
      <c r="D372" s="163" t="e">
        <f>D370-D371</f>
        <v>#REF!</v>
      </c>
      <c r="E372" s="163" t="e">
        <f t="shared" ref="E372:P372" si="73">E370-E371</f>
        <v>#REF!</v>
      </c>
      <c r="F372" s="163" t="e">
        <f t="shared" si="73"/>
        <v>#REF!</v>
      </c>
      <c r="G372" s="163" t="e">
        <f t="shared" si="73"/>
        <v>#REF!</v>
      </c>
      <c r="H372" s="163" t="e">
        <f t="shared" si="73"/>
        <v>#REF!</v>
      </c>
      <c r="I372" s="163" t="e">
        <f t="shared" si="73"/>
        <v>#REF!</v>
      </c>
      <c r="J372" s="163" t="e">
        <f t="shared" si="73"/>
        <v>#REF!</v>
      </c>
      <c r="K372" s="163" t="e">
        <f t="shared" si="73"/>
        <v>#REF!</v>
      </c>
      <c r="L372" s="163" t="e">
        <f t="shared" si="73"/>
        <v>#REF!</v>
      </c>
      <c r="M372" s="163" t="e">
        <f t="shared" si="73"/>
        <v>#REF!</v>
      </c>
      <c r="N372" s="163" t="e">
        <f t="shared" si="73"/>
        <v>#REF!</v>
      </c>
      <c r="O372" s="163" t="e">
        <f t="shared" si="73"/>
        <v>#REF!</v>
      </c>
      <c r="P372" s="163" t="e">
        <f t="shared" si="73"/>
        <v>#REF!</v>
      </c>
    </row>
    <row r="374" spans="3:23">
      <c r="C374" s="106" t="s">
        <v>1187</v>
      </c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9">
        <f>SUM(D374:O374)</f>
        <v>0</v>
      </c>
      <c r="Q374" s="124"/>
      <c r="R374" s="124"/>
      <c r="S374" s="124"/>
      <c r="T374" s="124"/>
      <c r="U374" s="124"/>
      <c r="V374" s="124"/>
      <c r="W374" s="124"/>
    </row>
    <row r="375" spans="3:23">
      <c r="P375" s="129">
        <f>P374/12</f>
        <v>0</v>
      </c>
      <c r="Q375" s="124"/>
      <c r="R375" s="124"/>
      <c r="S375" s="124"/>
      <c r="T375" s="124"/>
      <c r="U375" s="124"/>
      <c r="V375" s="124"/>
      <c r="W375" s="124"/>
    </row>
    <row r="377" spans="3:23">
      <c r="N377" s="388"/>
      <c r="O377" s="388"/>
      <c r="P377" s="389"/>
      <c r="Q377" s="390"/>
      <c r="R377" s="390"/>
      <c r="S377" s="390"/>
      <c r="T377" s="390"/>
      <c r="U377" s="390"/>
      <c r="V377" s="390"/>
      <c r="W377" s="390"/>
    </row>
    <row r="378" spans="3:23">
      <c r="P378" s="129"/>
    </row>
    <row r="379" spans="3:23">
      <c r="N379" s="388" t="s">
        <v>1188</v>
      </c>
      <c r="O379" s="390"/>
      <c r="P379" s="389">
        <f>330*730</f>
        <v>240900</v>
      </c>
      <c r="Q379" s="390"/>
      <c r="R379" s="390"/>
      <c r="S379" s="390"/>
      <c r="T379" s="390"/>
      <c r="U379" s="390"/>
      <c r="V379" s="390"/>
      <c r="W379" s="390"/>
    </row>
    <row r="380" spans="3:23">
      <c r="N380" s="388" t="s">
        <v>1189</v>
      </c>
      <c r="O380" s="390"/>
      <c r="P380" s="389">
        <f>900*22</f>
        <v>19800</v>
      </c>
      <c r="Q380" s="390"/>
      <c r="R380" s="390"/>
      <c r="S380" s="390"/>
      <c r="T380" s="390"/>
      <c r="U380" s="390"/>
      <c r="V380" s="390"/>
      <c r="W380" s="390"/>
    </row>
    <row r="381" spans="3:23">
      <c r="N381" s="390"/>
      <c r="O381" s="390"/>
      <c r="P381" s="389">
        <f>SUM(P379:P380)</f>
        <v>260700</v>
      </c>
      <c r="Q381" s="390"/>
      <c r="R381" s="390"/>
      <c r="S381" s="390"/>
      <c r="T381" s="390"/>
      <c r="U381" s="390"/>
      <c r="V381" s="390"/>
      <c r="W381" s="390"/>
    </row>
    <row r="383" spans="3:23">
      <c r="C383" s="391" t="s">
        <v>1190</v>
      </c>
      <c r="D383" s="340">
        <f>ROUND(SUM($E$114:$E$118)*(D$59+'Dormitory+&amp;+Shuttle+Bus'!D$57),2)+0.02</f>
        <v>50011.359999999993</v>
      </c>
      <c r="E383" s="340">
        <f>ROUND(SUM($E$114:$E$118)*(E$59+'Dormitory+&amp;+Shuttle+Bus'!E$57),2)+0.02</f>
        <v>43619.839999999997</v>
      </c>
      <c r="F383" s="340">
        <f>ROUND(SUM($E$114:$E$118)*(F$59+'Dormitory+&amp;+Shuttle+Bus'!F$57),2)+0.02</f>
        <v>44501.25</v>
      </c>
      <c r="G383" s="340">
        <f>ROUND(SUM($E$114:$E$118)*(G$59+'Dormitory+&amp;+Shuttle+Bus'!G$57),2)+0.02</f>
        <v>46008.27</v>
      </c>
      <c r="H383" s="340">
        <f>ROUND(SUM($E$114:$E$118)*(H$59+'Dormitory+&amp;+Shuttle+Bus'!H$57),2)+0.02</f>
        <v>47991.159999999996</v>
      </c>
      <c r="I383" s="340">
        <f>ROUND(SUM($E$114:$E$118)*(I$59+'Dormitory+&amp;+Shuttle+Bus'!I$57),2)+0.02</f>
        <v>44501.25</v>
      </c>
      <c r="J383" s="340">
        <f>ROUND(SUM($E$114:$E$118)*(J$59+'Dormitory+&amp;+Shuttle+Bus'!J$57),2)+0.02</f>
        <v>44677.64</v>
      </c>
      <c r="K383" s="340">
        <f>ROUND(SUM($E$114:$E$118)*(K$59+'Dormitory+&amp;+Shuttle+Bus'!K$57),2)+0.02</f>
        <v>44636.049999999996</v>
      </c>
      <c r="L383" s="340">
        <f>ROUND(SUM($E$114:$E$118)*(L$59+'Dormitory+&amp;+Shuttle+Bus'!L$57),2)+0.02</f>
        <v>44636.049999999996</v>
      </c>
      <c r="M383" s="340">
        <f>ROUND(SUM($E$114:$E$118)*(M$59+'Dormitory+&amp;+Shuttle+Bus'!M$57),2)+0.02</f>
        <v>51963.229999999996</v>
      </c>
      <c r="N383" s="340">
        <f>ROUND(SUM($E$114:$E$118)*(N$59+'Dormitory+&amp;+Shuttle+Bus'!N$57),2)+0.02</f>
        <v>44677.64</v>
      </c>
      <c r="O383" s="340">
        <f>ROUND(SUM($E$114:$E$118)*(O$59+'Dormitory+&amp;+Shuttle+Bus'!O$57),2)+0.02</f>
        <v>44635.99</v>
      </c>
      <c r="P383" s="249">
        <f>SUM(D383:O383)</f>
        <v>551859.73</v>
      </c>
    </row>
    <row r="384" spans="3:23">
      <c r="C384" s="391" t="s">
        <v>1191</v>
      </c>
      <c r="D384" s="340">
        <f>ROUND(SUM($E$119:$E$121)*(D$59+'Dormitory+&amp;+Shuttle+Bus'!D$57),2)</f>
        <v>17109.14</v>
      </c>
      <c r="E384" s="340">
        <f>ROUND(SUM($E$119:$E$121)*(E$59+'Dormitory+&amp;+Shuttle+Bus'!E$57),2)</f>
        <v>14922.57</v>
      </c>
      <c r="F384" s="340">
        <f>ROUND(SUM($E$119:$E$121)*(F$59+'Dormitory+&amp;+Shuttle+Bus'!F$57),2)</f>
        <v>15224.1</v>
      </c>
      <c r="G384" s="340">
        <f>ROUND(SUM($E$119:$E$121)*(G$59+'Dormitory+&amp;+Shuttle+Bus'!G$57),2)</f>
        <v>15739.66</v>
      </c>
      <c r="H384" s="340">
        <f>ROUND(SUM($E$119:$E$121)*(H$59+'Dormitory+&amp;+Shuttle+Bus'!H$57),2)</f>
        <v>16418.02</v>
      </c>
      <c r="I384" s="340">
        <f>ROUND(SUM($E$119:$E$121)*(I$59+'Dormitory+&amp;+Shuttle+Bus'!I$57),2)</f>
        <v>15224.1</v>
      </c>
      <c r="J384" s="340">
        <f>ROUND(SUM($E$119:$E$121)*(J$59+'Dormitory+&amp;+Shuttle+Bus'!J$57),2)</f>
        <v>15284.45</v>
      </c>
      <c r="K384" s="340">
        <f>ROUND(SUM($E$119:$E$121)*(K$59+'Dormitory+&amp;+Shuttle+Bus'!K$57),2)</f>
        <v>15270.22</v>
      </c>
      <c r="L384" s="340">
        <f>ROUND(SUM($E$119:$E$121)*(L$59+'Dormitory+&amp;+Shuttle+Bus'!L$57),2)</f>
        <v>15270.22</v>
      </c>
      <c r="M384" s="340">
        <f>ROUND(SUM($E$119:$E$121)*(M$59+'Dormitory+&amp;+Shuttle+Bus'!M$57),2)</f>
        <v>17776.89</v>
      </c>
      <c r="N384" s="340">
        <f>ROUND(SUM($E$119:$E$121)*(N$59+'Dormitory+&amp;+Shuttle+Bus'!N$57),2)</f>
        <v>15284.45</v>
      </c>
      <c r="O384" s="340">
        <f>ROUND(SUM($E$119:$E$121)*(O$59+'Dormitory+&amp;+Shuttle+Bus'!O$57),2)</f>
        <v>15270.2</v>
      </c>
      <c r="P384" s="249">
        <f>SUM(D384:O384)</f>
        <v>188794.02000000002</v>
      </c>
    </row>
    <row r="385" spans="3:16">
      <c r="C385" s="391" t="s">
        <v>1192</v>
      </c>
      <c r="D385" s="340">
        <f>ROUND(SUM($E$71:$E$113,$E$122)*(D$59+'Dormitory+&amp;+Shuttle+Bus'!D$57),2)</f>
        <v>227025.14</v>
      </c>
      <c r="E385" s="340">
        <f>ROUND(SUM($E$71:$E$113,$E$122)*(E$59+'Dormitory+&amp;+Shuttle+Bus'!E$57),2)</f>
        <v>198011.04</v>
      </c>
      <c r="F385" s="340">
        <f>ROUND(SUM($E$71:$E$113,$E$122)*(F$59+'Dormitory+&amp;+Shuttle+Bus'!F$57),2)</f>
        <v>202012.16</v>
      </c>
      <c r="G385" s="340">
        <f>ROUND(SUM($E$71:$E$113,$E$122)*(G$59+'Dormitory+&amp;+Shuttle+Bus'!G$57),2)</f>
        <v>208853.23</v>
      </c>
      <c r="H385" s="340">
        <f>ROUND(SUM($E$71:$E$113,$E$122)*(H$59+'Dormitory+&amp;+Shuttle+Bus'!H$57),2)</f>
        <v>217854.5</v>
      </c>
      <c r="I385" s="340">
        <f>ROUND(SUM($E$71:$E$113,$E$122)*(I$59+'Dormitory+&amp;+Shuttle+Bus'!I$57),2)</f>
        <v>202012.16</v>
      </c>
      <c r="J385" s="340">
        <f>ROUND(SUM($E$71:$E$113,$E$122)*(J$59+'Dormitory+&amp;+Shuttle+Bus'!J$57),2)</f>
        <v>202812.89</v>
      </c>
      <c r="K385" s="340">
        <f>ROUND(SUM($E$71:$E$113,$E$122)*(K$59+'Dormitory+&amp;+Shuttle+Bus'!K$57),2)</f>
        <v>202624.1</v>
      </c>
      <c r="L385" s="340">
        <f>ROUND(SUM($E$71:$E$113,$E$122)*(L$59+'Dormitory+&amp;+Shuttle+Bus'!L$57),2)</f>
        <v>202624.1</v>
      </c>
      <c r="M385" s="340">
        <f>ROUND(SUM($E$71:$E$113,$E$122)*(M$59+'Dormitory+&amp;+Shuttle+Bus'!M$57),2)</f>
        <v>235885.62</v>
      </c>
      <c r="N385" s="340">
        <f>ROUND(SUM($E$71:$E$113,$E$122)*(N$59+'Dormitory+&amp;+Shuttle+Bus'!N$57),2)</f>
        <v>202812.89</v>
      </c>
      <c r="O385" s="340">
        <f>ROUND(SUM($E$71:$E$113,$E$122)*(O$59+'Dormitory+&amp;+Shuttle+Bus'!O$57),2)</f>
        <v>202623.79</v>
      </c>
      <c r="P385" s="249">
        <f>SUM(D385:O385)</f>
        <v>2505151.6200000006</v>
      </c>
    </row>
  </sheetData>
  <mergeCells count="1">
    <mergeCell ref="E125:E127"/>
  </mergeCells>
  <phoneticPr fontId="7" type="noConversion"/>
  <dataValidations count="120">
    <dataValidation type="textLength" errorStyle="information" allowBlank="1" showInputMessage="1" showErrorMessage="1" error="XLBVal:6=18972.68_x000d__x000a_" sqref="Q34">
      <formula1>0</formula1>
      <formula2>300</formula2>
    </dataValidation>
    <dataValidation type="textLength" errorStyle="information" allowBlank="1" showInputMessage="1" showErrorMessage="1" error="XLBVal:6=5420.7_x000d__x000a_" sqref="V33">
      <formula1>0</formula1>
      <formula2>300</formula2>
    </dataValidation>
    <dataValidation type="textLength" errorStyle="information" allowBlank="1" showInputMessage="1" showErrorMessage="1" error="XLBVal:6=16465_x000d__x000a_" sqref="R19">
      <formula1>0</formula1>
      <formula2>300</formula2>
    </dataValidation>
    <dataValidation type="textLength" errorStyle="information" allowBlank="1" showInputMessage="1" showErrorMessage="1" error="XLBVal:6=61784.65_x000d__x000a_" sqref="S12">
      <formula1>0</formula1>
      <formula2>300</formula2>
    </dataValidation>
    <dataValidation type="textLength" errorStyle="information" allowBlank="1" showInputMessage="1" showErrorMessage="1" error="XLBVal:6=86669.28_x000d__x000a_" sqref="R12">
      <formula1>0</formula1>
      <formula2>300</formula2>
    </dataValidation>
    <dataValidation type="textLength" errorStyle="information" allowBlank="1" showInputMessage="1" showErrorMessage="1" error="XLBVal:6=65783.05_x000d__x000a_" sqref="Q12">
      <formula1>0</formula1>
      <formula2>300</formula2>
    </dataValidation>
    <dataValidation type="textLength" errorStyle="information" allowBlank="1" showInputMessage="1" showErrorMessage="1" error="XLBVal:6=34143_x000d__x000a_" sqref="D29:D30 D33:O37 D40:O47 D50:O57 D61:O61">
      <formula1>0</formula1>
      <formula2>300</formula2>
    </dataValidation>
    <dataValidation type="textLength" errorStyle="information" allowBlank="1" showInputMessage="1" showErrorMessage="1" error="XLBVal:6=64361.67_x000d__x000a_" sqref="V12">
      <formula1>0</formula1>
      <formula2>300</formula2>
    </dataValidation>
    <dataValidation type="textLength" errorStyle="information" allowBlank="1" showInputMessage="1" showErrorMessage="1" error="XLBVal:6=63008.82_x000d__x000a_" sqref="U12">
      <formula1>0</formula1>
      <formula2>300</formula2>
    </dataValidation>
    <dataValidation type="textLength" errorStyle="information" allowBlank="1" showInputMessage="1" showErrorMessage="1" error="XLBVal:6=62666.33_x000d__x000a_" sqref="T12">
      <formula1>0</formula1>
      <formula2>300</formula2>
    </dataValidation>
    <dataValidation type="textLength" errorStyle="information" allowBlank="1" showInputMessage="1" showErrorMessage="1" error="XLBVal:6=9600_x000d__x000a_" sqref="E29:O30">
      <formula1>0</formula1>
      <formula2>300</formula2>
    </dataValidation>
    <dataValidation type="textLength" errorStyle="information" allowBlank="1" showInputMessage="1" showErrorMessage="1" error="XLBVal:6=6574.08_x000d__x000a_" sqref="T37">
      <formula1>0</formula1>
      <formula2>300</formula2>
    </dataValidation>
    <dataValidation type="textLength" errorStyle="information" allowBlank="1" showInputMessage="1" showErrorMessage="1" error="XLBVal:6=12676.7_x000d__x000a_" sqref="V34">
      <formula1>0</formula1>
      <formula2>300</formula2>
    </dataValidation>
    <dataValidation type="textLength" errorStyle="information" allowBlank="1" showInputMessage="1" showErrorMessage="1" error="XLBVal:6=12687.4_x000d__x000a_" sqref="U34">
      <formula1>0</formula1>
      <formula2>300</formula2>
    </dataValidation>
    <dataValidation type="textLength" errorStyle="information" allowBlank="1" showInputMessage="1" showErrorMessage="1" error="XLBVal:6=7207_x000d__x000a_" sqref="Q17:S17">
      <formula1>0</formula1>
      <formula2>300</formula2>
    </dataValidation>
    <dataValidation type="textLength" errorStyle="information" allowBlank="1" showInputMessage="1" showErrorMessage="1" error="XLBVal:6=415339.75_x000d__x000a_" sqref="AB24">
      <formula1>0</formula1>
      <formula2>300</formula2>
    </dataValidation>
    <dataValidation type="textLength" errorStyle="information" allowBlank="1" showInputMessage="1" showErrorMessage="1" error="XLBVal:6=10678.9_x000d__x000a_" sqref="AB22">
      <formula1>0</formula1>
      <formula2>300</formula2>
    </dataValidation>
    <dataValidation type="textLength" errorStyle="information" allowBlank="1" showInputMessage="1" showErrorMessage="1" error="XLBVal:6=199293.3_x000d__x000a_" sqref="AB20">
      <formula1>0</formula1>
      <formula2>300</formula2>
    </dataValidation>
    <dataValidation type="textLength" errorStyle="information" allowBlank="1" showInputMessage="1" showErrorMessage="1" error="XLBVal:6=-4667_x000d__x000a_" sqref="AB13">
      <formula1>0</formula1>
      <formula2>300</formula2>
    </dataValidation>
    <dataValidation type="textLength" errorStyle="information" allowBlank="1" showInputMessage="1" showErrorMessage="1" error="XLBVal:6=409481_x000d__x000a_" sqref="AA24">
      <formula1>0</formula1>
      <formula2>300</formula2>
    </dataValidation>
    <dataValidation type="textLength" errorStyle="information" allowBlank="1" showInputMessage="1" showErrorMessage="1" error="XLBVal:6=498472.46_x000d__x000a_" sqref="Z24">
      <formula1>0</formula1>
      <formula2>300</formula2>
    </dataValidation>
    <dataValidation type="textLength" errorStyle="information" allowBlank="1" showInputMessage="1" showErrorMessage="1" error="XLBVal:6=3523.93_x000d__x000a_" sqref="AA22">
      <formula1>0</formula1>
      <formula2>300</formula2>
    </dataValidation>
    <dataValidation type="textLength" errorStyle="information" allowBlank="1" showInputMessage="1" showErrorMessage="1" error="XLBVal:6=2996.98_x000d__x000a_" sqref="Z22">
      <formula1>0</formula1>
      <formula2>300</formula2>
    </dataValidation>
    <dataValidation type="textLength" errorStyle="information" allowBlank="1" showInputMessage="1" showErrorMessage="1" error="XLBVal:6=200199.51_x000d__x000a_" sqref="AA20">
      <formula1>0</formula1>
      <formula2>300</formula2>
    </dataValidation>
    <dataValidation type="textLength" errorStyle="information" allowBlank="1" showInputMessage="1" showErrorMessage="1" error="XLBVal:6=301206.55_x000d__x000a_" sqref="Z20">
      <formula1>0</formula1>
      <formula2>300</formula2>
    </dataValidation>
    <dataValidation type="textLength" errorStyle="information" allowBlank="1" showInputMessage="1" showErrorMessage="1" error="XLBVal:6=4520_x000d__x000a_" sqref="Z16">
      <formula1>0</formula1>
      <formula2>300</formula2>
    </dataValidation>
    <dataValidation type="textLength" errorStyle="information" allowBlank="1" showInputMessage="1" showErrorMessage="1" error="XLBVal:6=1809.8_x000d__x000a_" sqref="Z15">
      <formula1>0</formula1>
      <formula2>300</formula2>
    </dataValidation>
    <dataValidation type="textLength" errorStyle="information" allowBlank="1" showInputMessage="1" showErrorMessage="1" error="XLBVal:6=36765.5_x000d__x000a_" sqref="AA13">
      <formula1>0</formula1>
      <formula2>300</formula2>
    </dataValidation>
    <dataValidation type="textLength" errorStyle="information" allowBlank="1" showInputMessage="1" showErrorMessage="1" error="XLBVal:6=944.87_x000d__x000a_" sqref="Z13">
      <formula1>0</formula1>
      <formula2>300</formula2>
    </dataValidation>
    <dataValidation type="textLength" errorStyle="information" allowBlank="1" showInputMessage="1" showErrorMessage="1" error="XLBVal:6=670841.76_x000d__x000a_" sqref="Y24">
      <formula1>0</formula1>
      <formula2>300</formula2>
    </dataValidation>
    <dataValidation type="textLength" errorStyle="information" allowBlank="1" showInputMessage="1" showErrorMessage="1" error="XLBVal:6=32532.84_x000d__x000a_" sqref="Y22">
      <formula1>0</formula1>
      <formula2>300</formula2>
    </dataValidation>
    <dataValidation type="textLength" errorStyle="information" allowBlank="1" showInputMessage="1" showErrorMessage="1" error="XLBVal:6=458945.93_x000d__x000a_" sqref="Y20">
      <formula1>0</formula1>
      <formula2>300</formula2>
    </dataValidation>
    <dataValidation type="textLength" errorStyle="information" allowBlank="1" showInputMessage="1" showErrorMessage="1" error="XLBVal:6=5340_x000d__x000a_" sqref="Y19">
      <formula1>0</formula1>
      <formula2>300</formula2>
    </dataValidation>
    <dataValidation type="textLength" errorStyle="information" allowBlank="1" showInputMessage="1" showErrorMessage="1" error="XLBVal:6=13730.56_x000d__x000a_" sqref="Y13">
      <formula1>0</formula1>
      <formula2>300</formula2>
    </dataValidation>
    <dataValidation type="textLength" errorStyle="information" allowBlank="1" showInputMessage="1" showErrorMessage="1" error="XLBVal:6=784048.8_x000d__x000a_" sqref="X24">
      <formula1>0</formula1>
      <formula2>300</formula2>
    </dataValidation>
    <dataValidation type="textLength" errorStyle="information" allowBlank="1" showInputMessage="1" showErrorMessage="1" error="XLBVal:6=81673.46_x000d__x000a_" sqref="X22">
      <formula1>0</formula1>
      <formula2>300</formula2>
    </dataValidation>
    <dataValidation type="textLength" errorStyle="information" allowBlank="1" showInputMessage="1" showErrorMessage="1" error="XLBVal:6=532668.87_x000d__x000a_" sqref="X20">
      <formula1>0</formula1>
      <formula2>300</formula2>
    </dataValidation>
    <dataValidation type="textLength" errorStyle="information" allowBlank="1" showInputMessage="1" showErrorMessage="1" error="XLBVal:6=1780_x000d__x000a_" sqref="X19">
      <formula1>0</formula1>
      <formula2>300</formula2>
    </dataValidation>
    <dataValidation type="textLength" errorStyle="information" allowBlank="1" showInputMessage="1" showErrorMessage="1" error="XLBVal:6=-57.36_x000d__x000a_" sqref="X13">
      <formula1>0</formula1>
      <formula2>300</formula2>
    </dataValidation>
    <dataValidation type="textLength" errorStyle="information" allowBlank="1" showInputMessage="1" showErrorMessage="1" error="XLBVal:6=0_x000d__x000a_" sqref="T15 T17">
      <formula1>0</formula1>
      <formula2>300</formula2>
    </dataValidation>
    <dataValidation type="textLength" errorStyle="information" allowBlank="1" showInputMessage="1" showErrorMessage="1" error="XLBVal:6=604783.82_x000d__x000a_" sqref="W24">
      <formula1>0</formula1>
      <formula2>300</formula2>
    </dataValidation>
    <dataValidation type="textLength" errorStyle="information" allowBlank="1" showInputMessage="1" showErrorMessage="1" error="XLBVal:6=1519.74_x000d__x000a_" sqref="W22">
      <formula1>0</formula1>
      <formula2>300</formula2>
    </dataValidation>
    <dataValidation type="textLength" errorStyle="information" allowBlank="1" showInputMessage="1" showErrorMessage="1" error="XLBVal:6=28.02_x000d__x000a_" sqref="W21">
      <formula1>0</formula1>
      <formula2>300</formula2>
    </dataValidation>
    <dataValidation type="textLength" errorStyle="information" allowBlank="1" showInputMessage="1" showErrorMessage="1" error="XLBVal:6=377248.91_x000d__x000a_" sqref="W20">
      <formula1>0</formula1>
      <formula2>300</formula2>
    </dataValidation>
    <dataValidation type="textLength" errorStyle="information" allowBlank="1" showInputMessage="1" showErrorMessage="1" error="XLBVal:6=34094.29_x000d__x000a_" sqref="W12:W13 X12:AB12">
      <formula1>0</formula1>
      <formula2>300</formula2>
    </dataValidation>
    <dataValidation type="textLength" errorStyle="information" allowBlank="1" showInputMessage="1" showErrorMessage="1" error="XLBVal:6=684_x000d__x000a_" sqref="G16">
      <formula1>0</formula1>
      <formula2>300</formula2>
    </dataValidation>
    <dataValidation type="textLength" errorStyle="information" allowBlank="1" showInputMessage="1" showErrorMessage="1" error="XLBVal:6=19023.56_x000d__x000a_" sqref="S34">
      <formula1>0</formula1>
      <formula2>300</formula2>
    </dataValidation>
    <dataValidation type="textLength" errorStyle="information" allowBlank="1" showInputMessage="1" showErrorMessage="1" error="XLBVal:6=19021.66_x000d__x000a_" sqref="R34">
      <formula1>0</formula1>
      <formula2>300</formula2>
    </dataValidation>
    <dataValidation type="textLength" errorStyle="information" allowBlank="1" showInputMessage="1" showErrorMessage="1" error="XLBVal:6=2699.19_x000d__x000a_" sqref="D22:O22">
      <formula1>0</formula1>
      <formula2>300</formula2>
    </dataValidation>
    <dataValidation type="textLength" errorStyle="information" allowBlank="1" showInputMessage="1" showErrorMessage="1" error="XLBVal:6=439917.26_x000d__x000a_" sqref="D20:O20">
      <formula1>0</formula1>
      <formula2>300</formula2>
    </dataValidation>
    <dataValidation type="textLength" errorStyle="information" allowBlank="1" showInputMessage="1" showErrorMessage="1" error="XLBVal:6=17108.25_x000d__x000a_" sqref="D12:O13">
      <formula1>0</formula1>
      <formula2>300</formula2>
    </dataValidation>
    <dataValidation type="textLength" errorStyle="information" allowBlank="1" showInputMessage="1" showErrorMessage="1" error="XLBVal:6=19_x000d__x000a_" sqref="Q61:V61">
      <formula1>0</formula1>
      <formula2>300</formula2>
    </dataValidation>
    <dataValidation type="textLength" errorStyle="information" allowBlank="1" showInputMessage="1" showErrorMessage="1" error="XLBVal:6=613.87_x000d__x000a_" sqref="R42">
      <formula1>0</formula1>
      <formula2>300</formula2>
    </dataValidation>
    <dataValidation type="textLength" errorStyle="information" allowBlank="1" showInputMessage="1" showErrorMessage="1" error="XLBVal:6=638.02_x000d__x000a_" sqref="Q42 S42:V42">
      <formula1>0</formula1>
      <formula2>300</formula2>
    </dataValidation>
    <dataValidation type="textLength" errorStyle="information" allowBlank="1" showInputMessage="1" showErrorMessage="1" error="XLBVal:6=12657.42_x000d__x000a_" sqref="T34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795.77_x000d__x000a_" sqref="V55">
      <formula1>0</formula1>
      <formula2>300</formula2>
    </dataValidation>
    <dataValidation type="textLength" errorStyle="information" allowBlank="1" showInputMessage="1" showErrorMessage="1" error="XLBVal:6=430.67_x000d__x000a_" sqref="U55">
      <formula1>0</formula1>
      <formula2>300</formula2>
    </dataValidation>
    <dataValidation type="textLength" errorStyle="information" allowBlank="1" showInputMessage="1" showErrorMessage="1" error="XLBVal:6=457.65_x000d__x000a_" sqref="T55">
      <formula1>0</formula1>
      <formula2>300</formula2>
    </dataValidation>
    <dataValidation type="textLength" errorStyle="information" allowBlank="1" showInputMessage="1" showErrorMessage="1" error="XLBVal:6=451.76_x000d__x000a_" sqref="S55">
      <formula1>0</formula1>
      <formula2>300</formula2>
    </dataValidation>
    <dataValidation type="textLength" errorStyle="information" allowBlank="1" showInputMessage="1" showErrorMessage="1" error="XLBVal:6=504.15_x000d__x000a_" sqref="R55">
      <formula1>0</formula1>
      <formula2>300</formula2>
    </dataValidation>
    <dataValidation type="textLength" errorStyle="information" allowBlank="1" showInputMessage="1" showErrorMessage="1" error="XLBVal:6=414.62_x000d__x000a_" sqref="Q55">
      <formula1>0</formula1>
      <formula2>300</formula2>
    </dataValidation>
    <dataValidation type="textLength" errorStyle="information" allowBlank="1" showInputMessage="1" showErrorMessage="1" error="XLBVal:6=375.45_x000d__x000a_" sqref="V54">
      <formula1>0</formula1>
      <formula2>300</formula2>
    </dataValidation>
    <dataValidation type="textLength" errorStyle="information" allowBlank="1" showInputMessage="1" showErrorMessage="1" error="XLBVal:6=373.81_x000d__x000a_" sqref="U54">
      <formula1>0</formula1>
      <formula2>300</formula2>
    </dataValidation>
    <dataValidation type="textLength" errorStyle="information" allowBlank="1" showInputMessage="1" showErrorMessage="1" error="XLBVal:6=361.19_x000d__x000a_" sqref="R54">
      <formula1>0</formula1>
      <formula2>300</formula2>
    </dataValidation>
    <dataValidation type="textLength" errorStyle="information" allowBlank="1" showInputMessage="1" showErrorMessage="1" error="XLBVal:6=358.17_x000d__x000a_" sqref="Q54 S54:T54">
      <formula1>0</formula1>
      <formula2>300</formula2>
    </dataValidation>
    <dataValidation type="textLength" errorStyle="information" allowBlank="1" showInputMessage="1" showErrorMessage="1" error="XLBVal:6=2080.61_x000d__x000a_" sqref="V46">
      <formula1>0</formula1>
      <formula2>300</formula2>
    </dataValidation>
    <dataValidation type="textLength" errorStyle="information" allowBlank="1" showInputMessage="1" showErrorMessage="1" error="XLBVal:6=2092.73_x000d__x000a_" sqref="U46">
      <formula1>0</formula1>
      <formula2>300</formula2>
    </dataValidation>
    <dataValidation type="textLength" errorStyle="information" allowBlank="1" showInputMessage="1" showErrorMessage="1" error="XLBVal:6=3611.12_x000d__x000a_" sqref="T46">
      <formula1>0</formula1>
      <formula2>300</formula2>
    </dataValidation>
    <dataValidation type="textLength" errorStyle="information" allowBlank="1" showInputMessage="1" showErrorMessage="1" error="XLBVal:6=4276.98_x000d__x000a_" sqref="S46">
      <formula1>0</formula1>
      <formula2>300</formula2>
    </dataValidation>
    <dataValidation type="textLength" errorStyle="information" allowBlank="1" showInputMessage="1" showErrorMessage="1" error="XLBVal:6=2353.16_x000d__x000a_" sqref="R46">
      <formula1>0</formula1>
      <formula2>300</formula2>
    </dataValidation>
    <dataValidation type="textLength" errorStyle="information" allowBlank="1" showInputMessage="1" showErrorMessage="1" error="XLBVal:6=2096.5_x000d__x000a_" sqref="Q46">
      <formula1>0</formula1>
      <formula2>300</formula2>
    </dataValidation>
    <dataValidation type="textLength" errorStyle="information" allowBlank="1" showInputMessage="1" showErrorMessage="1" error="XLBVal:6=6290_x000d__x000a_" sqref="Q45:V45">
      <formula1>0</formula1>
      <formula2>300</formula2>
    </dataValidation>
    <dataValidation type="textLength" errorStyle="information" allowBlank="1" showInputMessage="1" showErrorMessage="1" error="XLBVal:6=147.34_x000d__x000a_" sqref="R43">
      <formula1>0</formula1>
      <formula2>300</formula2>
    </dataValidation>
    <dataValidation type="textLength" errorStyle="information" allowBlank="1" showInputMessage="1" showErrorMessage="1" error="XLBVal:6=153.14_x000d__x000a_" sqref="Q43 S43:V43">
      <formula1>0</formula1>
      <formula2>300</formula2>
    </dataValidation>
    <dataValidation type="textLength" errorStyle="information" allowBlank="1" showInputMessage="1" showErrorMessage="1" error="XLBVal:6=10435.94_x000d__x000a_" sqref="R41">
      <formula1>0</formula1>
      <formula2>300</formula2>
    </dataValidation>
    <dataValidation type="textLength" errorStyle="information" allowBlank="1" showInputMessage="1" showErrorMessage="1" error="XLBVal:6=10846.49_x000d__x000a_" sqref="Q41 S41:V41">
      <formula1>0</formula1>
      <formula2>300</formula2>
    </dataValidation>
    <dataValidation type="textLength" errorStyle="information" allowBlank="1" showInputMessage="1" showErrorMessage="1" error="XLBVal:6=19644.12_x000d__x000a_" sqref="R40">
      <formula1>0</formula1>
      <formula2>300</formula2>
    </dataValidation>
    <dataValidation type="textLength" errorStyle="information" allowBlank="1" showInputMessage="1" showErrorMessage="1" error="XLBVal:6=20416.92_x000d__x000a_" sqref="Q40 S40:V40">
      <formula1>0</formula1>
      <formula2>300</formula2>
    </dataValidation>
    <dataValidation type="textLength" errorStyle="information" allowBlank="1" showInputMessage="1" showErrorMessage="1" error="XLBVal:6=6600_x000d__x000a_" sqref="U37:V37 Q37:S37">
      <formula1>0</formula1>
      <formula2>300</formula2>
    </dataValidation>
    <dataValidation type="textLength" errorStyle="information" allowBlank="1" showInputMessage="1" showErrorMessage="1" error="XLBVal:6=19010_x000d__x000a_" sqref="V35">
      <formula1>0</formula1>
      <formula2>300</formula2>
    </dataValidation>
    <dataValidation type="textLength" errorStyle="information" allowBlank="1" showInputMessage="1" showErrorMessage="1" error="XLBVal:6=17740_x000d__x000a_" sqref="U35">
      <formula1>0</formula1>
      <formula2>300</formula2>
    </dataValidation>
    <dataValidation type="textLength" errorStyle="information" allowBlank="1" showInputMessage="1" showErrorMessage="1" error="XLBVal:6=19190_x000d__x000a_" sqref="T35">
      <formula1>0</formula1>
      <formula2>300</formula2>
    </dataValidation>
    <dataValidation type="textLength" errorStyle="information" allowBlank="1" showInputMessage="1" showErrorMessage="1" error="XLBVal:6=19075_x000d__x000a_" sqref="S35">
      <formula1>0</formula1>
      <formula2>300</formula2>
    </dataValidation>
    <dataValidation type="textLength" errorStyle="information" allowBlank="1" showInputMessage="1" showErrorMessage="1" error="XLBVal:6=19200_x000d__x000a_" sqref="R35">
      <formula1>0</formula1>
      <formula2>300</formula2>
    </dataValidation>
    <dataValidation type="textLength" errorStyle="information" allowBlank="1" showInputMessage="1" showErrorMessage="1" error="XLBVal:6=19025_x000d__x000a_" sqref="Q35">
      <formula1>0</formula1>
      <formula2>300</formula2>
    </dataValidation>
    <dataValidation type="textLength" errorStyle="information" allowBlank="1" showInputMessage="1" showErrorMessage="1" error="XLBVal:6=6496.56_x000d__x000a_" sqref="U33">
      <formula1>0</formula1>
      <formula2>300</formula2>
    </dataValidation>
    <dataValidation type="textLength" errorStyle="information" allowBlank="1" showInputMessage="1" showErrorMessage="1" error="XLBVal:6=5075.85_x000d__x000a_" sqref="T33">
      <formula1>0</formula1>
      <formula2>300</formula2>
    </dataValidation>
    <dataValidation type="textLength" errorStyle="information" allowBlank="1" showInputMessage="1" showErrorMessage="1" error="XLBVal:6=18937.95_x000d__x000a_" sqref="R33">
      <formula1>0</formula1>
      <formula2>300</formula2>
    </dataValidation>
    <dataValidation type="textLength" errorStyle="information" allowBlank="1" showInputMessage="1" showErrorMessage="1" error="XLBVal:6=6399.99_x000d__x000a_" sqref="Q33">
      <formula1>0</formula1>
      <formula2>300</formula2>
    </dataValidation>
    <dataValidation type="textLength" errorStyle="information" allowBlank="1" showInputMessage="1" showErrorMessage="1" error="XLBVal:6=64500_x000d__x000a_" sqref="Q30:V30">
      <formula1>0</formula1>
      <formula2>300</formula2>
    </dataValidation>
    <dataValidation type="textLength" errorStyle="information" allowBlank="1" showInputMessage="1" showErrorMessage="1" error="XLBVal:6=479613.16_x000d__x000a_" sqref="V24">
      <formula1>0</formula1>
      <formula2>300</formula2>
    </dataValidation>
    <dataValidation type="textLength" errorStyle="information" allowBlank="1" showInputMessage="1" showErrorMessage="1" error="XLBVal:6=411552.73_x000d__x000a_" sqref="U24">
      <formula1>0</formula1>
      <formula2>300</formula2>
    </dataValidation>
    <dataValidation type="textLength" errorStyle="information" allowBlank="1" showInputMessage="1" showErrorMessage="1" error="XLBVal:6=455834.08_x000d__x000a_" sqref="T24">
      <formula1>0</formula1>
      <formula2>300</formula2>
    </dataValidation>
    <dataValidation type="textLength" errorStyle="information" allowBlank="1" showInputMessage="1" showErrorMessage="1" error="XLBVal:6=745874.45_x000d__x000a_" sqref="S24">
      <formula1>0</formula1>
      <formula2>300</formula2>
    </dataValidation>
    <dataValidation type="textLength" errorStyle="information" allowBlank="1" showInputMessage="1" showErrorMessage="1" error="XLBVal:6=619168.48_x000d__x000a_" sqref="R24">
      <formula1>0</formula1>
      <formula2>300</formula2>
    </dataValidation>
    <dataValidation type="textLength" errorStyle="information" allowBlank="1" showInputMessage="1" showErrorMessage="1" error="XLBVal:6=617327.46_x000d__x000a_" sqref="Q24">
      <formula1>0</formula1>
      <formula2>300</formula2>
    </dataValidation>
    <dataValidation type="textLength" errorStyle="information" allowBlank="1" showInputMessage="1" showErrorMessage="1" error="XLBVal:6=8134.52_x000d__x000a_" sqref="V22">
      <formula1>0</formula1>
      <formula2>300</formula2>
    </dataValidation>
    <dataValidation type="textLength" errorStyle="information" allowBlank="1" showInputMessage="1" showErrorMessage="1" error="XLBVal:6=4708.79_x000d__x000a_" sqref="U22">
      <formula1>0</formula1>
      <formula2>300</formula2>
    </dataValidation>
    <dataValidation type="textLength" errorStyle="information" allowBlank="1" showInputMessage="1" showErrorMessage="1" error="XLBVal:6=3066.89_x000d__x000a_" sqref="T22">
      <formula1>0</formula1>
      <formula2>300</formula2>
    </dataValidation>
    <dataValidation type="textLength" errorStyle="information" allowBlank="1" showInputMessage="1" showErrorMessage="1" error="XLBVal:6=5771.73_x000d__x000a_" sqref="S22">
      <formula1>0</formula1>
      <formula2>300</formula2>
    </dataValidation>
    <dataValidation type="textLength" errorStyle="information" allowBlank="1" showInputMessage="1" showErrorMessage="1" error="XLBVal:6=3949.32_x000d__x000a_" sqref="R22">
      <formula1>0</formula1>
      <formula2>300</formula2>
    </dataValidation>
    <dataValidation type="textLength" errorStyle="information" allowBlank="1" showInputMessage="1" showErrorMessage="1" error="XLBVal:6=4729.48_x000d__x000a_" sqref="Q22">
      <formula1>0</formula1>
      <formula2>300</formula2>
    </dataValidation>
    <dataValidation type="textLength" errorStyle="information" allowBlank="1" showInputMessage="1" showErrorMessage="1" error="XLBVal:6=221630.19_x000d__x000a_" sqref="V20">
      <formula1>0</formula1>
      <formula2>300</formula2>
    </dataValidation>
    <dataValidation type="textLength" errorStyle="information" allowBlank="1" showInputMessage="1" showErrorMessage="1" error="XLBVal:6=198070.64_x000d__x000a_" sqref="U20">
      <formula1>0</formula1>
      <formula2>300</formula2>
    </dataValidation>
    <dataValidation type="textLength" errorStyle="information" allowBlank="1" showInputMessage="1" showErrorMessage="1" error="XLBVal:6=208382.55_x000d__x000a_" sqref="T20">
      <formula1>0</formula1>
      <formula2>300</formula2>
    </dataValidation>
    <dataValidation type="textLength" errorStyle="information" allowBlank="1" showInputMessage="1" showErrorMessage="1" error="XLBVal:6=482469.44_x000d__x000a_" sqref="S20">
      <formula1>0</formula1>
      <formula2>300</formula2>
    </dataValidation>
    <dataValidation type="textLength" errorStyle="information" allowBlank="1" showInputMessage="1" showErrorMessage="1" error="XLBVal:6=317313.96_x000d__x000a_" sqref="R20">
      <formula1>0</formula1>
      <formula2>300</formula2>
    </dataValidation>
    <dataValidation type="textLength" errorStyle="information" allowBlank="1" showInputMessage="1" showErrorMessage="1" error="XLBVal:6=342228.86_x000d__x000a_" sqref="Q20">
      <formula1>0</formula1>
      <formula2>300</formula2>
    </dataValidation>
    <dataValidation type="textLength" errorStyle="information" allowBlank="1" showInputMessage="1" showErrorMessage="1" error="XLBVal:6=1000_x000d__x000a_" sqref="AA17:AB17 W17">
      <formula1>0</formula1>
      <formula2>300</formula2>
    </dataValidation>
    <dataValidation type="textLength" errorStyle="information" allowBlank="1" showInputMessage="1" showErrorMessage="1" error="XLBVal:6=24099.98_x000d__x000a_" sqref="V13">
      <formula1>0</formula1>
      <formula2>300</formula2>
    </dataValidation>
    <dataValidation type="textLength" errorStyle="information" allowBlank="1" showInputMessage="1" showErrorMessage="1" error="XLBVal:6=-15156.26_x000d__x000a_" sqref="U13">
      <formula1>0</formula1>
      <formula2>300</formula2>
    </dataValidation>
    <dataValidation type="textLength" errorStyle="information" allowBlank="1" showInputMessage="1" showErrorMessage="1" error="XLBVal:6=18956.45_x000d__x000a_" sqref="T13">
      <formula1>0</formula1>
      <formula2>300</formula2>
    </dataValidation>
    <dataValidation type="textLength" errorStyle="information" allowBlank="1" showInputMessage="1" showErrorMessage="1" error="XLBVal:6=24078.59_x000d__x000a_" sqref="S13">
      <formula1>0</formula1>
      <formula2>300</formula2>
    </dataValidation>
    <dataValidation type="textLength" errorStyle="information" allowBlank="1" showInputMessage="1" showErrorMessage="1" error="XLBVal:6=7371.54_x000d__x000a_" sqref="R13">
      <formula1>0</formula1>
      <formula2>300</formula2>
    </dataValidation>
    <dataValidation type="textLength" errorStyle="information" allowBlank="1" showInputMessage="1" showErrorMessage="1" error="XLBVal:6=29084.54_x000d__x000a_" sqref="Q13">
      <formula1>0</formula1>
      <formula2>300</formula2>
    </dataValidation>
    <dataValidation type="textLength" errorStyle="information" allowBlank="1" showInputMessage="1" showErrorMessage="1" error="XLBVal:6=11500_x000d__x000a_" sqref="Q29:V29">
      <formula1>0</formula1>
      <formula2>300</formula2>
    </dataValidation>
    <dataValidation type="textLength" errorStyle="information" allowBlank="1" showInputMessage="1" showErrorMessage="1" error="XLBVal:6=79.12_x000d__x000a_" sqref="D21:O21">
      <formula1>0</formula1>
      <formula2>300</formula2>
    </dataValidation>
    <dataValidation type="textLength" errorStyle="information" allowBlank="1" showInputMessage="1" showErrorMessage="1" error="XLBVal:6=83_x000d__x000a_" sqref="X21:AB21 Q21:V21">
      <formula1>0</formula1>
      <formula2>300</formula2>
    </dataValidation>
    <dataValidation type="textLength" errorStyle="information" allowBlank="1" showInputMessage="1" showErrorMessage="1" error="XLBVal:2=0_x000d__x000a_" sqref="H16:I16 W29:AB30 S33 Q44:V44 S19:W19 D17:D19 U15:U17 Q50:V53 G14:I15 T16 E18:I19 Z14 W40:AB46 Q19 D14:F16 Q18:AB18 W37:AB37 Q36:AB36 AA14:AB16 V14:Y16 X17:Z17 Z19:AB19 W33:AB35 Q47:AB47 Q56:V57 W50:AB57 W61:AB61 T14:U14 V17 Q14:S16 E17:O17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AI35"/>
  <sheetViews>
    <sheetView view="pageBreakPreview" zoomScaleNormal="100" zoomScaleSheetLayoutView="100" workbookViewId="0">
      <pane xSplit="4" ySplit="7" topLeftCell="M8" activePane="bottomRight" state="frozen"/>
      <selection activeCell="AP43" sqref="AP43"/>
      <selection pane="topRight" activeCell="AP43" sqref="AP43"/>
      <selection pane="bottomLeft" activeCell="AP43" sqref="AP43"/>
      <selection pane="bottomRight" activeCell="M13" sqref="M13"/>
    </sheetView>
  </sheetViews>
  <sheetFormatPr defaultColWidth="9" defaultRowHeight="14.25" outlineLevelCol="2"/>
  <cols>
    <col min="1" max="1" width="13.75" style="105" hidden="1" customWidth="1" outlineLevel="1"/>
    <col min="2" max="2" width="9" style="105" hidden="1" customWidth="1" outlineLevel="1"/>
    <col min="3" max="3" width="51" style="105" customWidth="1" collapsed="1"/>
    <col min="4" max="13" width="17.125" style="72" bestFit="1" customWidth="1"/>
    <col min="14" max="14" width="18.25" style="72" bestFit="1" customWidth="1"/>
    <col min="15" max="15" width="17.125" style="72" bestFit="1" customWidth="1"/>
    <col min="16" max="16" width="19.625" style="127" bestFit="1" customWidth="1"/>
    <col min="17" max="23" width="17.875" style="72" hidden="1" customWidth="1" outlineLevel="1"/>
    <col min="24" max="28" width="15.75" style="72" hidden="1" customWidth="1" outlineLevel="2"/>
    <col min="29" max="29" width="19.5" style="127" bestFit="1" customWidth="1" collapsed="1"/>
    <col min="30" max="30" width="13.875" style="72" customWidth="1"/>
    <col min="31" max="31" width="9" style="105" customWidth="1"/>
    <col min="32" max="32" width="18.625" style="109" hidden="1" customWidth="1"/>
    <col min="33" max="33" width="17.25" style="105" hidden="1" customWidth="1"/>
    <col min="34" max="34" width="9" style="105"/>
    <col min="35" max="35" width="17.25" style="105" bestFit="1" customWidth="1"/>
    <col min="36" max="16384" width="9" style="105"/>
  </cols>
  <sheetData>
    <row r="1" spans="1:35" s="100" customFormat="1">
      <c r="A1" s="100" t="s">
        <v>118</v>
      </c>
      <c r="C1" s="100" t="s">
        <v>680</v>
      </c>
      <c r="D1" s="101">
        <f>'Front office'!E$1</f>
        <v>2025001</v>
      </c>
      <c r="E1" s="101">
        <f>'Front office'!F$1</f>
        <v>2025002</v>
      </c>
      <c r="F1" s="101">
        <f>'Front office'!G$1</f>
        <v>2025003</v>
      </c>
      <c r="G1" s="101">
        <f>'Front office'!H$1</f>
        <v>2025004</v>
      </c>
      <c r="H1" s="101">
        <f>'Front office'!I$1</f>
        <v>2025005</v>
      </c>
      <c r="I1" s="101">
        <f>'Front office'!J$1</f>
        <v>2025006</v>
      </c>
      <c r="J1" s="101">
        <f>'Front office'!K$1</f>
        <v>2025007</v>
      </c>
      <c r="K1" s="101">
        <f>'Front office'!L$1</f>
        <v>2025008</v>
      </c>
      <c r="L1" s="101">
        <f>'Front office'!M$1</f>
        <v>2025009</v>
      </c>
      <c r="M1" s="101">
        <f>'Front office'!N$1</f>
        <v>2025010</v>
      </c>
      <c r="N1" s="101">
        <f>'Front office'!O$1</f>
        <v>2025011</v>
      </c>
      <c r="O1" s="101">
        <f>'Front office'!P$1</f>
        <v>2025012</v>
      </c>
      <c r="P1" s="102"/>
      <c r="Q1" s="101">
        <v>2024001</v>
      </c>
      <c r="R1" s="101">
        <v>2024002</v>
      </c>
      <c r="S1" s="101">
        <v>2024003</v>
      </c>
      <c r="T1" s="101">
        <v>2024004</v>
      </c>
      <c r="U1" s="101">
        <v>2024005</v>
      </c>
      <c r="V1" s="101">
        <v>2024006</v>
      </c>
      <c r="W1" s="101">
        <v>2024007</v>
      </c>
      <c r="X1" s="101">
        <v>2024008</v>
      </c>
      <c r="Y1" s="101">
        <v>2024009</v>
      </c>
      <c r="Z1" s="101">
        <v>2024010</v>
      </c>
      <c r="AA1" s="101">
        <v>2024011</v>
      </c>
      <c r="AB1" s="101">
        <v>2024012</v>
      </c>
      <c r="AC1" s="172"/>
      <c r="AD1" s="101"/>
      <c r="AF1" s="103"/>
    </row>
    <row r="2" spans="1:35" s="100" customFormat="1">
      <c r="C2" s="100" t="s">
        <v>681</v>
      </c>
      <c r="D2" s="101">
        <f>'Front office'!E$2</f>
        <v>2025001</v>
      </c>
      <c r="E2" s="101">
        <f>'Front office'!F$2</f>
        <v>2025002</v>
      </c>
      <c r="F2" s="101">
        <f>'Front office'!G$2</f>
        <v>2025003</v>
      </c>
      <c r="G2" s="101">
        <f>'Front office'!H$2</f>
        <v>2025004</v>
      </c>
      <c r="H2" s="101">
        <f>'Front office'!I$2</f>
        <v>2025005</v>
      </c>
      <c r="I2" s="101">
        <f>'Front office'!J$2</f>
        <v>2025006</v>
      </c>
      <c r="J2" s="101">
        <f>'Front office'!K$2</f>
        <v>2025007</v>
      </c>
      <c r="K2" s="101">
        <f>'Front office'!L$2</f>
        <v>2025008</v>
      </c>
      <c r="L2" s="101">
        <f>'Front office'!M$2</f>
        <v>2025009</v>
      </c>
      <c r="M2" s="101">
        <f>'Front office'!N$2</f>
        <v>2025010</v>
      </c>
      <c r="N2" s="101">
        <f>'Front office'!O$2</f>
        <v>2025011</v>
      </c>
      <c r="O2" s="101">
        <f>'Front office'!P$2</f>
        <v>2025012</v>
      </c>
      <c r="P2" s="102"/>
      <c r="Q2" s="101">
        <v>2024001</v>
      </c>
      <c r="R2" s="101">
        <v>2024002</v>
      </c>
      <c r="S2" s="101">
        <v>2024003</v>
      </c>
      <c r="T2" s="101">
        <v>2024004</v>
      </c>
      <c r="U2" s="101">
        <v>2024005</v>
      </c>
      <c r="V2" s="101">
        <v>2024006</v>
      </c>
      <c r="W2" s="101">
        <v>2024007</v>
      </c>
      <c r="X2" s="101">
        <v>2024008</v>
      </c>
      <c r="Y2" s="101">
        <v>2024009</v>
      </c>
      <c r="Z2" s="101">
        <v>2024010</v>
      </c>
      <c r="AA2" s="101">
        <v>2024011</v>
      </c>
      <c r="AB2" s="101">
        <v>2024012</v>
      </c>
      <c r="AC2" s="172"/>
      <c r="AD2" s="101"/>
      <c r="AF2" s="103"/>
    </row>
    <row r="3" spans="1:35">
      <c r="C3" s="105" t="s">
        <v>1193</v>
      </c>
      <c r="D3" s="2" t="s">
        <v>0</v>
      </c>
      <c r="E3" s="2" t="s">
        <v>0</v>
      </c>
      <c r="F3" s="2" t="s">
        <v>0</v>
      </c>
      <c r="G3" s="2" t="s">
        <v>1194</v>
      </c>
      <c r="H3" s="2" t="s">
        <v>0</v>
      </c>
      <c r="I3" s="2" t="s">
        <v>1195</v>
      </c>
      <c r="J3" s="2" t="s">
        <v>151</v>
      </c>
      <c r="K3" s="2" t="s">
        <v>1196</v>
      </c>
      <c r="L3" s="2" t="s">
        <v>151</v>
      </c>
      <c r="M3" s="2" t="s">
        <v>151</v>
      </c>
      <c r="N3" s="2" t="s">
        <v>151</v>
      </c>
      <c r="O3" s="2" t="s">
        <v>1196</v>
      </c>
      <c r="P3" s="117"/>
      <c r="Q3" s="108" t="s">
        <v>0</v>
      </c>
      <c r="R3" s="108" t="s">
        <v>1197</v>
      </c>
      <c r="S3" s="108" t="s">
        <v>1197</v>
      </c>
      <c r="T3" s="108" t="s">
        <v>0</v>
      </c>
      <c r="U3" s="108" t="s">
        <v>1195</v>
      </c>
      <c r="V3" s="108" t="s">
        <v>0</v>
      </c>
      <c r="W3" s="108" t="s">
        <v>0</v>
      </c>
      <c r="X3" s="108" t="s">
        <v>1195</v>
      </c>
      <c r="Y3" s="108" t="s">
        <v>0</v>
      </c>
      <c r="Z3" s="108" t="s">
        <v>0</v>
      </c>
      <c r="AA3" s="108" t="s">
        <v>1195</v>
      </c>
      <c r="AB3" s="108" t="s">
        <v>0</v>
      </c>
      <c r="AC3" s="209"/>
      <c r="AD3" s="2"/>
    </row>
    <row r="4" spans="1:35" s="100" customFormat="1" ht="18">
      <c r="C4" s="18">
        <f>+'2025 Summay'!$D$7</f>
        <v>2025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01"/>
      <c r="R4" s="101"/>
      <c r="S4" s="101"/>
      <c r="T4" s="101"/>
      <c r="U4" s="101"/>
      <c r="V4" s="101"/>
      <c r="W4" s="101"/>
      <c r="X4" s="183"/>
      <c r="Y4" s="101"/>
      <c r="Z4" s="101"/>
      <c r="AA4" s="101"/>
      <c r="AB4" s="101"/>
      <c r="AC4" s="172"/>
      <c r="AD4" s="101"/>
      <c r="AF4" s="103"/>
    </row>
    <row r="5" spans="1:35" s="100" customFormat="1">
      <c r="C5" s="100" t="s">
        <v>154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2"/>
      <c r="Q5" s="101"/>
      <c r="R5" s="101"/>
      <c r="S5" s="101"/>
      <c r="T5" s="101"/>
      <c r="U5" s="101"/>
      <c r="V5" s="101"/>
      <c r="W5" s="101"/>
      <c r="X5" s="183"/>
      <c r="Y5" s="101"/>
      <c r="Z5" s="101"/>
      <c r="AA5" s="101"/>
      <c r="AB5" s="101"/>
      <c r="AC5" s="172"/>
      <c r="AD5" s="101"/>
      <c r="AF5" s="103"/>
    </row>
    <row r="6" spans="1:35" s="100" customFormat="1">
      <c r="C6" s="100" t="s">
        <v>154</v>
      </c>
      <c r="D6" s="101">
        <f>'2025 Summay'!E9</f>
        <v>1</v>
      </c>
      <c r="E6" s="101">
        <f>'2025 Summay'!F9</f>
        <v>2</v>
      </c>
      <c r="F6" s="101">
        <f>'2025 Summay'!G9</f>
        <v>3</v>
      </c>
      <c r="G6" s="101">
        <f>'2025 Summay'!H9</f>
        <v>4</v>
      </c>
      <c r="H6" s="101">
        <f>'2025 Summay'!I9</f>
        <v>5</v>
      </c>
      <c r="I6" s="101">
        <f>'2025 Summay'!J9</f>
        <v>6</v>
      </c>
      <c r="J6" s="101">
        <f>'2025 Summay'!K9</f>
        <v>7</v>
      </c>
      <c r="K6" s="101">
        <f>'2025 Summay'!L9</f>
        <v>8</v>
      </c>
      <c r="L6" s="101">
        <f>'2025 Summay'!M9</f>
        <v>9</v>
      </c>
      <c r="M6" s="101">
        <f>'2025 Summay'!N9</f>
        <v>10</v>
      </c>
      <c r="N6" s="101">
        <f>'2025 Summay'!O9</f>
        <v>11</v>
      </c>
      <c r="O6" s="101">
        <f>'2025 Summay'!P9</f>
        <v>12</v>
      </c>
      <c r="P6" s="239">
        <f>'2025 Summay'!Q9</f>
        <v>2025</v>
      </c>
      <c r="Q6" s="114">
        <f>'2025 Summay'!R9</f>
        <v>202401</v>
      </c>
      <c r="R6" s="114">
        <f>'2025 Summay'!S9</f>
        <v>202402</v>
      </c>
      <c r="S6" s="114">
        <f>'2025 Summay'!T9</f>
        <v>202403</v>
      </c>
      <c r="T6" s="114">
        <f>'2025 Summay'!U9</f>
        <v>202404</v>
      </c>
      <c r="U6" s="114">
        <f>'2025 Summay'!V9</f>
        <v>202405</v>
      </c>
      <c r="V6" s="114">
        <f>'2025 Summay'!W9</f>
        <v>202406</v>
      </c>
      <c r="W6" s="114">
        <f>'2025 Summay'!X9</f>
        <v>202407</v>
      </c>
      <c r="X6" s="114">
        <f>'2025 Summay'!Y9</f>
        <v>202408</v>
      </c>
      <c r="Y6" s="114">
        <f>'2025 Summay'!Z9</f>
        <v>202409</v>
      </c>
      <c r="Z6" s="114">
        <f>'2025 Summay'!AA9</f>
        <v>202410</v>
      </c>
      <c r="AA6" s="114">
        <f>'2025 Summay'!AB9</f>
        <v>202411</v>
      </c>
      <c r="AB6" s="114">
        <f>'2025 Summay'!AC9</f>
        <v>202412</v>
      </c>
      <c r="AC6" s="115">
        <f>'2025 Summay'!AD9</f>
        <v>2024</v>
      </c>
      <c r="AD6" s="101" t="s">
        <v>477</v>
      </c>
      <c r="AE6" s="100" t="s">
        <v>156</v>
      </c>
      <c r="AF6" s="157">
        <v>2019</v>
      </c>
    </row>
    <row r="7" spans="1:35">
      <c r="C7" s="105" t="s">
        <v>154</v>
      </c>
      <c r="D7" s="2" t="str">
        <f>'2025 Summay'!E10</f>
        <v>Budget</v>
      </c>
      <c r="E7" s="2" t="str">
        <f>'2025 Summay'!F10</f>
        <v>Budget</v>
      </c>
      <c r="F7" s="2" t="str">
        <f>'2025 Summay'!G10</f>
        <v>Budget</v>
      </c>
      <c r="G7" s="2" t="str">
        <f>'2025 Summay'!H10</f>
        <v>Budget</v>
      </c>
      <c r="H7" s="2" t="str">
        <f>'2025 Summay'!I10</f>
        <v>Budget</v>
      </c>
      <c r="I7" s="2" t="str">
        <f>'2025 Summay'!J10</f>
        <v>Budget</v>
      </c>
      <c r="J7" s="2" t="str">
        <f>'2025 Summay'!K10</f>
        <v>Budget</v>
      </c>
      <c r="K7" s="2" t="str">
        <f>'2025 Summay'!L10</f>
        <v>Budget</v>
      </c>
      <c r="L7" s="2" t="str">
        <f>'2025 Summay'!M10</f>
        <v>Budget</v>
      </c>
      <c r="M7" s="2" t="str">
        <f>'2025 Summay'!N10</f>
        <v>Budget</v>
      </c>
      <c r="N7" s="2" t="str">
        <f>'2025 Summay'!O10</f>
        <v>Budget</v>
      </c>
      <c r="O7" s="2" t="str">
        <f>'2025 Summay'!P10</f>
        <v>Budget</v>
      </c>
      <c r="P7" s="107" t="str">
        <f>'2025 Summay'!Q10</f>
        <v>Budget</v>
      </c>
      <c r="Q7" s="244" t="str">
        <f>'2025 Summay'!R10</f>
        <v>Actual</v>
      </c>
      <c r="R7" s="244" t="str">
        <f>'2025 Summay'!S10</f>
        <v>Actual</v>
      </c>
      <c r="S7" s="244" t="str">
        <f>'2025 Summay'!T10</f>
        <v>Actual</v>
      </c>
      <c r="T7" s="244" t="str">
        <f>'2025 Summay'!U10</f>
        <v>Actual</v>
      </c>
      <c r="U7" s="244" t="str">
        <f>'2025 Summay'!V10</f>
        <v>Actual</v>
      </c>
      <c r="V7" s="244" t="str">
        <f>'2025 Summay'!W10</f>
        <v>Actual</v>
      </c>
      <c r="W7" s="244" t="str">
        <f>'2025 Summay'!X10</f>
        <v>Actual</v>
      </c>
      <c r="X7" s="244" t="str">
        <f>'2025 Summay'!Y10</f>
        <v>Actual</v>
      </c>
      <c r="Y7" s="244" t="str">
        <f>'2025 Summay'!Z10</f>
        <v>Forecast</v>
      </c>
      <c r="Z7" s="244" t="str">
        <f>'2025 Summay'!AA10</f>
        <v>Forecast</v>
      </c>
      <c r="AA7" s="244" t="str">
        <f>'2025 Summay'!AB10</f>
        <v>Forecast</v>
      </c>
      <c r="AB7" s="244" t="str">
        <f>'2025 Summay'!AC10</f>
        <v>Forecast</v>
      </c>
      <c r="AC7" s="245" t="str">
        <f>'2025 Summay'!AD10</f>
        <v>Forecast</v>
      </c>
      <c r="AD7" s="2"/>
      <c r="AF7" s="335" t="s">
        <v>12</v>
      </c>
    </row>
    <row r="8" spans="1:35">
      <c r="C8" s="105" t="s">
        <v>154</v>
      </c>
      <c r="AF8" s="129"/>
    </row>
    <row r="9" spans="1:35">
      <c r="C9" s="105" t="s">
        <v>1198</v>
      </c>
      <c r="AF9" s="129"/>
    </row>
    <row r="10" spans="1:35">
      <c r="A10" s="105" t="s">
        <v>1199</v>
      </c>
      <c r="B10" s="105" t="s">
        <v>77</v>
      </c>
      <c r="C10" s="105" t="s">
        <v>1200</v>
      </c>
      <c r="D10" s="116">
        <f>'2025 Summay'!E44</f>
        <v>192101.14</v>
      </c>
      <c r="E10" s="116">
        <f>'2025 Summay'!F44</f>
        <v>209332.14</v>
      </c>
      <c r="F10" s="116">
        <f>'2025 Summay'!G44</f>
        <v>142265.14000000001</v>
      </c>
      <c r="G10" s="116">
        <f>'2025 Summay'!H44</f>
        <v>134084.14000000001</v>
      </c>
      <c r="H10" s="116">
        <f>'2025 Summay'!I44</f>
        <v>129103.14</v>
      </c>
      <c r="I10" s="116">
        <f>'2025 Summay'!J44</f>
        <v>118847.14</v>
      </c>
      <c r="J10" s="116">
        <f>'2025 Summay'!K44</f>
        <v>158095.14000000001</v>
      </c>
      <c r="K10" s="116">
        <f>'2025 Summay'!L44</f>
        <v>174075.14</v>
      </c>
      <c r="L10" s="116">
        <f>'2025 Summay'!M44</f>
        <v>113865.14</v>
      </c>
      <c r="M10" s="116">
        <f>'2025 Summay'!N44</f>
        <v>135530.14000000001</v>
      </c>
      <c r="N10" s="116">
        <f>'2025 Summay'!O44</f>
        <v>121463.14</v>
      </c>
      <c r="O10" s="116">
        <f>'2025 Summay'!P44</f>
        <v>144835.85999999999</v>
      </c>
      <c r="P10" s="117">
        <f>SUM(D10:O10)</f>
        <v>1773597.4</v>
      </c>
      <c r="Q10" s="141">
        <v>116823.58</v>
      </c>
      <c r="R10" s="141">
        <v>396759.02</v>
      </c>
      <c r="S10" s="141">
        <v>102164.66</v>
      </c>
      <c r="T10" s="141">
        <v>59537.49</v>
      </c>
      <c r="U10" s="141">
        <v>48821.36</v>
      </c>
      <c r="V10" s="141">
        <v>56314.65</v>
      </c>
      <c r="W10" s="141">
        <v>112965.36</v>
      </c>
      <c r="X10" s="141">
        <v>110286.43</v>
      </c>
      <c r="Y10" s="141">
        <v>104646.6</v>
      </c>
      <c r="Z10" s="141">
        <v>118445.6</v>
      </c>
      <c r="AA10" s="141">
        <v>111215.6</v>
      </c>
      <c r="AB10" s="141">
        <v>128678.6</v>
      </c>
      <c r="AC10" s="129">
        <f>SUM(Q10:AB10)</f>
        <v>1466658.9500000004</v>
      </c>
      <c r="AD10" s="72">
        <f>AC10-P10</f>
        <v>-306938.44999999949</v>
      </c>
      <c r="AE10" s="192">
        <f>AD10/AC10</f>
        <v>-0.20927731699315605</v>
      </c>
      <c r="AF10" s="129">
        <v>1452255.15</v>
      </c>
      <c r="AG10" s="124">
        <f t="shared" ref="AG10:AG22" si="0">AF10-P10</f>
        <v>-321342.25</v>
      </c>
      <c r="AH10" s="124"/>
      <c r="AI10" s="124"/>
    </row>
    <row r="11" spans="1:35">
      <c r="A11" s="105" t="s">
        <v>1201</v>
      </c>
      <c r="B11" s="105" t="s">
        <v>77</v>
      </c>
      <c r="C11" s="105" t="s">
        <v>1202</v>
      </c>
      <c r="D11" s="116">
        <f>'2025 Summay'!E39</f>
        <v>868992</v>
      </c>
      <c r="E11" s="116">
        <f>'2025 Summay'!F39</f>
        <v>962447</v>
      </c>
      <c r="F11" s="116">
        <f>'2025 Summay'!G39</f>
        <v>598708</v>
      </c>
      <c r="G11" s="116">
        <f>'2025 Summay'!H39</f>
        <v>554340</v>
      </c>
      <c r="H11" s="116">
        <f>'2025 Summay'!I39</f>
        <v>527326</v>
      </c>
      <c r="I11" s="116">
        <f>'2025 Summay'!J39</f>
        <v>471695</v>
      </c>
      <c r="J11" s="116">
        <f>'2025 Summay'!K39</f>
        <v>684555</v>
      </c>
      <c r="K11" s="116">
        <f>'2025 Summay'!L39</f>
        <v>771228</v>
      </c>
      <c r="L11" s="116">
        <f>'2025 Summay'!M39</f>
        <v>444674</v>
      </c>
      <c r="M11" s="116">
        <f>'2025 Summay'!N39</f>
        <v>562184</v>
      </c>
      <c r="N11" s="116">
        <f>'2025 Summay'!O39</f>
        <v>485883</v>
      </c>
      <c r="O11" s="116">
        <f>'2025 Summay'!P39</f>
        <v>612643</v>
      </c>
      <c r="P11" s="117">
        <f t="shared" ref="P11:P21" si="1">SUM(D11:O11)</f>
        <v>7544675</v>
      </c>
      <c r="Q11" s="141">
        <v>928100.81</v>
      </c>
      <c r="R11" s="141">
        <v>1448403.71</v>
      </c>
      <c r="S11" s="141">
        <v>663303.01</v>
      </c>
      <c r="T11" s="141">
        <v>570569.06000000006</v>
      </c>
      <c r="U11" s="141">
        <v>534261.87</v>
      </c>
      <c r="V11" s="141">
        <v>477878.3</v>
      </c>
      <c r="W11" s="141">
        <v>684936.56</v>
      </c>
      <c r="X11" s="141">
        <v>783632.18</v>
      </c>
      <c r="Y11" s="141">
        <v>418641</v>
      </c>
      <c r="Z11" s="141">
        <v>495350</v>
      </c>
      <c r="AA11" s="141">
        <v>455160</v>
      </c>
      <c r="AB11" s="141">
        <v>552244</v>
      </c>
      <c r="AC11" s="129">
        <f t="shared" ref="AC11:AC21" si="2">SUM(Q11:AB11)</f>
        <v>8012480.5</v>
      </c>
      <c r="AD11" s="72">
        <f t="shared" ref="AD11:AD29" si="3">AC11-P11</f>
        <v>467805.5</v>
      </c>
      <c r="AE11" s="192">
        <f t="shared" ref="AE11:AE24" si="4">AD11/AC11</f>
        <v>5.8384603868926729E-2</v>
      </c>
      <c r="AF11" s="129">
        <v>7520939.0499999989</v>
      </c>
      <c r="AG11" s="124">
        <f t="shared" si="0"/>
        <v>-23735.950000001118</v>
      </c>
      <c r="AH11" s="124"/>
      <c r="AI11" s="124"/>
    </row>
    <row r="12" spans="1:35">
      <c r="A12" s="105" t="s">
        <v>1203</v>
      </c>
      <c r="B12" s="105" t="s">
        <v>77</v>
      </c>
      <c r="C12" s="105" t="s">
        <v>1204</v>
      </c>
      <c r="D12" s="116">
        <f>'2025 Summay'!E40</f>
        <v>1541019</v>
      </c>
      <c r="E12" s="116">
        <f>'2025 Summay'!F40</f>
        <v>1983132</v>
      </c>
      <c r="F12" s="116">
        <f>'2025 Summay'!G40</f>
        <v>849696</v>
      </c>
      <c r="G12" s="116">
        <f>'2025 Summay'!H40</f>
        <v>680898</v>
      </c>
      <c r="H12" s="116">
        <f>'2025 Summay'!I40</f>
        <v>-128370</v>
      </c>
      <c r="I12" s="116">
        <f>'2025 Summay'!J40</f>
        <v>384145</v>
      </c>
      <c r="J12" s="116">
        <f>'2025 Summay'!K40</f>
        <v>920717</v>
      </c>
      <c r="K12" s="116">
        <f>'2025 Summay'!L40</f>
        <v>1164178</v>
      </c>
      <c r="L12" s="116">
        <f>'2025 Summay'!M40</f>
        <v>310479</v>
      </c>
      <c r="M12" s="116">
        <f>'2025 Summay'!N40</f>
        <v>-677980</v>
      </c>
      <c r="N12" s="116">
        <f>'2025 Summay'!O40</f>
        <v>346417</v>
      </c>
      <c r="O12" s="116">
        <f>'2025 Summay'!P40</f>
        <v>629025</v>
      </c>
      <c r="P12" s="117">
        <f t="shared" si="1"/>
        <v>8003356</v>
      </c>
      <c r="Q12" s="141">
        <v>1646653.34</v>
      </c>
      <c r="R12" s="141">
        <v>3063458.91</v>
      </c>
      <c r="S12" s="141">
        <v>887264.78</v>
      </c>
      <c r="T12" s="141">
        <v>635270.69999999995</v>
      </c>
      <c r="U12" s="141">
        <v>635746.73</v>
      </c>
      <c r="V12" s="141">
        <v>-479385.22</v>
      </c>
      <c r="W12" s="141">
        <v>877910.28</v>
      </c>
      <c r="X12" s="141">
        <v>1064298.76</v>
      </c>
      <c r="Y12" s="141">
        <v>185039</v>
      </c>
      <c r="Z12" s="141">
        <v>-993136</v>
      </c>
      <c r="AA12" s="141">
        <v>173901</v>
      </c>
      <c r="AB12" s="141">
        <v>317895</v>
      </c>
      <c r="AC12" s="129">
        <f t="shared" si="2"/>
        <v>8014917.2800000012</v>
      </c>
      <c r="AD12" s="72">
        <f t="shared" si="3"/>
        <v>11561.280000001192</v>
      </c>
      <c r="AE12" s="192">
        <f t="shared" si="4"/>
        <v>1.4424702833615759E-3</v>
      </c>
      <c r="AF12" s="129">
        <v>10451323.829999998</v>
      </c>
      <c r="AG12" s="124">
        <f t="shared" si="0"/>
        <v>2447967.8299999982</v>
      </c>
      <c r="AH12" s="124"/>
      <c r="AI12" s="124"/>
    </row>
    <row r="13" spans="1:35">
      <c r="A13" s="105" t="s">
        <v>1205</v>
      </c>
      <c r="B13" s="105" t="s">
        <v>77</v>
      </c>
      <c r="C13" s="105" t="s">
        <v>1206</v>
      </c>
      <c r="D13" s="126"/>
      <c r="E13" s="126"/>
      <c r="F13" s="126"/>
      <c r="G13" s="126"/>
      <c r="H13" s="126"/>
      <c r="I13" s="126"/>
      <c r="J13" s="116"/>
      <c r="K13" s="116"/>
      <c r="L13" s="116"/>
      <c r="M13" s="116"/>
      <c r="N13" s="116"/>
      <c r="O13" s="116"/>
      <c r="P13" s="117">
        <f t="shared" si="1"/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129">
        <f t="shared" si="2"/>
        <v>0</v>
      </c>
      <c r="AD13" s="72">
        <f t="shared" si="3"/>
        <v>0</v>
      </c>
      <c r="AE13" s="192" t="e">
        <f t="shared" si="4"/>
        <v>#DIV/0!</v>
      </c>
      <c r="AF13" s="129">
        <v>0</v>
      </c>
      <c r="AG13" s="124">
        <f t="shared" si="0"/>
        <v>0</v>
      </c>
      <c r="AH13" s="124"/>
      <c r="AI13" s="124"/>
    </row>
    <row r="14" spans="1:35">
      <c r="A14" s="105" t="s">
        <v>1207</v>
      </c>
      <c r="B14" s="105" t="s">
        <v>77</v>
      </c>
      <c r="C14" s="105" t="s">
        <v>1208</v>
      </c>
      <c r="D14" s="126">
        <v>355131.95</v>
      </c>
      <c r="E14" s="126">
        <v>355131.95</v>
      </c>
      <c r="F14" s="126">
        <v>355131.95</v>
      </c>
      <c r="G14" s="126">
        <v>355131.95</v>
      </c>
      <c r="H14" s="126">
        <v>355131.95</v>
      </c>
      <c r="I14" s="126">
        <v>355131.95</v>
      </c>
      <c r="J14" s="126">
        <v>355131.95</v>
      </c>
      <c r="K14" s="126">
        <v>355131.95</v>
      </c>
      <c r="L14" s="126">
        <v>355131.95</v>
      </c>
      <c r="M14" s="126">
        <v>355131.95</v>
      </c>
      <c r="N14" s="126">
        <v>355131.95</v>
      </c>
      <c r="O14" s="126">
        <v>355131.95</v>
      </c>
      <c r="P14" s="117">
        <f t="shared" si="1"/>
        <v>4261583.4000000013</v>
      </c>
      <c r="Q14" s="141">
        <v>396173.89</v>
      </c>
      <c r="R14" s="141">
        <v>397031.95</v>
      </c>
      <c r="S14" s="141">
        <v>434275.47</v>
      </c>
      <c r="T14" s="141">
        <v>395692.73</v>
      </c>
      <c r="U14" s="141">
        <v>403798.62</v>
      </c>
      <c r="V14" s="141">
        <v>402815.82</v>
      </c>
      <c r="W14" s="141">
        <v>436033.64</v>
      </c>
      <c r="X14" s="141">
        <v>402352.71</v>
      </c>
      <c r="Y14" s="141">
        <v>436033.64</v>
      </c>
      <c r="Z14" s="141">
        <v>406431.95</v>
      </c>
      <c r="AA14" s="141">
        <v>406431.95</v>
      </c>
      <c r="AB14" s="141">
        <v>406431.95</v>
      </c>
      <c r="AC14" s="129">
        <f t="shared" si="2"/>
        <v>4923504.32</v>
      </c>
      <c r="AD14" s="72">
        <f t="shared" si="3"/>
        <v>661920.91999999899</v>
      </c>
      <c r="AE14" s="192">
        <f t="shared" si="4"/>
        <v>0.13444101537824973</v>
      </c>
      <c r="AF14" s="129">
        <v>5265441.66</v>
      </c>
      <c r="AG14" s="124">
        <f t="shared" si="0"/>
        <v>1003858.2599999988</v>
      </c>
      <c r="AH14" s="124"/>
      <c r="AI14" s="124"/>
    </row>
    <row r="15" spans="1:35">
      <c r="A15" s="105" t="s">
        <v>1209</v>
      </c>
      <c r="B15" s="105" t="s">
        <v>77</v>
      </c>
      <c r="C15" s="105" t="s">
        <v>1210</v>
      </c>
      <c r="D15" s="126"/>
      <c r="E15" s="126"/>
      <c r="F15" s="126"/>
      <c r="G15" s="126"/>
      <c r="H15" s="126"/>
      <c r="I15" s="126"/>
      <c r="J15" s="116"/>
      <c r="K15" s="116"/>
      <c r="L15" s="116"/>
      <c r="M15" s="116"/>
      <c r="N15" s="116"/>
      <c r="O15" s="116"/>
      <c r="P15" s="117">
        <f t="shared" si="1"/>
        <v>0</v>
      </c>
      <c r="Q15" s="141">
        <v>0</v>
      </c>
      <c r="R15" s="141">
        <v>0</v>
      </c>
      <c r="S15" s="141">
        <v>0</v>
      </c>
      <c r="T15" s="141">
        <v>0</v>
      </c>
      <c r="U15" s="141">
        <v>0</v>
      </c>
      <c r="V15" s="141">
        <v>0</v>
      </c>
      <c r="W15" s="141">
        <v>0</v>
      </c>
      <c r="X15" s="141">
        <v>0</v>
      </c>
      <c r="Y15" s="141">
        <v>0</v>
      </c>
      <c r="Z15" s="141">
        <v>0</v>
      </c>
      <c r="AA15" s="141">
        <v>0</v>
      </c>
      <c r="AB15" s="141">
        <v>0</v>
      </c>
      <c r="AC15" s="129">
        <f t="shared" si="2"/>
        <v>0</v>
      </c>
      <c r="AD15" s="72">
        <f t="shared" si="3"/>
        <v>0</v>
      </c>
      <c r="AE15" s="192" t="e">
        <f t="shared" si="4"/>
        <v>#DIV/0!</v>
      </c>
      <c r="AF15" s="129">
        <v>0</v>
      </c>
      <c r="AG15" s="124">
        <f t="shared" si="0"/>
        <v>0</v>
      </c>
      <c r="AH15" s="124"/>
      <c r="AI15" s="124"/>
    </row>
    <row r="16" spans="1:35">
      <c r="A16" s="105" t="s">
        <v>1211</v>
      </c>
      <c r="B16" s="105" t="s">
        <v>77</v>
      </c>
      <c r="C16" s="105" t="s">
        <v>1212</v>
      </c>
      <c r="D16" s="126"/>
      <c r="E16" s="126"/>
      <c r="F16" s="126"/>
      <c r="G16" s="126"/>
      <c r="H16" s="126"/>
      <c r="I16" s="126"/>
      <c r="J16" s="116"/>
      <c r="K16" s="116"/>
      <c r="L16" s="116"/>
      <c r="M16" s="116"/>
      <c r="N16" s="116"/>
      <c r="O16" s="116"/>
      <c r="P16" s="117">
        <f t="shared" si="1"/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129">
        <f t="shared" si="2"/>
        <v>0</v>
      </c>
      <c r="AD16" s="72">
        <f t="shared" si="3"/>
        <v>0</v>
      </c>
      <c r="AE16" s="192" t="e">
        <f t="shared" si="4"/>
        <v>#DIV/0!</v>
      </c>
      <c r="AF16" s="129">
        <v>0</v>
      </c>
      <c r="AG16" s="124">
        <f t="shared" si="0"/>
        <v>0</v>
      </c>
      <c r="AH16" s="124"/>
      <c r="AI16" s="124"/>
    </row>
    <row r="17" spans="1:35">
      <c r="A17" s="105" t="s">
        <v>1213</v>
      </c>
      <c r="B17" s="105" t="s">
        <v>77</v>
      </c>
      <c r="C17" s="105" t="s">
        <v>1214</v>
      </c>
      <c r="D17" s="126"/>
      <c r="E17" s="126"/>
      <c r="F17" s="126"/>
      <c r="G17" s="126"/>
      <c r="H17" s="126"/>
      <c r="I17" s="126"/>
      <c r="J17" s="116"/>
      <c r="K17" s="116"/>
      <c r="L17" s="116"/>
      <c r="M17" s="116"/>
      <c r="N17" s="116"/>
      <c r="O17" s="116"/>
      <c r="P17" s="117">
        <f t="shared" si="1"/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129">
        <f t="shared" si="2"/>
        <v>0</v>
      </c>
      <c r="AD17" s="72">
        <f t="shared" si="3"/>
        <v>0</v>
      </c>
      <c r="AE17" s="192" t="e">
        <f t="shared" si="4"/>
        <v>#DIV/0!</v>
      </c>
      <c r="AF17" s="129">
        <v>0</v>
      </c>
      <c r="AG17" s="124">
        <f t="shared" si="0"/>
        <v>0</v>
      </c>
      <c r="AH17" s="124"/>
      <c r="AI17" s="124"/>
    </row>
    <row r="18" spans="1:35">
      <c r="A18" s="105" t="s">
        <v>1215</v>
      </c>
      <c r="B18" s="105" t="s">
        <v>77</v>
      </c>
      <c r="C18" s="105" t="s">
        <v>1216</v>
      </c>
      <c r="D18" s="195"/>
      <c r="E18" s="195"/>
      <c r="F18" s="195"/>
      <c r="G18" s="195"/>
      <c r="H18" s="195"/>
      <c r="I18" s="195"/>
      <c r="J18" s="140"/>
      <c r="K18" s="140"/>
      <c r="L18" s="140"/>
      <c r="M18" s="140"/>
      <c r="N18" s="140"/>
      <c r="O18" s="140"/>
      <c r="P18" s="135">
        <f t="shared" si="1"/>
        <v>0</v>
      </c>
      <c r="Q18" s="231">
        <v>0</v>
      </c>
      <c r="R18" s="231">
        <v>0</v>
      </c>
      <c r="S18" s="231">
        <v>0</v>
      </c>
      <c r="T18" s="231">
        <v>0</v>
      </c>
      <c r="U18" s="231">
        <v>0</v>
      </c>
      <c r="V18" s="231">
        <v>0</v>
      </c>
      <c r="W18" s="231">
        <v>0</v>
      </c>
      <c r="X18" s="231">
        <v>0</v>
      </c>
      <c r="Y18" s="231">
        <v>0</v>
      </c>
      <c r="Z18" s="231">
        <v>0</v>
      </c>
      <c r="AA18" s="231">
        <v>0</v>
      </c>
      <c r="AB18" s="231">
        <v>0</v>
      </c>
      <c r="AC18" s="133">
        <f t="shared" si="2"/>
        <v>0</v>
      </c>
      <c r="AD18" s="136">
        <f t="shared" si="3"/>
        <v>0</v>
      </c>
      <c r="AE18" s="196" t="e">
        <f t="shared" si="4"/>
        <v>#DIV/0!</v>
      </c>
      <c r="AF18" s="133">
        <v>0</v>
      </c>
      <c r="AG18" s="124">
        <f t="shared" si="0"/>
        <v>0</v>
      </c>
      <c r="AH18" s="124"/>
      <c r="AI18" s="124"/>
    </row>
    <row r="19" spans="1:35">
      <c r="A19" s="105" t="s">
        <v>1217</v>
      </c>
      <c r="B19" s="105" t="s">
        <v>77</v>
      </c>
      <c r="C19" s="392" t="s">
        <v>1218</v>
      </c>
      <c r="D19" s="195">
        <v>75208</v>
      </c>
      <c r="E19" s="195">
        <v>75208</v>
      </c>
      <c r="F19" s="195">
        <v>75208</v>
      </c>
      <c r="G19" s="195">
        <v>75208</v>
      </c>
      <c r="H19" s="195">
        <v>75208</v>
      </c>
      <c r="I19" s="195">
        <v>75208</v>
      </c>
      <c r="J19" s="195">
        <v>75208</v>
      </c>
      <c r="K19" s="195">
        <v>75208</v>
      </c>
      <c r="L19" s="195">
        <v>75208</v>
      </c>
      <c r="M19" s="195">
        <v>75208</v>
      </c>
      <c r="N19" s="195">
        <v>75208</v>
      </c>
      <c r="O19" s="195">
        <v>75208</v>
      </c>
      <c r="P19" s="135">
        <f t="shared" si="1"/>
        <v>902496</v>
      </c>
      <c r="Q19" s="231">
        <v>81444.990000000005</v>
      </c>
      <c r="R19" s="231">
        <v>75983.95</v>
      </c>
      <c r="S19" s="231">
        <v>76079.69</v>
      </c>
      <c r="T19" s="231">
        <v>76079.710000000006</v>
      </c>
      <c r="U19" s="231">
        <v>76079.73</v>
      </c>
      <c r="V19" s="231">
        <v>76118.759999999995</v>
      </c>
      <c r="W19" s="231">
        <v>76065.53</v>
      </c>
      <c r="X19" s="231">
        <v>73804.11</v>
      </c>
      <c r="Y19" s="231">
        <v>76118.759999999995</v>
      </c>
      <c r="Z19" s="231">
        <v>76118.759999999995</v>
      </c>
      <c r="AA19" s="231">
        <v>76118.759999999995</v>
      </c>
      <c r="AB19" s="231">
        <v>76118.759999999995</v>
      </c>
      <c r="AC19" s="133">
        <f t="shared" si="2"/>
        <v>916131.51</v>
      </c>
      <c r="AD19" s="136">
        <f t="shared" si="3"/>
        <v>13635.510000000009</v>
      </c>
      <c r="AE19" s="196">
        <f t="shared" si="4"/>
        <v>1.4883791083662223E-2</v>
      </c>
      <c r="AF19" s="133">
        <v>1302074.2699999998</v>
      </c>
      <c r="AG19" s="124">
        <f t="shared" si="0"/>
        <v>399578.26999999979</v>
      </c>
      <c r="AH19" s="124"/>
      <c r="AI19" s="124"/>
    </row>
    <row r="20" spans="1:35">
      <c r="A20" s="105" t="s">
        <v>1219</v>
      </c>
      <c r="B20" s="105" t="s">
        <v>77</v>
      </c>
      <c r="C20" s="105" t="s">
        <v>1220</v>
      </c>
      <c r="D20" s="195"/>
      <c r="E20" s="195"/>
      <c r="F20" s="195"/>
      <c r="G20" s="195"/>
      <c r="H20" s="195"/>
      <c r="I20" s="195"/>
      <c r="J20" s="140"/>
      <c r="K20" s="140"/>
      <c r="L20" s="140"/>
      <c r="M20" s="140"/>
      <c r="N20" s="140"/>
      <c r="O20" s="140"/>
      <c r="P20" s="135">
        <f t="shared" si="1"/>
        <v>0</v>
      </c>
      <c r="Q20" s="231">
        <v>0</v>
      </c>
      <c r="R20" s="231">
        <v>0</v>
      </c>
      <c r="S20" s="231">
        <v>0</v>
      </c>
      <c r="T20" s="231">
        <v>0</v>
      </c>
      <c r="U20" s="231">
        <v>0</v>
      </c>
      <c r="V20" s="231">
        <v>0</v>
      </c>
      <c r="W20" s="231">
        <v>0</v>
      </c>
      <c r="X20" s="231">
        <v>0</v>
      </c>
      <c r="Y20" s="231">
        <v>0</v>
      </c>
      <c r="Z20" s="231">
        <v>0</v>
      </c>
      <c r="AA20" s="231">
        <v>0</v>
      </c>
      <c r="AB20" s="231">
        <v>0</v>
      </c>
      <c r="AC20" s="133">
        <f t="shared" si="2"/>
        <v>0</v>
      </c>
      <c r="AD20" s="136">
        <f t="shared" si="3"/>
        <v>0</v>
      </c>
      <c r="AE20" s="196" t="e">
        <f t="shared" si="4"/>
        <v>#DIV/0!</v>
      </c>
      <c r="AF20" s="133">
        <v>0</v>
      </c>
      <c r="AG20" s="124">
        <f t="shared" si="0"/>
        <v>0</v>
      </c>
      <c r="AH20" s="124"/>
      <c r="AI20" s="124"/>
    </row>
    <row r="21" spans="1:35">
      <c r="A21" s="105" t="s">
        <v>1221</v>
      </c>
      <c r="B21" s="105" t="s">
        <v>77</v>
      </c>
      <c r="C21" s="393" t="s">
        <v>1222</v>
      </c>
      <c r="D21" s="116">
        <v>637463</v>
      </c>
      <c r="E21" s="116">
        <v>623371</v>
      </c>
      <c r="F21" s="116">
        <v>626393</v>
      </c>
      <c r="G21" s="116">
        <v>626393</v>
      </c>
      <c r="H21" s="116">
        <v>626393</v>
      </c>
      <c r="I21" s="116">
        <v>625273</v>
      </c>
      <c r="J21" s="116">
        <v>625272</v>
      </c>
      <c r="K21" s="116">
        <v>593234</v>
      </c>
      <c r="L21" s="116">
        <v>584010</v>
      </c>
      <c r="M21" s="116">
        <v>584010</v>
      </c>
      <c r="N21" s="116">
        <v>584010</v>
      </c>
      <c r="O21" s="116">
        <v>501561</v>
      </c>
      <c r="P21" s="117">
        <f t="shared" si="1"/>
        <v>7237383</v>
      </c>
      <c r="Q21" s="141">
        <v>527350.21</v>
      </c>
      <c r="R21" s="141">
        <v>348415.34</v>
      </c>
      <c r="S21" s="141">
        <v>351437.32</v>
      </c>
      <c r="T21" s="141">
        <v>351437.32</v>
      </c>
      <c r="U21" s="141">
        <v>351437.32</v>
      </c>
      <c r="V21" s="141">
        <v>360196.78</v>
      </c>
      <c r="W21" s="141">
        <v>360196.78</v>
      </c>
      <c r="X21" s="141">
        <v>360196.78</v>
      </c>
      <c r="Y21" s="141">
        <v>360196.77999999997</v>
      </c>
      <c r="Z21" s="141">
        <v>360196.77999999997</v>
      </c>
      <c r="AA21" s="141">
        <v>360196.69</v>
      </c>
      <c r="AB21" s="141">
        <v>353137.81</v>
      </c>
      <c r="AC21" s="129">
        <f t="shared" si="2"/>
        <v>4444395.91</v>
      </c>
      <c r="AD21" s="72">
        <f t="shared" si="3"/>
        <v>-2792987.09</v>
      </c>
      <c r="AE21" s="192">
        <f t="shared" si="4"/>
        <v>-0.62842895785132691</v>
      </c>
      <c r="AF21" s="129">
        <v>4912428.620000001</v>
      </c>
      <c r="AG21" s="124">
        <f t="shared" si="0"/>
        <v>-2324954.379999999</v>
      </c>
      <c r="AH21" s="124"/>
      <c r="AI21" s="124"/>
    </row>
    <row r="22" spans="1:35">
      <c r="C22" s="105" t="s">
        <v>1223</v>
      </c>
      <c r="D22" s="117">
        <f t="shared" ref="D22:AC22" si="5">SUM(D10:D21)</f>
        <v>3669915.0900000003</v>
      </c>
      <c r="E22" s="117">
        <f t="shared" si="5"/>
        <v>4208622.09</v>
      </c>
      <c r="F22" s="117">
        <f t="shared" si="5"/>
        <v>2647402.09</v>
      </c>
      <c r="G22" s="117">
        <f t="shared" si="5"/>
        <v>2426055.09</v>
      </c>
      <c r="H22" s="117">
        <f t="shared" si="5"/>
        <v>1584792.09</v>
      </c>
      <c r="I22" s="117">
        <f t="shared" si="5"/>
        <v>2030300.09</v>
      </c>
      <c r="J22" s="117">
        <f t="shared" si="5"/>
        <v>2818979.0900000003</v>
      </c>
      <c r="K22" s="117">
        <f t="shared" si="5"/>
        <v>3133055.0900000003</v>
      </c>
      <c r="L22" s="117">
        <f t="shared" si="5"/>
        <v>1883368.09</v>
      </c>
      <c r="M22" s="117">
        <f t="shared" si="5"/>
        <v>1034084.0900000001</v>
      </c>
      <c r="N22" s="117">
        <f t="shared" si="5"/>
        <v>1968113.09</v>
      </c>
      <c r="O22" s="117">
        <f t="shared" si="5"/>
        <v>2318404.8099999996</v>
      </c>
      <c r="P22" s="117">
        <f t="shared" si="5"/>
        <v>29723090.800000001</v>
      </c>
      <c r="Q22" s="127">
        <f t="shared" si="5"/>
        <v>3696546.8200000003</v>
      </c>
      <c r="R22" s="127">
        <f t="shared" si="5"/>
        <v>5730052.8800000008</v>
      </c>
      <c r="S22" s="127">
        <f t="shared" si="5"/>
        <v>2514524.9300000002</v>
      </c>
      <c r="T22" s="127">
        <f t="shared" si="5"/>
        <v>2088587.01</v>
      </c>
      <c r="U22" s="127">
        <f t="shared" si="5"/>
        <v>2050145.6300000001</v>
      </c>
      <c r="V22" s="127">
        <f t="shared" si="5"/>
        <v>893939.09</v>
      </c>
      <c r="W22" s="127">
        <f t="shared" si="5"/>
        <v>2548108.1500000004</v>
      </c>
      <c r="X22" s="127">
        <f t="shared" si="5"/>
        <v>2794570.9699999997</v>
      </c>
      <c r="Y22" s="127">
        <f t="shared" si="5"/>
        <v>1580675.78</v>
      </c>
      <c r="Z22" s="127">
        <f t="shared" si="5"/>
        <v>463407.08999999997</v>
      </c>
      <c r="AA22" s="127">
        <f t="shared" si="5"/>
        <v>1583024</v>
      </c>
      <c r="AB22" s="127">
        <f t="shared" si="5"/>
        <v>1834506.12</v>
      </c>
      <c r="AC22" s="129">
        <f t="shared" si="5"/>
        <v>27778088.470000006</v>
      </c>
      <c r="AD22" s="72">
        <f t="shared" si="3"/>
        <v>-1945002.3299999945</v>
      </c>
      <c r="AE22" s="192">
        <f t="shared" si="4"/>
        <v>-7.0019300719722774E-2</v>
      </c>
      <c r="AF22" s="129">
        <v>30904462.579999998</v>
      </c>
      <c r="AG22" s="124">
        <f t="shared" si="0"/>
        <v>1181371.7799999975</v>
      </c>
      <c r="AH22" s="124"/>
      <c r="AI22" s="124"/>
    </row>
    <row r="23" spans="1:35">
      <c r="C23" s="105" t="s">
        <v>154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7"/>
      <c r="AC23" s="129"/>
      <c r="AF23" s="129"/>
      <c r="AH23" s="124"/>
      <c r="AI23" s="124"/>
    </row>
    <row r="24" spans="1:35">
      <c r="A24" s="105" t="s">
        <v>1224</v>
      </c>
      <c r="B24" s="105" t="s">
        <v>77</v>
      </c>
      <c r="C24" s="105" t="s">
        <v>1225</v>
      </c>
      <c r="D24" s="126"/>
      <c r="E24" s="126"/>
      <c r="F24" s="126">
        <v>150000</v>
      </c>
      <c r="G24" s="126"/>
      <c r="H24" s="126"/>
      <c r="I24" s="126">
        <v>150000</v>
      </c>
      <c r="J24" s="126"/>
      <c r="K24" s="126"/>
      <c r="L24" s="126">
        <v>150000</v>
      </c>
      <c r="M24" s="126"/>
      <c r="N24" s="126"/>
      <c r="O24" s="126">
        <v>150000</v>
      </c>
      <c r="P24" s="117">
        <f t="shared" ref="P24:P29" si="6">SUM(D24:O24)</f>
        <v>600000</v>
      </c>
      <c r="Q24" s="141">
        <v>0</v>
      </c>
      <c r="R24" s="141">
        <v>0</v>
      </c>
      <c r="S24" s="141">
        <v>222792.91</v>
      </c>
      <c r="T24" s="141">
        <v>0</v>
      </c>
      <c r="U24" s="141">
        <v>0</v>
      </c>
      <c r="V24" s="141">
        <v>124780.24</v>
      </c>
      <c r="W24" s="141">
        <v>0</v>
      </c>
      <c r="X24" s="141">
        <v>0</v>
      </c>
      <c r="Y24" s="141">
        <v>150000</v>
      </c>
      <c r="Z24" s="141">
        <v>0</v>
      </c>
      <c r="AA24" s="141">
        <v>0</v>
      </c>
      <c r="AB24" s="141">
        <v>150000</v>
      </c>
      <c r="AC24" s="129">
        <f t="shared" ref="AC24:AC29" si="7">SUM(Q24:AB24)</f>
        <v>647573.15</v>
      </c>
      <c r="AD24" s="72">
        <f t="shared" si="3"/>
        <v>47573.150000000023</v>
      </c>
      <c r="AE24" s="192">
        <f t="shared" si="4"/>
        <v>7.3463746914151737E-2</v>
      </c>
      <c r="AF24" s="129">
        <v>-284642.28999999998</v>
      </c>
      <c r="AG24" s="124">
        <f>P24-AF24</f>
        <v>884642.29</v>
      </c>
      <c r="AH24" s="124"/>
      <c r="AI24" s="124"/>
    </row>
    <row r="25" spans="1:35">
      <c r="A25" s="105" t="s">
        <v>76</v>
      </c>
      <c r="B25" s="105" t="s">
        <v>77</v>
      </c>
      <c r="C25" s="105" t="s">
        <v>78</v>
      </c>
      <c r="D25" s="195">
        <v>26624.29</v>
      </c>
      <c r="E25" s="195">
        <v>24138.66</v>
      </c>
      <c r="F25" s="195">
        <v>26816.19</v>
      </c>
      <c r="G25" s="195">
        <v>26049.26</v>
      </c>
      <c r="H25" s="195">
        <v>27016.04</v>
      </c>
      <c r="I25" s="195">
        <v>24320.57</v>
      </c>
      <c r="J25" s="195">
        <v>13299.14</v>
      </c>
      <c r="K25" s="195">
        <v>13349.41</v>
      </c>
      <c r="L25" s="195">
        <v>12967.62</v>
      </c>
      <c r="M25" s="195">
        <v>13448.9</v>
      </c>
      <c r="N25" s="195">
        <v>13064.27</v>
      </c>
      <c r="O25" s="195">
        <v>13549.13</v>
      </c>
      <c r="P25" s="117">
        <f t="shared" si="6"/>
        <v>234643.48</v>
      </c>
      <c r="Q25" s="231">
        <v>39077.53</v>
      </c>
      <c r="R25" s="231">
        <v>36694.6</v>
      </c>
      <c r="S25" s="231">
        <v>39363.99</v>
      </c>
      <c r="T25" s="231">
        <v>38238.17</v>
      </c>
      <c r="U25" s="231">
        <v>39657.33</v>
      </c>
      <c r="V25" s="231">
        <v>34617.730000000003</v>
      </c>
      <c r="W25" s="141">
        <v>26034.639999999999</v>
      </c>
      <c r="X25" s="141">
        <v>26133.06</v>
      </c>
      <c r="Y25" s="141">
        <v>25385.67</v>
      </c>
      <c r="Z25" s="141">
        <v>26327.83</v>
      </c>
      <c r="AA25" s="141">
        <v>25574.85</v>
      </c>
      <c r="AB25" s="141">
        <v>26524.03</v>
      </c>
      <c r="AC25" s="129">
        <f t="shared" si="7"/>
        <v>383629.42999999993</v>
      </c>
      <c r="AD25" s="72">
        <f t="shared" si="3"/>
        <v>148985.94999999992</v>
      </c>
      <c r="AG25" s="124">
        <f>AF25-P25</f>
        <v>-234643.48</v>
      </c>
      <c r="AH25" s="124"/>
      <c r="AI25" s="124"/>
    </row>
    <row r="26" spans="1:35">
      <c r="A26" s="105" t="s">
        <v>79</v>
      </c>
      <c r="B26" s="105" t="s">
        <v>77</v>
      </c>
      <c r="C26" s="105" t="s">
        <v>80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17">
        <f t="shared" si="6"/>
        <v>0</v>
      </c>
      <c r="Q26" s="141">
        <v>0</v>
      </c>
      <c r="R26" s="141">
        <v>0</v>
      </c>
      <c r="S26" s="141">
        <v>0</v>
      </c>
      <c r="T26" s="141">
        <v>0</v>
      </c>
      <c r="U26" s="141">
        <v>0</v>
      </c>
      <c r="V26" s="141">
        <v>0</v>
      </c>
      <c r="W26" s="141">
        <v>0</v>
      </c>
      <c r="X26" s="141">
        <v>0</v>
      </c>
      <c r="Y26" s="141">
        <v>0</v>
      </c>
      <c r="Z26" s="141">
        <v>0</v>
      </c>
      <c r="AA26" s="141">
        <v>0</v>
      </c>
      <c r="AB26" s="141">
        <v>0</v>
      </c>
      <c r="AC26" s="129">
        <f t="shared" si="7"/>
        <v>0</v>
      </c>
      <c r="AD26" s="72">
        <f t="shared" si="3"/>
        <v>0</v>
      </c>
      <c r="AG26" s="124">
        <f>P26-AF26</f>
        <v>0</v>
      </c>
      <c r="AH26" s="124"/>
      <c r="AI26" s="124"/>
    </row>
    <row r="27" spans="1:35">
      <c r="A27" s="105" t="s">
        <v>81</v>
      </c>
      <c r="B27" s="105" t="s">
        <v>77</v>
      </c>
      <c r="C27" s="105" t="s">
        <v>82</v>
      </c>
      <c r="D27" s="126"/>
      <c r="E27" s="126"/>
      <c r="F27" s="126"/>
      <c r="G27" s="126"/>
      <c r="H27" s="126"/>
      <c r="I27" s="126"/>
      <c r="J27" s="116"/>
      <c r="K27" s="116"/>
      <c r="L27" s="116"/>
      <c r="M27" s="116"/>
      <c r="N27" s="116"/>
      <c r="O27" s="116"/>
      <c r="P27" s="117">
        <f t="shared" si="6"/>
        <v>0</v>
      </c>
      <c r="Q27" s="141">
        <v>43283.96</v>
      </c>
      <c r="R27" s="141">
        <v>0</v>
      </c>
      <c r="S27" s="141">
        <v>72436</v>
      </c>
      <c r="T27" s="141">
        <v>0</v>
      </c>
      <c r="U27" s="141">
        <v>0</v>
      </c>
      <c r="V27" s="141">
        <v>6332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0</v>
      </c>
      <c r="AC27" s="129">
        <f t="shared" si="7"/>
        <v>122051.95999999999</v>
      </c>
      <c r="AD27" s="72">
        <f t="shared" si="3"/>
        <v>122051.95999999999</v>
      </c>
      <c r="AG27" s="124">
        <f>P27-AF27</f>
        <v>0</v>
      </c>
      <c r="AH27" s="124"/>
      <c r="AI27" s="124"/>
    </row>
    <row r="28" spans="1:35">
      <c r="A28" s="105" t="s">
        <v>83</v>
      </c>
      <c r="B28" s="105" t="s">
        <v>77</v>
      </c>
      <c r="C28" s="105" t="s">
        <v>84</v>
      </c>
      <c r="D28" s="195"/>
      <c r="E28" s="195"/>
      <c r="F28" s="195"/>
      <c r="G28" s="195"/>
      <c r="H28" s="195"/>
      <c r="I28" s="195"/>
      <c r="J28" s="116"/>
      <c r="K28" s="116"/>
      <c r="L28" s="116"/>
      <c r="M28" s="116"/>
      <c r="N28" s="116"/>
      <c r="O28" s="116"/>
      <c r="P28" s="117">
        <f t="shared" si="6"/>
        <v>0</v>
      </c>
      <c r="Q28" s="231">
        <v>0</v>
      </c>
      <c r="R28" s="231">
        <v>0</v>
      </c>
      <c r="S28" s="231">
        <v>0</v>
      </c>
      <c r="T28" s="231">
        <v>0</v>
      </c>
      <c r="U28" s="231">
        <v>0</v>
      </c>
      <c r="V28" s="23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0</v>
      </c>
      <c r="AC28" s="129">
        <f t="shared" si="7"/>
        <v>0</v>
      </c>
      <c r="AD28" s="72">
        <f>AC28-P28</f>
        <v>0</v>
      </c>
      <c r="AG28" s="124">
        <f>AF28-P28</f>
        <v>0</v>
      </c>
      <c r="AH28" s="124"/>
      <c r="AI28" s="124"/>
    </row>
    <row r="29" spans="1:35">
      <c r="A29" s="105" t="s">
        <v>1226</v>
      </c>
      <c r="B29" s="105" t="s">
        <v>77</v>
      </c>
      <c r="C29" s="105" t="s">
        <v>101</v>
      </c>
      <c r="D29" s="195"/>
      <c r="E29" s="195"/>
      <c r="F29" s="195"/>
      <c r="G29" s="195"/>
      <c r="H29" s="195"/>
      <c r="I29" s="195"/>
      <c r="J29" s="116"/>
      <c r="K29" s="116"/>
      <c r="L29" s="116"/>
      <c r="M29" s="116"/>
      <c r="N29" s="116"/>
      <c r="O29" s="116"/>
      <c r="P29" s="117">
        <f t="shared" si="6"/>
        <v>0</v>
      </c>
      <c r="Q29" s="231">
        <v>1631989.76</v>
      </c>
      <c r="R29" s="231">
        <v>4110334.1</v>
      </c>
      <c r="S29" s="231">
        <v>431734.54</v>
      </c>
      <c r="T29" s="231">
        <v>-9253.5</v>
      </c>
      <c r="U29" s="231">
        <v>770323.91</v>
      </c>
      <c r="V29" s="231">
        <v>0</v>
      </c>
      <c r="W29" s="141">
        <v>77429.41</v>
      </c>
      <c r="X29" s="141">
        <v>1032329.48</v>
      </c>
      <c r="Y29" s="141">
        <v>0</v>
      </c>
      <c r="Z29" s="141">
        <v>0</v>
      </c>
      <c r="AA29" s="141">
        <v>0</v>
      </c>
      <c r="AB29" s="141">
        <v>0</v>
      </c>
      <c r="AC29" s="129">
        <f t="shared" si="7"/>
        <v>8044887.7000000011</v>
      </c>
      <c r="AD29" s="72">
        <f t="shared" si="3"/>
        <v>8044887.7000000011</v>
      </c>
      <c r="AG29" s="124">
        <f>AF29-P29</f>
        <v>0</v>
      </c>
      <c r="AH29" s="124"/>
      <c r="AI29" s="124"/>
    </row>
    <row r="31" spans="1:35">
      <c r="Q31" s="179">
        <f>Q26/'2025 Summay'!R16</f>
        <v>0</v>
      </c>
      <c r="R31" s="179">
        <f>R26/'2025 Summay'!S16</f>
        <v>0</v>
      </c>
      <c r="S31" s="179">
        <f>S26/'2025 Summay'!T16</f>
        <v>0</v>
      </c>
      <c r="T31" s="179">
        <f>T26/'2025 Summay'!U16</f>
        <v>0</v>
      </c>
      <c r="U31" s="179">
        <f>U26/'2025 Summay'!V16</f>
        <v>0</v>
      </c>
      <c r="V31" s="179">
        <f>V26/'2025 Summay'!W16</f>
        <v>0</v>
      </c>
      <c r="W31" s="179">
        <f>W26/'2025 Summay'!X16</f>
        <v>0</v>
      </c>
      <c r="X31" s="179">
        <f>X26/'2025 Summay'!Y16</f>
        <v>0</v>
      </c>
      <c r="Y31" s="179">
        <f>Y26/'2025 Summay'!Z16</f>
        <v>0</v>
      </c>
      <c r="Z31" s="179">
        <f>Z26/'2025 Summay'!AA16</f>
        <v>0</v>
      </c>
      <c r="AA31" s="179">
        <f>AA26/'2025 Summay'!AB16</f>
        <v>0</v>
      </c>
      <c r="AB31" s="179">
        <f>AB26/'2025 Summay'!AC16</f>
        <v>0</v>
      </c>
      <c r="AC31" s="179"/>
    </row>
    <row r="32" spans="1:35">
      <c r="C32" s="106"/>
    </row>
    <row r="33" spans="3:23">
      <c r="C33" s="393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29"/>
    </row>
    <row r="34" spans="3:23">
      <c r="C34" s="106"/>
      <c r="P34" s="129"/>
    </row>
    <row r="35" spans="3:23"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29"/>
      <c r="W35" s="72">
        <f>SUM(Q19:W19)/7*1.05</f>
        <v>80677.854000000007</v>
      </c>
    </row>
  </sheetData>
  <phoneticPr fontId="7" type="noConversion"/>
  <dataValidations count="93">
    <dataValidation type="textLength" errorStyle="information" allowBlank="1" showInputMessage="1" showErrorMessage="1" error="XLBVal:6=6332_x000d__x000a_" sqref="V27">
      <formula1>0</formula1>
      <formula2>300</formula2>
    </dataValidation>
    <dataValidation type="textLength" errorStyle="information" allowBlank="1" showInputMessage="1" showErrorMessage="1" error="XLBVal:6=43283.96_x000d__x000a_" sqref="Q27">
      <formula1>0</formula1>
      <formula2>300</formula2>
    </dataValidation>
    <dataValidation type="textLength" errorStyle="information" allowBlank="1" showInputMessage="1" showErrorMessage="1" error="XLBVal:6=527350.21_x000d__x000a_" sqref="Q21">
      <formula1>0</formula1>
      <formula2>300</formula2>
    </dataValidation>
    <dataValidation type="textLength" errorStyle="information" allowBlank="1" showInputMessage="1" showErrorMessage="1" error="XLBVal:6=76079.71_x000d__x000a_" sqref="T19">
      <formula1>0</formula1>
      <formula2>300</formula2>
    </dataValidation>
    <dataValidation type="textLength" errorStyle="information" allowBlank="1" showInputMessage="1" showErrorMessage="1" error="XLBVal:6=72436_x000d__x000a_" sqref="S27">
      <formula1>0</formula1>
      <formula2>300</formula2>
    </dataValidation>
    <dataValidation type="textLength" errorStyle="information" allowBlank="1" showInputMessage="1" showErrorMessage="1" error="XLBVal:6=348415.34_x000d__x000a_" sqref="R21">
      <formula1>0</formula1>
      <formula2>300</formula2>
    </dataValidation>
    <dataValidation type="textLength" errorStyle="information" allowBlank="1" showInputMessage="1" showErrorMessage="1" error="XLBVal:6=397031.95_x000d__x000a_" sqref="R14">
      <formula1>0</formula1>
      <formula2>300</formula2>
    </dataValidation>
    <dataValidation type="textLength" errorStyle="information" allowBlank="1" showInputMessage="1" showErrorMessage="1" error="XLBVal:6=302077.77_x000d__x000a_" sqref="AB21">
      <formula1>0</formula1>
      <formula2>300</formula2>
    </dataValidation>
    <dataValidation type="textLength" errorStyle="information" allowBlank="1" showInputMessage="1" showErrorMessage="1" error="XLBVal:6=75038.05_x000d__x000a_" sqref="AB19">
      <formula1>0</formula1>
      <formula2>300</formula2>
    </dataValidation>
    <dataValidation type="textLength" errorStyle="information" allowBlank="1" showInputMessage="1" showErrorMessage="1" error="XLBVal:6=312046.84_x000d__x000a_" sqref="AB14">
      <formula1>0</formula1>
      <formula2>300</formula2>
    </dataValidation>
    <dataValidation type="textLength" errorStyle="information" allowBlank="1" showInputMessage="1" showErrorMessage="1" error="XLBVal:6=650071.52_x000d__x000a_" sqref="AB12">
      <formula1>0</formula1>
      <formula2>300</formula2>
    </dataValidation>
    <dataValidation type="textLength" errorStyle="information" allowBlank="1" showInputMessage="1" showErrorMessage="1" error="XLBVal:6=600744.52_x000d__x000a_" sqref="AB11">
      <formula1>0</formula1>
      <formula2>300</formula2>
    </dataValidation>
    <dataValidation type="textLength" errorStyle="information" allowBlank="1" showInputMessage="1" showErrorMessage="1" error="XLBVal:6=50628.28_x000d__x000a_" sqref="AB10">
      <formula1>0</formula1>
      <formula2>300</formula2>
    </dataValidation>
    <dataValidation type="textLength" errorStyle="information" allowBlank="1" showInputMessage="1" showErrorMessage="1" error="XLBVal:6=352642.17_x000d__x000a_" sqref="AA21">
      <formula1>0</formula1>
      <formula2>300</formula2>
    </dataValidation>
    <dataValidation type="textLength" errorStyle="information" allowBlank="1" showInputMessage="1" showErrorMessage="1" error="XLBVal:6=69838.7_x000d__x000a_" sqref="AA19">
      <formula1>0</formula1>
      <formula2>300</formula2>
    </dataValidation>
    <dataValidation type="textLength" errorStyle="information" allowBlank="1" showInputMessage="1" showErrorMessage="1" error="XLBVal:6=69797.37_x000d__x000a_" sqref="Z19">
      <formula1>0</formula1>
      <formula2>300</formula2>
    </dataValidation>
    <dataValidation type="textLength" errorStyle="information" allowBlank="1" showInputMessage="1" showErrorMessage="1" error="XLBVal:6=308426.84_x000d__x000a_" sqref="Z14:AA14">
      <formula1>0</formula1>
      <formula2>300</formula2>
    </dataValidation>
    <dataValidation type="textLength" errorStyle="information" allowBlank="1" showInputMessage="1" showErrorMessage="1" error="XLBVal:6=-740389.98_x000d__x000a_" sqref="AA12">
      <formula1>0</formula1>
      <formula2>300</formula2>
    </dataValidation>
    <dataValidation type="textLength" errorStyle="information" allowBlank="1" showInputMessage="1" showErrorMessage="1" error="XLBVal:6=28832.42_x000d__x000a_" sqref="Z12">
      <formula1>0</formula1>
      <formula2>300</formula2>
    </dataValidation>
    <dataValidation type="textLength" errorStyle="information" allowBlank="1" showInputMessage="1" showErrorMessage="1" error="XLBVal:6=308380.09_x000d__x000a_" sqref="AA11">
      <formula1>0</formula1>
      <formula2>300</formula2>
    </dataValidation>
    <dataValidation type="textLength" errorStyle="information" allowBlank="1" showInputMessage="1" showErrorMessage="1" error="XLBVal:6=237256.37_x000d__x000a_" sqref="Z11">
      <formula1>0</formula1>
      <formula2>300</formula2>
    </dataValidation>
    <dataValidation type="textLength" errorStyle="information" allowBlank="1" showInputMessage="1" showErrorMessage="1" error="XLBVal:6=-36179.86_x000d__x000a_" sqref="AA10">
      <formula1>0</formula1>
      <formula2>300</formula2>
    </dataValidation>
    <dataValidation type="textLength" errorStyle="information" allowBlank="1" showInputMessage="1" showErrorMessage="1" error="XLBVal:6=28991.82_x000d__x000a_" sqref="Z10">
      <formula1>0</formula1>
      <formula2>300</formula2>
    </dataValidation>
    <dataValidation type="textLength" errorStyle="information" allowBlank="1" showInputMessage="1" showErrorMessage="1" error="XLBVal:6=69820.98_x000d__x000a_" sqref="Y19">
      <formula1>0</formula1>
      <formula2>300</formula2>
    </dataValidation>
    <dataValidation type="textLength" errorStyle="information" allowBlank="1" showInputMessage="1" showErrorMessage="1" error="XLBVal:6=-154810.91_x000d__x000a_" sqref="Y12">
      <formula1>0</formula1>
      <formula2>300</formula2>
    </dataValidation>
    <dataValidation type="textLength" errorStyle="information" allowBlank="1" showInputMessage="1" showErrorMessage="1" error="XLBVal:6=98480.52_x000d__x000a_" sqref="Y11">
      <formula1>0</formula1>
      <formula2>300</formula2>
    </dataValidation>
    <dataValidation type="textLength" errorStyle="information" allowBlank="1" showInputMessage="1" showErrorMessage="1" error="XLBVal:6=28441.1_x000d__x000a_" sqref="Y10">
      <formula1>0</formula1>
      <formula2>300</formula2>
    </dataValidation>
    <dataValidation type="textLength" errorStyle="information" allowBlank="1" showInputMessage="1" showErrorMessage="1" error="XLBVal:6=70048.3_x000d__x000a_" sqref="X19">
      <formula1>0</formula1>
      <formula2>300</formula2>
    </dataValidation>
    <dataValidation type="textLength" errorStyle="information" allowBlank="1" showInputMessage="1" showErrorMessage="1" error="XLBVal:6=-528275.82_x000d__x000a_" sqref="X12">
      <formula1>0</formula1>
      <formula2>300</formula2>
    </dataValidation>
    <dataValidation type="textLength" errorStyle="information" allowBlank="1" showInputMessage="1" showErrorMessage="1" error="XLBVal:6=335550.94_x000d__x000a_" sqref="X11">
      <formula1>0</formula1>
      <formula2>300</formula2>
    </dataValidation>
    <dataValidation type="textLength" errorStyle="information" allowBlank="1" showInputMessage="1" showErrorMessage="1" error="XLBVal:6=108253.5_x000d__x000a_" sqref="X10">
      <formula1>0</formula1>
      <formula2>300</formula2>
    </dataValidation>
    <dataValidation type="textLength" errorStyle="information" allowBlank="1" showInputMessage="1" showErrorMessage="1" error="XLBVal:6=770323.91_x000d__x000a_" sqref="U29">
      <formula1>0</formula1>
      <formula2>300</formula2>
    </dataValidation>
    <dataValidation type="textLength" errorStyle="information" allowBlank="1" showInputMessage="1" showErrorMessage="1" error="XLBVal:6=-9253.5_x000d__x000a_" sqref="T29">
      <formula1>0</formula1>
      <formula2>300</formula2>
    </dataValidation>
    <dataValidation type="textLength" errorStyle="information" allowBlank="1" showInputMessage="1" showErrorMessage="1" error="XLBVal:6=431734.54_x000d__x000a_" sqref="S29">
      <formula1>0</formula1>
      <formula2>300</formula2>
    </dataValidation>
    <dataValidation type="textLength" errorStyle="information" allowBlank="1" showInputMessage="1" showErrorMessage="1" error="XLBVal:6=4110334.1_x000d__x000a_" sqref="R29">
      <formula1>0</formula1>
      <formula2>300</formula2>
    </dataValidation>
    <dataValidation type="textLength" errorStyle="information" allowBlank="1" showInputMessage="1" showErrorMessage="1" error="XLBVal:6=1631989.76_x000d__x000a_" sqref="Q29">
      <formula1>0</formula1>
      <formula2>300</formula2>
    </dataValidation>
    <dataValidation type="textLength" errorStyle="information" allowBlank="1" showInputMessage="1" showErrorMessage="1" error="XLBVal:6=34617.73_x000d__x000a_" sqref="V25">
      <formula1>0</formula1>
      <formula2>300</formula2>
    </dataValidation>
    <dataValidation type="textLength" errorStyle="information" allowBlank="1" showInputMessage="1" showErrorMessage="1" error="XLBVal:6=39657.33_x000d__x000a_" sqref="U25">
      <formula1>0</formula1>
      <formula2>300</formula2>
    </dataValidation>
    <dataValidation type="textLength" errorStyle="information" allowBlank="1" showInputMessage="1" showErrorMessage="1" error="XLBVal:6=38238.17_x000d__x000a_" sqref="T25">
      <formula1>0</formula1>
      <formula2>300</formula2>
    </dataValidation>
    <dataValidation type="textLength" errorStyle="information" allowBlank="1" showInputMessage="1" showErrorMessage="1" error="XLBVal:6=39363.99_x000d__x000a_" sqref="S25">
      <formula1>0</formula1>
      <formula2>300</formula2>
    </dataValidation>
    <dataValidation type="textLength" errorStyle="information" allowBlank="1" showInputMessage="1" showErrorMessage="1" error="XLBVal:6=36694.6_x000d__x000a_" sqref="R25">
      <formula1>0</formula1>
      <formula2>300</formula2>
    </dataValidation>
    <dataValidation type="textLength" errorStyle="information" allowBlank="1" showInputMessage="1" showErrorMessage="1" error="XLBVal:6=39077.53_x000d__x000a_" sqref="Q25">
      <formula1>0</formula1>
      <formula2>300</formula2>
    </dataValidation>
    <dataValidation type="textLength" errorStyle="information" allowBlank="1" showInputMessage="1" showErrorMessage="1" error="XLBVal:6=370028.57_x000d__x000a_" sqref="W21:Z21">
      <formula1>0</formula1>
      <formula2>300</formula2>
    </dataValidation>
    <dataValidation type="textLength" errorStyle="information" allowBlank="1" showInputMessage="1" showErrorMessage="1" error="XLBVal:6=360196.78_x000d__x000a_" sqref="V21">
      <formula1>0</formula1>
      <formula2>300</formula2>
    </dataValidation>
    <dataValidation type="textLength" errorStyle="information" allowBlank="1" showInputMessage="1" showErrorMessage="1" error="XLBVal:6=81444.99_x000d__x000a_" sqref="Q19">
      <formula1>0</formula1>
      <formula2>300</formula2>
    </dataValidation>
    <dataValidation type="textLength" errorStyle="information" allowBlank="1" showInputMessage="1" showErrorMessage="1" error="XLBVal:6=301939.09_x000d__x000a_" sqref="W14:Y14">
      <formula1>0</formula1>
      <formula2>300</formula2>
    </dataValidation>
    <dataValidation type="textLength" errorStyle="information" allowBlank="1" showInputMessage="1" showErrorMessage="1" error="XLBVal:6=402815.82_x000d__x000a_" sqref="V14">
      <formula1>0</formula1>
      <formula2>300</formula2>
    </dataValidation>
    <dataValidation type="textLength" errorStyle="information" allowBlank="1" showInputMessage="1" showErrorMessage="1" error="XLBVal:6=396173.89_x000d__x000a_" sqref="Q14">
      <formula1>0</formula1>
      <formula2>300</formula2>
    </dataValidation>
    <dataValidation type="textLength" errorStyle="information" allowBlank="1" showInputMessage="1" showErrorMessage="1" error="XLBVal:6=54010.54_x000d__x000a_" sqref="W19">
      <formula1>0</formula1>
      <formula2>300</formula2>
    </dataValidation>
    <dataValidation type="textLength" errorStyle="information" allowBlank="1" showInputMessage="1" showErrorMessage="1" error="XLBVal:6=3238228.95_x000d__x000a_" sqref="W12">
      <formula1>0</formula1>
      <formula2>300</formula2>
    </dataValidation>
    <dataValidation type="textLength" errorStyle="information" allowBlank="1" showInputMessage="1" showErrorMessage="1" error="XLBVal:6=153172.48_x000d__x000a_" sqref="W11">
      <formula1>0</formula1>
      <formula2>300</formula2>
    </dataValidation>
    <dataValidation type="textLength" errorStyle="information" allowBlank="1" showInputMessage="1" showErrorMessage="1" error="XLBVal:6=272311.54_x000d__x000a_" sqref="W10">
      <formula1>0</formula1>
      <formula2>300</formula2>
    </dataValidation>
    <dataValidation type="textLength" errorStyle="information" allowBlank="1" showInputMessage="1" showErrorMessage="1" error="XLBVal:6=394487.95_x000d__x000a_" sqref="I29">
      <formula1>0</formula1>
      <formula2>300</formula2>
    </dataValidation>
    <dataValidation type="textLength" errorStyle="information" allowBlank="1" showInputMessage="1" showErrorMessage="1" error="XLBVal:6=131109.29_x000d__x000a_" sqref="I27">
      <formula1>0</formula1>
      <formula2>300</formula2>
    </dataValidation>
    <dataValidation type="textLength" errorStyle="information" allowBlank="1" showInputMessage="1" showErrorMessage="1" error="XLBVal:6=1633876.68_x000d__x000a_" sqref="H29">
      <formula1>0</formula1>
      <formula2>300</formula2>
    </dataValidation>
    <dataValidation type="textLength" errorStyle="information" allowBlank="1" showInputMessage="1" showErrorMessage="1" error="XLBVal:6=-48000_x000d__x000a_" sqref="H28">
      <formula1>0</formula1>
      <formula2>300</formula2>
    </dataValidation>
    <dataValidation type="textLength" errorStyle="information" allowBlank="1" showInputMessage="1" showErrorMessage="1" error="XLBVal:6=1353744.32_x000d__x000a_" sqref="G29">
      <formula1>0</formula1>
      <formula2>300</formula2>
    </dataValidation>
    <dataValidation type="textLength" errorStyle="information" allowBlank="1" showInputMessage="1" showErrorMessage="1" error="XLBVal:6=48000_x000d__x000a_" sqref="G28">
      <formula1>0</formula1>
      <formula2>300</formula2>
    </dataValidation>
    <dataValidation type="textLength" errorStyle="information" allowBlank="1" showInputMessage="1" showErrorMessage="1" error="XLBVal:6=2717873.51_x000d__x000a_" sqref="F29">
      <formula1>0</formula1>
      <formula2>300</formula2>
    </dataValidation>
    <dataValidation type="textLength" errorStyle="information" allowBlank="1" showInputMessage="1" showErrorMessage="1" error="XLBVal:6=99217.55_x000d__x000a_" sqref="D25:O25">
      <formula1>0</formula1>
      <formula2>300</formula2>
    </dataValidation>
    <dataValidation type="textLength" errorStyle="information" allowBlank="1" showInputMessage="1" showErrorMessage="1" error="XLBVal:6=2241.33_x000d__x000a_" sqref="D24:O24">
      <formula1>0</formula1>
      <formula2>300</formula2>
    </dataValidation>
    <dataValidation type="textLength" errorStyle="information" allowBlank="1" showInputMessage="1" showErrorMessage="1" error="XLBVal:6=89894.9_x000d__x000a_" sqref="D19:O19">
      <formula1>0</formula1>
      <formula2>300</formula2>
    </dataValidation>
    <dataValidation type="textLength" errorStyle="information" allowBlank="1" showInputMessage="1" showErrorMessage="1" error="XLBVal:6=395692.73_x000d__x000a_" sqref="T14">
      <formula1>0</formula1>
      <formula2>300</formula2>
    </dataValidation>
    <dataValidation type="textLength" errorStyle="information" allowBlank="1" showInputMessage="1" showErrorMessage="1" error="XLBVal:6=434275.47_x000d__x000a_" sqref="S14">
      <formula1>0</formula1>
      <formula2>300</formula2>
    </dataValidation>
    <dataValidation type="textLength" errorStyle="information" allowBlank="1" showInputMessage="1" showErrorMessage="1" error="XLBVal:6=237212.67_x000d__x000a_" sqref="D14:O14">
      <formula1>0</formula1>
      <formula2>300</formula2>
    </dataValidation>
    <dataValidation type="textLength" errorStyle="information" allowBlank="1" showInputMessage="1" showErrorMessage="1" error="XLBVal:6=887264.78_x000d__x000a_" sqref="S12">
      <formula1>0</formula1>
      <formula2>300</formula2>
    </dataValidation>
    <dataValidation type="textLength" errorStyle="information" allowBlank="1" showInputMessage="1" showErrorMessage="1" error="XLBVal:6=3063458.91_x000d__x000a_" sqref="R12">
      <formula1>0</formula1>
      <formula2>300</formula2>
    </dataValidation>
    <dataValidation type="textLength" errorStyle="information" allowBlank="1" showInputMessage="1" showErrorMessage="1" error="XLBVal:6=403798.62_x000d__x000a_" sqref="U14">
      <formula1>0</formula1>
      <formula2>300</formula2>
    </dataValidation>
    <dataValidation type="textLength" errorStyle="information" allowBlank="1" showInputMessage="1" showErrorMessage="1" error="XLBVal:8=Oct 2016_x000d__x000a_" sqref="C4">
      <formula1>0</formula1>
      <formula2>300</formula2>
    </dataValidation>
    <dataValidation type="textLength" errorStyle="information" allowBlank="1" showInputMessage="1" showErrorMessage="1" error="XLBVal:6=124780.24_x000d__x000a_" sqref="V24">
      <formula1>0</formula1>
      <formula2>300</formula2>
    </dataValidation>
    <dataValidation type="textLength" errorStyle="information" allowBlank="1" showInputMessage="1" showErrorMessage="1" error="XLBVal:6=222792.91_x000d__x000a_" sqref="S24">
      <formula1>0</formula1>
      <formula2>300</formula2>
    </dataValidation>
    <dataValidation type="textLength" errorStyle="information" allowBlank="1" showInputMessage="1" showErrorMessage="1" error="XLBVal:6=351437.32_x000d__x000a_" sqref="S21:U21">
      <formula1>0</formula1>
      <formula2>300</formula2>
    </dataValidation>
    <dataValidation type="textLength" errorStyle="information" allowBlank="1" showInputMessage="1" showErrorMessage="1" error="XLBVal:6=76118.76_x000d__x000a_" sqref="V19">
      <formula1>0</formula1>
      <formula2>300</formula2>
    </dataValidation>
    <dataValidation type="textLength" errorStyle="information" allowBlank="1" showInputMessage="1" showErrorMessage="1" error="XLBVal:6=76079.73_x000d__x000a_" sqref="U19">
      <formula1>0</formula1>
      <formula2>300</formula2>
    </dataValidation>
    <dataValidation type="textLength" errorStyle="information" allowBlank="1" showInputMessage="1" showErrorMessage="1" error="XLBVal:6=76079.69_x000d__x000a_" sqref="S19">
      <formula1>0</formula1>
      <formula2>300</formula2>
    </dataValidation>
    <dataValidation type="textLength" errorStyle="information" allowBlank="1" showInputMessage="1" showErrorMessage="1" error="XLBVal:6=75983.95_x000d__x000a_" sqref="R19">
      <formula1>0</formula1>
      <formula2>300</formula2>
    </dataValidation>
    <dataValidation type="textLength" errorStyle="information" allowBlank="1" showInputMessage="1" showErrorMessage="1" error="XLBVal:6=-479385.22_x000d__x000a_" sqref="V12">
      <formula1>0</formula1>
      <formula2>300</formula2>
    </dataValidation>
    <dataValidation type="textLength" errorStyle="information" allowBlank="1" showInputMessage="1" showErrorMessage="1" error="XLBVal:6=635746.73_x000d__x000a_" sqref="U12">
      <formula1>0</formula1>
      <formula2>300</formula2>
    </dataValidation>
    <dataValidation type="textLength" errorStyle="information" allowBlank="1" showInputMessage="1" showErrorMessage="1" error="XLBVal:6=635270.7_x000d__x000a_" sqref="T12">
      <formula1>0</formula1>
      <formula2>300</formula2>
    </dataValidation>
    <dataValidation type="textLength" errorStyle="information" allowBlank="1" showInputMessage="1" showErrorMessage="1" error="XLBVal:6=1646653.34_x000d__x000a_" sqref="Q12">
      <formula1>0</formula1>
      <formula2>300</formula2>
    </dataValidation>
    <dataValidation type="textLength" errorStyle="information" allowBlank="1" showInputMessage="1" showErrorMessage="1" error="XLBVal:6=477878.3_x000d__x000a_" sqref="V11">
      <formula1>0</formula1>
      <formula2>300</formula2>
    </dataValidation>
    <dataValidation type="textLength" errorStyle="information" allowBlank="1" showInputMessage="1" showErrorMessage="1" error="XLBVal:6=534261.87_x000d__x000a_" sqref="U11">
      <formula1>0</formula1>
      <formula2>300</formula2>
    </dataValidation>
    <dataValidation type="textLength" errorStyle="information" allowBlank="1" showInputMessage="1" showErrorMessage="1" error="XLBVal:6=570569.06_x000d__x000a_" sqref="T11">
      <formula1>0</formula1>
      <formula2>300</formula2>
    </dataValidation>
    <dataValidation type="textLength" errorStyle="information" allowBlank="1" showInputMessage="1" showErrorMessage="1" error="XLBVal:6=663303.01_x000d__x000a_" sqref="S11">
      <formula1>0</formula1>
      <formula2>300</formula2>
    </dataValidation>
    <dataValidation type="textLength" errorStyle="information" allowBlank="1" showInputMessage="1" showErrorMessage="1" error="XLBVal:6=1448403.71_x000d__x000a_" sqref="R11">
      <formula1>0</formula1>
      <formula2>300</formula2>
    </dataValidation>
    <dataValidation type="textLength" errorStyle="information" allowBlank="1" showInputMessage="1" showErrorMessage="1" error="XLBVal:6=928100.81_x000d__x000a_" sqref="Q11">
      <formula1>0</formula1>
      <formula2>300</formula2>
    </dataValidation>
    <dataValidation type="textLength" errorStyle="information" allowBlank="1" showInputMessage="1" showErrorMessage="1" error="XLBVal:6=56314.65_x000d__x000a_" sqref="V10">
      <formula1>0</formula1>
      <formula2>300</formula2>
    </dataValidation>
    <dataValidation type="textLength" errorStyle="information" allowBlank="1" showInputMessage="1" showErrorMessage="1" error="XLBVal:6=48821.36_x000d__x000a_" sqref="U10">
      <formula1>0</formula1>
      <formula2>300</formula2>
    </dataValidation>
    <dataValidation type="textLength" errorStyle="information" allowBlank="1" showInputMessage="1" showErrorMessage="1" error="XLBVal:6=59537.49_x000d__x000a_" sqref="T10">
      <formula1>0</formula1>
      <formula2>300</formula2>
    </dataValidation>
    <dataValidation type="textLength" errorStyle="information" allowBlank="1" showInputMessage="1" showErrorMessage="1" error="XLBVal:6=102164.66_x000d__x000a_" sqref="S10">
      <formula1>0</formula1>
      <formula2>300</formula2>
    </dataValidation>
    <dataValidation type="textLength" errorStyle="information" allowBlank="1" showInputMessage="1" showErrorMessage="1" error="XLBVal:6=396759.02_x000d__x000a_" sqref="R10">
      <formula1>0</formula1>
      <formula2>300</formula2>
    </dataValidation>
    <dataValidation type="textLength" errorStyle="information" allowBlank="1" showInputMessage="1" showErrorMessage="1" error="XLBVal:6=116823.58_x000d__x000a_" sqref="Q10">
      <formula1>0</formula1>
      <formula2>300</formula2>
    </dataValidation>
    <dataValidation type="textLength" errorStyle="information" allowBlank="1" showInputMessage="1" showErrorMessage="1" error="XLBVal:2=0_x000d__x000a_" sqref="G27:H27 D15:I18 Q15:AB18 D13:I13 D20:I20 I28 F26:F28 Q24:R24 G26:O26 D26:E29 Q13:AB13 Q20:AB20 R27 Q28:S28 T24:U24 W24:AB27 T27:U28 V28:AB29 Q26:V26">
      <formula1>0</formula1>
      <formula2>300</formula2>
    </dataValidation>
  </dataValidations>
  <printOptions horizontalCentered="1"/>
  <pageMargins left="0" right="0" top="0.59055118110236227" bottom="0.39370078740157483" header="0.31496062992125984" footer="0.31496062992125984"/>
  <pageSetup paperSize="9" scale="45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50</vt:i4>
      </vt:variant>
      <vt:variant>
        <vt:lpstr>命名范围</vt:lpstr>
      </vt:variant>
      <vt:variant>
        <vt:i4>82</vt:i4>
      </vt:variant>
    </vt:vector>
  </HeadingPairs>
  <TitlesOfParts>
    <vt:vector size="132" baseType="lpstr">
      <vt:lpstr>2025 Summay</vt:lpstr>
      <vt:lpstr>Rooms+Summary</vt:lpstr>
      <vt:lpstr>Front office</vt:lpstr>
      <vt:lpstr>HSKP</vt:lpstr>
      <vt:lpstr>Reservation</vt:lpstr>
      <vt:lpstr>Rooms Admin</vt:lpstr>
      <vt:lpstr>F&amp;B+Summary</vt:lpstr>
      <vt:lpstr>Hai Tang</vt:lpstr>
      <vt:lpstr>Silk</vt:lpstr>
      <vt:lpstr>Pin Ju</vt:lpstr>
      <vt:lpstr>Neera</vt:lpstr>
      <vt:lpstr>Poolside</vt:lpstr>
      <vt:lpstr>Cafe to Go</vt:lpstr>
      <vt:lpstr>Lobby Lounge</vt:lpstr>
      <vt:lpstr>Wet Republic</vt:lpstr>
      <vt:lpstr>AOC</vt:lpstr>
      <vt:lpstr>Bubble Bar</vt:lpstr>
      <vt:lpstr>Banquet</vt:lpstr>
      <vt:lpstr>Papillon</vt:lpstr>
      <vt:lpstr>Room Service</vt:lpstr>
      <vt:lpstr>F&amp;B Admin</vt:lpstr>
      <vt:lpstr>Stewarding</vt:lpstr>
      <vt:lpstr>Main Kichen</vt:lpstr>
      <vt:lpstr>Minbar</vt:lpstr>
      <vt:lpstr>OOD </vt:lpstr>
      <vt:lpstr>Recreation</vt:lpstr>
      <vt:lpstr>Pool</vt:lpstr>
      <vt:lpstr>Kids</vt:lpstr>
      <vt:lpstr>SPA</vt:lpstr>
      <vt:lpstr>Telephone</vt:lpstr>
      <vt:lpstr>Transportation</vt:lpstr>
      <vt:lpstr>Garage</vt:lpstr>
      <vt:lpstr>Laundry</vt:lpstr>
      <vt:lpstr>Guest Laundry</vt:lpstr>
      <vt:lpstr>Other Income</vt:lpstr>
      <vt:lpstr>A&amp;G</vt:lpstr>
      <vt:lpstr>Executive Office</vt:lpstr>
      <vt:lpstr>Finance</vt:lpstr>
      <vt:lpstr>Human Resources</vt:lpstr>
      <vt:lpstr>Security</vt:lpstr>
      <vt:lpstr>IT</vt:lpstr>
      <vt:lpstr>S&amp;M</vt:lpstr>
      <vt:lpstr>Advertising</vt:lpstr>
      <vt:lpstr>Public</vt:lpstr>
      <vt:lpstr>Sales</vt:lpstr>
      <vt:lpstr>R&amp;M</vt:lpstr>
      <vt:lpstr>Utilities</vt:lpstr>
      <vt:lpstr>Dormitory+&amp;+Shuttle+Bus</vt:lpstr>
      <vt:lpstr>Staff+Canteen</vt:lpstr>
      <vt:lpstr>Fixed+Charge</vt:lpstr>
      <vt:lpstr>'2025 Summay'!Print_Area</vt:lpstr>
      <vt:lpstr>'A&amp;G'!Print_Area</vt:lpstr>
      <vt:lpstr>Advertising!Print_Area</vt:lpstr>
      <vt:lpstr>AOC!Print_Area</vt:lpstr>
      <vt:lpstr>Banquet!Print_Area</vt:lpstr>
      <vt:lpstr>'Bubble Bar'!Print_Area</vt:lpstr>
      <vt:lpstr>'Cafe to Go'!Print_Area</vt:lpstr>
      <vt:lpstr>'Dormitory+&amp;+Shuttle+Bus'!Print_Area</vt:lpstr>
      <vt:lpstr>'Executive Office'!Print_Area</vt:lpstr>
      <vt:lpstr>'F&amp;B Admin'!Print_Area</vt:lpstr>
      <vt:lpstr>'F&amp;B+Summary'!Print_Area</vt:lpstr>
      <vt:lpstr>Finance!Print_Area</vt:lpstr>
      <vt:lpstr>'Fixed+Charge'!Print_Area</vt:lpstr>
      <vt:lpstr>'Front office'!Print_Area</vt:lpstr>
      <vt:lpstr>Garage!Print_Area</vt:lpstr>
      <vt:lpstr>'Guest Laundry'!Print_Area</vt:lpstr>
      <vt:lpstr>'Hai Tang'!Print_Area</vt:lpstr>
      <vt:lpstr>HSKP!Print_Area</vt:lpstr>
      <vt:lpstr>'Human Resources'!Print_Area</vt:lpstr>
      <vt:lpstr>IT!Print_Area</vt:lpstr>
      <vt:lpstr>Kids!Print_Area</vt:lpstr>
      <vt:lpstr>Laundry!Print_Area</vt:lpstr>
      <vt:lpstr>'Lobby Lounge'!Print_Area</vt:lpstr>
      <vt:lpstr>'Main Kichen'!Print_Area</vt:lpstr>
      <vt:lpstr>Neera!Print_Area</vt:lpstr>
      <vt:lpstr>'OOD '!Print_Area</vt:lpstr>
      <vt:lpstr>'Other Income'!Print_Area</vt:lpstr>
      <vt:lpstr>Papillon!Print_Area</vt:lpstr>
      <vt:lpstr>'Pin Ju'!Print_Area</vt:lpstr>
      <vt:lpstr>Pool!Print_Area</vt:lpstr>
      <vt:lpstr>Poolside!Print_Area</vt:lpstr>
      <vt:lpstr>Public!Print_Area</vt:lpstr>
      <vt:lpstr>'R&amp;M'!Print_Area</vt:lpstr>
      <vt:lpstr>Recreation!Print_Area</vt:lpstr>
      <vt:lpstr>Reservation!Print_Area</vt:lpstr>
      <vt:lpstr>'Room Service'!Print_Area</vt:lpstr>
      <vt:lpstr>'Rooms Admin'!Print_Area</vt:lpstr>
      <vt:lpstr>'Rooms+Summary'!Print_Area</vt:lpstr>
      <vt:lpstr>'S&amp;M'!Print_Area</vt:lpstr>
      <vt:lpstr>Sales!Print_Area</vt:lpstr>
      <vt:lpstr>Security!Print_Area</vt:lpstr>
      <vt:lpstr>Silk!Print_Area</vt:lpstr>
      <vt:lpstr>SPA!Print_Area</vt:lpstr>
      <vt:lpstr>'Staff+Canteen'!Print_Area</vt:lpstr>
      <vt:lpstr>Stewarding!Print_Area</vt:lpstr>
      <vt:lpstr>Telephone!Print_Area</vt:lpstr>
      <vt:lpstr>Transportation!Print_Area</vt:lpstr>
      <vt:lpstr>Utilities!Print_Area</vt:lpstr>
      <vt:lpstr>'Wet Republic'!Print_Area</vt:lpstr>
      <vt:lpstr>'2025 Summay'!Print_Titles</vt:lpstr>
      <vt:lpstr>'A&amp;G'!Print_Titles</vt:lpstr>
      <vt:lpstr>AOC!Print_Titles</vt:lpstr>
      <vt:lpstr>Banquet!Print_Titles</vt:lpstr>
      <vt:lpstr>'Bubble Bar'!Print_Titles</vt:lpstr>
      <vt:lpstr>'Cafe to Go'!Print_Titles</vt:lpstr>
      <vt:lpstr>'Executive Office'!Print_Titles</vt:lpstr>
      <vt:lpstr>'F&amp;B Admin'!Print_Titles</vt:lpstr>
      <vt:lpstr>'F&amp;B+Summary'!Print_Titles</vt:lpstr>
      <vt:lpstr>Finance!Print_Titles</vt:lpstr>
      <vt:lpstr>'Front office'!Print_Titles</vt:lpstr>
      <vt:lpstr>'Hai Tang'!Print_Titles</vt:lpstr>
      <vt:lpstr>HSKP!Print_Titles</vt:lpstr>
      <vt:lpstr>'Human Resources'!Print_Titles</vt:lpstr>
      <vt:lpstr>IT!Print_Titles</vt:lpstr>
      <vt:lpstr>'Lobby Lounge'!Print_Titles</vt:lpstr>
      <vt:lpstr>'Main Kichen'!Print_Titles</vt:lpstr>
      <vt:lpstr>Minbar!Print_Titles</vt:lpstr>
      <vt:lpstr>Neera!Print_Titles</vt:lpstr>
      <vt:lpstr>Papillon!Print_Titles</vt:lpstr>
      <vt:lpstr>'Pin Ju'!Print_Titles</vt:lpstr>
      <vt:lpstr>Poolside!Print_Titles</vt:lpstr>
      <vt:lpstr>'R&amp;M'!Print_Titles</vt:lpstr>
      <vt:lpstr>Reservation!Print_Titles</vt:lpstr>
      <vt:lpstr>'Room Service'!Print_Titles</vt:lpstr>
      <vt:lpstr>'Rooms Admin'!Print_Titles</vt:lpstr>
      <vt:lpstr>'Rooms+Summary'!Print_Titles</vt:lpstr>
      <vt:lpstr>'S&amp;M'!Print_Titles</vt:lpstr>
      <vt:lpstr>Security!Print_Titles</vt:lpstr>
      <vt:lpstr>Silk!Print_Titles</vt:lpstr>
      <vt:lpstr>SPA!Print_Titles</vt:lpstr>
      <vt:lpstr>Stewarding!Print_Titles</vt:lpstr>
      <vt:lpstr>'Wet Republic'!Print_Titles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Lin</dc:creator>
  <cp:lastModifiedBy>Lucy Lin</cp:lastModifiedBy>
  <dcterms:created xsi:type="dcterms:W3CDTF">2024-11-01T07:47:09Z</dcterms:created>
  <dcterms:modified xsi:type="dcterms:W3CDTF">2024-11-01T09:32:42Z</dcterms:modified>
</cp:coreProperties>
</file>